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bined" sheetId="2" r:id="rId5"/>
    <sheet state="visible" name="sotho" sheetId="3" r:id="rId6"/>
    <sheet state="visible" name="shona" sheetId="4" r:id="rId7"/>
    <sheet state="visible" name="Sheet1_1" sheetId="5" r:id="rId8"/>
    <sheet state="visible" name="Copy of combined_data" sheetId="6" r:id="rId9"/>
    <sheet state="visible" name="Combined_1" sheetId="7" r:id="rId10"/>
    <sheet state="visible" name="Sheet1_2" sheetId="8" r:id="rId11"/>
    <sheet state="visible" name="Sheet1_3" sheetId="9" r:id="rId12"/>
  </sheets>
  <definedNames>
    <definedName hidden="1" localSheetId="5" name="_xlnm._FilterDatabase">'Copy of combined_data'!$A$1:$AY$321</definedName>
  </definedNames>
  <calcPr/>
</workbook>
</file>

<file path=xl/sharedStrings.xml><?xml version="1.0" encoding="utf-8"?>
<sst xmlns="http://schemas.openxmlformats.org/spreadsheetml/2006/main" count="60068" uniqueCount="542">
  <si>
    <t>consent</t>
  </si>
  <si>
    <t>disclaimer_note</t>
  </si>
  <si>
    <t>nationality</t>
  </si>
  <si>
    <t>other_nat</t>
  </si>
  <si>
    <t>country_res</t>
  </si>
  <si>
    <t>current_location</t>
  </si>
  <si>
    <t>age</t>
  </si>
  <si>
    <t>gender</t>
  </si>
  <si>
    <t>lived_in_sa</t>
  </si>
  <si>
    <t>occupation</t>
  </si>
  <si>
    <t>education_level</t>
  </si>
  <si>
    <t>note_healthcare_needs</t>
  </si>
  <si>
    <t>access_quality</t>
  </si>
  <si>
    <t>ensure_access</t>
  </si>
  <si>
    <t>routine_checkups</t>
  </si>
  <si>
    <t>note_willingness</t>
  </si>
  <si>
    <t>nationallity_pref</t>
  </si>
  <si>
    <t>language_pref</t>
  </si>
  <si>
    <t>gender_pref</t>
  </si>
  <si>
    <t>age_pref</t>
  </si>
  <si>
    <t>keypop_services</t>
  </si>
  <si>
    <t>years_experience</t>
  </si>
  <si>
    <t>religion_pref</t>
  </si>
  <si>
    <t>service_type</t>
  </si>
  <si>
    <t>payment_option</t>
  </si>
  <si>
    <t>subscription_type</t>
  </si>
  <si>
    <t>willingness_to_pay</t>
  </si>
  <si>
    <t>subscription_method</t>
  </si>
  <si>
    <t>employer</t>
  </si>
  <si>
    <t>employer_subscr_type</t>
  </si>
  <si>
    <t>employ_insur_coverage</t>
  </si>
  <si>
    <t>share_service</t>
  </si>
  <si>
    <t>become_agent</t>
  </si>
  <si>
    <t>agent_commission</t>
  </si>
  <si>
    <t>endorsement_factors/other_govt</t>
  </si>
  <si>
    <t>endorsement_factors/govt</t>
  </si>
  <si>
    <t>endorsement_factors/private</t>
  </si>
  <si>
    <t>endorsement_factors/none</t>
  </si>
  <si>
    <t>interested_more_info</t>
  </si>
  <si>
    <t>phone_number</t>
  </si>
  <si>
    <t>end_note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</si>
  <si>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</si>
  <si>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</si>
  <si>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</si>
  <si>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</si>
  <si>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</si>
  <si>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</si>
  <si>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</si>
  <si>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</si>
  <si>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</si>
  <si>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</si>
  <si>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Yes</t>
  </si>
  <si>
    <t>zimbabwe</t>
  </si>
  <si>
    <t>south_africa</t>
  </si>
  <si>
    <t>City of Tshwane Metropolitan Municipality</t>
  </si>
  <si>
    <t>male</t>
  </si>
  <si>
    <t>unemployed</t>
  </si>
  <si>
    <t>primary</t>
  </si>
  <si>
    <t>agree</t>
  </si>
  <si>
    <t>Silver</t>
  </si>
  <si>
    <t>card</t>
  </si>
  <si>
    <t>once</t>
  </si>
  <si>
    <t>online</t>
  </si>
  <si>
    <t>0c251896-5d43-4565-a023-9acc87c9bafc</t>
  </si>
  <si>
    <t>submitted_via_web</t>
  </si>
  <si>
    <t>vvsKoPWAdbtxxM2uUqP6Eu</t>
  </si>
  <si>
    <t>female</t>
  </si>
  <si>
    <t>over5</t>
  </si>
  <si>
    <t>informal</t>
  </si>
  <si>
    <t>disagree</t>
  </si>
  <si>
    <t>dontknow</t>
  </si>
  <si>
    <t>I am not an employer</t>
  </si>
  <si>
    <t>No</t>
  </si>
  <si>
    <t>0bf53787-8ed4-45ea-a14c-b6a97b6ff35c</t>
  </si>
  <si>
    <t>secondary</t>
  </si>
  <si>
    <t>a9a43940-a350-4fa2-b487-49e28d7ff8ba</t>
  </si>
  <si>
    <t>6to12</t>
  </si>
  <si>
    <t>c219cd7f-5a6f-4474-95e2-ab5a0f8e5e1b</t>
  </si>
  <si>
    <t>none</t>
  </si>
  <si>
    <t>assisted</t>
  </si>
  <si>
    <t>4aa2a580-d4ce-47ea-bd86-b29d3ce7de54</t>
  </si>
  <si>
    <t>Gold</t>
  </si>
  <si>
    <t>cash</t>
  </si>
  <si>
    <t>996d0a96-40e4-4bd9-bc1f-c600cd3ed3cd</t>
  </si>
  <si>
    <t>vL333fTXttq2bepEBmPumB</t>
  </si>
  <si>
    <t>Capetown</t>
  </si>
  <si>
    <t>formal</t>
  </si>
  <si>
    <t>tertiary</t>
  </si>
  <si>
    <t>Platinum</t>
  </si>
  <si>
    <t>monthly</t>
  </si>
  <si>
    <t>b22df229-f0e0-44b1-a860-c9991d80fdc7</t>
  </si>
  <si>
    <t>4df4f849-108b-4f3e-9ea9-c13c22c88ede</t>
  </si>
  <si>
    <t>vocational</t>
  </si>
  <si>
    <t>c837cb0e-f61c-487d-91f5-b449b1df4766</t>
  </si>
  <si>
    <t>City of Ekurhuleni Metropolitan Municipality</t>
  </si>
  <si>
    <t>insurance</t>
  </si>
  <si>
    <t>annual</t>
  </si>
  <si>
    <t>ef631e50-ad9b-46c1-8289-d566fd3b1f05</t>
  </si>
  <si>
    <t>f19ab1e2-fa17-4108-87f3-aaccb9eb134b</t>
  </si>
  <si>
    <t>0bec7f61-477e-4396-a0d5-7eb6e8a75117</t>
  </si>
  <si>
    <t>1to5</t>
  </si>
  <si>
    <t>5bfd43b7-9744-47ba-b8f3-8bf409ca7434</t>
  </si>
  <si>
    <t>City of Johannesburg Metropolitan Municipality</t>
  </si>
  <si>
    <t>Lithium</t>
  </si>
  <si>
    <t>bca1fc3e-04f8-429c-b7a3-af22aa47d724</t>
  </si>
  <si>
    <t>Other</t>
  </si>
  <si>
    <t>66a96312-cf23-41ef-af19-9daec17a085b</t>
  </si>
  <si>
    <t>eswatini</t>
  </si>
  <si>
    <t>quarterly</t>
  </si>
  <si>
    <t>ff4ef0c1-858b-4f18-9956-870a604b07a6</t>
  </si>
  <si>
    <t>8c7d80fc-970a-49ba-8cce-13ce351eb4e0</t>
  </si>
  <si>
    <t>ownbusiness</t>
  </si>
  <si>
    <t>6aac13fd-5a4d-42e1-9fce-4e75b491b1f2</t>
  </si>
  <si>
    <t>db754ea7-c0ea-4657-a930-7ac09469c93f</t>
  </si>
  <si>
    <t>ff677165-a115-4c1a-8b31-6a1a72e17dd1</t>
  </si>
  <si>
    <t>Mopani District</t>
  </si>
  <si>
    <t>07ac77f6-bc2b-401f-974f-78febbf7d7ca</t>
  </si>
  <si>
    <t>2de8cbd6-7deb-4181-b03c-80b250071588</t>
  </si>
  <si>
    <t>kenya</t>
  </si>
  <si>
    <t>0a336b94-5e2a-4613-ad02-e97bce08db1c</t>
  </si>
  <si>
    <t>7cbf9b4a-c947-43d4-86b2-d8569b9de62e</t>
  </si>
  <si>
    <t>citizen</t>
  </si>
  <si>
    <t>c0934feb-9776-417b-b270-c0938903c7e0</t>
  </si>
  <si>
    <t>6ffe918c-36da-4851-b47c-662280ec9e9b</t>
  </si>
  <si>
    <t>9ff4173f-20af-4caa-b015-31cca78757d5</t>
  </si>
  <si>
    <t>80aa7925-29d0-4c48-80a7-fb38fc7c3628</t>
  </si>
  <si>
    <t>a11658a1-b9e2-4fb6-a09b-a52e2135c9b1</t>
  </si>
  <si>
    <t>biannual</t>
  </si>
  <si>
    <t>16e985da-98ed-41cb-a67f-7b9eb28cf37c</t>
  </si>
  <si>
    <t>6a03bce3-77fe-4e41-9de7-7eeb9dc9d062</t>
  </si>
  <si>
    <t>c8300d03-5d17-48d9-9038-4922f458d3f0</t>
  </si>
  <si>
    <t>mozambique</t>
  </si>
  <si>
    <t>7ca5b8c3-6eb4-43f7-a65b-f98469d94259</t>
  </si>
  <si>
    <t>8fbb9177-58a0-43f3-97b2-c17fccb2a2ee</t>
  </si>
  <si>
    <t>7fea913b-6f5c-4455-a0cf-abb1c8e4e8c8</t>
  </si>
  <si>
    <t>654d1e5f-6db4-4189-af5f-596d76872796</t>
  </si>
  <si>
    <t>OR Tambo District</t>
  </si>
  <si>
    <t>dab7f63b-cee7-455a-823c-660144f80883</t>
  </si>
  <si>
    <t>6a6de0e0-59c9-4b49-ab0a-71332b0d7d81</t>
  </si>
  <si>
    <t>0fa2f58f-919d-4452-a7b6-15c51caafcd5</t>
  </si>
  <si>
    <t>7984bd0b-a4a5-4683-a34a-82a4871c0a81</t>
  </si>
  <si>
    <t>f5d99ec3-a1af-459b-84ad-3636095fa277</t>
  </si>
  <si>
    <t>91a575f1-5284-4a10-a0bf-fb704258638d</t>
  </si>
  <si>
    <t>719ec4e4-0cb4-4f89-912f-b3528fcf132c</t>
  </si>
  <si>
    <t>3bafe0f8-0ac4-492f-a737-3006f12b4b72</t>
  </si>
  <si>
    <t>55acc006-035d-4e57-b947-d1a57b1afd5b</t>
  </si>
  <si>
    <t>40e39bda-cbf6-4d32-90e3-e4c5dcc8dafc</t>
  </si>
  <si>
    <t>df59c341-676c-458a-b529-fcbcedaf465b</t>
  </si>
  <si>
    <t>fb0f1fe3-0655-462b-8712-f42d7cabe708</t>
  </si>
  <si>
    <t>eThekwini Metropolitan Municipality</t>
  </si>
  <si>
    <t>4aeb8f54-2875-4c63-9594-01fe825d3c60</t>
  </si>
  <si>
    <t>lesotho</t>
  </si>
  <si>
    <t>ded13f09-16f3-48a7-b28a-9f7d5ae4f791</t>
  </si>
  <si>
    <t>50e44e70-ead0-48e4-8f46-ebde3ac75a0b</t>
  </si>
  <si>
    <t>namibia</t>
  </si>
  <si>
    <t>b70b912f-283e-4cdc-879f-c27ec784b98c</t>
  </si>
  <si>
    <t>d28dd19d-5ee8-4194-9ed5-e870a89dda9b</t>
  </si>
  <si>
    <t>28600347-9a78-40a7-b977-531f267536f5</t>
  </si>
  <si>
    <t>Buffalo City Metropolitan Municipality</t>
  </si>
  <si>
    <t>a28d37fc-9ae5-45b3-946a-a7338e37d3a7</t>
  </si>
  <si>
    <t>127987b8-34a0-4f7c-8aa2-eafd06fef2dc</t>
  </si>
  <si>
    <t>Ehlanzeni District</t>
  </si>
  <si>
    <t>cc44c5aa-06ee-42a8-8277-ea3cc97a7dbb</t>
  </si>
  <si>
    <t>8f7cf146-5427-47e4-943c-2a56a7df2255</t>
  </si>
  <si>
    <t>0f1eedd1-7c3d-4628-ba89-29945a091a28</t>
  </si>
  <si>
    <t>vyQ2YQjU4ktbYYqmXjw6CP</t>
  </si>
  <si>
    <t>00e373c9-ab92-4ae1-8a93-df8c5450e84f</t>
  </si>
  <si>
    <t>c0a1aa60-433d-4830-90c4-270cf0a9318e</t>
  </si>
  <si>
    <t>26c50013-61d8-459c-baee-5f9f39d7eb93</t>
  </si>
  <si>
    <t>8c7b2d05-3e13-4c3b-b2cd-87d2a0d23a16</t>
  </si>
  <si>
    <t>malawi</t>
  </si>
  <si>
    <t>7e8b3d0a-23b0-4bab-ae1a-11815075d383</t>
  </si>
  <si>
    <t>prepaid</t>
  </si>
  <si>
    <t>609ca7ac-80a3-4977-a12f-4da8ce84fc49</t>
  </si>
  <si>
    <t>a8d17532-29bd-4766-ac32-6098b2e74e5f</t>
  </si>
  <si>
    <t>62252190-e17b-4590-82e9-4e1b94073277</t>
  </si>
  <si>
    <t>e13c09b4-bf34-447e-8a27-105627b541c0</t>
  </si>
  <si>
    <t>dff01ac4-237e-4b32-97cb-4953febfce76</t>
  </si>
  <si>
    <t>2f84bc2f-b15d-427f-8dd0-996654eda408</t>
  </si>
  <si>
    <t>4ef1a7c8-4311-4ef9-9e49-92931e6a3304</t>
  </si>
  <si>
    <t>52490df8-cc2e-4a53-920e-ae5cdbd5bdae</t>
  </si>
  <si>
    <t>4b26eed0-d54c-420d-ab2d-44457b4fdda0</t>
  </si>
  <si>
    <t>be35b3c4-e0b2-4601-bef4-0d94b5b40170</t>
  </si>
  <si>
    <t>West Rand District</t>
  </si>
  <si>
    <t>99d0a8c6-d17f-4774-ade1-e0df6f5783fc</t>
  </si>
  <si>
    <t>990f3f9c-93bf-45f0-ace0-cf543497cd33</t>
  </si>
  <si>
    <t>6afa3e30-7f39-497a-8fdf-3890a50e1d7d</t>
  </si>
  <si>
    <t>4b5e11e3-8a6d-4b9a-b544-1f68081303b8</t>
  </si>
  <si>
    <t>gambia</t>
  </si>
  <si>
    <t>89615771-9441-4249-814f-b55f3350eab0</t>
  </si>
  <si>
    <t>034851f6-41d8-4919-9a85-500f1c174771</t>
  </si>
  <si>
    <t>vgUJxCcLkhbxcmcrDMVzkY</t>
  </si>
  <si>
    <t>65aa088a-8c2d-4fd4-920b-ac301d8ef7f6</t>
  </si>
  <si>
    <t>cc70281f-7b07-4d31-8218-791239294e6d</t>
  </si>
  <si>
    <t>8664a68b-8baf-4e8c-88e2-171f2d2883c0</t>
  </si>
  <si>
    <t>16009178-a498-49ef-85ab-d8390604c0b9</t>
  </si>
  <si>
    <t>1bac36ef-e04b-4b73-b0a5-3d60a84f15ce</t>
  </si>
  <si>
    <t>Nkangala District</t>
  </si>
  <si>
    <t>62f1544a-7e8f-402f-99ba-fefa5120fa64</t>
  </si>
  <si>
    <t>84d0d60d-1f1d-4145-a92c-5347073e066b</t>
  </si>
  <si>
    <t>01baba4b-72df-4331-85c2-482617d49fa1</t>
  </si>
  <si>
    <t>bad0ebcd-f73e-47a8-a2ed-e805bcad53f2</t>
  </si>
  <si>
    <t>angola</t>
  </si>
  <si>
    <t>b2b9d054-614b-41f9-9d0a-89a30a9ce489</t>
  </si>
  <si>
    <t>marisa@tushiyah.co.za</t>
  </si>
  <si>
    <t>60309360-5002-4123-b3dd-d368d6b334d1</t>
  </si>
  <si>
    <t>079 573 0884</t>
  </si>
  <si>
    <t>42c5e19d-7db8-4bb2-8a6d-f1ee5d7691f5</t>
  </si>
  <si>
    <t>6bf7c0f8-c41c-434c-89ae-963bc507af6e</t>
  </si>
  <si>
    <t>98f1f00c-d9b5-42cd-9125-cede07f23881</t>
  </si>
  <si>
    <t>2eb8c1a0-5ec3-4dfe-a21e-c41515d33ab7</t>
  </si>
  <si>
    <t>64208b60-0df1-4550-a450-9e35dc8cfafb</t>
  </si>
  <si>
    <t>nigeria</t>
  </si>
  <si>
    <t>55749278-375a-4111-a75d-d2a1f2b42de0</t>
  </si>
  <si>
    <t>Bojanala Platinum District</t>
  </si>
  <si>
    <t>c44be830-c8ef-4b25-8da0-a9be018775cf</t>
  </si>
  <si>
    <t>20856335-6630-41f5-96dd-501d670187a5</t>
  </si>
  <si>
    <t>93c699b6-9cd9-4736-a1b4-940c73cb7b4d</t>
  </si>
  <si>
    <t>a063af56-7b27-42b4-a22d-642104f4fee6</t>
  </si>
  <si>
    <t>bd618d29-d57d-477d-9429-fd7e1408507d</t>
  </si>
  <si>
    <t>1286f58a-a4f7-45c4-8c7d-944f4f9748d7</t>
  </si>
  <si>
    <t>Lejweleputswa District</t>
  </si>
  <si>
    <t>7de83c10-0394-449b-a1d8-de8805a2bf62</t>
  </si>
  <si>
    <t>0e5677d1-7871-4d5f-bb3f-a279ac40a57b</t>
  </si>
  <si>
    <t>2c78a8d5-a192-4034-ab1b-80a72ead128d</t>
  </si>
  <si>
    <t>Gert Sibande District</t>
  </si>
  <si>
    <t>32bf0fe3-5e98-4a93-9a71-64f65909f0b7</t>
  </si>
  <si>
    <t>na</t>
  </si>
  <si>
    <t>a772f35d-39f3-4226-b5b4-9673302c74f1</t>
  </si>
  <si>
    <t>b6be9fb0-356f-4238-9098-ddd61fbf7d34</t>
  </si>
  <si>
    <t>89dba4f7-c591-4a46-b0d1-7c199d6ecbcb</t>
  </si>
  <si>
    <t>a7dca4e0-8344-4dc0-a06c-6649f82ec383</t>
  </si>
  <si>
    <t>Sedibeng District</t>
  </si>
  <si>
    <t>other</t>
  </si>
  <si>
    <t>3a979c17-8875-4296-a743-edcbc3829380</t>
  </si>
  <si>
    <t>47226379-f012-4632-a5fa-0c9dfc693bf1</t>
  </si>
  <si>
    <t>680b1f71-0b59-426f-96c8-cdbccf8cf806</t>
  </si>
  <si>
    <t>e6eb11c4-93eb-41c7-a1b9-87c0bbc6feae</t>
  </si>
  <si>
    <t>a3dce2d4-f5c2-45c8-b003-77339796a80d</t>
  </si>
  <si>
    <t>c8c8e9c1-4e8c-4a65-b0c9-139966176d6a</t>
  </si>
  <si>
    <t>bb34cc97-b235-4afb-80d2-08c33a973ab9</t>
  </si>
  <si>
    <t>7ffde9a8-b364-46a0-af84-cb18948abb42</t>
  </si>
  <si>
    <t>8a108609-b2ec-4fa5-b9f1-0e21194b664b</t>
  </si>
  <si>
    <t>217c4022-50a4-42c1-8265-483635187882</t>
  </si>
  <si>
    <t>86b44e4c-2010-407e-ae0f-8957c9f9dfdd</t>
  </si>
  <si>
    <t>a8f95ec1-9ae7-4a42-973c-a5be8ecd0787</t>
  </si>
  <si>
    <t>7fc5ee6b-e197-4f7d-ad74-afd1c0c7a961</t>
  </si>
  <si>
    <t>995776d5-b0d9-4c20-9f22-9d3cf69b62e5</t>
  </si>
  <si>
    <t>6fba4168-7755-408e-bb01-bd57507757c6</t>
  </si>
  <si>
    <t>5a993fd2-461f-4c74-9a04-3e299f6f2632</t>
  </si>
  <si>
    <t>f9ff5f58-6045-4481-b198-bae6ca975d85</t>
  </si>
  <si>
    <t>ecdd593a-bd60-49ec-b1a6-0fb1d0537813</t>
  </si>
  <si>
    <t>ee32a214-a374-4133-8097-b5bef9eb4b5f</t>
  </si>
  <si>
    <t>c141332e-ecfe-4f67-b4aa-83256b61a10a</t>
  </si>
  <si>
    <t>f749154e-a8f9-4a29-a5a3-95218041ac64</t>
  </si>
  <si>
    <t>vckVTgNzM4XXtKAKNnsHpB</t>
  </si>
  <si>
    <t>e903cf3e-788a-4264-beef-42d4b1f170bf</t>
  </si>
  <si>
    <t>15bcbc30-3bd7-402f-8785-d71b441b6be8</t>
  </si>
  <si>
    <t>1bd72734-a731-410e-890b-fbe3852f0180</t>
  </si>
  <si>
    <t>660dc0aa-3269-4bd1-aa23-ac254f5d97c0</t>
  </si>
  <si>
    <t>b50eb9b9-1d33-457d-ac6a-d8ad8be6d67f</t>
  </si>
  <si>
    <t>United Kingdom</t>
  </si>
  <si>
    <t>3df6a1d0-f6fa-4649-9022-8805752be7f6</t>
  </si>
  <si>
    <t>d9d53f24-023b-4d32-9431-55b0f0c63af2</t>
  </si>
  <si>
    <t>1e759f56-ffd2-41aa-8879-6849e37ee51a</t>
  </si>
  <si>
    <t>31e1e5ab-bb9a-4f99-abd6-0383e0e5dd4f</t>
  </si>
  <si>
    <t>e79c3bc2-f605-40c2-8d0d-56d087b97d2b</t>
  </si>
  <si>
    <t>c610899f-defe-4de5-b949-86f8786c38f3</t>
  </si>
  <si>
    <t>6e30cf69-b72b-4da1-8619-c0bbd18e28c8</t>
  </si>
  <si>
    <t>tanzania</t>
  </si>
  <si>
    <t>d3d0863a-1233-42fb-bc9e-a93b08689c75</t>
  </si>
  <si>
    <t>be4419ed-3f3d-4e94-a43c-72aa83062874</t>
  </si>
  <si>
    <t>1e30b668-6f3c-40f3-897b-569d8cc4492e</t>
  </si>
  <si>
    <t>7b660a2a-07f1-4bd1-88de-e394b8a74f58</t>
  </si>
  <si>
    <t>1386bc60-54aa-422c-a161-a9ee396525b5</t>
  </si>
  <si>
    <t>ba81fdef-9708-4792-9bef-d4727dc643d0</t>
  </si>
  <si>
    <t>8880b2eb-d9e9-4dce-bf3f-27e373c9a856</t>
  </si>
  <si>
    <t>237d9603-9c32-444a-872b-6501f32dd68c</t>
  </si>
  <si>
    <t>7b7c759b-d2a9-4818-8b94-48b9fdc8f0e7</t>
  </si>
  <si>
    <t>1d09fc76-0e17-4ae5-9a77-5a109588ec16</t>
  </si>
  <si>
    <t>8ae9698d-1c9e-461e-8d93-dd044a5e895b</t>
  </si>
  <si>
    <t>6111c5d2-e16c-4e9e-b86f-f7cd2488b0e0</t>
  </si>
  <si>
    <t>f973ad5e-6610-4b4a-b014-54546b5f7b21</t>
  </si>
  <si>
    <t>18554141-8bfb-4c09-95a0-061e358958a8</t>
  </si>
  <si>
    <t>12a33d5b-8a32-4523-b853-7dc2f4fa0964</t>
  </si>
  <si>
    <t>f05a1be0-8186-40b2-8888-d506cfcbc356</t>
  </si>
  <si>
    <t>ghana</t>
  </si>
  <si>
    <t>cb67983c-c63a-461d-83e5-895e5f075126</t>
  </si>
  <si>
    <t>0539a0fc-e8ea-4f8b-8987-d63d22c3e131</t>
  </si>
  <si>
    <t>90d8fc13-b3c5-4344-a059-f79f2d3a20b9</t>
  </si>
  <si>
    <t>6977841a-1fa0-429b-b410-f4b77f33e4a2</t>
  </si>
  <si>
    <t>Chris Hani District</t>
  </si>
  <si>
    <t>bf393eae-3a16-47ce-8c85-17ff3072ec04</t>
  </si>
  <si>
    <t>61f370b8-7872-4f44-935c-2f24bd1107b4</t>
  </si>
  <si>
    <t>e774f3ee-a86b-46cd-beb0-7f38a7ed7fbb</t>
  </si>
  <si>
    <t>a4a537d3-1c2f-4168-86d5-808108a4da72</t>
  </si>
  <si>
    <t>f10fe9b7-7b3f-40be-98b9-6579fef6e8b0</t>
  </si>
  <si>
    <t>2a0db7e8-ceaf-4bbf-b602-1fd613e90463</t>
  </si>
  <si>
    <t>423cbb30-aad7-450d-8ee7-8ebf68495464</t>
  </si>
  <si>
    <t>6a90a0e0-9249-488f-a88e-e3186b25102c</t>
  </si>
  <si>
    <t>f5385070-fdec-4faf-8404-aa7c19f852e6</t>
  </si>
  <si>
    <t>uMzinyathi District</t>
  </si>
  <si>
    <t>bca36fad-46fe-43a1-9afd-4107c69283b8</t>
  </si>
  <si>
    <t>514917de-ee8b-4bcf-a468-36b2beb730c9</t>
  </si>
  <si>
    <t>4a266dca-e696-4343-8e20-5da4bf21a734</t>
  </si>
  <si>
    <t>8e9e5a85-ed4d-4071-b5e6-4797645ff34f</t>
  </si>
  <si>
    <t>073 689 7791</t>
  </si>
  <si>
    <t>3c728334-4539-4602-968f-7e452712d62d</t>
  </si>
  <si>
    <t>d71d6972-3189-4bb5-b560-f80006027577</t>
  </si>
  <si>
    <t>d539199b-2310-4df5-bc38-5845dad9a07a</t>
  </si>
  <si>
    <t>a51da5f4-d5b2-4e85-809c-3b6ff1795709</t>
  </si>
  <si>
    <t>b01272e6-4776-420d-8368-1ea66b022326</t>
  </si>
  <si>
    <t>4b71d740-6246-4814-a766-04ddf470c82b</t>
  </si>
  <si>
    <t>16d49024-2a57-410c-b023-ce261b05afe8</t>
  </si>
  <si>
    <t>b8c7291e-b6fc-4baa-84ec-15c709fb9c64</t>
  </si>
  <si>
    <t>5ec0d4ab-ce3c-44f9-945b-e559fe0e3f9d</t>
  </si>
  <si>
    <t>a6852e95-12f4-4d5c-8888-1db9fe11344d</t>
  </si>
  <si>
    <t>2af13874-9437-475f-9be2-41f2053c4687</t>
  </si>
  <si>
    <t>a5f8b950-0e80-4ddf-9cd8-c02d957204e3</t>
  </si>
  <si>
    <t>6f7d5aaf-3e1a-4e30-958a-1467aae9b9d9</t>
  </si>
  <si>
    <t>fd5950ef-9b41-4dbe-a1a5-9c4f68fb16c3</t>
  </si>
  <si>
    <t>c6226712-112b-4908-bbc3-6062df48dc32</t>
  </si>
  <si>
    <t>cd1a2674-629f-4cf7-b8b7-07585a72a06f</t>
  </si>
  <si>
    <t>6434c48a-57bb-43a1-9cdc-42e8d2e0efe9</t>
  </si>
  <si>
    <t>0fade4f7-ebb8-4b5f-8718-3a4aeedb733b</t>
  </si>
  <si>
    <t>fda17056-f6a9-4e2b-8caa-085bd1379220</t>
  </si>
  <si>
    <t>19f3f88b-c049-466a-bca4-fc482affe34b</t>
  </si>
  <si>
    <t>fca6d1c4-87b8-4dcc-aa38-cd8cc5bd08ac</t>
  </si>
  <si>
    <t>b6178e96-4bdb-41dc-ad72-38fb4117cb60</t>
  </si>
  <si>
    <t>5ee34004-c770-4eb5-9bea-7363d4210b93</t>
  </si>
  <si>
    <t>ccc3cc99-5e44-4165-8480-519f941135d7</t>
  </si>
  <si>
    <t>f1b4d113-188f-42f5-b1ac-f4dd02d368a7</t>
  </si>
  <si>
    <t>4dd081c2-c9c4-4975-8a72-cf4246c91282</t>
  </si>
  <si>
    <t>19af40e2-386f-4678-a899-6b3cf759dac4</t>
  </si>
  <si>
    <t>c5ff9074-5fb1-42d0-b392-f6d5a35477ab</t>
  </si>
  <si>
    <t>a184eb49-f1e2-49a3-9d96-a05d81dbf2be</t>
  </si>
  <si>
    <t>dddd894e-715f-4ae4-b170-486eb1ba2d43</t>
  </si>
  <si>
    <t>6052a1ad-281c-4e32-a36e-eae136cd2cc2</t>
  </si>
  <si>
    <t>94da2f13-5aae-47a8-94eb-9723a3a7198a</t>
  </si>
  <si>
    <t>4ee0b160-6a61-446e-b2bf-a36d1c80e6f5</t>
  </si>
  <si>
    <t>3467a19c-469f-44e2-a6d0-2803a3946337</t>
  </si>
  <si>
    <t>3ed52dae-4621-40be-9310-13d8c9e80aa5</t>
  </si>
  <si>
    <t>c754f7aa-aff6-4e35-8f59-182497206d0c</t>
  </si>
  <si>
    <t>4d2c853c-3eeb-4127-bbb8-de3d0bb8e25a</t>
  </si>
  <si>
    <t>9eb04c9d-955b-42a7-9cd9-d13e7071bddc</t>
  </si>
  <si>
    <t>Garden Route District</t>
  </si>
  <si>
    <t>d0418ac4-d954-4f85-b53c-b26a4070c497</t>
  </si>
  <si>
    <t>botswana</t>
  </si>
  <si>
    <t>54bd2f50-8eb3-48e7-b3d6-1d645435a495</t>
  </si>
  <si>
    <t>26d434a1-7022-4ded-8e9f-8ff698fc857e</t>
  </si>
  <si>
    <t>Central Karoo District</t>
  </si>
  <si>
    <t>36db2533-d6da-4c4b-a15c-eec7fe994f85</t>
  </si>
  <si>
    <t>d39c95cf-b933-4a99-8430-7901df23ce0f</t>
  </si>
  <si>
    <t>6a103661-eb3d-4362-b327-64b391e0c441</t>
  </si>
  <si>
    <t>5e341224-edf5-4271-b477-516b8d48617f</t>
  </si>
  <si>
    <t>98e02ccb-5aec-4716-ac05-9045a7ba60bf</t>
  </si>
  <si>
    <t>dcf84048-475e-40ef-b345-7208bc2e96c6</t>
  </si>
  <si>
    <t>dc66a8e2-d93f-4016-9086-4757a2ad1aeb</t>
  </si>
  <si>
    <t>ebccd71e-64a7-46e3-b17d-acd1925d34cc</t>
  </si>
  <si>
    <t>078 407 0651</t>
  </si>
  <si>
    <t>7ae7dba2-f980-49a8-9b4d-99a6240a404a</t>
  </si>
  <si>
    <t>28b2189e-7ff4-4e5c-b7b0-3e0a966d79cc</t>
  </si>
  <si>
    <t>c22a7720-2335-4ba9-8176-f93d0fcf0eb6</t>
  </si>
  <si>
    <t>ca80d211-84df-48bb-9ba6-b64bde882807</t>
  </si>
  <si>
    <t>32ed35a0-d150-4746-82b0-6e41aa2f1745</t>
  </si>
  <si>
    <t>5d80001b-42dd-45f5-974b-a336192ad603</t>
  </si>
  <si>
    <t>660f2b7a-e3b6-45aa-9ecd-916b57e7bb90</t>
  </si>
  <si>
    <t>7a205220-a3f8-4ddb-99cc-40a31894dab8</t>
  </si>
  <si>
    <t>cef6841b-a29e-4959-9fa5-d16ea10f8ee6</t>
  </si>
  <si>
    <t>d798c6a5-b3be-4680-bfba-dd2cb633875f</t>
  </si>
  <si>
    <t>5a465c92-c020-4bec-b821-91a157bdce66</t>
  </si>
  <si>
    <t>4fceef02-3cc4-4cd6-9002-a34dde28595c</t>
  </si>
  <si>
    <t>6c7429c7-f5fc-405f-b6cb-baccf6313171</t>
  </si>
  <si>
    <t>b2bbb4aa-dc55-4952-a16b-246e5b0c2279</t>
  </si>
  <si>
    <t>5266b511-227a-4e97-87b8-24c8e664a49e</t>
  </si>
  <si>
    <t>a238bfbb-7a45-46d5-a96d-47bf38a18653</t>
  </si>
  <si>
    <t>0d28a466-5d42-4d4a-8bb1-362e209e2912</t>
  </si>
  <si>
    <t>02cd7445-3637-4310-af29-13cb62c65a57</t>
  </si>
  <si>
    <t>c2f6a596-6756-4665-9549-f5b652cbf0cf</t>
  </si>
  <si>
    <t>b7571c8b-1166-4d67-b7c5-903e4c43e156</t>
  </si>
  <si>
    <t>0ec49203-df94-4cdf-aa91-07b5a772ae60</t>
  </si>
  <si>
    <t>e00381e2-27f8-4d7e-bbad-f5fe29107784</t>
  </si>
  <si>
    <t>c0e747be-0c26-494a-b8d2-0f27cc6ade79</t>
  </si>
  <si>
    <t>1addaf6d-849c-48c6-89eb-d68f7d03df6c</t>
  </si>
  <si>
    <t>538a4a68-89fe-4347-aec8-152d60726376</t>
  </si>
  <si>
    <t>d48e2238-d067-453b-8016-70b31c9ba88b</t>
  </si>
  <si>
    <t>eb8a5363-7109-444d-844d-582bd841a4d5</t>
  </si>
  <si>
    <t>c934bdd8-e6f6-4657-b815-7843482649d2</t>
  </si>
  <si>
    <t>cfa4f899-601b-490b-bdd1-f72a9077ec61</t>
  </si>
  <si>
    <t>1973b53f-7078-420f-83a7-deff5efeb824</t>
  </si>
  <si>
    <t>b5c48109-0a22-43de-8d9d-38bd339c52d5</t>
  </si>
  <si>
    <t>b5a1c752-101b-4df3-9dfa-80be9cd18a88</t>
  </si>
  <si>
    <t>8acf9443-da56-4014-8aa4-c5a64721c804</t>
  </si>
  <si>
    <t>4b22af6a-b22b-4fb3-ab0b-c7984e7bda09</t>
  </si>
  <si>
    <t>0c9138f5-dacd-4f9d-b033-2673882110e0</t>
  </si>
  <si>
    <t>2a14d248-8cca-45f3-bf9d-a432f91da545</t>
  </si>
  <si>
    <t>b280f657-1e80-4b66-ba03-41f8a8099429</t>
  </si>
  <si>
    <t>0983776f-c56e-44e3-bd38-a778505aac4d</t>
  </si>
  <si>
    <t>0eed33b7-7d2d-4342-8ed5-5456a6ec1555</t>
  </si>
  <si>
    <t>4ff10dfa-aa80-4cd6-929f-582f69181b4a</t>
  </si>
  <si>
    <t>a51e73ff-e13e-42fa-9e7a-0cb8525a9874</t>
  </si>
  <si>
    <t>21f4d2cf-a18f-4bc9-b7e4-fd6d522da9e6</t>
  </si>
  <si>
    <t>22f3b526-bbb0-41a7-a1a5-07df94b05303</t>
  </si>
  <si>
    <t>27b748ba-72b2-40c4-95ac-7b60fdd8fef9</t>
  </si>
  <si>
    <t>b8511c8a-80e9-4894-9035-1d432de4dc1d</t>
  </si>
  <si>
    <t>96544f48-efd7-4cd0-b979-6f1dc71e6875</t>
  </si>
  <si>
    <t>fdd3699c-e361-4ee3-9906-baad689a7c2a</t>
  </si>
  <si>
    <t>8c6e53e8-07ed-460d-bc8e-4386d3397551</t>
  </si>
  <si>
    <t>48c3e74e-43d7-4d1a-aee1-012fa21e776e</t>
  </si>
  <si>
    <t>8ed1cce9-ba81-42cd-b4bf-92cb5ac69395</t>
  </si>
  <si>
    <t>9079ed91-fa72-47ce-afd0-1e426599a147</t>
  </si>
  <si>
    <t>2acf2eee-343d-4db2-b968-6d5d12db1e6c</t>
  </si>
  <si>
    <t>7e8e61bd-c567-4846-bc90-5e667fe01edb</t>
  </si>
  <si>
    <t>622a9b4c-1899-4d86-b639-57ec5be03daa</t>
  </si>
  <si>
    <t>d08199a9-815f-4eed-8709-ed7a7f4970f3</t>
  </si>
  <si>
    <t>80af85bb-14b4-4bda-8124-92dd9b8dba83</t>
  </si>
  <si>
    <t>461eccc9-45b9-44eb-8de9-47300cac018b</t>
  </si>
  <si>
    <t>4cbe43a5-6894-41a6-8119-1008310e5c1c</t>
  </si>
  <si>
    <t>74a3153c-eb0e-45f2-ad19-f24cac0b97cc</t>
  </si>
  <si>
    <t>less6</t>
  </si>
  <si>
    <t>f18ae555-51aa-451e-88d2-834b66e79603</t>
  </si>
  <si>
    <t>053be4e7-3dc4-462c-8ce7-4279c7e30611</t>
  </si>
  <si>
    <t>021e8571-70ba-491f-a1fe-f31c30639092</t>
  </si>
  <si>
    <t>148fbfee-e36f-4c24-8e01-a12a04c0f435</t>
  </si>
  <si>
    <t>364210c4-3811-4312-8e36-19b94a6033e2</t>
  </si>
  <si>
    <t>fc6c8035-609a-41e4-b1bd-c42af355cfa0</t>
  </si>
  <si>
    <t>e6424cbb-e066-48d9-ae24-93dde154dfe4</t>
  </si>
  <si>
    <t>congo_kinshasa</t>
  </si>
  <si>
    <t>2215c1f9-f4c2-455c-a380-d7b60f9c92be</t>
  </si>
  <si>
    <t>5a312ff1-112e-4278-aa22-3788fc2e1017</t>
  </si>
  <si>
    <t>21a9f47b-84f6-477d-85a3-4f790d67f9e3</t>
  </si>
  <si>
    <t>b0bde63a-1466-4e3c-974a-63aca95f4356</t>
  </si>
  <si>
    <t>fad00d1b-af23-4969-aaba-5dd0d9eb9925</t>
  </si>
  <si>
    <t>c747634a-de4e-4f94-8209-ce9633ddb3e9</t>
  </si>
  <si>
    <t>016580cd-2b9f-4a7d-b96e-bab800de0e05</t>
  </si>
  <si>
    <t>296e2ef7-540a-4f29-892f-a1d4d01c5745</t>
  </si>
  <si>
    <t>a3bf8809-9a1e-43ae-8b08-f5f2c0d851d2</t>
  </si>
  <si>
    <t>2ea11c42-2156-4ce8-99bf-95ca1055c7ff</t>
  </si>
  <si>
    <t>d5e981ca-d036-4487-a53f-52dd7107443a</t>
  </si>
  <si>
    <t>6f99feae-f60a-45cc-81bd-66ef6723dd42</t>
  </si>
  <si>
    <t>e9cce425-7337-4933-b2cc-42fb00e8c9fe</t>
  </si>
  <si>
    <t>south_sudan</t>
  </si>
  <si>
    <t>fb5ff8f1-4e1a-4b0a-b9b6-087d9e3edc0c</t>
  </si>
  <si>
    <t>a09f2ceb-c51d-4163-acf1-1a6911d04b98</t>
  </si>
  <si>
    <t>81c33459-4bc0-4096-bf1f-4a624b5aad12</t>
  </si>
  <si>
    <t>41b8cdb1-c727-4907-8f91-b40bbab7b07d</t>
  </si>
  <si>
    <t>753c30a8-ae48-4508-af31-7db0db3fee63</t>
  </si>
  <si>
    <t>1ec9d096-0d29-419e-b70e-d9493e587359</t>
  </si>
  <si>
    <t>58134c10-8045-4c4b-a566-ef833a2eb1ab</t>
  </si>
  <si>
    <t>75d9990b-1f3b-45dc-883d-676cc86843af</t>
  </si>
  <si>
    <t>685e4943-5406-41c3-93f5-9076454bfc0d</t>
  </si>
  <si>
    <t>b01f56c1-4007-4a93-9f36-a5598fc2fd79</t>
  </si>
  <si>
    <t>35364a25-674c-4d42-92ea-3b374883809f</t>
  </si>
  <si>
    <t>59102b99-4c48-40f1-b11c-0711cc17a76d</t>
  </si>
  <si>
    <t>7272e9ae-5841-494a-98a5-bfcd3c107e3c</t>
  </si>
  <si>
    <t>4bf3ce3c-257a-42a2-95bf-d6444d18a16d</t>
  </si>
  <si>
    <t>d5356e71-7db9-486d-ac3e-8db1705994cd</t>
  </si>
  <si>
    <t>5038893a-72b8-41d4-83f4-86d071bb3609</t>
  </si>
  <si>
    <t>8f0973dc-616c-4a84-a41d-15399bd745fe</t>
  </si>
  <si>
    <t>a75e9283-6631-4cd6-bf70-7e08eef10832</t>
  </si>
  <si>
    <t>68ff18dd-b67f-49bd-a172-f180ced3950a</t>
  </si>
  <si>
    <t>17aa3df5-dbf0-43e0-99f7-4236931451f0</t>
  </si>
  <si>
    <t>129942c2-f6e4-42d3-9346-46f226c29637</t>
  </si>
  <si>
    <t>0dc1593b-abc9-4c51-9130-b095fcccf417</t>
  </si>
  <si>
    <t>a00a22f4-b118-4955-9440-c812c080245f</t>
  </si>
  <si>
    <t>2c75eaf3-d359-4cac-b718-4eed1f4cb80d</t>
  </si>
  <si>
    <t>d5b98aef-736f-4325-9089-76861ee04e82</t>
  </si>
  <si>
    <t>e1a0358e-f1e5-4160-ad23-83a277da79ba</t>
  </si>
  <si>
    <t>c267f31d-d27f-4e6c-b846-e57ffdb72b5b</t>
  </si>
  <si>
    <t>06ed5feb-33cf-4f0b-81a7-031a3dddbcd7</t>
  </si>
  <si>
    <t>62d94bc0-ae30-41b3-92dd-9e81fbbad05d</t>
  </si>
  <si>
    <t>d329be29-73d1-4dd9-a5f4-3d6f3dea6704</t>
  </si>
  <si>
    <t>8aa12c42-6899-42eb-a615-53a49b4e3b52</t>
  </si>
  <si>
    <t>85c7472f-7c19-4ada-bc4f-ff680ee8e627</t>
  </si>
  <si>
    <t>ef513f12-b13b-4ec3-8023-becdd3534b5f</t>
  </si>
  <si>
    <t>b1c44381-bfd4-4e7b-b36e-a36342b22c41</t>
  </si>
  <si>
    <t>0d21d4e0-548f-4f2e-b499-5ea21ffe170d</t>
  </si>
  <si>
    <t>347cd0aa-4d54-4ace-8cb2-2312ee70d404</t>
  </si>
  <si>
    <t>6baddc52-2759-4526-9563-8f94377f43aa</t>
  </si>
  <si>
    <t>f2affe6f-d17d-427b-8cc7-e7e366748f7e</t>
  </si>
  <si>
    <t>ca97405c-c4e7-4289-96a4-c4cca87ace77</t>
  </si>
  <si>
    <t>1cb8549c-ff51-40e3-9bd6-340047e708b1</t>
  </si>
  <si>
    <t>59cadfa3-5613-4a67-a903-69a08a954b75</t>
  </si>
  <si>
    <t>7d0fd32f-afa3-48c8-b2a7-f144e6513628</t>
  </si>
  <si>
    <t>bf0ee039-d672-49ac-b890-de855d936b1e</t>
  </si>
  <si>
    <t>c0eca709-acad-4ee4-bc8d-e51a66c2d2c2</t>
  </si>
  <si>
    <t>86680c62-0054-4132-b981-21615eb72f43</t>
  </si>
  <si>
    <t>f4286040-5e20-4d3e-8aa6-3918c0953a6e</t>
  </si>
  <si>
    <t>ff611ddc-7c3f-44bf-bdc5-5b30c58e1eda</t>
  </si>
  <si>
    <t>20bf5830-485d-4f31-969d-23e97d5879a6</t>
  </si>
  <si>
    <t>78a213e0-83fd-4edf-b83d-d5e3d0bdffd0</t>
  </si>
  <si>
    <t>283e4f1c-b66c-4c7c-a81c-99ea62e3ca62</t>
  </si>
  <si>
    <t>4bdea6e1-d5ca-460f-a667-53f984b62ca3</t>
  </si>
  <si>
    <t>0050bf02-807c-457b-9ba4-49770081ad17</t>
  </si>
  <si>
    <t>871adcf2-9500-4c0d-b824-48ca74835af7</t>
  </si>
  <si>
    <t>dc37eb81-a17c-42a0-8dc7-1b8d2e0a5770</t>
  </si>
  <si>
    <t>b3f56fe8-06be-45f1-a1f7-eddb86635666</t>
  </si>
  <si>
    <t>2eef5f4d-845b-4625-9367-3f08104c241d</t>
  </si>
  <si>
    <t>4177d121-fb2d-43cb-a75d-9bde42321233</t>
  </si>
  <si>
    <t>baf698d7-a7a9-4f1d-855d-03e7be434502</t>
  </si>
  <si>
    <t>9e92678e-09f1-416d-9226-f4cacd1c85d3</t>
  </si>
  <si>
    <t>03955c68-9b5c-43b2-b05d-651bd0be8556</t>
  </si>
  <si>
    <t>6ed39cff-0ba6-4d50-a6ba-c19f5548e05e</t>
  </si>
  <si>
    <t>9004f542-da7c-4522-87b6-c59cc87cc610</t>
  </si>
  <si>
    <t>8176cc5e-e412-41c9-8cd7-6b0102222574</t>
  </si>
  <si>
    <t>68a12f26-abdb-4a00-96ff-a097a57fd5fb</t>
  </si>
  <si>
    <t>City of Cape Town Metropolitan Municipality</t>
  </si>
  <si>
    <t>8cce5bab-9a5b-44dd-a781-29ef7a17c885</t>
  </si>
  <si>
    <t>f6dbdedc-d8e4-41bc-b51c-bbb9573e8838</t>
  </si>
  <si>
    <t>2f3ae31d-4284-49ac-8b59-3944aa1375ac</t>
  </si>
  <si>
    <t>01bc90a6-cbab-487c-9b75-cc36349b828c</t>
  </si>
  <si>
    <t>f21d5b1a-1caa-4840-bf38-07dd56bebfff</t>
  </si>
  <si>
    <t>77c90b90-788a-46a5-b079-d67abaf832b9</t>
  </si>
  <si>
    <t>vCVzTT5G7AjptPH33MBUWf</t>
  </si>
  <si>
    <t>a46a29f4-4d9a-4f90-9e5c-a8c89c4d4394</t>
  </si>
  <si>
    <t>77049fb9-7eae-425e-a420-ffabc2f75b47</t>
  </si>
  <si>
    <t>ebf0c0ed-2fa2-4c0e-8b59-8c14b84b3339</t>
  </si>
  <si>
    <t>1a824edc-3781-45c2-bab1-da949e7c1f74</t>
  </si>
  <si>
    <t>0cabc9b7-00f3-462d-ad7a-291c11f17f41</t>
  </si>
  <si>
    <t>fdc984e0-2ab1-4153-bdea-cd93c80e5e00</t>
  </si>
  <si>
    <t>9e18c6cd-e4e3-46b4-a7c9-e39ff6b397fc</t>
  </si>
  <si>
    <t>e88ea46a-d4f6-43cc-9200-2eb29c59cf1b</t>
  </si>
  <si>
    <t>1d61babf-ffb8-40fc-aa14-a9ecc2a5b205</t>
  </si>
  <si>
    <t>059bfc9d-5e6d-42f4-b3e3-0bd87bee9fa9</t>
  </si>
  <si>
    <t>1c18f6d6-d7ef-47c7-a023-e64c3bffaa33</t>
  </si>
  <si>
    <t>2739c29a-32cb-40a4-a91b-2391766e113b</t>
  </si>
  <si>
    <t>833a57b7-9b1c-458d-b0a0-410737ac8cd8</t>
  </si>
  <si>
    <t>8b81380e-5bbb-4974-a7ab-f51e704a8ac8</t>
  </si>
  <si>
    <t>e4f035fa-8f59-488d-b851-26912cf09420</t>
  </si>
  <si>
    <t>b2c26e14-f7ea-4b6b-9e10-22fdceb7382e</t>
  </si>
  <si>
    <t>c507f73d-72a2-4b20-bfe2-e82fbb687270</t>
  </si>
  <si>
    <t>a6d951aa-088e-43e0-8a21-42368b028f75</t>
  </si>
  <si>
    <t>920a8fe1-7227-4da9-8dda-fd0439ce66c7</t>
  </si>
  <si>
    <t>777c23ef-c6a8-4f61-b019-1405281901bb</t>
  </si>
  <si>
    <t>240b5096-8770-4423-91bf-a5cac83dcd03</t>
  </si>
  <si>
    <t>64b102ac-40c4-478c-a1b7-db633bb482c4</t>
  </si>
  <si>
    <t>a6675a5d-bb7e-420f-96c1-cc5f102a2748</t>
  </si>
  <si>
    <t>df3028bc-a4d4-4d7b-afee-dc7971631a4f</t>
  </si>
  <si>
    <t>4aa8c353-2395-4be1-b792-6882e5e0878a</t>
  </si>
  <si>
    <t>cca7fec1-6d1f-4ce8-9b4c-4e122aa7ebff</t>
  </si>
  <si>
    <t>812e574e-e323-4ea7-a901-41fc8acc5111</t>
  </si>
  <si>
    <t>c7a65fe9-4edc-4200-b518-f16192bb845f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</si>
</sst>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3E"/>
    <outlinePr summaryBelow="0" summaryRight="0"/>
  </sheetPr>
  <sheetViews>
    <sheetView workbookViewId="0"/>
  </sheetViews>
  <sheetFormatPr customHeight="1" defaultColWidth="12.63" defaultRowHeight="15.75"/>
  <cols>
    <col customWidth="1" min="27" max="2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C2" s="1" t="s">
        <v>52</v>
      </c>
      <c r="E2" s="1" t="s">
        <v>53</v>
      </c>
      <c r="F2" s="1" t="s">
        <v>54</v>
      </c>
      <c r="G2" s="2">
        <v>45.0</v>
      </c>
      <c r="H2" s="1" t="s">
        <v>55</v>
      </c>
      <c r="J2" s="1" t="s">
        <v>56</v>
      </c>
      <c r="K2" s="1" t="s">
        <v>57</v>
      </c>
      <c r="M2" s="1" t="s">
        <v>58</v>
      </c>
      <c r="N2" s="1" t="s">
        <v>58</v>
      </c>
      <c r="O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59</v>
      </c>
      <c r="Y2" s="1" t="s">
        <v>60</v>
      </c>
      <c r="Z2" s="1" t="s">
        <v>61</v>
      </c>
      <c r="AA2" s="2">
        <v>20.0</v>
      </c>
      <c r="AB2" s="1" t="s">
        <v>62</v>
      </c>
      <c r="AC2" s="1" t="s">
        <v>51</v>
      </c>
      <c r="AD2" s="1" t="s">
        <v>59</v>
      </c>
      <c r="AE2" s="1" t="s">
        <v>51</v>
      </c>
      <c r="AF2" s="1" t="s">
        <v>51</v>
      </c>
      <c r="AG2" s="1" t="s">
        <v>51</v>
      </c>
      <c r="AH2" s="2">
        <v>20000.0</v>
      </c>
      <c r="AI2" s="2">
        <v>1.0</v>
      </c>
      <c r="AJ2" s="2">
        <v>0.0</v>
      </c>
      <c r="AK2" s="2">
        <v>0.0</v>
      </c>
      <c r="AL2" s="2">
        <v>0.0</v>
      </c>
      <c r="AM2" s="1" t="s">
        <v>51</v>
      </c>
      <c r="AN2" s="2">
        <v>7.440664E8</v>
      </c>
      <c r="AP2" s="2">
        <v>4.89854387E8</v>
      </c>
      <c r="AQ2" s="1" t="s">
        <v>63</v>
      </c>
      <c r="AR2" s="2">
        <v>45808.279710648145</v>
      </c>
      <c r="AU2" s="1" t="s">
        <v>64</v>
      </c>
      <c r="AW2" s="1" t="s">
        <v>65</v>
      </c>
      <c r="AY2" s="2">
        <v>1.0</v>
      </c>
    </row>
    <row r="3">
      <c r="A3" s="1" t="s">
        <v>51</v>
      </c>
      <c r="C3" s="1" t="s">
        <v>52</v>
      </c>
      <c r="E3" s="1" t="s">
        <v>53</v>
      </c>
      <c r="F3" s="1" t="s">
        <v>54</v>
      </c>
      <c r="G3" s="2">
        <v>38.0</v>
      </c>
      <c r="H3" s="1" t="s">
        <v>66</v>
      </c>
      <c r="I3" s="1" t="s">
        <v>67</v>
      </c>
      <c r="J3" s="1" t="s">
        <v>68</v>
      </c>
      <c r="K3" s="1" t="s">
        <v>57</v>
      </c>
      <c r="M3" s="1" t="s">
        <v>58</v>
      </c>
      <c r="N3" s="1" t="s">
        <v>58</v>
      </c>
      <c r="O3" s="1" t="s">
        <v>58</v>
      </c>
      <c r="Q3" s="1" t="s">
        <v>69</v>
      </c>
      <c r="R3" s="1" t="s">
        <v>69</v>
      </c>
      <c r="S3" s="1" t="s">
        <v>58</v>
      </c>
      <c r="T3" s="1" t="s">
        <v>58</v>
      </c>
      <c r="U3" s="1" t="s">
        <v>69</v>
      </c>
      <c r="V3" s="1" t="s">
        <v>70</v>
      </c>
      <c r="W3" s="1" t="s">
        <v>69</v>
      </c>
      <c r="X3" s="1" t="s">
        <v>59</v>
      </c>
      <c r="Y3" s="1" t="s">
        <v>60</v>
      </c>
      <c r="Z3" s="1" t="s">
        <v>61</v>
      </c>
      <c r="AA3" s="2">
        <v>30.0</v>
      </c>
      <c r="AB3" s="1" t="s">
        <v>62</v>
      </c>
      <c r="AC3" s="1" t="s">
        <v>71</v>
      </c>
      <c r="AF3" s="1" t="s">
        <v>51</v>
      </c>
      <c r="AG3" s="1" t="s">
        <v>72</v>
      </c>
      <c r="AI3" s="2">
        <v>1.0</v>
      </c>
      <c r="AJ3" s="2">
        <v>0.0</v>
      </c>
      <c r="AK3" s="2">
        <v>0.0</v>
      </c>
      <c r="AL3" s="2">
        <v>0.0</v>
      </c>
      <c r="AM3" s="1" t="s">
        <v>72</v>
      </c>
      <c r="AP3" s="2">
        <v>4.89889246E8</v>
      </c>
      <c r="AQ3" s="1" t="s">
        <v>73</v>
      </c>
      <c r="AR3" s="2">
        <v>45808.33771990741</v>
      </c>
      <c r="AU3" s="1" t="s">
        <v>64</v>
      </c>
      <c r="AW3" s="1" t="s">
        <v>65</v>
      </c>
      <c r="AY3" s="2">
        <v>2.0</v>
      </c>
    </row>
    <row r="4">
      <c r="A4" s="1" t="s">
        <v>51</v>
      </c>
      <c r="C4" s="1" t="s">
        <v>52</v>
      </c>
      <c r="E4" s="1" t="s">
        <v>53</v>
      </c>
      <c r="F4" s="1" t="s">
        <v>54</v>
      </c>
      <c r="G4" s="2">
        <v>39.0</v>
      </c>
      <c r="H4" s="1" t="s">
        <v>66</v>
      </c>
      <c r="I4" s="1" t="s">
        <v>67</v>
      </c>
      <c r="J4" s="1" t="s">
        <v>68</v>
      </c>
      <c r="K4" s="1" t="s">
        <v>74</v>
      </c>
      <c r="M4" s="1" t="s">
        <v>58</v>
      </c>
      <c r="N4" s="1" t="s">
        <v>58</v>
      </c>
      <c r="O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59</v>
      </c>
      <c r="Y4" s="1" t="s">
        <v>60</v>
      </c>
      <c r="Z4" s="1" t="s">
        <v>61</v>
      </c>
      <c r="AA4" s="2">
        <v>30.0</v>
      </c>
      <c r="AB4" s="1" t="s">
        <v>62</v>
      </c>
      <c r="AC4" s="1" t="s">
        <v>71</v>
      </c>
      <c r="AF4" s="1" t="s">
        <v>51</v>
      </c>
      <c r="AG4" s="1" t="s">
        <v>72</v>
      </c>
      <c r="AI4" s="2">
        <v>1.0</v>
      </c>
      <c r="AJ4" s="2">
        <v>0.0</v>
      </c>
      <c r="AK4" s="2">
        <v>0.0</v>
      </c>
      <c r="AL4" s="2">
        <v>0.0</v>
      </c>
      <c r="AM4" s="1" t="s">
        <v>72</v>
      </c>
      <c r="AP4" s="2">
        <v>4.89890054E8</v>
      </c>
      <c r="AQ4" s="1" t="s">
        <v>75</v>
      </c>
      <c r="AR4" s="2">
        <v>45808.339270833334</v>
      </c>
      <c r="AU4" s="1" t="s">
        <v>64</v>
      </c>
      <c r="AW4" s="1" t="s">
        <v>65</v>
      </c>
      <c r="AY4" s="2">
        <v>3.0</v>
      </c>
    </row>
    <row r="5">
      <c r="A5" s="1" t="s">
        <v>51</v>
      </c>
      <c r="C5" s="1" t="s">
        <v>52</v>
      </c>
      <c r="E5" s="1" t="s">
        <v>53</v>
      </c>
      <c r="F5" s="1" t="s">
        <v>54</v>
      </c>
      <c r="G5" s="2">
        <v>27.0</v>
      </c>
      <c r="H5" s="1" t="s">
        <v>66</v>
      </c>
      <c r="I5" s="1" t="s">
        <v>76</v>
      </c>
      <c r="J5" s="1" t="s">
        <v>68</v>
      </c>
      <c r="K5" s="1" t="s">
        <v>74</v>
      </c>
      <c r="M5" s="1" t="s">
        <v>58</v>
      </c>
      <c r="N5" s="1" t="s">
        <v>58</v>
      </c>
      <c r="O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59</v>
      </c>
      <c r="Y5" s="1" t="s">
        <v>60</v>
      </c>
      <c r="Z5" s="1" t="s">
        <v>61</v>
      </c>
      <c r="AA5" s="2">
        <v>40.0</v>
      </c>
      <c r="AB5" s="1" t="s">
        <v>62</v>
      </c>
      <c r="AC5" s="1" t="s">
        <v>71</v>
      </c>
      <c r="AF5" s="1" t="s">
        <v>51</v>
      </c>
      <c r="AG5" s="1" t="s">
        <v>72</v>
      </c>
      <c r="AI5" s="2">
        <v>1.0</v>
      </c>
      <c r="AJ5" s="2">
        <v>0.0</v>
      </c>
      <c r="AK5" s="2">
        <v>0.0</v>
      </c>
      <c r="AL5" s="2">
        <v>0.0</v>
      </c>
      <c r="AM5" s="1" t="s">
        <v>72</v>
      </c>
      <c r="AP5" s="2">
        <v>4.89890911E8</v>
      </c>
      <c r="AQ5" s="1" t="s">
        <v>77</v>
      </c>
      <c r="AR5" s="2">
        <v>45808.340578703705</v>
      </c>
      <c r="AU5" s="1" t="s">
        <v>64</v>
      </c>
      <c r="AW5" s="1" t="s">
        <v>65</v>
      </c>
      <c r="AY5" s="2">
        <v>4.0</v>
      </c>
    </row>
    <row r="6">
      <c r="A6" s="1" t="s">
        <v>51</v>
      </c>
      <c r="C6" s="1" t="s">
        <v>52</v>
      </c>
      <c r="E6" s="1" t="s">
        <v>52</v>
      </c>
      <c r="G6" s="2">
        <v>53.0</v>
      </c>
      <c r="H6" s="1" t="s">
        <v>66</v>
      </c>
      <c r="J6" s="1" t="s">
        <v>68</v>
      </c>
      <c r="K6" s="1" t="s">
        <v>78</v>
      </c>
      <c r="M6" s="1" t="s">
        <v>58</v>
      </c>
      <c r="N6" s="1" t="s">
        <v>58</v>
      </c>
      <c r="O6" s="1" t="s">
        <v>58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58</v>
      </c>
      <c r="W6" s="1" t="s">
        <v>58</v>
      </c>
      <c r="X6" s="1" t="s">
        <v>59</v>
      </c>
      <c r="Y6" s="1" t="s">
        <v>60</v>
      </c>
      <c r="Z6" s="1" t="s">
        <v>61</v>
      </c>
      <c r="AA6" s="2">
        <v>20.0</v>
      </c>
      <c r="AB6" s="1" t="s">
        <v>79</v>
      </c>
      <c r="AC6" s="1" t="s">
        <v>71</v>
      </c>
      <c r="AF6" s="1" t="s">
        <v>51</v>
      </c>
      <c r="AG6" s="1" t="s">
        <v>51</v>
      </c>
      <c r="AH6" s="2">
        <v>5000.0</v>
      </c>
      <c r="AI6" s="2">
        <v>1.0</v>
      </c>
      <c r="AJ6" s="2">
        <v>0.0</v>
      </c>
      <c r="AK6" s="2">
        <v>0.0</v>
      </c>
      <c r="AL6" s="2">
        <v>0.0</v>
      </c>
      <c r="AP6" s="2">
        <v>4.89891719E8</v>
      </c>
      <c r="AQ6" s="1" t="s">
        <v>80</v>
      </c>
      <c r="AR6" s="2">
        <v>45808.34217592593</v>
      </c>
      <c r="AU6" s="1" t="s">
        <v>64</v>
      </c>
      <c r="AW6" s="1" t="s">
        <v>65</v>
      </c>
      <c r="AY6" s="2">
        <v>5.0</v>
      </c>
    </row>
    <row r="7">
      <c r="A7" s="1" t="s">
        <v>51</v>
      </c>
      <c r="C7" s="1" t="s">
        <v>52</v>
      </c>
      <c r="E7" s="1" t="s">
        <v>53</v>
      </c>
      <c r="F7" s="1" t="s">
        <v>54</v>
      </c>
      <c r="G7" s="2">
        <v>36.0</v>
      </c>
      <c r="H7" s="1" t="s">
        <v>66</v>
      </c>
      <c r="I7" s="1" t="s">
        <v>67</v>
      </c>
      <c r="J7" s="1" t="s">
        <v>68</v>
      </c>
      <c r="K7" s="1" t="s">
        <v>74</v>
      </c>
      <c r="M7" s="1" t="s">
        <v>58</v>
      </c>
      <c r="N7" s="1" t="s">
        <v>58</v>
      </c>
      <c r="O7" s="1" t="s">
        <v>69</v>
      </c>
      <c r="Q7" s="1" t="s">
        <v>70</v>
      </c>
      <c r="R7" s="1" t="s">
        <v>58</v>
      </c>
      <c r="S7" s="1" t="s">
        <v>69</v>
      </c>
      <c r="T7" s="1" t="s">
        <v>69</v>
      </c>
      <c r="U7" s="1" t="s">
        <v>70</v>
      </c>
      <c r="V7" s="1" t="s">
        <v>69</v>
      </c>
      <c r="W7" s="1" t="s">
        <v>69</v>
      </c>
      <c r="X7" s="1" t="s">
        <v>81</v>
      </c>
      <c r="Y7" s="1" t="s">
        <v>82</v>
      </c>
      <c r="Z7" s="1" t="s">
        <v>61</v>
      </c>
      <c r="AA7" s="2">
        <v>100.0</v>
      </c>
      <c r="AB7" s="1" t="s">
        <v>79</v>
      </c>
      <c r="AC7" s="1" t="s">
        <v>71</v>
      </c>
      <c r="AF7" s="1" t="s">
        <v>51</v>
      </c>
      <c r="AG7" s="1" t="s">
        <v>51</v>
      </c>
      <c r="AH7" s="2">
        <v>20.0</v>
      </c>
      <c r="AI7" s="2">
        <v>0.0</v>
      </c>
      <c r="AJ7" s="2">
        <v>0.0</v>
      </c>
      <c r="AK7" s="2">
        <v>0.0</v>
      </c>
      <c r="AL7" s="2">
        <v>1.0</v>
      </c>
      <c r="AM7" s="1" t="s">
        <v>51</v>
      </c>
      <c r="AN7" s="2">
        <v>6.03855945E8</v>
      </c>
      <c r="AP7" s="2">
        <v>4.87549124E8</v>
      </c>
      <c r="AQ7" s="1" t="s">
        <v>83</v>
      </c>
      <c r="AR7" s="2">
        <v>45805.156481481485</v>
      </c>
      <c r="AU7" s="1" t="s">
        <v>64</v>
      </c>
      <c r="AW7" s="1" t="s">
        <v>84</v>
      </c>
      <c r="AY7" s="2">
        <v>1.0</v>
      </c>
    </row>
    <row r="8">
      <c r="A8" s="1" t="s">
        <v>51</v>
      </c>
      <c r="C8" s="1" t="s">
        <v>52</v>
      </c>
      <c r="E8" s="1" t="s">
        <v>53</v>
      </c>
      <c r="F8" s="1" t="s">
        <v>85</v>
      </c>
      <c r="G8" s="2">
        <v>41.0</v>
      </c>
      <c r="H8" s="1" t="s">
        <v>55</v>
      </c>
      <c r="I8" s="1" t="s">
        <v>67</v>
      </c>
      <c r="J8" s="1" t="s">
        <v>86</v>
      </c>
      <c r="K8" s="1" t="s">
        <v>87</v>
      </c>
      <c r="M8" s="1" t="s">
        <v>58</v>
      </c>
      <c r="N8" s="1" t="s">
        <v>70</v>
      </c>
      <c r="O8" s="1" t="s">
        <v>58</v>
      </c>
      <c r="Q8" s="1" t="s">
        <v>58</v>
      </c>
      <c r="R8" s="1" t="s">
        <v>58</v>
      </c>
      <c r="S8" s="1" t="s">
        <v>69</v>
      </c>
      <c r="T8" s="1" t="s">
        <v>70</v>
      </c>
      <c r="U8" s="1" t="s">
        <v>58</v>
      </c>
      <c r="V8" s="1" t="s">
        <v>58</v>
      </c>
      <c r="W8" s="1" t="s">
        <v>58</v>
      </c>
      <c r="X8" s="1" t="s">
        <v>88</v>
      </c>
      <c r="Y8" s="1" t="s">
        <v>60</v>
      </c>
      <c r="Z8" s="1" t="s">
        <v>89</v>
      </c>
      <c r="AA8" s="2">
        <v>100.0</v>
      </c>
      <c r="AB8" s="1" t="s">
        <v>62</v>
      </c>
      <c r="AC8" s="1" t="s">
        <v>51</v>
      </c>
      <c r="AD8" s="1" t="s">
        <v>59</v>
      </c>
      <c r="AE8" s="1" t="s">
        <v>51</v>
      </c>
      <c r="AF8" s="1" t="s">
        <v>51</v>
      </c>
      <c r="AG8" s="1" t="s">
        <v>72</v>
      </c>
      <c r="AI8" s="2">
        <v>0.0</v>
      </c>
      <c r="AJ8" s="2">
        <v>0.0</v>
      </c>
      <c r="AK8" s="2">
        <v>0.0</v>
      </c>
      <c r="AL8" s="2">
        <v>1.0</v>
      </c>
      <c r="AM8" s="1" t="s">
        <v>51</v>
      </c>
      <c r="AN8" s="2">
        <v>7.89114176E8</v>
      </c>
      <c r="AP8" s="2">
        <v>4.87569504E8</v>
      </c>
      <c r="AQ8" s="1" t="s">
        <v>90</v>
      </c>
      <c r="AR8" s="2">
        <v>45805.204988425925</v>
      </c>
      <c r="AU8" s="1" t="s">
        <v>64</v>
      </c>
      <c r="AW8" s="1" t="s">
        <v>84</v>
      </c>
      <c r="AY8" s="2">
        <v>2.0</v>
      </c>
    </row>
    <row r="9">
      <c r="A9" s="1" t="s">
        <v>72</v>
      </c>
      <c r="AP9" s="2">
        <v>4.87569554E8</v>
      </c>
      <c r="AQ9" s="1" t="s">
        <v>91</v>
      </c>
      <c r="AR9" s="2">
        <v>45805.20506944445</v>
      </c>
      <c r="AU9" s="1" t="s">
        <v>64</v>
      </c>
      <c r="AW9" s="1" t="s">
        <v>84</v>
      </c>
      <c r="AY9" s="2">
        <v>3.0</v>
      </c>
    </row>
    <row r="10">
      <c r="A10" s="1" t="s">
        <v>51</v>
      </c>
      <c r="C10" s="1" t="s">
        <v>52</v>
      </c>
      <c r="E10" s="1" t="s">
        <v>53</v>
      </c>
      <c r="F10" s="1" t="s">
        <v>54</v>
      </c>
      <c r="G10" s="2">
        <v>36.0</v>
      </c>
      <c r="H10" s="1" t="s">
        <v>55</v>
      </c>
      <c r="I10" s="1" t="s">
        <v>67</v>
      </c>
      <c r="J10" s="1" t="s">
        <v>68</v>
      </c>
      <c r="K10" s="1" t="s">
        <v>92</v>
      </c>
      <c r="M10" s="1" t="s">
        <v>58</v>
      </c>
      <c r="N10" s="1" t="s">
        <v>58</v>
      </c>
      <c r="O10" s="1" t="s">
        <v>58</v>
      </c>
      <c r="Q10" s="1" t="s">
        <v>69</v>
      </c>
      <c r="R10" s="1" t="s">
        <v>58</v>
      </c>
      <c r="S10" s="1" t="s">
        <v>69</v>
      </c>
      <c r="T10" s="1" t="s">
        <v>58</v>
      </c>
      <c r="U10" s="1" t="s">
        <v>58</v>
      </c>
      <c r="V10" s="1" t="s">
        <v>58</v>
      </c>
      <c r="W10" s="1" t="s">
        <v>69</v>
      </c>
      <c r="X10" s="1" t="s">
        <v>81</v>
      </c>
      <c r="Y10" s="1" t="s">
        <v>60</v>
      </c>
      <c r="Z10" s="1" t="s">
        <v>89</v>
      </c>
      <c r="AA10" s="2">
        <v>50.0</v>
      </c>
      <c r="AB10" s="1" t="s">
        <v>79</v>
      </c>
      <c r="AC10" s="1" t="s">
        <v>51</v>
      </c>
      <c r="AD10" s="1" t="s">
        <v>81</v>
      </c>
      <c r="AE10" s="1" t="s">
        <v>51</v>
      </c>
      <c r="AF10" s="1" t="s">
        <v>51</v>
      </c>
      <c r="AG10" s="1" t="s">
        <v>51</v>
      </c>
      <c r="AH10" s="2">
        <v>50.0</v>
      </c>
      <c r="AI10" s="2">
        <v>0.0</v>
      </c>
      <c r="AJ10" s="2">
        <v>0.0</v>
      </c>
      <c r="AK10" s="2">
        <v>0.0</v>
      </c>
      <c r="AL10" s="2">
        <v>1.0</v>
      </c>
      <c r="AM10" s="1" t="s">
        <v>51</v>
      </c>
      <c r="AN10" s="2">
        <v>7.85939885E8</v>
      </c>
      <c r="AP10" s="2">
        <v>4.87579768E8</v>
      </c>
      <c r="AQ10" s="1" t="s">
        <v>93</v>
      </c>
      <c r="AR10" s="2">
        <v>45805.2256712963</v>
      </c>
      <c r="AU10" s="1" t="s">
        <v>64</v>
      </c>
      <c r="AW10" s="1" t="s">
        <v>84</v>
      </c>
      <c r="AY10" s="2">
        <v>4.0</v>
      </c>
    </row>
    <row r="11">
      <c r="A11" s="1" t="s">
        <v>51</v>
      </c>
      <c r="C11" s="1" t="s">
        <v>52</v>
      </c>
      <c r="E11" s="1" t="s">
        <v>53</v>
      </c>
      <c r="F11" s="1" t="s">
        <v>94</v>
      </c>
      <c r="G11" s="2">
        <v>45.0</v>
      </c>
      <c r="H11" s="1" t="s">
        <v>66</v>
      </c>
      <c r="I11" s="1" t="s">
        <v>67</v>
      </c>
      <c r="J11" s="1" t="s">
        <v>86</v>
      </c>
      <c r="K11" s="1" t="s">
        <v>87</v>
      </c>
      <c r="M11" s="1" t="s">
        <v>58</v>
      </c>
      <c r="N11" s="1" t="s">
        <v>58</v>
      </c>
      <c r="O11" s="1" t="s">
        <v>69</v>
      </c>
      <c r="Q11" s="1" t="s">
        <v>69</v>
      </c>
      <c r="R11" s="1" t="s">
        <v>58</v>
      </c>
      <c r="S11" s="1" t="s">
        <v>58</v>
      </c>
      <c r="T11" s="1" t="s">
        <v>58</v>
      </c>
      <c r="U11" s="1" t="s">
        <v>69</v>
      </c>
      <c r="V11" s="1" t="s">
        <v>58</v>
      </c>
      <c r="W11" s="1" t="s">
        <v>58</v>
      </c>
      <c r="X11" s="1" t="s">
        <v>88</v>
      </c>
      <c r="Y11" s="1" t="s">
        <v>95</v>
      </c>
      <c r="Z11" s="1" t="s">
        <v>96</v>
      </c>
      <c r="AA11" s="2">
        <v>100.0</v>
      </c>
      <c r="AB11" s="1" t="s">
        <v>62</v>
      </c>
      <c r="AF11" s="1" t="s">
        <v>51</v>
      </c>
      <c r="AI11" s="2">
        <v>0.0</v>
      </c>
      <c r="AJ11" s="2">
        <v>0.0</v>
      </c>
      <c r="AK11" s="2">
        <v>0.0</v>
      </c>
      <c r="AL11" s="2">
        <v>1.0</v>
      </c>
      <c r="AM11" s="1" t="s">
        <v>51</v>
      </c>
      <c r="AP11" s="2">
        <v>4.87581103E8</v>
      </c>
      <c r="AQ11" s="1" t="s">
        <v>97</v>
      </c>
      <c r="AR11" s="2">
        <v>45805.22862268519</v>
      </c>
      <c r="AU11" s="1" t="s">
        <v>64</v>
      </c>
      <c r="AW11" s="1" t="s">
        <v>84</v>
      </c>
      <c r="AY11" s="2">
        <v>5.0</v>
      </c>
    </row>
    <row r="12">
      <c r="A12" s="1" t="s">
        <v>51</v>
      </c>
      <c r="C12" s="1" t="s">
        <v>52</v>
      </c>
      <c r="E12" s="1" t="s">
        <v>53</v>
      </c>
      <c r="F12" s="1" t="s">
        <v>54</v>
      </c>
      <c r="G12" s="2">
        <v>49.0</v>
      </c>
      <c r="H12" s="1" t="s">
        <v>55</v>
      </c>
      <c r="I12" s="1" t="s">
        <v>67</v>
      </c>
      <c r="J12" s="1" t="s">
        <v>86</v>
      </c>
      <c r="K12" s="1" t="s">
        <v>87</v>
      </c>
      <c r="M12" s="1" t="s">
        <v>58</v>
      </c>
      <c r="N12" s="1" t="s">
        <v>58</v>
      </c>
      <c r="O12" s="1" t="s">
        <v>58</v>
      </c>
      <c r="Q12" s="1" t="s">
        <v>58</v>
      </c>
      <c r="R12" s="1" t="s">
        <v>58</v>
      </c>
      <c r="S12" s="1" t="s">
        <v>58</v>
      </c>
      <c r="T12" s="1" t="s">
        <v>70</v>
      </c>
      <c r="U12" s="1" t="s">
        <v>58</v>
      </c>
      <c r="V12" s="1" t="s">
        <v>58</v>
      </c>
      <c r="W12" s="1" t="s">
        <v>58</v>
      </c>
      <c r="X12" s="1" t="s">
        <v>88</v>
      </c>
      <c r="Y12" s="1" t="s">
        <v>95</v>
      </c>
      <c r="Z12" s="1" t="s">
        <v>96</v>
      </c>
      <c r="AA12" s="2">
        <v>100.0</v>
      </c>
      <c r="AB12" s="1" t="s">
        <v>62</v>
      </c>
      <c r="AC12" s="1" t="s">
        <v>51</v>
      </c>
      <c r="AD12" s="1" t="s">
        <v>81</v>
      </c>
      <c r="AE12" s="1" t="s">
        <v>51</v>
      </c>
      <c r="AF12" s="1" t="s">
        <v>51</v>
      </c>
      <c r="AG12" s="1" t="s">
        <v>51</v>
      </c>
      <c r="AH12" s="2">
        <v>50.0</v>
      </c>
      <c r="AI12" s="2">
        <v>0.0</v>
      </c>
      <c r="AJ12" s="2">
        <v>0.0</v>
      </c>
      <c r="AK12" s="2">
        <v>1.0</v>
      </c>
      <c r="AL12" s="2">
        <v>0.0</v>
      </c>
      <c r="AM12" s="1" t="s">
        <v>51</v>
      </c>
      <c r="AN12" s="2">
        <v>6.80530886E8</v>
      </c>
      <c r="AP12" s="2">
        <v>4.87583535E8</v>
      </c>
      <c r="AQ12" s="1" t="s">
        <v>98</v>
      </c>
      <c r="AR12" s="2">
        <v>45805.23370370371</v>
      </c>
      <c r="AU12" s="1" t="s">
        <v>64</v>
      </c>
      <c r="AW12" s="1" t="s">
        <v>84</v>
      </c>
      <c r="AY12" s="2">
        <v>6.0</v>
      </c>
    </row>
    <row r="13">
      <c r="A13" s="1" t="s">
        <v>51</v>
      </c>
      <c r="C13" s="1" t="s">
        <v>52</v>
      </c>
      <c r="E13" s="1" t="s">
        <v>53</v>
      </c>
      <c r="F13" s="1" t="s">
        <v>54</v>
      </c>
      <c r="G13" s="2">
        <v>39.0</v>
      </c>
      <c r="H13" s="1" t="s">
        <v>55</v>
      </c>
      <c r="I13" s="1" t="s">
        <v>67</v>
      </c>
      <c r="J13" s="1" t="s">
        <v>86</v>
      </c>
      <c r="K13" s="1" t="s">
        <v>87</v>
      </c>
      <c r="M13" s="1" t="s">
        <v>58</v>
      </c>
      <c r="N13" s="1" t="s">
        <v>58</v>
      </c>
      <c r="O13" s="1" t="s">
        <v>69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88</v>
      </c>
      <c r="Y13" s="1" t="s">
        <v>95</v>
      </c>
      <c r="Z13" s="1" t="s">
        <v>89</v>
      </c>
      <c r="AA13" s="2">
        <v>50.0</v>
      </c>
      <c r="AB13" s="1" t="s">
        <v>62</v>
      </c>
      <c r="AC13" s="1" t="s">
        <v>51</v>
      </c>
      <c r="AD13" s="1" t="s">
        <v>81</v>
      </c>
      <c r="AE13" s="1" t="s">
        <v>51</v>
      </c>
      <c r="AF13" s="1" t="s">
        <v>51</v>
      </c>
      <c r="AG13" s="1" t="s">
        <v>72</v>
      </c>
      <c r="AI13" s="2">
        <v>0.0</v>
      </c>
      <c r="AJ13" s="2">
        <v>0.0</v>
      </c>
      <c r="AK13" s="2">
        <v>0.0</v>
      </c>
      <c r="AL13" s="2">
        <v>1.0</v>
      </c>
      <c r="AM13" s="1" t="s">
        <v>72</v>
      </c>
      <c r="AP13" s="2">
        <v>4.87584635E8</v>
      </c>
      <c r="AQ13" s="1" t="s">
        <v>99</v>
      </c>
      <c r="AR13" s="2">
        <v>45805.23600694445</v>
      </c>
      <c r="AU13" s="1" t="s">
        <v>64</v>
      </c>
      <c r="AW13" s="1" t="s">
        <v>84</v>
      </c>
      <c r="AY13" s="2">
        <v>7.0</v>
      </c>
    </row>
    <row r="14">
      <c r="A14" s="1" t="s">
        <v>51</v>
      </c>
      <c r="C14" s="1" t="s">
        <v>53</v>
      </c>
      <c r="E14" s="1" t="s">
        <v>53</v>
      </c>
      <c r="F14" s="1" t="s">
        <v>54</v>
      </c>
      <c r="G14" s="2">
        <v>19.0</v>
      </c>
      <c r="H14" s="1" t="s">
        <v>55</v>
      </c>
      <c r="I14" s="1" t="s">
        <v>100</v>
      </c>
      <c r="J14" s="1" t="s">
        <v>68</v>
      </c>
      <c r="K14" s="1" t="s">
        <v>92</v>
      </c>
      <c r="M14" s="1" t="s">
        <v>58</v>
      </c>
      <c r="N14" s="1" t="s">
        <v>58</v>
      </c>
      <c r="O14" s="1" t="s">
        <v>70</v>
      </c>
      <c r="Q14" s="1" t="s">
        <v>58</v>
      </c>
      <c r="R14" s="1" t="s">
        <v>58</v>
      </c>
      <c r="S14" s="1" t="s">
        <v>69</v>
      </c>
      <c r="T14" s="1" t="s">
        <v>69</v>
      </c>
      <c r="U14" s="1" t="s">
        <v>70</v>
      </c>
      <c r="V14" s="1" t="s">
        <v>58</v>
      </c>
      <c r="W14" s="1" t="s">
        <v>69</v>
      </c>
      <c r="X14" s="1" t="s">
        <v>88</v>
      </c>
      <c r="Y14" s="1" t="s">
        <v>82</v>
      </c>
      <c r="Z14" s="1" t="s">
        <v>89</v>
      </c>
      <c r="AA14" s="2">
        <v>40.0</v>
      </c>
      <c r="AB14" s="1" t="s">
        <v>28</v>
      </c>
      <c r="AC14" s="1" t="s">
        <v>72</v>
      </c>
      <c r="AF14" s="1" t="s">
        <v>51</v>
      </c>
      <c r="AG14" s="1" t="s">
        <v>51</v>
      </c>
      <c r="AH14" s="2">
        <v>20.0</v>
      </c>
      <c r="AI14" s="2">
        <v>0.0</v>
      </c>
      <c r="AJ14" s="2">
        <v>0.0</v>
      </c>
      <c r="AK14" s="2">
        <v>1.0</v>
      </c>
      <c r="AL14" s="2">
        <v>0.0</v>
      </c>
      <c r="AM14" s="1" t="s">
        <v>72</v>
      </c>
      <c r="AP14" s="2">
        <v>4.87590182E8</v>
      </c>
      <c r="AQ14" s="1" t="s">
        <v>101</v>
      </c>
      <c r="AR14" s="2">
        <v>45805.24518518519</v>
      </c>
      <c r="AU14" s="1" t="s">
        <v>64</v>
      </c>
      <c r="AW14" s="1" t="s">
        <v>84</v>
      </c>
      <c r="AY14" s="2">
        <v>8.0</v>
      </c>
    </row>
    <row r="15">
      <c r="A15" s="1" t="s">
        <v>51</v>
      </c>
      <c r="C15" s="1" t="s">
        <v>52</v>
      </c>
      <c r="E15" s="1" t="s">
        <v>53</v>
      </c>
      <c r="F15" s="1" t="s">
        <v>102</v>
      </c>
      <c r="G15" s="2">
        <v>41.0</v>
      </c>
      <c r="H15" s="1" t="s">
        <v>55</v>
      </c>
      <c r="I15" s="1" t="s">
        <v>67</v>
      </c>
      <c r="J15" s="1" t="s">
        <v>56</v>
      </c>
      <c r="K15" s="1" t="s">
        <v>87</v>
      </c>
      <c r="M15" s="1" t="s">
        <v>58</v>
      </c>
      <c r="N15" s="1" t="s">
        <v>58</v>
      </c>
      <c r="O15" s="1" t="s">
        <v>58</v>
      </c>
      <c r="Q15" s="1" t="s">
        <v>70</v>
      </c>
      <c r="R15" s="1" t="s">
        <v>58</v>
      </c>
      <c r="S15" s="1" t="s">
        <v>69</v>
      </c>
      <c r="T15" s="1" t="s">
        <v>69</v>
      </c>
      <c r="U15" s="1" t="s">
        <v>69</v>
      </c>
      <c r="V15" s="1" t="s">
        <v>58</v>
      </c>
      <c r="W15" s="1" t="s">
        <v>69</v>
      </c>
      <c r="X15" s="1" t="s">
        <v>103</v>
      </c>
      <c r="Y15" s="1" t="s">
        <v>95</v>
      </c>
      <c r="Z15" s="1" t="s">
        <v>89</v>
      </c>
      <c r="AA15" s="2">
        <v>100.0</v>
      </c>
      <c r="AB15" s="1" t="s">
        <v>62</v>
      </c>
      <c r="AC15" s="1" t="s">
        <v>71</v>
      </c>
      <c r="AF15" s="1" t="s">
        <v>72</v>
      </c>
      <c r="AG15" s="1" t="s">
        <v>51</v>
      </c>
      <c r="AH15" s="2">
        <v>15.0</v>
      </c>
      <c r="AI15" s="2">
        <v>0.0</v>
      </c>
      <c r="AJ15" s="2">
        <v>0.0</v>
      </c>
      <c r="AK15" s="2">
        <v>1.0</v>
      </c>
      <c r="AL15" s="2">
        <v>0.0</v>
      </c>
      <c r="AM15" s="1" t="s">
        <v>72</v>
      </c>
      <c r="AP15" s="2">
        <v>4.87597851E8</v>
      </c>
      <c r="AQ15" s="1" t="s">
        <v>104</v>
      </c>
      <c r="AR15" s="2">
        <v>45805.25702546296</v>
      </c>
      <c r="AU15" s="1" t="s">
        <v>64</v>
      </c>
      <c r="AW15" s="1" t="s">
        <v>84</v>
      </c>
      <c r="AY15" s="2">
        <v>9.0</v>
      </c>
    </row>
    <row r="16">
      <c r="A16" s="1" t="s">
        <v>51</v>
      </c>
      <c r="C16" s="1" t="s">
        <v>52</v>
      </c>
      <c r="E16" s="1" t="s">
        <v>105</v>
      </c>
      <c r="G16" s="2">
        <v>44.0</v>
      </c>
      <c r="H16" s="1" t="s">
        <v>66</v>
      </c>
      <c r="K16" s="1" t="s">
        <v>92</v>
      </c>
      <c r="M16" s="1" t="s">
        <v>58</v>
      </c>
      <c r="N16" s="1" t="s">
        <v>58</v>
      </c>
      <c r="O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88</v>
      </c>
      <c r="Y16" s="1" t="s">
        <v>95</v>
      </c>
      <c r="Z16" s="1" t="s">
        <v>89</v>
      </c>
      <c r="AA16" s="2">
        <v>100.0</v>
      </c>
      <c r="AB16" s="1" t="s">
        <v>79</v>
      </c>
      <c r="AF16" s="1" t="s">
        <v>51</v>
      </c>
      <c r="AG16" s="1" t="s">
        <v>51</v>
      </c>
      <c r="AI16" s="2">
        <v>0.0</v>
      </c>
      <c r="AJ16" s="2">
        <v>0.0</v>
      </c>
      <c r="AK16" s="2">
        <v>0.0</v>
      </c>
      <c r="AL16" s="2">
        <v>1.0</v>
      </c>
      <c r="AP16" s="2">
        <v>4.87598469E8</v>
      </c>
      <c r="AQ16" s="1" t="s">
        <v>106</v>
      </c>
      <c r="AR16" s="2">
        <v>45805.257789351854</v>
      </c>
      <c r="AU16" s="1" t="s">
        <v>64</v>
      </c>
      <c r="AW16" s="1" t="s">
        <v>84</v>
      </c>
      <c r="AY16" s="2">
        <v>10.0</v>
      </c>
    </row>
    <row r="17">
      <c r="A17" s="1" t="s">
        <v>51</v>
      </c>
      <c r="C17" s="1" t="s">
        <v>52</v>
      </c>
      <c r="E17" s="1" t="s">
        <v>107</v>
      </c>
      <c r="G17" s="2">
        <v>45.0</v>
      </c>
      <c r="H17" s="1" t="s">
        <v>55</v>
      </c>
      <c r="J17" s="1" t="s">
        <v>86</v>
      </c>
      <c r="K17" s="1" t="s">
        <v>87</v>
      </c>
      <c r="M17" s="1" t="s">
        <v>58</v>
      </c>
      <c r="N17" s="1" t="s">
        <v>58</v>
      </c>
      <c r="O17" s="1" t="s">
        <v>58</v>
      </c>
      <c r="Q17" s="1" t="s">
        <v>69</v>
      </c>
      <c r="R17" s="1" t="s">
        <v>58</v>
      </c>
      <c r="S17" s="1" t="s">
        <v>69</v>
      </c>
      <c r="T17" s="1" t="s">
        <v>58</v>
      </c>
      <c r="U17" s="1" t="s">
        <v>58</v>
      </c>
      <c r="V17" s="1" t="s">
        <v>58</v>
      </c>
      <c r="W17" s="1" t="s">
        <v>69</v>
      </c>
      <c r="X17" s="1" t="s">
        <v>103</v>
      </c>
      <c r="Y17" s="1" t="s">
        <v>95</v>
      </c>
      <c r="Z17" s="1" t="s">
        <v>108</v>
      </c>
      <c r="AA17" s="2">
        <v>100.0</v>
      </c>
      <c r="AB17" s="1" t="s">
        <v>62</v>
      </c>
      <c r="AC17" s="1" t="s">
        <v>71</v>
      </c>
      <c r="AF17" s="1" t="s">
        <v>51</v>
      </c>
      <c r="AG17" s="1" t="s">
        <v>72</v>
      </c>
      <c r="AI17" s="2">
        <v>0.0</v>
      </c>
      <c r="AJ17" s="2">
        <v>0.0</v>
      </c>
      <c r="AK17" s="2">
        <v>1.0</v>
      </c>
      <c r="AL17" s="2">
        <v>0.0</v>
      </c>
      <c r="AP17" s="2">
        <v>4.87601692E8</v>
      </c>
      <c r="AQ17" s="1" t="s">
        <v>109</v>
      </c>
      <c r="AR17" s="2">
        <v>45805.2628587963</v>
      </c>
      <c r="AU17" s="1" t="s">
        <v>64</v>
      </c>
      <c r="AW17" s="1" t="s">
        <v>84</v>
      </c>
      <c r="AY17" s="2">
        <v>11.0</v>
      </c>
    </row>
    <row r="18">
      <c r="A18" s="1" t="s">
        <v>51</v>
      </c>
      <c r="C18" s="1" t="s">
        <v>52</v>
      </c>
      <c r="E18" s="1" t="s">
        <v>53</v>
      </c>
      <c r="G18" s="2">
        <v>35.0</v>
      </c>
      <c r="H18" s="1" t="s">
        <v>66</v>
      </c>
      <c r="I18" s="1" t="s">
        <v>67</v>
      </c>
      <c r="J18" s="1" t="s">
        <v>68</v>
      </c>
      <c r="K18" s="1" t="s">
        <v>74</v>
      </c>
      <c r="M18" s="1" t="s">
        <v>58</v>
      </c>
      <c r="N18" s="1" t="s">
        <v>58</v>
      </c>
      <c r="O18" s="1" t="s">
        <v>58</v>
      </c>
      <c r="Q18" s="1" t="s">
        <v>58</v>
      </c>
      <c r="R18" s="1" t="s">
        <v>58</v>
      </c>
      <c r="S18" s="1" t="s">
        <v>69</v>
      </c>
      <c r="T18" s="1" t="s">
        <v>69</v>
      </c>
      <c r="U18" s="1" t="s">
        <v>58</v>
      </c>
      <c r="V18" s="1" t="s">
        <v>58</v>
      </c>
      <c r="W18" s="1" t="s">
        <v>69</v>
      </c>
      <c r="X18" s="1" t="s">
        <v>59</v>
      </c>
      <c r="Y18" s="1" t="s">
        <v>82</v>
      </c>
      <c r="Z18" s="1" t="s">
        <v>108</v>
      </c>
      <c r="AA18" s="2">
        <v>10.0</v>
      </c>
      <c r="AB18" s="1" t="s">
        <v>79</v>
      </c>
      <c r="AC18" s="1" t="s">
        <v>51</v>
      </c>
      <c r="AD18" s="1" t="s">
        <v>81</v>
      </c>
      <c r="AE18" s="1" t="s">
        <v>51</v>
      </c>
      <c r="AF18" s="1" t="s">
        <v>51</v>
      </c>
      <c r="AG18" s="1" t="s">
        <v>51</v>
      </c>
      <c r="AH18" s="2">
        <v>6000.0</v>
      </c>
      <c r="AI18" s="2">
        <v>0.0</v>
      </c>
      <c r="AJ18" s="2">
        <v>1.0</v>
      </c>
      <c r="AK18" s="2">
        <v>0.0</v>
      </c>
      <c r="AL18" s="2">
        <v>0.0</v>
      </c>
      <c r="AM18" s="1" t="s">
        <v>51</v>
      </c>
      <c r="AN18" s="2">
        <v>7.80638071E8</v>
      </c>
      <c r="AP18" s="2">
        <v>4.87603844E8</v>
      </c>
      <c r="AQ18" s="1" t="s">
        <v>110</v>
      </c>
      <c r="AR18" s="2">
        <v>45805.26619212963</v>
      </c>
      <c r="AU18" s="1" t="s">
        <v>64</v>
      </c>
      <c r="AW18" s="1" t="s">
        <v>84</v>
      </c>
      <c r="AY18" s="2">
        <v>12.0</v>
      </c>
    </row>
    <row r="19">
      <c r="A19" s="1" t="s">
        <v>51</v>
      </c>
      <c r="C19" s="1" t="s">
        <v>52</v>
      </c>
      <c r="E19" s="1" t="s">
        <v>53</v>
      </c>
      <c r="F19" s="1" t="s">
        <v>102</v>
      </c>
      <c r="G19" s="2">
        <v>43.0</v>
      </c>
      <c r="H19" s="1" t="s">
        <v>66</v>
      </c>
      <c r="I19" s="1" t="s">
        <v>67</v>
      </c>
      <c r="J19" s="1" t="s">
        <v>111</v>
      </c>
      <c r="K19" s="1" t="s">
        <v>87</v>
      </c>
      <c r="M19" s="1" t="s">
        <v>58</v>
      </c>
      <c r="N19" s="1" t="s">
        <v>58</v>
      </c>
      <c r="O19" s="1" t="s">
        <v>69</v>
      </c>
      <c r="Q19" s="1" t="s">
        <v>69</v>
      </c>
      <c r="R19" s="1" t="s">
        <v>58</v>
      </c>
      <c r="S19" s="1" t="s">
        <v>69</v>
      </c>
      <c r="T19" s="1" t="s">
        <v>69</v>
      </c>
      <c r="U19" s="1" t="s">
        <v>69</v>
      </c>
      <c r="V19" s="1" t="s">
        <v>58</v>
      </c>
      <c r="W19" s="1" t="s">
        <v>70</v>
      </c>
      <c r="X19" s="1" t="s">
        <v>59</v>
      </c>
      <c r="Y19" s="1" t="s">
        <v>95</v>
      </c>
      <c r="Z19" s="1" t="s">
        <v>61</v>
      </c>
      <c r="AA19" s="2">
        <v>10.0</v>
      </c>
      <c r="AB19" s="1" t="s">
        <v>79</v>
      </c>
      <c r="AC19" s="1" t="s">
        <v>51</v>
      </c>
      <c r="AD19" s="1" t="s">
        <v>81</v>
      </c>
      <c r="AE19" s="1" t="s">
        <v>51</v>
      </c>
      <c r="AF19" s="1" t="s">
        <v>51</v>
      </c>
      <c r="AG19" s="1" t="s">
        <v>51</v>
      </c>
      <c r="AH19" s="2">
        <v>100.0</v>
      </c>
      <c r="AI19" s="2">
        <v>0.0</v>
      </c>
      <c r="AJ19" s="2">
        <v>0.0</v>
      </c>
      <c r="AK19" s="2">
        <v>1.0</v>
      </c>
      <c r="AL19" s="2">
        <v>0.0</v>
      </c>
      <c r="AM19" s="1" t="s">
        <v>51</v>
      </c>
      <c r="AN19" s="2">
        <v>7.42878903E8</v>
      </c>
      <c r="AP19" s="2">
        <v>4.8760696E8</v>
      </c>
      <c r="AQ19" s="1" t="s">
        <v>112</v>
      </c>
      <c r="AR19" s="2">
        <v>45805.27038194444</v>
      </c>
      <c r="AU19" s="1" t="s">
        <v>64</v>
      </c>
      <c r="AW19" s="1" t="s">
        <v>84</v>
      </c>
      <c r="AY19" s="2">
        <v>13.0</v>
      </c>
    </row>
    <row r="20">
      <c r="A20" s="1" t="s">
        <v>51</v>
      </c>
      <c r="C20" s="1" t="s">
        <v>52</v>
      </c>
      <c r="E20" s="1" t="s">
        <v>52</v>
      </c>
      <c r="G20" s="2">
        <v>36.0</v>
      </c>
      <c r="H20" s="1" t="s">
        <v>55</v>
      </c>
      <c r="J20" s="1" t="s">
        <v>111</v>
      </c>
      <c r="K20" s="1" t="s">
        <v>87</v>
      </c>
      <c r="M20" s="1" t="s">
        <v>58</v>
      </c>
      <c r="N20" s="1" t="s">
        <v>58</v>
      </c>
      <c r="O20" s="1" t="s">
        <v>69</v>
      </c>
      <c r="Q20" s="1" t="s">
        <v>58</v>
      </c>
      <c r="R20" s="1" t="s">
        <v>58</v>
      </c>
      <c r="S20" s="1" t="s">
        <v>69</v>
      </c>
      <c r="T20" s="1" t="s">
        <v>58</v>
      </c>
      <c r="U20" s="1" t="s">
        <v>58</v>
      </c>
      <c r="V20" s="1" t="s">
        <v>58</v>
      </c>
      <c r="W20" s="1" t="s">
        <v>69</v>
      </c>
      <c r="X20" s="1" t="s">
        <v>88</v>
      </c>
      <c r="Y20" s="1" t="s">
        <v>95</v>
      </c>
      <c r="Z20" s="1" t="s">
        <v>89</v>
      </c>
      <c r="AA20" s="2">
        <v>50.0</v>
      </c>
      <c r="AB20" s="1" t="s">
        <v>79</v>
      </c>
      <c r="AC20" s="1" t="s">
        <v>71</v>
      </c>
      <c r="AF20" s="1" t="s">
        <v>51</v>
      </c>
      <c r="AG20" s="1" t="s">
        <v>51</v>
      </c>
      <c r="AH20" s="2">
        <v>50.0</v>
      </c>
      <c r="AI20" s="2">
        <v>0.0</v>
      </c>
      <c r="AJ20" s="2">
        <v>0.0</v>
      </c>
      <c r="AK20" s="2">
        <v>0.0</v>
      </c>
      <c r="AL20" s="2">
        <v>1.0</v>
      </c>
      <c r="AP20" s="2">
        <v>4.87608107E8</v>
      </c>
      <c r="AQ20" s="1" t="s">
        <v>113</v>
      </c>
      <c r="AR20" s="2">
        <v>45805.271875</v>
      </c>
      <c r="AU20" s="1" t="s">
        <v>64</v>
      </c>
      <c r="AW20" s="1" t="s">
        <v>84</v>
      </c>
      <c r="AY20" s="2">
        <v>14.0</v>
      </c>
    </row>
    <row r="21">
      <c r="A21" s="1" t="s">
        <v>51</v>
      </c>
      <c r="C21" s="1" t="s">
        <v>52</v>
      </c>
      <c r="E21" s="1" t="s">
        <v>52</v>
      </c>
      <c r="G21" s="2">
        <v>30.0</v>
      </c>
      <c r="H21" s="1" t="s">
        <v>55</v>
      </c>
      <c r="J21" s="1" t="s">
        <v>86</v>
      </c>
      <c r="K21" s="1" t="s">
        <v>87</v>
      </c>
      <c r="M21" s="1" t="s">
        <v>58</v>
      </c>
      <c r="N21" s="1" t="s">
        <v>58</v>
      </c>
      <c r="O21" s="1" t="s">
        <v>70</v>
      </c>
      <c r="Q21" s="1" t="s">
        <v>58</v>
      </c>
      <c r="R21" s="1" t="s">
        <v>70</v>
      </c>
      <c r="S21" s="1" t="s">
        <v>69</v>
      </c>
      <c r="T21" s="1" t="s">
        <v>69</v>
      </c>
      <c r="U21" s="1" t="s">
        <v>58</v>
      </c>
      <c r="V21" s="1" t="s">
        <v>58</v>
      </c>
      <c r="W21" s="1" t="s">
        <v>69</v>
      </c>
      <c r="X21" s="1" t="s">
        <v>81</v>
      </c>
      <c r="Y21" s="1" t="s">
        <v>95</v>
      </c>
      <c r="Z21" s="1" t="s">
        <v>89</v>
      </c>
      <c r="AA21" s="2">
        <v>40.0</v>
      </c>
      <c r="AB21" s="1" t="s">
        <v>62</v>
      </c>
      <c r="AC21" s="1" t="s">
        <v>51</v>
      </c>
      <c r="AD21" s="1" t="s">
        <v>81</v>
      </c>
      <c r="AE21" s="1" t="s">
        <v>51</v>
      </c>
      <c r="AF21" s="1" t="s">
        <v>51</v>
      </c>
      <c r="AG21" s="1" t="s">
        <v>51</v>
      </c>
      <c r="AH21" s="2">
        <v>20.0</v>
      </c>
      <c r="AI21" s="2">
        <v>1.0</v>
      </c>
      <c r="AJ21" s="2">
        <v>1.0</v>
      </c>
      <c r="AK21" s="2">
        <v>1.0</v>
      </c>
      <c r="AL21" s="2">
        <v>0.0</v>
      </c>
      <c r="AP21" s="2">
        <v>4.87609783E8</v>
      </c>
      <c r="AQ21" s="1" t="s">
        <v>114</v>
      </c>
      <c r="AR21" s="2">
        <v>45805.27391203704</v>
      </c>
      <c r="AU21" s="1" t="s">
        <v>64</v>
      </c>
      <c r="AW21" s="1" t="s">
        <v>84</v>
      </c>
      <c r="AY21" s="2">
        <v>15.0</v>
      </c>
    </row>
    <row r="22">
      <c r="A22" s="1" t="s">
        <v>51</v>
      </c>
      <c r="C22" s="1" t="s">
        <v>52</v>
      </c>
      <c r="E22" s="1" t="s">
        <v>53</v>
      </c>
      <c r="F22" s="1" t="s">
        <v>115</v>
      </c>
      <c r="G22" s="2">
        <v>44.0</v>
      </c>
      <c r="H22" s="1" t="s">
        <v>55</v>
      </c>
      <c r="I22" s="1" t="s">
        <v>67</v>
      </c>
      <c r="J22" s="1" t="s">
        <v>86</v>
      </c>
      <c r="K22" s="1" t="s">
        <v>87</v>
      </c>
      <c r="M22" s="1" t="s">
        <v>58</v>
      </c>
      <c r="N22" s="1" t="s">
        <v>58</v>
      </c>
      <c r="O22" s="1" t="s">
        <v>69</v>
      </c>
      <c r="Q22" s="1" t="s">
        <v>69</v>
      </c>
      <c r="R22" s="1" t="s">
        <v>70</v>
      </c>
      <c r="S22" s="1" t="s">
        <v>69</v>
      </c>
      <c r="T22" s="1" t="s">
        <v>69</v>
      </c>
      <c r="U22" s="1" t="s">
        <v>70</v>
      </c>
      <c r="V22" s="1" t="s">
        <v>58</v>
      </c>
      <c r="W22" s="1" t="s">
        <v>70</v>
      </c>
      <c r="X22" s="1" t="s">
        <v>88</v>
      </c>
      <c r="Y22" s="1" t="s">
        <v>82</v>
      </c>
      <c r="Z22" s="1" t="s">
        <v>89</v>
      </c>
      <c r="AA22" s="2">
        <v>50.0</v>
      </c>
      <c r="AB22" s="1" t="s">
        <v>62</v>
      </c>
      <c r="AC22" s="1" t="s">
        <v>71</v>
      </c>
      <c r="AF22" s="1" t="s">
        <v>51</v>
      </c>
      <c r="AG22" s="1" t="s">
        <v>51</v>
      </c>
      <c r="AH22" s="2">
        <v>50.0</v>
      </c>
      <c r="AI22" s="2">
        <v>0.0</v>
      </c>
      <c r="AJ22" s="2">
        <v>0.0</v>
      </c>
      <c r="AK22" s="2">
        <v>0.0</v>
      </c>
      <c r="AL22" s="2">
        <v>1.0</v>
      </c>
      <c r="AM22" s="1" t="s">
        <v>51</v>
      </c>
      <c r="AN22" s="2">
        <v>8.35757654E8</v>
      </c>
      <c r="AP22" s="2">
        <v>4.87612881E8</v>
      </c>
      <c r="AQ22" s="1" t="s">
        <v>116</v>
      </c>
      <c r="AR22" s="2">
        <v>45805.27793981481</v>
      </c>
      <c r="AU22" s="1" t="s">
        <v>64</v>
      </c>
      <c r="AW22" s="1" t="s">
        <v>84</v>
      </c>
      <c r="AY22" s="2">
        <v>16.0</v>
      </c>
    </row>
    <row r="23">
      <c r="A23" s="1" t="s">
        <v>51</v>
      </c>
      <c r="Q23" s="1" t="s">
        <v>69</v>
      </c>
      <c r="R23" s="1" t="s">
        <v>70</v>
      </c>
      <c r="S23" s="1" t="s">
        <v>70</v>
      </c>
      <c r="T23" s="1" t="s">
        <v>58</v>
      </c>
      <c r="U23" s="1" t="s">
        <v>58</v>
      </c>
      <c r="V23" s="1" t="s">
        <v>58</v>
      </c>
      <c r="W23" s="1" t="s">
        <v>70</v>
      </c>
      <c r="X23" s="1" t="s">
        <v>88</v>
      </c>
      <c r="Y23" s="1" t="s">
        <v>95</v>
      </c>
      <c r="Z23" s="1" t="s">
        <v>89</v>
      </c>
      <c r="AA23" s="2">
        <v>100.0</v>
      </c>
      <c r="AB23" s="1" t="s">
        <v>79</v>
      </c>
      <c r="AC23" s="1" t="s">
        <v>71</v>
      </c>
      <c r="AF23" s="1" t="s">
        <v>51</v>
      </c>
      <c r="AG23" s="1" t="s">
        <v>72</v>
      </c>
      <c r="AI23" s="2">
        <v>0.0</v>
      </c>
      <c r="AJ23" s="2">
        <v>0.0</v>
      </c>
      <c r="AK23" s="2">
        <v>1.0</v>
      </c>
      <c r="AL23" s="2">
        <v>0.0</v>
      </c>
      <c r="AP23" s="2">
        <v>4.87617465E8</v>
      </c>
      <c r="AQ23" s="1" t="s">
        <v>117</v>
      </c>
      <c r="AR23" s="2">
        <v>45805.283900462964</v>
      </c>
      <c r="AU23" s="1" t="s">
        <v>64</v>
      </c>
      <c r="AW23" s="1" t="s">
        <v>84</v>
      </c>
      <c r="AY23" s="2">
        <v>17.0</v>
      </c>
    </row>
    <row r="24">
      <c r="A24" s="1" t="s">
        <v>51</v>
      </c>
      <c r="C24" s="1" t="s">
        <v>118</v>
      </c>
      <c r="E24" s="1" t="s">
        <v>105</v>
      </c>
      <c r="G24" s="2">
        <v>38.0</v>
      </c>
      <c r="H24" s="1" t="s">
        <v>66</v>
      </c>
      <c r="J24" s="1" t="s">
        <v>86</v>
      </c>
      <c r="K24" s="1" t="s">
        <v>92</v>
      </c>
      <c r="M24" s="1" t="s">
        <v>58</v>
      </c>
      <c r="N24" s="1" t="s">
        <v>58</v>
      </c>
      <c r="O24" s="1" t="s">
        <v>69</v>
      </c>
      <c r="Q24" s="1" t="s">
        <v>69</v>
      </c>
      <c r="R24" s="1" t="s">
        <v>58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81</v>
      </c>
      <c r="Y24" s="1" t="s">
        <v>95</v>
      </c>
      <c r="Z24" s="1" t="s">
        <v>89</v>
      </c>
      <c r="AA24" s="2">
        <v>10.0</v>
      </c>
      <c r="AB24" s="1" t="s">
        <v>28</v>
      </c>
      <c r="AC24" s="1" t="s">
        <v>51</v>
      </c>
      <c r="AD24" s="1" t="s">
        <v>81</v>
      </c>
      <c r="AE24" s="1" t="s">
        <v>51</v>
      </c>
      <c r="AF24" s="1" t="s">
        <v>51</v>
      </c>
      <c r="AG24" s="1" t="s">
        <v>51</v>
      </c>
      <c r="AH24" s="2">
        <v>300.0</v>
      </c>
      <c r="AI24" s="2">
        <v>0.0</v>
      </c>
      <c r="AJ24" s="2">
        <v>0.0</v>
      </c>
      <c r="AK24" s="2">
        <v>0.0</v>
      </c>
      <c r="AL24" s="2">
        <v>1.0</v>
      </c>
      <c r="AP24" s="2">
        <v>4.87617819E8</v>
      </c>
      <c r="AQ24" s="1" t="s">
        <v>119</v>
      </c>
      <c r="AR24" s="2">
        <v>45805.284317129626</v>
      </c>
      <c r="AU24" s="1" t="s">
        <v>64</v>
      </c>
      <c r="AW24" s="1" t="s">
        <v>84</v>
      </c>
      <c r="AY24" s="2">
        <v>18.0</v>
      </c>
    </row>
    <row r="25">
      <c r="A25" s="1" t="s">
        <v>51</v>
      </c>
      <c r="C25" s="1" t="s">
        <v>52</v>
      </c>
      <c r="E25" s="1" t="s">
        <v>52</v>
      </c>
      <c r="G25" s="2">
        <v>48.0</v>
      </c>
      <c r="H25" s="1" t="s">
        <v>66</v>
      </c>
      <c r="J25" s="1" t="s">
        <v>86</v>
      </c>
      <c r="K25" s="1" t="s">
        <v>87</v>
      </c>
      <c r="M25" s="1" t="s">
        <v>58</v>
      </c>
      <c r="N25" s="1" t="s">
        <v>58</v>
      </c>
      <c r="O25" s="1" t="s">
        <v>70</v>
      </c>
      <c r="Q25" s="1" t="s">
        <v>69</v>
      </c>
      <c r="R25" s="1" t="s">
        <v>58</v>
      </c>
      <c r="S25" s="1" t="s">
        <v>69</v>
      </c>
      <c r="T25" s="1" t="s">
        <v>69</v>
      </c>
      <c r="U25" s="1" t="s">
        <v>69</v>
      </c>
      <c r="V25" s="1" t="s">
        <v>58</v>
      </c>
      <c r="W25" s="1" t="s">
        <v>69</v>
      </c>
      <c r="X25" s="1" t="s">
        <v>59</v>
      </c>
      <c r="Y25" s="1" t="s">
        <v>95</v>
      </c>
      <c r="Z25" s="1" t="s">
        <v>89</v>
      </c>
      <c r="AA25" s="2">
        <v>40.0</v>
      </c>
      <c r="AB25" s="1" t="s">
        <v>62</v>
      </c>
      <c r="AC25" s="1" t="s">
        <v>71</v>
      </c>
      <c r="AF25" s="1" t="s">
        <v>51</v>
      </c>
      <c r="AG25" s="1" t="s">
        <v>72</v>
      </c>
      <c r="AI25" s="2">
        <v>1.0</v>
      </c>
      <c r="AJ25" s="2">
        <v>0.0</v>
      </c>
      <c r="AK25" s="2">
        <v>1.0</v>
      </c>
      <c r="AL25" s="2">
        <v>0.0</v>
      </c>
      <c r="AP25" s="2">
        <v>4.87617916E8</v>
      </c>
      <c r="AQ25" s="1" t="s">
        <v>120</v>
      </c>
      <c r="AR25" s="2">
        <v>45805.28444444444</v>
      </c>
      <c r="AU25" s="1" t="s">
        <v>64</v>
      </c>
      <c r="AW25" s="1" t="s">
        <v>84</v>
      </c>
      <c r="AY25" s="2">
        <v>19.0</v>
      </c>
    </row>
    <row r="26">
      <c r="A26" s="1" t="s">
        <v>51</v>
      </c>
      <c r="C26" s="1" t="s">
        <v>53</v>
      </c>
      <c r="E26" s="1" t="s">
        <v>53</v>
      </c>
      <c r="F26" s="1" t="s">
        <v>102</v>
      </c>
      <c r="G26" s="2">
        <v>57.0</v>
      </c>
      <c r="H26" s="1" t="s">
        <v>66</v>
      </c>
      <c r="I26" s="1" t="s">
        <v>121</v>
      </c>
      <c r="J26" s="1" t="s">
        <v>111</v>
      </c>
      <c r="K26" s="1" t="s">
        <v>87</v>
      </c>
      <c r="M26" s="1" t="s">
        <v>58</v>
      </c>
      <c r="N26" s="1" t="s">
        <v>58</v>
      </c>
      <c r="O26" s="1" t="s">
        <v>58</v>
      </c>
      <c r="Q26" s="1" t="s">
        <v>69</v>
      </c>
      <c r="R26" s="1" t="s">
        <v>58</v>
      </c>
      <c r="S26" s="1" t="s">
        <v>70</v>
      </c>
      <c r="T26" s="1" t="s">
        <v>58</v>
      </c>
      <c r="U26" s="1" t="s">
        <v>58</v>
      </c>
      <c r="V26" s="1" t="s">
        <v>58</v>
      </c>
      <c r="W26" s="1" t="s">
        <v>69</v>
      </c>
      <c r="X26" s="1" t="s">
        <v>88</v>
      </c>
      <c r="Y26" s="1" t="s">
        <v>95</v>
      </c>
      <c r="Z26" s="1" t="s">
        <v>89</v>
      </c>
      <c r="AA26" s="2">
        <v>100.0</v>
      </c>
      <c r="AB26" s="1" t="s">
        <v>79</v>
      </c>
      <c r="AC26" s="1" t="s">
        <v>71</v>
      </c>
      <c r="AF26" s="1" t="s">
        <v>51</v>
      </c>
      <c r="AG26" s="1" t="s">
        <v>72</v>
      </c>
      <c r="AI26" s="2">
        <v>0.0</v>
      </c>
      <c r="AJ26" s="2">
        <v>0.0</v>
      </c>
      <c r="AK26" s="2">
        <v>1.0</v>
      </c>
      <c r="AL26" s="2">
        <v>0.0</v>
      </c>
      <c r="AM26" s="1" t="s">
        <v>72</v>
      </c>
      <c r="AP26" s="2">
        <v>4.87618968E8</v>
      </c>
      <c r="AQ26" s="1" t="s">
        <v>122</v>
      </c>
      <c r="AR26" s="2">
        <v>45805.28563657407</v>
      </c>
      <c r="AU26" s="1" t="s">
        <v>64</v>
      </c>
      <c r="AW26" s="1" t="s">
        <v>84</v>
      </c>
      <c r="AY26" s="2">
        <v>20.0</v>
      </c>
    </row>
    <row r="27">
      <c r="A27" s="1" t="s">
        <v>51</v>
      </c>
      <c r="C27" s="1" t="s">
        <v>52</v>
      </c>
      <c r="E27" s="1" t="s">
        <v>53</v>
      </c>
      <c r="F27" s="1" t="s">
        <v>54</v>
      </c>
      <c r="G27" s="2">
        <v>50.0</v>
      </c>
      <c r="H27" s="1" t="s">
        <v>55</v>
      </c>
      <c r="I27" s="1" t="s">
        <v>100</v>
      </c>
      <c r="J27" s="1" t="s">
        <v>111</v>
      </c>
      <c r="K27" s="1" t="s">
        <v>87</v>
      </c>
      <c r="M27" s="1" t="s">
        <v>58</v>
      </c>
      <c r="N27" s="1" t="s">
        <v>58</v>
      </c>
      <c r="O27" s="1" t="s">
        <v>69</v>
      </c>
      <c r="Q27" s="1" t="s">
        <v>70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69</v>
      </c>
      <c r="X27" s="1" t="s">
        <v>59</v>
      </c>
      <c r="Y27" s="1" t="s">
        <v>95</v>
      </c>
      <c r="Z27" s="1" t="s">
        <v>89</v>
      </c>
      <c r="AA27" s="2">
        <v>100.0</v>
      </c>
      <c r="AB27" s="1" t="s">
        <v>79</v>
      </c>
      <c r="AC27" s="1" t="s">
        <v>51</v>
      </c>
      <c r="AD27" s="1" t="s">
        <v>59</v>
      </c>
      <c r="AE27" s="1" t="s">
        <v>51</v>
      </c>
      <c r="AF27" s="1" t="s">
        <v>51</v>
      </c>
      <c r="AG27" s="1" t="s">
        <v>51</v>
      </c>
      <c r="AH27" s="2">
        <v>200.0</v>
      </c>
      <c r="AI27" s="2">
        <v>0.0</v>
      </c>
      <c r="AJ27" s="2">
        <v>0.0</v>
      </c>
      <c r="AK27" s="2">
        <v>0.0</v>
      </c>
      <c r="AL27" s="2">
        <v>1.0</v>
      </c>
      <c r="AM27" s="1" t="s">
        <v>51</v>
      </c>
      <c r="AN27" s="2">
        <v>7.10864009E8</v>
      </c>
      <c r="AP27" s="2">
        <v>4.87620011E8</v>
      </c>
      <c r="AQ27" s="1" t="s">
        <v>123</v>
      </c>
      <c r="AR27" s="2">
        <v>45805.28686342593</v>
      </c>
      <c r="AU27" s="1" t="s">
        <v>64</v>
      </c>
      <c r="AW27" s="1" t="s">
        <v>84</v>
      </c>
      <c r="AY27" s="2">
        <v>21.0</v>
      </c>
    </row>
    <row r="28">
      <c r="A28" s="1" t="s">
        <v>51</v>
      </c>
      <c r="C28" s="1" t="s">
        <v>52</v>
      </c>
      <c r="E28" s="1" t="s">
        <v>53</v>
      </c>
      <c r="F28" s="1" t="s">
        <v>102</v>
      </c>
      <c r="G28" s="2">
        <v>42.0</v>
      </c>
      <c r="H28" s="1" t="s">
        <v>66</v>
      </c>
      <c r="I28" s="1" t="s">
        <v>67</v>
      </c>
      <c r="J28" s="1" t="s">
        <v>86</v>
      </c>
      <c r="K28" s="1" t="s">
        <v>87</v>
      </c>
      <c r="M28" s="1" t="s">
        <v>58</v>
      </c>
      <c r="N28" s="1" t="s">
        <v>58</v>
      </c>
      <c r="O28" s="1" t="s">
        <v>58</v>
      </c>
      <c r="Q28" s="1" t="s">
        <v>69</v>
      </c>
      <c r="R28" s="1" t="s">
        <v>58</v>
      </c>
      <c r="S28" s="1" t="s">
        <v>69</v>
      </c>
      <c r="T28" s="1" t="s">
        <v>58</v>
      </c>
      <c r="U28" s="1" t="s">
        <v>69</v>
      </c>
      <c r="V28" s="1" t="s">
        <v>58</v>
      </c>
      <c r="W28" s="1" t="s">
        <v>58</v>
      </c>
      <c r="X28" s="1" t="s">
        <v>88</v>
      </c>
      <c r="Y28" s="1" t="s">
        <v>95</v>
      </c>
      <c r="Z28" s="1" t="s">
        <v>89</v>
      </c>
      <c r="AA28" s="2">
        <v>40.0</v>
      </c>
      <c r="AB28" s="1" t="s">
        <v>62</v>
      </c>
      <c r="AC28" s="1" t="s">
        <v>71</v>
      </c>
      <c r="AF28" s="1" t="s">
        <v>51</v>
      </c>
      <c r="AG28" s="1" t="s">
        <v>51</v>
      </c>
      <c r="AH28" s="2">
        <v>20.0</v>
      </c>
      <c r="AI28" s="2">
        <v>0.0</v>
      </c>
      <c r="AJ28" s="2">
        <v>0.0</v>
      </c>
      <c r="AK28" s="2">
        <v>0.0</v>
      </c>
      <c r="AL28" s="2">
        <v>1.0</v>
      </c>
      <c r="AM28" s="1" t="s">
        <v>51</v>
      </c>
      <c r="AN28" s="2">
        <v>7.11170838E8</v>
      </c>
      <c r="AP28" s="2">
        <v>4.87629939E8</v>
      </c>
      <c r="AQ28" s="1" t="s">
        <v>124</v>
      </c>
      <c r="AR28" s="2">
        <v>45805.29896990741</v>
      </c>
      <c r="AU28" s="1" t="s">
        <v>64</v>
      </c>
      <c r="AW28" s="1" t="s">
        <v>84</v>
      </c>
      <c r="AY28" s="2">
        <v>22.0</v>
      </c>
    </row>
    <row r="29">
      <c r="A29" s="1" t="s">
        <v>51</v>
      </c>
      <c r="C29" s="1" t="s">
        <v>52</v>
      </c>
      <c r="E29" s="1" t="s">
        <v>53</v>
      </c>
      <c r="F29" s="1" t="s">
        <v>102</v>
      </c>
      <c r="G29" s="2">
        <v>45.0</v>
      </c>
      <c r="H29" s="1" t="s">
        <v>55</v>
      </c>
      <c r="I29" s="1" t="s">
        <v>67</v>
      </c>
      <c r="J29" s="1" t="s">
        <v>86</v>
      </c>
      <c r="K29" s="1" t="s">
        <v>87</v>
      </c>
      <c r="M29" s="1" t="s">
        <v>58</v>
      </c>
      <c r="N29" s="1" t="s">
        <v>58</v>
      </c>
      <c r="O29" s="1" t="s">
        <v>69</v>
      </c>
      <c r="Q29" s="1" t="s">
        <v>69</v>
      </c>
      <c r="R29" s="1" t="s">
        <v>58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88</v>
      </c>
      <c r="Y29" s="1" t="s">
        <v>95</v>
      </c>
      <c r="Z29" s="1" t="s">
        <v>89</v>
      </c>
      <c r="AA29" s="2">
        <v>100.0</v>
      </c>
      <c r="AB29" s="1" t="s">
        <v>62</v>
      </c>
      <c r="AC29" s="1" t="s">
        <v>71</v>
      </c>
      <c r="AF29" s="1" t="s">
        <v>51</v>
      </c>
      <c r="AG29" s="1" t="s">
        <v>72</v>
      </c>
      <c r="AI29" s="2">
        <v>1.0</v>
      </c>
      <c r="AJ29" s="2">
        <v>1.0</v>
      </c>
      <c r="AK29" s="2">
        <v>1.0</v>
      </c>
      <c r="AL29" s="2">
        <v>0.0</v>
      </c>
      <c r="AM29" s="1" t="s">
        <v>72</v>
      </c>
      <c r="AP29" s="2">
        <v>4.87630267E8</v>
      </c>
      <c r="AQ29" s="1" t="s">
        <v>125</v>
      </c>
      <c r="AR29" s="2">
        <v>45805.29935185185</v>
      </c>
      <c r="AU29" s="1" t="s">
        <v>64</v>
      </c>
      <c r="AW29" s="1" t="s">
        <v>84</v>
      </c>
      <c r="AY29" s="2">
        <v>23.0</v>
      </c>
    </row>
    <row r="30">
      <c r="A30" s="1" t="s">
        <v>51</v>
      </c>
      <c r="C30" s="1" t="s">
        <v>118</v>
      </c>
      <c r="E30" s="1" t="s">
        <v>53</v>
      </c>
      <c r="F30" s="1" t="s">
        <v>102</v>
      </c>
      <c r="G30" s="2">
        <v>44.0</v>
      </c>
      <c r="H30" s="1" t="s">
        <v>55</v>
      </c>
      <c r="I30" s="1" t="s">
        <v>67</v>
      </c>
      <c r="J30" s="1" t="s">
        <v>86</v>
      </c>
      <c r="K30" s="1" t="s">
        <v>87</v>
      </c>
      <c r="M30" s="1" t="s">
        <v>58</v>
      </c>
      <c r="N30" s="1" t="s">
        <v>58</v>
      </c>
      <c r="O30" s="1" t="s">
        <v>58</v>
      </c>
      <c r="Q30" s="1" t="s">
        <v>69</v>
      </c>
      <c r="R30" s="1" t="s">
        <v>58</v>
      </c>
      <c r="S30" s="1" t="s">
        <v>69</v>
      </c>
      <c r="T30" s="1" t="s">
        <v>58</v>
      </c>
      <c r="U30" s="1" t="s">
        <v>58</v>
      </c>
      <c r="V30" s="1" t="s">
        <v>58</v>
      </c>
      <c r="W30" s="1" t="s">
        <v>69</v>
      </c>
      <c r="X30" s="1" t="s">
        <v>103</v>
      </c>
      <c r="Y30" s="1" t="s">
        <v>95</v>
      </c>
      <c r="Z30" s="1" t="s">
        <v>89</v>
      </c>
      <c r="AA30" s="2">
        <v>100.0</v>
      </c>
      <c r="AB30" s="1" t="s">
        <v>62</v>
      </c>
      <c r="AC30" s="1" t="s">
        <v>71</v>
      </c>
      <c r="AF30" s="1" t="s">
        <v>51</v>
      </c>
      <c r="AG30" s="1" t="s">
        <v>72</v>
      </c>
      <c r="AI30" s="2">
        <v>0.0</v>
      </c>
      <c r="AJ30" s="2">
        <v>0.0</v>
      </c>
      <c r="AK30" s="2">
        <v>1.0</v>
      </c>
      <c r="AL30" s="2">
        <v>0.0</v>
      </c>
      <c r="AM30" s="1" t="s">
        <v>72</v>
      </c>
      <c r="AP30" s="2">
        <v>4.87631676E8</v>
      </c>
      <c r="AQ30" s="1" t="s">
        <v>126</v>
      </c>
      <c r="AR30" s="2">
        <v>45805.3009375</v>
      </c>
      <c r="AU30" s="1" t="s">
        <v>64</v>
      </c>
      <c r="AW30" s="1" t="s">
        <v>84</v>
      </c>
      <c r="AY30" s="2">
        <v>24.0</v>
      </c>
    </row>
    <row r="31">
      <c r="A31" s="1" t="s">
        <v>51</v>
      </c>
      <c r="C31" s="1" t="s">
        <v>52</v>
      </c>
      <c r="E31" s="1" t="s">
        <v>107</v>
      </c>
      <c r="G31" s="2">
        <v>40.0</v>
      </c>
      <c r="H31" s="1" t="s">
        <v>66</v>
      </c>
      <c r="J31" s="1" t="s">
        <v>86</v>
      </c>
      <c r="K31" s="1" t="s">
        <v>87</v>
      </c>
      <c r="M31" s="1" t="s">
        <v>58</v>
      </c>
      <c r="N31" s="1" t="s">
        <v>58</v>
      </c>
      <c r="O31" s="1" t="s">
        <v>58</v>
      </c>
      <c r="Q31" s="1" t="s">
        <v>70</v>
      </c>
      <c r="R31" s="1" t="s">
        <v>58</v>
      </c>
      <c r="S31" s="1" t="s">
        <v>69</v>
      </c>
      <c r="T31" s="1" t="s">
        <v>69</v>
      </c>
      <c r="U31" s="1" t="s">
        <v>58</v>
      </c>
      <c r="V31" s="1" t="s">
        <v>58</v>
      </c>
      <c r="W31" s="1" t="s">
        <v>69</v>
      </c>
      <c r="X31" s="1" t="s">
        <v>59</v>
      </c>
      <c r="Y31" s="1" t="s">
        <v>60</v>
      </c>
      <c r="Z31" s="1" t="s">
        <v>127</v>
      </c>
      <c r="AA31" s="2">
        <v>40.0</v>
      </c>
      <c r="AB31" s="1" t="s">
        <v>62</v>
      </c>
      <c r="AC31" s="1" t="s">
        <v>71</v>
      </c>
      <c r="AF31" s="1" t="s">
        <v>51</v>
      </c>
      <c r="AG31" s="1" t="s">
        <v>72</v>
      </c>
      <c r="AI31" s="2">
        <v>0.0</v>
      </c>
      <c r="AJ31" s="2">
        <v>0.0</v>
      </c>
      <c r="AK31" s="2">
        <v>0.0</v>
      </c>
      <c r="AL31" s="2">
        <v>1.0</v>
      </c>
      <c r="AP31" s="2">
        <v>4.87633386E8</v>
      </c>
      <c r="AQ31" s="1" t="s">
        <v>128</v>
      </c>
      <c r="AR31" s="2">
        <v>45805.30300925926</v>
      </c>
      <c r="AU31" s="1" t="s">
        <v>64</v>
      </c>
      <c r="AW31" s="1" t="s">
        <v>84</v>
      </c>
      <c r="AY31" s="2">
        <v>25.0</v>
      </c>
    </row>
    <row r="32">
      <c r="A32" s="1" t="s">
        <v>51</v>
      </c>
      <c r="C32" s="1" t="s">
        <v>53</v>
      </c>
      <c r="E32" s="1" t="s">
        <v>53</v>
      </c>
      <c r="F32" s="1" t="s">
        <v>94</v>
      </c>
      <c r="G32" s="2">
        <v>48.0</v>
      </c>
      <c r="H32" s="1" t="s">
        <v>55</v>
      </c>
      <c r="I32" s="1" t="s">
        <v>121</v>
      </c>
      <c r="J32" s="1" t="s">
        <v>86</v>
      </c>
      <c r="K32" s="1" t="s">
        <v>87</v>
      </c>
      <c r="M32" s="1" t="s">
        <v>58</v>
      </c>
      <c r="N32" s="1" t="s">
        <v>58</v>
      </c>
      <c r="O32" s="1" t="s">
        <v>58</v>
      </c>
      <c r="Q32" s="1" t="s">
        <v>69</v>
      </c>
      <c r="R32" s="1" t="s">
        <v>58</v>
      </c>
      <c r="S32" s="1" t="s">
        <v>69</v>
      </c>
      <c r="T32" s="1" t="s">
        <v>58</v>
      </c>
      <c r="U32" s="1" t="s">
        <v>58</v>
      </c>
      <c r="V32" s="1" t="s">
        <v>58</v>
      </c>
      <c r="W32" s="1" t="s">
        <v>69</v>
      </c>
      <c r="X32" s="1" t="s">
        <v>103</v>
      </c>
      <c r="Y32" s="1" t="s">
        <v>60</v>
      </c>
      <c r="Z32" s="1" t="s">
        <v>61</v>
      </c>
      <c r="AA32" s="2">
        <v>100.0</v>
      </c>
      <c r="AB32" s="1" t="s">
        <v>79</v>
      </c>
      <c r="AC32" s="1" t="s">
        <v>71</v>
      </c>
      <c r="AF32" s="1" t="s">
        <v>51</v>
      </c>
      <c r="AG32" s="1" t="s">
        <v>51</v>
      </c>
      <c r="AH32" s="2">
        <v>500.0</v>
      </c>
      <c r="AI32" s="2">
        <v>0.0</v>
      </c>
      <c r="AJ32" s="2">
        <v>0.0</v>
      </c>
      <c r="AK32" s="2">
        <v>0.0</v>
      </c>
      <c r="AL32" s="2">
        <v>1.0</v>
      </c>
      <c r="AM32" s="1" t="s">
        <v>51</v>
      </c>
      <c r="AN32" s="2">
        <v>7.11468867E8</v>
      </c>
      <c r="AP32" s="2">
        <v>4.87636484E8</v>
      </c>
      <c r="AQ32" s="1" t="s">
        <v>129</v>
      </c>
      <c r="AR32" s="2">
        <v>45805.306284722225</v>
      </c>
      <c r="AU32" s="1" t="s">
        <v>64</v>
      </c>
      <c r="AW32" s="1" t="s">
        <v>84</v>
      </c>
      <c r="AY32" s="2">
        <v>26.0</v>
      </c>
    </row>
    <row r="33">
      <c r="A33" s="1" t="s">
        <v>51</v>
      </c>
      <c r="C33" s="1" t="s">
        <v>52</v>
      </c>
      <c r="E33" s="1" t="s">
        <v>107</v>
      </c>
      <c r="G33" s="2">
        <v>44.0</v>
      </c>
      <c r="H33" s="1" t="s">
        <v>55</v>
      </c>
      <c r="J33" s="1" t="s">
        <v>86</v>
      </c>
      <c r="K33" s="1" t="s">
        <v>87</v>
      </c>
      <c r="M33" s="1" t="s">
        <v>58</v>
      </c>
      <c r="N33" s="1" t="s">
        <v>58</v>
      </c>
      <c r="O33" s="1" t="s">
        <v>69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103</v>
      </c>
      <c r="Y33" s="1" t="s">
        <v>95</v>
      </c>
      <c r="Z33" s="1" t="s">
        <v>89</v>
      </c>
      <c r="AA33" s="2">
        <v>100.0</v>
      </c>
      <c r="AB33" s="1" t="s">
        <v>28</v>
      </c>
      <c r="AC33" s="1" t="s">
        <v>51</v>
      </c>
      <c r="AD33" s="1" t="s">
        <v>103</v>
      </c>
      <c r="AE33" s="1" t="s">
        <v>51</v>
      </c>
      <c r="AF33" s="1" t="s">
        <v>51</v>
      </c>
      <c r="AG33" s="1" t="s">
        <v>51</v>
      </c>
      <c r="AH33" s="2">
        <v>50.0</v>
      </c>
      <c r="AI33" s="2">
        <v>1.0</v>
      </c>
      <c r="AJ33" s="2">
        <v>0.0</v>
      </c>
      <c r="AK33" s="2">
        <v>1.0</v>
      </c>
      <c r="AL33" s="2">
        <v>0.0</v>
      </c>
      <c r="AP33" s="2">
        <v>4.87637677E8</v>
      </c>
      <c r="AQ33" s="1" t="s">
        <v>130</v>
      </c>
      <c r="AR33" s="2">
        <v>45805.30783564815</v>
      </c>
      <c r="AU33" s="1" t="s">
        <v>64</v>
      </c>
      <c r="AW33" s="1" t="s">
        <v>84</v>
      </c>
      <c r="AY33" s="2">
        <v>27.0</v>
      </c>
    </row>
    <row r="34">
      <c r="A34" s="1" t="s">
        <v>51</v>
      </c>
      <c r="C34" s="1" t="s">
        <v>131</v>
      </c>
      <c r="E34" s="1" t="s">
        <v>131</v>
      </c>
      <c r="G34" s="2">
        <v>42.0</v>
      </c>
      <c r="H34" s="1" t="s">
        <v>66</v>
      </c>
      <c r="J34" s="1" t="s">
        <v>56</v>
      </c>
      <c r="K34" s="1" t="s">
        <v>87</v>
      </c>
      <c r="M34" s="1" t="s">
        <v>58</v>
      </c>
      <c r="N34" s="1" t="s">
        <v>58</v>
      </c>
      <c r="O34" s="1" t="s">
        <v>69</v>
      </c>
      <c r="Q34" s="1" t="s">
        <v>69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69</v>
      </c>
      <c r="X34" s="1" t="s">
        <v>59</v>
      </c>
      <c r="Y34" s="1" t="s">
        <v>95</v>
      </c>
      <c r="Z34" s="1" t="s">
        <v>96</v>
      </c>
      <c r="AA34" s="2">
        <v>30.0</v>
      </c>
      <c r="AB34" s="1" t="s">
        <v>79</v>
      </c>
      <c r="AC34" s="1" t="s">
        <v>71</v>
      </c>
      <c r="AF34" s="1" t="s">
        <v>51</v>
      </c>
      <c r="AG34" s="1" t="s">
        <v>72</v>
      </c>
      <c r="AI34" s="2">
        <v>1.0</v>
      </c>
      <c r="AJ34" s="2">
        <v>0.0</v>
      </c>
      <c r="AK34" s="2">
        <v>0.0</v>
      </c>
      <c r="AL34" s="2">
        <v>0.0</v>
      </c>
      <c r="AP34" s="2">
        <v>4.87637735E8</v>
      </c>
      <c r="AQ34" s="1" t="s">
        <v>132</v>
      </c>
      <c r="AR34" s="2">
        <v>45805.30792824074</v>
      </c>
      <c r="AU34" s="1" t="s">
        <v>64</v>
      </c>
      <c r="AW34" s="1" t="s">
        <v>84</v>
      </c>
      <c r="AY34" s="2">
        <v>28.0</v>
      </c>
    </row>
    <row r="35">
      <c r="A35" s="1" t="s">
        <v>51</v>
      </c>
      <c r="C35" s="1" t="s">
        <v>52</v>
      </c>
      <c r="E35" s="1" t="s">
        <v>53</v>
      </c>
      <c r="F35" s="1" t="s">
        <v>54</v>
      </c>
      <c r="G35" s="2">
        <v>28.0</v>
      </c>
      <c r="H35" s="1" t="s">
        <v>66</v>
      </c>
      <c r="I35" s="1" t="s">
        <v>67</v>
      </c>
      <c r="J35" s="1" t="s">
        <v>68</v>
      </c>
      <c r="K35" s="1" t="s">
        <v>74</v>
      </c>
      <c r="M35" s="1" t="s">
        <v>58</v>
      </c>
      <c r="N35" s="1" t="s">
        <v>58</v>
      </c>
      <c r="O35" s="1" t="s">
        <v>69</v>
      </c>
      <c r="Q35" s="1" t="s">
        <v>58</v>
      </c>
      <c r="R35" s="1" t="s">
        <v>58</v>
      </c>
      <c r="S35" s="1" t="s">
        <v>69</v>
      </c>
      <c r="T35" s="1" t="s">
        <v>69</v>
      </c>
      <c r="U35" s="1" t="s">
        <v>58</v>
      </c>
      <c r="V35" s="1" t="s">
        <v>58</v>
      </c>
      <c r="W35" s="1" t="s">
        <v>58</v>
      </c>
      <c r="X35" s="1" t="s">
        <v>88</v>
      </c>
      <c r="Y35" s="1" t="s">
        <v>82</v>
      </c>
      <c r="Z35" s="1" t="s">
        <v>61</v>
      </c>
      <c r="AA35" s="2">
        <v>100.0</v>
      </c>
      <c r="AB35" s="1" t="s">
        <v>79</v>
      </c>
      <c r="AC35" s="1" t="s">
        <v>71</v>
      </c>
      <c r="AF35" s="1" t="s">
        <v>51</v>
      </c>
      <c r="AG35" s="1" t="s">
        <v>51</v>
      </c>
      <c r="AH35" s="2">
        <v>500.0</v>
      </c>
      <c r="AI35" s="2">
        <v>0.0</v>
      </c>
      <c r="AJ35" s="2">
        <v>0.0</v>
      </c>
      <c r="AK35" s="2">
        <v>0.0</v>
      </c>
      <c r="AL35" s="2">
        <v>1.0</v>
      </c>
      <c r="AM35" s="1" t="s">
        <v>51</v>
      </c>
      <c r="AP35" s="2">
        <v>4.87640213E8</v>
      </c>
      <c r="AQ35" s="1" t="s">
        <v>133</v>
      </c>
      <c r="AR35" s="2">
        <v>45805.31077546296</v>
      </c>
      <c r="AU35" s="1" t="s">
        <v>64</v>
      </c>
      <c r="AW35" s="1" t="s">
        <v>84</v>
      </c>
      <c r="AY35" s="2">
        <v>29.0</v>
      </c>
    </row>
    <row r="36">
      <c r="A36" s="1" t="s">
        <v>51</v>
      </c>
      <c r="C36" s="1" t="s">
        <v>52</v>
      </c>
      <c r="E36" s="1" t="s">
        <v>107</v>
      </c>
      <c r="G36" s="2">
        <v>37.0</v>
      </c>
      <c r="H36" s="1" t="s">
        <v>66</v>
      </c>
      <c r="J36" s="1" t="s">
        <v>86</v>
      </c>
      <c r="K36" s="1" t="s">
        <v>87</v>
      </c>
      <c r="M36" s="1" t="s">
        <v>58</v>
      </c>
      <c r="N36" s="1" t="s">
        <v>58</v>
      </c>
      <c r="O36" s="1" t="s">
        <v>70</v>
      </c>
      <c r="Q36" s="1" t="s">
        <v>69</v>
      </c>
      <c r="R36" s="1" t="s">
        <v>70</v>
      </c>
      <c r="S36" s="1" t="s">
        <v>69</v>
      </c>
      <c r="T36" s="1" t="s">
        <v>69</v>
      </c>
      <c r="U36" s="1" t="s">
        <v>70</v>
      </c>
      <c r="V36" s="1" t="s">
        <v>58</v>
      </c>
      <c r="W36" s="1" t="s">
        <v>69</v>
      </c>
      <c r="X36" s="1" t="s">
        <v>81</v>
      </c>
      <c r="Y36" s="1" t="s">
        <v>95</v>
      </c>
      <c r="Z36" s="1" t="s">
        <v>108</v>
      </c>
      <c r="AA36" s="2">
        <v>100.0</v>
      </c>
      <c r="AB36" s="1" t="s">
        <v>62</v>
      </c>
      <c r="AC36" s="1" t="s">
        <v>51</v>
      </c>
      <c r="AD36" s="1" t="s">
        <v>81</v>
      </c>
      <c r="AE36" s="1" t="s">
        <v>51</v>
      </c>
      <c r="AF36" s="1" t="s">
        <v>51</v>
      </c>
      <c r="AG36" s="1" t="s">
        <v>72</v>
      </c>
      <c r="AI36" s="2">
        <v>0.0</v>
      </c>
      <c r="AJ36" s="2">
        <v>0.0</v>
      </c>
      <c r="AK36" s="2">
        <v>0.0</v>
      </c>
      <c r="AL36" s="2">
        <v>1.0</v>
      </c>
      <c r="AP36" s="2">
        <v>4.87640652E8</v>
      </c>
      <c r="AQ36" s="1" t="s">
        <v>134</v>
      </c>
      <c r="AR36" s="2">
        <v>45805.3112962963</v>
      </c>
      <c r="AU36" s="1" t="s">
        <v>64</v>
      </c>
      <c r="AW36" s="1" t="s">
        <v>84</v>
      </c>
      <c r="AY36" s="2">
        <v>30.0</v>
      </c>
    </row>
    <row r="37">
      <c r="A37" s="1" t="s">
        <v>51</v>
      </c>
      <c r="C37" s="1" t="s">
        <v>52</v>
      </c>
      <c r="E37" s="1" t="s">
        <v>53</v>
      </c>
      <c r="F37" s="1" t="s">
        <v>102</v>
      </c>
      <c r="G37" s="2">
        <v>21.0</v>
      </c>
      <c r="H37" s="1" t="s">
        <v>55</v>
      </c>
      <c r="I37" s="1" t="s">
        <v>100</v>
      </c>
      <c r="J37" s="1" t="s">
        <v>86</v>
      </c>
      <c r="K37" s="1" t="s">
        <v>87</v>
      </c>
      <c r="M37" s="1" t="s">
        <v>58</v>
      </c>
      <c r="N37" s="1" t="s">
        <v>58</v>
      </c>
      <c r="O37" s="1" t="s">
        <v>69</v>
      </c>
      <c r="Q37" s="1" t="s">
        <v>58</v>
      </c>
      <c r="R37" s="1" t="s">
        <v>58</v>
      </c>
      <c r="S37" s="1" t="s">
        <v>58</v>
      </c>
      <c r="T37" s="1" t="s">
        <v>69</v>
      </c>
      <c r="U37" s="1" t="s">
        <v>70</v>
      </c>
      <c r="V37" s="1" t="s">
        <v>58</v>
      </c>
      <c r="W37" s="1" t="s">
        <v>69</v>
      </c>
      <c r="X37" s="1" t="s">
        <v>81</v>
      </c>
      <c r="Y37" s="1" t="s">
        <v>60</v>
      </c>
      <c r="Z37" s="1" t="s">
        <v>89</v>
      </c>
      <c r="AA37" s="2">
        <v>50.0</v>
      </c>
      <c r="AB37" s="1" t="s">
        <v>79</v>
      </c>
      <c r="AC37" s="1" t="s">
        <v>71</v>
      </c>
      <c r="AF37" s="1" t="s">
        <v>51</v>
      </c>
      <c r="AG37" s="1" t="s">
        <v>51</v>
      </c>
      <c r="AH37" s="2">
        <v>50.0</v>
      </c>
      <c r="AI37" s="2">
        <v>1.0</v>
      </c>
      <c r="AJ37" s="2">
        <v>0.0</v>
      </c>
      <c r="AK37" s="2">
        <v>0.0</v>
      </c>
      <c r="AL37" s="2">
        <v>0.0</v>
      </c>
      <c r="AM37" s="1" t="s">
        <v>51</v>
      </c>
      <c r="AN37" s="2">
        <v>6.01072833E8</v>
      </c>
      <c r="AP37" s="2">
        <v>4.87644284E8</v>
      </c>
      <c r="AQ37" s="1" t="s">
        <v>135</v>
      </c>
      <c r="AR37" s="2">
        <v>45805.31496527778</v>
      </c>
      <c r="AU37" s="1" t="s">
        <v>64</v>
      </c>
      <c r="AW37" s="1" t="s">
        <v>84</v>
      </c>
      <c r="AY37" s="2">
        <v>31.0</v>
      </c>
    </row>
    <row r="38">
      <c r="A38" s="1" t="s">
        <v>51</v>
      </c>
      <c r="C38" s="1" t="s">
        <v>52</v>
      </c>
      <c r="E38" s="1" t="s">
        <v>53</v>
      </c>
      <c r="F38" s="1" t="s">
        <v>136</v>
      </c>
      <c r="G38" s="2">
        <v>28.0</v>
      </c>
      <c r="H38" s="1" t="s">
        <v>66</v>
      </c>
      <c r="I38" s="1" t="s">
        <v>67</v>
      </c>
      <c r="J38" s="1" t="s">
        <v>56</v>
      </c>
      <c r="K38" s="1" t="s">
        <v>74</v>
      </c>
      <c r="M38" s="1" t="s">
        <v>58</v>
      </c>
      <c r="N38" s="1" t="s">
        <v>58</v>
      </c>
      <c r="O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59</v>
      </c>
      <c r="Y38" s="1" t="s">
        <v>82</v>
      </c>
      <c r="Z38" s="1" t="s">
        <v>61</v>
      </c>
      <c r="AA38" s="2">
        <v>100.0</v>
      </c>
      <c r="AB38" s="1" t="s">
        <v>28</v>
      </c>
      <c r="AC38" s="1" t="s">
        <v>71</v>
      </c>
      <c r="AF38" s="1" t="s">
        <v>51</v>
      </c>
      <c r="AG38" s="1" t="s">
        <v>51</v>
      </c>
      <c r="AH38" s="2">
        <v>3000.0</v>
      </c>
      <c r="AI38" s="2">
        <v>0.0</v>
      </c>
      <c r="AJ38" s="2">
        <v>1.0</v>
      </c>
      <c r="AK38" s="2">
        <v>0.0</v>
      </c>
      <c r="AL38" s="2">
        <v>0.0</v>
      </c>
      <c r="AM38" s="1" t="s">
        <v>51</v>
      </c>
      <c r="AN38" s="2">
        <v>7.32575737E8</v>
      </c>
      <c r="AP38" s="2">
        <v>4.87651294E8</v>
      </c>
      <c r="AQ38" s="1" t="s">
        <v>137</v>
      </c>
      <c r="AR38" s="2">
        <v>45805.32439814815</v>
      </c>
      <c r="AU38" s="1" t="s">
        <v>64</v>
      </c>
      <c r="AW38" s="1" t="s">
        <v>84</v>
      </c>
      <c r="AY38" s="2">
        <v>32.0</v>
      </c>
    </row>
    <row r="39">
      <c r="A39" s="1" t="s">
        <v>51</v>
      </c>
      <c r="C39" s="1" t="s">
        <v>52</v>
      </c>
      <c r="E39" s="1" t="s">
        <v>52</v>
      </c>
      <c r="G39" s="2">
        <v>59.0</v>
      </c>
      <c r="H39" s="1" t="s">
        <v>55</v>
      </c>
      <c r="J39" s="1" t="s">
        <v>111</v>
      </c>
      <c r="K39" s="1" t="s">
        <v>87</v>
      </c>
      <c r="M39" s="1" t="s">
        <v>58</v>
      </c>
      <c r="N39" s="1" t="s">
        <v>58</v>
      </c>
      <c r="O39" s="1" t="s">
        <v>58</v>
      </c>
      <c r="Q39" s="1" t="s">
        <v>69</v>
      </c>
      <c r="R39" s="1" t="s">
        <v>58</v>
      </c>
      <c r="S39" s="1" t="s">
        <v>69</v>
      </c>
      <c r="T39" s="1" t="s">
        <v>70</v>
      </c>
      <c r="U39" s="1" t="s">
        <v>58</v>
      </c>
      <c r="V39" s="1" t="s">
        <v>58</v>
      </c>
      <c r="W39" s="1" t="s">
        <v>58</v>
      </c>
      <c r="X39" s="1" t="s">
        <v>103</v>
      </c>
      <c r="Y39" s="1" t="s">
        <v>95</v>
      </c>
      <c r="Z39" s="1" t="s">
        <v>89</v>
      </c>
      <c r="AA39" s="2">
        <v>100.0</v>
      </c>
      <c r="AB39" s="1" t="s">
        <v>62</v>
      </c>
      <c r="AC39" s="1" t="s">
        <v>71</v>
      </c>
      <c r="AF39" s="1" t="s">
        <v>51</v>
      </c>
      <c r="AI39" s="2">
        <v>0.0</v>
      </c>
      <c r="AJ39" s="2">
        <v>0.0</v>
      </c>
      <c r="AK39" s="2">
        <v>1.0</v>
      </c>
      <c r="AL39" s="2">
        <v>0.0</v>
      </c>
      <c r="AP39" s="2">
        <v>4.87664993E8</v>
      </c>
      <c r="AQ39" s="1" t="s">
        <v>138</v>
      </c>
      <c r="AR39" s="2">
        <v>45805.33640046296</v>
      </c>
      <c r="AU39" s="1" t="s">
        <v>64</v>
      </c>
      <c r="AW39" s="1" t="s">
        <v>84</v>
      </c>
      <c r="AY39" s="2">
        <v>33.0</v>
      </c>
    </row>
    <row r="40">
      <c r="A40" s="1" t="s">
        <v>51</v>
      </c>
      <c r="C40" s="1" t="s">
        <v>52</v>
      </c>
      <c r="E40" s="1" t="s">
        <v>53</v>
      </c>
      <c r="F40" s="1" t="s">
        <v>54</v>
      </c>
      <c r="G40" s="2">
        <v>44.0</v>
      </c>
      <c r="H40" s="1" t="s">
        <v>55</v>
      </c>
      <c r="I40" s="1" t="s">
        <v>100</v>
      </c>
      <c r="J40" s="1" t="s">
        <v>86</v>
      </c>
      <c r="K40" s="1" t="s">
        <v>87</v>
      </c>
      <c r="M40" s="1" t="s">
        <v>58</v>
      </c>
      <c r="N40" s="1" t="s">
        <v>58</v>
      </c>
      <c r="O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59</v>
      </c>
      <c r="Y40" s="1" t="s">
        <v>60</v>
      </c>
      <c r="Z40" s="1" t="s">
        <v>89</v>
      </c>
      <c r="AA40" s="2">
        <v>100.0</v>
      </c>
      <c r="AB40" s="1" t="s">
        <v>79</v>
      </c>
      <c r="AC40" s="1" t="s">
        <v>71</v>
      </c>
      <c r="AF40" s="1" t="s">
        <v>51</v>
      </c>
      <c r="AG40" s="1" t="s">
        <v>72</v>
      </c>
      <c r="AI40" s="2">
        <v>1.0</v>
      </c>
      <c r="AJ40" s="2">
        <v>1.0</v>
      </c>
      <c r="AK40" s="2">
        <v>1.0</v>
      </c>
      <c r="AL40" s="2">
        <v>0.0</v>
      </c>
      <c r="AM40" s="1" t="s">
        <v>51</v>
      </c>
      <c r="AN40" s="2">
        <v>7.19465454E8</v>
      </c>
      <c r="AP40" s="2">
        <v>4.87674106E8</v>
      </c>
      <c r="AQ40" s="1" t="s">
        <v>139</v>
      </c>
      <c r="AR40" s="2">
        <v>45805.34543981482</v>
      </c>
      <c r="AU40" s="1" t="s">
        <v>64</v>
      </c>
      <c r="AW40" s="1" t="s">
        <v>84</v>
      </c>
      <c r="AY40" s="2">
        <v>34.0</v>
      </c>
    </row>
    <row r="41">
      <c r="A41" s="1" t="s">
        <v>51</v>
      </c>
      <c r="C41" s="1" t="s">
        <v>52</v>
      </c>
      <c r="E41" s="1" t="s">
        <v>53</v>
      </c>
      <c r="F41" s="1" t="s">
        <v>54</v>
      </c>
      <c r="G41" s="2">
        <v>42.0</v>
      </c>
      <c r="H41" s="1" t="s">
        <v>66</v>
      </c>
      <c r="I41" s="1" t="s">
        <v>67</v>
      </c>
      <c r="J41" s="1" t="s">
        <v>86</v>
      </c>
      <c r="K41" s="1" t="s">
        <v>87</v>
      </c>
      <c r="M41" s="1" t="s">
        <v>58</v>
      </c>
      <c r="N41" s="1" t="s">
        <v>58</v>
      </c>
      <c r="O41" s="1" t="s">
        <v>58</v>
      </c>
      <c r="Q41" s="1" t="s">
        <v>69</v>
      </c>
      <c r="R41" s="1" t="s">
        <v>58</v>
      </c>
      <c r="S41" s="1" t="s">
        <v>69</v>
      </c>
      <c r="T41" s="1" t="s">
        <v>69</v>
      </c>
      <c r="U41" s="1" t="s">
        <v>58</v>
      </c>
      <c r="V41" s="1" t="s">
        <v>58</v>
      </c>
      <c r="W41" s="1" t="s">
        <v>69</v>
      </c>
      <c r="X41" s="1" t="s">
        <v>59</v>
      </c>
      <c r="Y41" s="1" t="s">
        <v>95</v>
      </c>
      <c r="Z41" s="1" t="s">
        <v>89</v>
      </c>
      <c r="AA41" s="2">
        <v>50.0</v>
      </c>
      <c r="AB41" s="1" t="s">
        <v>62</v>
      </c>
      <c r="AC41" s="1" t="s">
        <v>51</v>
      </c>
      <c r="AD41" s="1" t="s">
        <v>81</v>
      </c>
      <c r="AE41" s="1" t="s">
        <v>51</v>
      </c>
      <c r="AF41" s="1" t="s">
        <v>51</v>
      </c>
      <c r="AG41" s="1" t="s">
        <v>51</v>
      </c>
      <c r="AH41" s="2">
        <v>4000.0</v>
      </c>
      <c r="AI41" s="2">
        <v>0.0</v>
      </c>
      <c r="AJ41" s="2">
        <v>0.0</v>
      </c>
      <c r="AK41" s="2">
        <v>0.0</v>
      </c>
      <c r="AL41" s="2">
        <v>1.0</v>
      </c>
      <c r="AM41" s="1" t="s">
        <v>51</v>
      </c>
      <c r="AN41" s="2">
        <v>7.18013824E8</v>
      </c>
      <c r="AP41" s="2">
        <v>4.87690832E8</v>
      </c>
      <c r="AQ41" s="1" t="s">
        <v>140</v>
      </c>
      <c r="AR41" s="2">
        <v>45805.363032407404</v>
      </c>
      <c r="AU41" s="1" t="s">
        <v>64</v>
      </c>
      <c r="AW41" s="1" t="s">
        <v>84</v>
      </c>
      <c r="AY41" s="2">
        <v>35.0</v>
      </c>
    </row>
    <row r="42">
      <c r="A42" s="1" t="s">
        <v>51</v>
      </c>
      <c r="C42" s="1" t="s">
        <v>52</v>
      </c>
      <c r="E42" s="1" t="s">
        <v>52</v>
      </c>
      <c r="G42" s="2">
        <v>55.0</v>
      </c>
      <c r="H42" s="1" t="s">
        <v>55</v>
      </c>
      <c r="J42" s="1" t="s">
        <v>86</v>
      </c>
      <c r="K42" s="1" t="s">
        <v>87</v>
      </c>
      <c r="M42" s="1" t="s">
        <v>58</v>
      </c>
      <c r="N42" s="1" t="s">
        <v>58</v>
      </c>
      <c r="O42" s="1" t="s">
        <v>58</v>
      </c>
      <c r="Q42" s="1" t="s">
        <v>69</v>
      </c>
      <c r="R42" s="1" t="s">
        <v>58</v>
      </c>
      <c r="S42" s="1" t="s">
        <v>69</v>
      </c>
      <c r="T42" s="1" t="s">
        <v>69</v>
      </c>
      <c r="U42" s="1" t="s">
        <v>69</v>
      </c>
      <c r="V42" s="1" t="s">
        <v>58</v>
      </c>
      <c r="W42" s="1" t="s">
        <v>69</v>
      </c>
      <c r="X42" s="1" t="s">
        <v>59</v>
      </c>
      <c r="Y42" s="1" t="s">
        <v>95</v>
      </c>
      <c r="Z42" s="1" t="s">
        <v>89</v>
      </c>
      <c r="AA42" s="2">
        <v>100.0</v>
      </c>
      <c r="AB42" s="1" t="s">
        <v>79</v>
      </c>
      <c r="AC42" s="1" t="s">
        <v>51</v>
      </c>
      <c r="AD42" s="1" t="s">
        <v>59</v>
      </c>
      <c r="AE42" s="1" t="s">
        <v>51</v>
      </c>
      <c r="AF42" s="1" t="s">
        <v>51</v>
      </c>
      <c r="AG42" s="1" t="s">
        <v>72</v>
      </c>
      <c r="AI42" s="2">
        <v>0.0</v>
      </c>
      <c r="AJ42" s="2">
        <v>0.0</v>
      </c>
      <c r="AK42" s="2">
        <v>0.0</v>
      </c>
      <c r="AL42" s="2">
        <v>1.0</v>
      </c>
      <c r="AP42" s="2">
        <v>4.8770913E8</v>
      </c>
      <c r="AQ42" s="1" t="s">
        <v>141</v>
      </c>
      <c r="AR42" s="2">
        <v>45805.381689814814</v>
      </c>
      <c r="AU42" s="1" t="s">
        <v>64</v>
      </c>
      <c r="AW42" s="1" t="s">
        <v>84</v>
      </c>
      <c r="AY42" s="2">
        <v>36.0</v>
      </c>
    </row>
    <row r="43">
      <c r="A43" s="1" t="s">
        <v>51</v>
      </c>
      <c r="C43" s="1" t="s">
        <v>53</v>
      </c>
      <c r="E43" s="1" t="s">
        <v>53</v>
      </c>
      <c r="F43" s="1" t="s">
        <v>54</v>
      </c>
      <c r="G43" s="2">
        <v>51.0</v>
      </c>
      <c r="H43" s="1" t="s">
        <v>66</v>
      </c>
      <c r="I43" s="1" t="s">
        <v>121</v>
      </c>
      <c r="J43" s="1" t="s">
        <v>111</v>
      </c>
      <c r="K43" s="1" t="s">
        <v>87</v>
      </c>
      <c r="M43" s="1" t="s">
        <v>58</v>
      </c>
      <c r="N43" s="1" t="s">
        <v>58</v>
      </c>
      <c r="O43" s="1" t="s">
        <v>58</v>
      </c>
      <c r="Q43" s="1" t="s">
        <v>58</v>
      </c>
      <c r="R43" s="1" t="s">
        <v>58</v>
      </c>
      <c r="S43" s="1" t="s">
        <v>58</v>
      </c>
      <c r="T43" s="1" t="s">
        <v>70</v>
      </c>
      <c r="U43" s="1" t="s">
        <v>69</v>
      </c>
      <c r="V43" s="1" t="s">
        <v>69</v>
      </c>
      <c r="W43" s="1" t="s">
        <v>69</v>
      </c>
      <c r="X43" s="1" t="s">
        <v>59</v>
      </c>
      <c r="Y43" s="1" t="s">
        <v>60</v>
      </c>
      <c r="AC43" s="1" t="s">
        <v>51</v>
      </c>
      <c r="AD43" s="1" t="s">
        <v>59</v>
      </c>
      <c r="AE43" s="1" t="s">
        <v>72</v>
      </c>
      <c r="AF43" s="1" t="s">
        <v>72</v>
      </c>
      <c r="AG43" s="1" t="s">
        <v>72</v>
      </c>
      <c r="AI43" s="2">
        <v>0.0</v>
      </c>
      <c r="AJ43" s="2">
        <v>0.0</v>
      </c>
      <c r="AK43" s="2">
        <v>0.0</v>
      </c>
      <c r="AL43" s="2">
        <v>1.0</v>
      </c>
      <c r="AM43" s="1" t="s">
        <v>72</v>
      </c>
      <c r="AP43" s="2">
        <v>4.87711757E8</v>
      </c>
      <c r="AQ43" s="1" t="s">
        <v>142</v>
      </c>
      <c r="AR43" s="2">
        <v>45805.383993055555</v>
      </c>
      <c r="AU43" s="1" t="s">
        <v>64</v>
      </c>
      <c r="AW43" s="1" t="s">
        <v>84</v>
      </c>
      <c r="AY43" s="2">
        <v>37.0</v>
      </c>
    </row>
    <row r="44">
      <c r="A44" s="1" t="s">
        <v>51</v>
      </c>
      <c r="C44" s="1" t="s">
        <v>107</v>
      </c>
      <c r="E44" s="1" t="s">
        <v>53</v>
      </c>
      <c r="F44" s="1" t="s">
        <v>102</v>
      </c>
      <c r="G44" s="2">
        <v>44.0</v>
      </c>
      <c r="H44" s="1" t="s">
        <v>55</v>
      </c>
      <c r="I44" s="1" t="s">
        <v>67</v>
      </c>
      <c r="J44" s="1" t="s">
        <v>111</v>
      </c>
      <c r="K44" s="1" t="s">
        <v>87</v>
      </c>
      <c r="M44" s="1" t="s">
        <v>58</v>
      </c>
      <c r="N44" s="1" t="s">
        <v>58</v>
      </c>
      <c r="O44" s="1" t="s">
        <v>69</v>
      </c>
      <c r="Q44" s="1" t="s">
        <v>58</v>
      </c>
      <c r="R44" s="1" t="s">
        <v>70</v>
      </c>
      <c r="S44" s="1" t="s">
        <v>69</v>
      </c>
      <c r="T44" s="1" t="s">
        <v>69</v>
      </c>
      <c r="U44" s="1" t="s">
        <v>69</v>
      </c>
      <c r="V44" s="1" t="s">
        <v>58</v>
      </c>
      <c r="W44" s="1" t="s">
        <v>69</v>
      </c>
      <c r="X44" s="1" t="s">
        <v>88</v>
      </c>
      <c r="Y44" s="1" t="s">
        <v>82</v>
      </c>
      <c r="Z44" s="1" t="s">
        <v>61</v>
      </c>
      <c r="AA44" s="2">
        <v>100.0</v>
      </c>
      <c r="AB44" s="1" t="s">
        <v>79</v>
      </c>
      <c r="AC44" s="1" t="s">
        <v>51</v>
      </c>
      <c r="AD44" s="1" t="s">
        <v>59</v>
      </c>
      <c r="AE44" s="1" t="s">
        <v>51</v>
      </c>
      <c r="AF44" s="1" t="s">
        <v>51</v>
      </c>
      <c r="AG44" s="1" t="s">
        <v>72</v>
      </c>
      <c r="AI44" s="2">
        <v>0.0</v>
      </c>
      <c r="AJ44" s="2">
        <v>0.0</v>
      </c>
      <c r="AK44" s="2">
        <v>1.0</v>
      </c>
      <c r="AL44" s="2">
        <v>0.0</v>
      </c>
      <c r="AM44" s="1" t="s">
        <v>51</v>
      </c>
      <c r="AN44" s="2">
        <v>7.24087235E8</v>
      </c>
      <c r="AP44" s="2">
        <v>4.87711791E8</v>
      </c>
      <c r="AQ44" s="1" t="s">
        <v>143</v>
      </c>
      <c r="AR44" s="2">
        <v>45805.3840162037</v>
      </c>
      <c r="AU44" s="1" t="s">
        <v>64</v>
      </c>
      <c r="AW44" s="1" t="s">
        <v>84</v>
      </c>
      <c r="AY44" s="2">
        <v>38.0</v>
      </c>
    </row>
    <row r="45">
      <c r="A45" s="1" t="s">
        <v>51</v>
      </c>
      <c r="C45" s="1" t="s">
        <v>52</v>
      </c>
      <c r="E45" s="1" t="s">
        <v>53</v>
      </c>
      <c r="F45" s="1" t="s">
        <v>85</v>
      </c>
      <c r="G45" s="2">
        <v>43.0</v>
      </c>
      <c r="H45" s="1" t="s">
        <v>55</v>
      </c>
      <c r="I45" s="1" t="s">
        <v>67</v>
      </c>
      <c r="J45" s="1" t="s">
        <v>86</v>
      </c>
      <c r="K45" s="1" t="s">
        <v>87</v>
      </c>
      <c r="M45" s="1" t="s">
        <v>58</v>
      </c>
      <c r="N45" s="1" t="s">
        <v>58</v>
      </c>
      <c r="O45" s="1" t="s">
        <v>69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69</v>
      </c>
      <c r="X45" s="1" t="s">
        <v>59</v>
      </c>
      <c r="Y45" s="1" t="s">
        <v>95</v>
      </c>
      <c r="Z45" s="1" t="s">
        <v>89</v>
      </c>
      <c r="AA45" s="2">
        <v>30.0</v>
      </c>
      <c r="AB45" s="1" t="s">
        <v>62</v>
      </c>
      <c r="AC45" s="1" t="s">
        <v>71</v>
      </c>
      <c r="AF45" s="1" t="s">
        <v>51</v>
      </c>
      <c r="AG45" s="1" t="s">
        <v>72</v>
      </c>
      <c r="AI45" s="2">
        <v>0.0</v>
      </c>
      <c r="AJ45" s="2">
        <v>0.0</v>
      </c>
      <c r="AK45" s="2">
        <v>0.0</v>
      </c>
      <c r="AL45" s="2">
        <v>1.0</v>
      </c>
      <c r="AM45" s="1" t="s">
        <v>72</v>
      </c>
      <c r="AP45" s="2">
        <v>4.8771705E8</v>
      </c>
      <c r="AQ45" s="1" t="s">
        <v>144</v>
      </c>
      <c r="AR45" s="2">
        <v>45805.3884837963</v>
      </c>
      <c r="AU45" s="1" t="s">
        <v>64</v>
      </c>
      <c r="AW45" s="1" t="s">
        <v>84</v>
      </c>
      <c r="AY45" s="2">
        <v>39.0</v>
      </c>
    </row>
    <row r="46">
      <c r="A46" s="1" t="s">
        <v>51</v>
      </c>
      <c r="C46" s="1" t="s">
        <v>53</v>
      </c>
      <c r="E46" s="1" t="s">
        <v>53</v>
      </c>
      <c r="F46" s="1" t="s">
        <v>102</v>
      </c>
      <c r="G46" s="2">
        <v>39.0</v>
      </c>
      <c r="H46" s="1" t="s">
        <v>55</v>
      </c>
      <c r="I46" s="1" t="s">
        <v>121</v>
      </c>
      <c r="J46" s="1" t="s">
        <v>56</v>
      </c>
      <c r="K46" s="1" t="s">
        <v>87</v>
      </c>
      <c r="M46" s="1" t="s">
        <v>58</v>
      </c>
      <c r="N46" s="1" t="s">
        <v>58</v>
      </c>
      <c r="O46" s="1" t="s">
        <v>58</v>
      </c>
      <c r="Q46" s="1" t="s">
        <v>58</v>
      </c>
      <c r="R46" s="1" t="s">
        <v>58</v>
      </c>
      <c r="S46" s="1" t="s">
        <v>69</v>
      </c>
      <c r="T46" s="1" t="s">
        <v>69</v>
      </c>
      <c r="U46" s="1" t="s">
        <v>58</v>
      </c>
      <c r="V46" s="1" t="s">
        <v>69</v>
      </c>
      <c r="W46" s="1" t="s">
        <v>69</v>
      </c>
      <c r="X46" s="1" t="s">
        <v>81</v>
      </c>
      <c r="Y46" s="1" t="s">
        <v>60</v>
      </c>
      <c r="Z46" s="1" t="s">
        <v>61</v>
      </c>
      <c r="AA46" s="2">
        <v>100.0</v>
      </c>
      <c r="AB46" s="1" t="s">
        <v>79</v>
      </c>
      <c r="AC46" s="1" t="s">
        <v>72</v>
      </c>
      <c r="AF46" s="1" t="s">
        <v>51</v>
      </c>
      <c r="AG46" s="1" t="s">
        <v>72</v>
      </c>
      <c r="AI46" s="2">
        <v>0.0</v>
      </c>
      <c r="AJ46" s="2">
        <v>1.0</v>
      </c>
      <c r="AK46" s="2">
        <v>0.0</v>
      </c>
      <c r="AL46" s="2">
        <v>0.0</v>
      </c>
      <c r="AM46" s="1" t="s">
        <v>51</v>
      </c>
      <c r="AP46" s="2">
        <v>4.87749469E8</v>
      </c>
      <c r="AQ46" s="1" t="s">
        <v>145</v>
      </c>
      <c r="AR46" s="2">
        <v>45805.421898148146</v>
      </c>
      <c r="AU46" s="1" t="s">
        <v>64</v>
      </c>
      <c r="AW46" s="1" t="s">
        <v>84</v>
      </c>
      <c r="AY46" s="2">
        <v>40.0</v>
      </c>
    </row>
    <row r="47">
      <c r="A47" s="1" t="s">
        <v>51</v>
      </c>
      <c r="C47" s="1" t="s">
        <v>52</v>
      </c>
      <c r="E47" s="1" t="s">
        <v>53</v>
      </c>
      <c r="F47" s="1" t="s">
        <v>94</v>
      </c>
      <c r="G47" s="2">
        <v>42.0</v>
      </c>
      <c r="H47" s="1" t="s">
        <v>66</v>
      </c>
      <c r="I47" s="1" t="s">
        <v>67</v>
      </c>
      <c r="J47" s="1" t="s">
        <v>56</v>
      </c>
      <c r="K47" s="1" t="s">
        <v>87</v>
      </c>
      <c r="M47" s="1" t="s">
        <v>58</v>
      </c>
      <c r="N47" s="1" t="s">
        <v>58</v>
      </c>
      <c r="O47" s="1" t="s">
        <v>69</v>
      </c>
      <c r="Q47" s="1" t="s">
        <v>69</v>
      </c>
      <c r="R47" s="1" t="s">
        <v>69</v>
      </c>
      <c r="S47" s="1" t="s">
        <v>70</v>
      </c>
      <c r="T47" s="1" t="s">
        <v>69</v>
      </c>
      <c r="U47" s="1" t="s">
        <v>58</v>
      </c>
      <c r="V47" s="1" t="s">
        <v>58</v>
      </c>
      <c r="W47" s="1" t="s">
        <v>69</v>
      </c>
      <c r="X47" s="1" t="s">
        <v>59</v>
      </c>
      <c r="Y47" s="1" t="s">
        <v>60</v>
      </c>
      <c r="Z47" s="1" t="s">
        <v>89</v>
      </c>
      <c r="AA47" s="2">
        <v>100.0</v>
      </c>
      <c r="AB47" s="1" t="s">
        <v>62</v>
      </c>
      <c r="AC47" s="1" t="s">
        <v>71</v>
      </c>
      <c r="AF47" s="1" t="s">
        <v>51</v>
      </c>
      <c r="AG47" s="1" t="s">
        <v>51</v>
      </c>
      <c r="AH47" s="2">
        <v>50.0</v>
      </c>
      <c r="AI47" s="2">
        <v>1.0</v>
      </c>
      <c r="AJ47" s="2">
        <v>0.0</v>
      </c>
      <c r="AK47" s="2">
        <v>1.0</v>
      </c>
      <c r="AL47" s="2">
        <v>0.0</v>
      </c>
      <c r="AM47" s="1" t="s">
        <v>72</v>
      </c>
      <c r="AP47" s="2">
        <v>4.87750454E8</v>
      </c>
      <c r="AQ47" s="1" t="s">
        <v>146</v>
      </c>
      <c r="AR47" s="2">
        <v>45805.42289351852</v>
      </c>
      <c r="AU47" s="1" t="s">
        <v>64</v>
      </c>
      <c r="AW47" s="1" t="s">
        <v>84</v>
      </c>
      <c r="AY47" s="2">
        <v>41.0</v>
      </c>
    </row>
    <row r="48">
      <c r="A48" s="1" t="s">
        <v>51</v>
      </c>
      <c r="C48" s="1" t="s">
        <v>53</v>
      </c>
      <c r="E48" s="1" t="s">
        <v>53</v>
      </c>
      <c r="F48" s="1" t="s">
        <v>54</v>
      </c>
      <c r="G48" s="2">
        <v>55.0</v>
      </c>
      <c r="H48" s="1" t="s">
        <v>66</v>
      </c>
      <c r="I48" s="1" t="s">
        <v>121</v>
      </c>
      <c r="J48" s="1" t="s">
        <v>56</v>
      </c>
      <c r="K48" s="1" t="s">
        <v>87</v>
      </c>
      <c r="M48" s="1" t="s">
        <v>58</v>
      </c>
      <c r="N48" s="1" t="s">
        <v>58</v>
      </c>
      <c r="O48" s="1" t="s">
        <v>58</v>
      </c>
      <c r="Q48" s="1" t="s">
        <v>70</v>
      </c>
      <c r="R48" s="1" t="s">
        <v>58</v>
      </c>
      <c r="S48" s="1" t="s">
        <v>58</v>
      </c>
      <c r="T48" s="1" t="s">
        <v>69</v>
      </c>
      <c r="U48" s="1" t="s">
        <v>70</v>
      </c>
      <c r="V48" s="1" t="s">
        <v>58</v>
      </c>
      <c r="W48" s="1" t="s">
        <v>69</v>
      </c>
      <c r="X48" s="1" t="s">
        <v>59</v>
      </c>
      <c r="Y48" s="1" t="s">
        <v>60</v>
      </c>
      <c r="Z48" s="1" t="s">
        <v>89</v>
      </c>
      <c r="AA48" s="2">
        <v>40.0</v>
      </c>
      <c r="AB48" s="1" t="s">
        <v>79</v>
      </c>
      <c r="AC48" s="1" t="s">
        <v>71</v>
      </c>
      <c r="AF48" s="1" t="s">
        <v>51</v>
      </c>
      <c r="AG48" s="1" t="s">
        <v>72</v>
      </c>
      <c r="AI48" s="2">
        <v>0.0</v>
      </c>
      <c r="AJ48" s="2">
        <v>0.0</v>
      </c>
      <c r="AK48" s="2">
        <v>0.0</v>
      </c>
      <c r="AL48" s="2">
        <v>1.0</v>
      </c>
      <c r="AM48" s="1" t="s">
        <v>51</v>
      </c>
      <c r="AN48" s="2">
        <v>8.27701274E8</v>
      </c>
      <c r="AP48" s="2">
        <v>4.87757298E8</v>
      </c>
      <c r="AQ48" s="1" t="s">
        <v>147</v>
      </c>
      <c r="AR48" s="2">
        <v>45805.43035879629</v>
      </c>
      <c r="AU48" s="1" t="s">
        <v>64</v>
      </c>
      <c r="AW48" s="1" t="s">
        <v>84</v>
      </c>
      <c r="AY48" s="2">
        <v>42.0</v>
      </c>
    </row>
    <row r="49">
      <c r="A49" s="1" t="s">
        <v>51</v>
      </c>
      <c r="C49" s="1" t="s">
        <v>52</v>
      </c>
      <c r="E49" s="1" t="s">
        <v>53</v>
      </c>
      <c r="F49" s="1" t="s">
        <v>85</v>
      </c>
      <c r="G49" s="2">
        <v>42.0</v>
      </c>
      <c r="H49" s="1" t="s">
        <v>55</v>
      </c>
      <c r="I49" s="1" t="s">
        <v>67</v>
      </c>
      <c r="J49" s="1" t="s">
        <v>86</v>
      </c>
      <c r="K49" s="1" t="s">
        <v>87</v>
      </c>
      <c r="M49" s="1" t="s">
        <v>69</v>
      </c>
      <c r="N49" s="1" t="s">
        <v>69</v>
      </c>
      <c r="O49" s="1" t="s">
        <v>69</v>
      </c>
      <c r="Q49" s="1" t="s">
        <v>69</v>
      </c>
      <c r="R49" s="1" t="s">
        <v>58</v>
      </c>
      <c r="S49" s="1" t="s">
        <v>58</v>
      </c>
      <c r="T49" s="1" t="s">
        <v>69</v>
      </c>
      <c r="U49" s="1" t="s">
        <v>58</v>
      </c>
      <c r="V49" s="1" t="s">
        <v>58</v>
      </c>
      <c r="W49" s="1" t="s">
        <v>69</v>
      </c>
      <c r="X49" s="1" t="s">
        <v>81</v>
      </c>
      <c r="Y49" s="1" t="s">
        <v>60</v>
      </c>
      <c r="Z49" s="1" t="s">
        <v>61</v>
      </c>
      <c r="AA49" s="2">
        <v>50.0</v>
      </c>
      <c r="AB49" s="1" t="s">
        <v>62</v>
      </c>
      <c r="AC49" s="1" t="s">
        <v>71</v>
      </c>
      <c r="AF49" s="1" t="s">
        <v>51</v>
      </c>
      <c r="AG49" s="1" t="s">
        <v>72</v>
      </c>
      <c r="AI49" s="2">
        <v>1.0</v>
      </c>
      <c r="AJ49" s="2">
        <v>0.0</v>
      </c>
      <c r="AK49" s="2">
        <v>0.0</v>
      </c>
      <c r="AL49" s="2">
        <v>0.0</v>
      </c>
      <c r="AM49" s="1" t="s">
        <v>72</v>
      </c>
      <c r="AP49" s="2">
        <v>4.87766407E8</v>
      </c>
      <c r="AQ49" s="1" t="s">
        <v>148</v>
      </c>
      <c r="AR49" s="2">
        <v>45805.43989583333</v>
      </c>
      <c r="AU49" s="1" t="s">
        <v>64</v>
      </c>
      <c r="AW49" s="1" t="s">
        <v>84</v>
      </c>
      <c r="AY49" s="2">
        <v>43.0</v>
      </c>
    </row>
    <row r="50">
      <c r="A50" s="1" t="s">
        <v>51</v>
      </c>
      <c r="C50" s="1" t="s">
        <v>52</v>
      </c>
      <c r="E50" s="1" t="s">
        <v>53</v>
      </c>
      <c r="F50" s="1" t="s">
        <v>149</v>
      </c>
      <c r="G50" s="2">
        <v>46.0</v>
      </c>
      <c r="H50" s="1" t="s">
        <v>55</v>
      </c>
      <c r="I50" s="1" t="s">
        <v>67</v>
      </c>
      <c r="J50" s="1" t="s">
        <v>86</v>
      </c>
      <c r="K50" s="1" t="s">
        <v>87</v>
      </c>
      <c r="M50" s="1" t="s">
        <v>58</v>
      </c>
      <c r="N50" s="1" t="s">
        <v>58</v>
      </c>
      <c r="O50" s="1" t="s">
        <v>58</v>
      </c>
      <c r="Q50" s="1" t="s">
        <v>69</v>
      </c>
      <c r="R50" s="1" t="s">
        <v>58</v>
      </c>
      <c r="S50" s="1" t="s">
        <v>69</v>
      </c>
      <c r="T50" s="1" t="s">
        <v>69</v>
      </c>
      <c r="U50" s="1" t="s">
        <v>58</v>
      </c>
      <c r="V50" s="1" t="s">
        <v>58</v>
      </c>
      <c r="W50" s="1" t="s">
        <v>69</v>
      </c>
      <c r="X50" s="1" t="s">
        <v>88</v>
      </c>
      <c r="Y50" s="1" t="s">
        <v>95</v>
      </c>
      <c r="Z50" s="1" t="s">
        <v>89</v>
      </c>
      <c r="AA50" s="2">
        <v>100.0</v>
      </c>
      <c r="AB50" s="1" t="s">
        <v>28</v>
      </c>
      <c r="AC50" s="1" t="s">
        <v>71</v>
      </c>
      <c r="AF50" s="1" t="s">
        <v>51</v>
      </c>
      <c r="AG50" s="1" t="s">
        <v>72</v>
      </c>
      <c r="AI50" s="2">
        <v>0.0</v>
      </c>
      <c r="AJ50" s="2">
        <v>0.0</v>
      </c>
      <c r="AK50" s="2">
        <v>1.0</v>
      </c>
      <c r="AL50" s="2">
        <v>0.0</v>
      </c>
      <c r="AM50" s="1" t="s">
        <v>72</v>
      </c>
      <c r="AP50" s="2">
        <v>4.87788797E8</v>
      </c>
      <c r="AQ50" s="1" t="s">
        <v>150</v>
      </c>
      <c r="AR50" s="2">
        <v>45805.46019675926</v>
      </c>
      <c r="AU50" s="1" t="s">
        <v>64</v>
      </c>
      <c r="AW50" s="1" t="s">
        <v>84</v>
      </c>
      <c r="AY50" s="2">
        <v>44.0</v>
      </c>
    </row>
    <row r="51">
      <c r="A51" s="1" t="s">
        <v>51</v>
      </c>
      <c r="C51" s="1" t="s">
        <v>151</v>
      </c>
      <c r="E51" s="1" t="s">
        <v>53</v>
      </c>
      <c r="F51" s="1" t="s">
        <v>54</v>
      </c>
      <c r="G51" s="2">
        <v>43.0</v>
      </c>
      <c r="H51" s="1" t="s">
        <v>55</v>
      </c>
      <c r="I51" s="1" t="s">
        <v>67</v>
      </c>
      <c r="J51" s="1" t="s">
        <v>56</v>
      </c>
      <c r="K51" s="1" t="s">
        <v>78</v>
      </c>
      <c r="M51" s="1" t="s">
        <v>58</v>
      </c>
      <c r="N51" s="1" t="s">
        <v>58</v>
      </c>
      <c r="O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81</v>
      </c>
      <c r="Y51" s="1" t="s">
        <v>82</v>
      </c>
      <c r="Z51" s="1" t="s">
        <v>89</v>
      </c>
      <c r="AA51" s="2">
        <v>50.0</v>
      </c>
      <c r="AB51" s="1" t="s">
        <v>79</v>
      </c>
      <c r="AC51" s="1" t="s">
        <v>71</v>
      </c>
      <c r="AF51" s="1" t="s">
        <v>51</v>
      </c>
      <c r="AG51" s="1" t="s">
        <v>51</v>
      </c>
      <c r="AH51" s="2">
        <v>40.0</v>
      </c>
      <c r="AI51" s="2">
        <v>0.0</v>
      </c>
      <c r="AJ51" s="2">
        <v>0.0</v>
      </c>
      <c r="AK51" s="2">
        <v>0.0</v>
      </c>
      <c r="AL51" s="2">
        <v>1.0</v>
      </c>
      <c r="AM51" s="1" t="s">
        <v>51</v>
      </c>
      <c r="AN51" s="2">
        <v>8.39756269E8</v>
      </c>
      <c r="AP51" s="2">
        <v>4.87797842E8</v>
      </c>
      <c r="AQ51" s="1" t="s">
        <v>152</v>
      </c>
      <c r="AR51" s="2">
        <v>45805.46944444445</v>
      </c>
      <c r="AU51" s="1" t="s">
        <v>64</v>
      </c>
      <c r="AW51" s="1" t="s">
        <v>84</v>
      </c>
      <c r="AY51" s="2">
        <v>45.0</v>
      </c>
    </row>
    <row r="52">
      <c r="A52" s="1" t="s">
        <v>51</v>
      </c>
      <c r="C52" s="1" t="s">
        <v>118</v>
      </c>
      <c r="E52" s="1" t="s">
        <v>53</v>
      </c>
      <c r="F52" s="1" t="s">
        <v>85</v>
      </c>
      <c r="G52" s="2">
        <v>39.0</v>
      </c>
      <c r="H52" s="1" t="s">
        <v>55</v>
      </c>
      <c r="I52" s="1" t="s">
        <v>67</v>
      </c>
      <c r="J52" s="1" t="s">
        <v>86</v>
      </c>
      <c r="K52" s="1" t="s">
        <v>87</v>
      </c>
      <c r="M52" s="1" t="s">
        <v>58</v>
      </c>
      <c r="N52" s="1" t="s">
        <v>58</v>
      </c>
      <c r="O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58</v>
      </c>
      <c r="W52" s="1" t="s">
        <v>69</v>
      </c>
      <c r="X52" s="1" t="s">
        <v>88</v>
      </c>
      <c r="Y52" s="1" t="s">
        <v>95</v>
      </c>
      <c r="Z52" s="1" t="s">
        <v>89</v>
      </c>
      <c r="AA52" s="2">
        <v>100.0</v>
      </c>
      <c r="AB52" s="1" t="s">
        <v>62</v>
      </c>
      <c r="AC52" s="1" t="s">
        <v>71</v>
      </c>
      <c r="AF52" s="1" t="s">
        <v>51</v>
      </c>
      <c r="AG52" s="1" t="s">
        <v>72</v>
      </c>
      <c r="AI52" s="2">
        <v>0.0</v>
      </c>
      <c r="AJ52" s="2">
        <v>0.0</v>
      </c>
      <c r="AK52" s="2">
        <v>0.0</v>
      </c>
      <c r="AL52" s="2">
        <v>1.0</v>
      </c>
      <c r="AM52" s="1" t="s">
        <v>72</v>
      </c>
      <c r="AP52" s="2">
        <v>4.87805968E8</v>
      </c>
      <c r="AQ52" s="1" t="s">
        <v>153</v>
      </c>
      <c r="AR52" s="2">
        <v>45805.47703703704</v>
      </c>
      <c r="AU52" s="1" t="s">
        <v>64</v>
      </c>
      <c r="AW52" s="1" t="s">
        <v>84</v>
      </c>
      <c r="AY52" s="2">
        <v>46.0</v>
      </c>
    </row>
    <row r="53">
      <c r="A53" s="1" t="s">
        <v>51</v>
      </c>
      <c r="C53" s="1" t="s">
        <v>52</v>
      </c>
      <c r="E53" s="1" t="s">
        <v>154</v>
      </c>
      <c r="G53" s="2">
        <v>45.0</v>
      </c>
      <c r="H53" s="1" t="s">
        <v>66</v>
      </c>
      <c r="J53" s="1" t="s">
        <v>86</v>
      </c>
      <c r="K53" s="1" t="s">
        <v>87</v>
      </c>
      <c r="M53" s="1" t="s">
        <v>69</v>
      </c>
      <c r="N53" s="1" t="s">
        <v>58</v>
      </c>
      <c r="O53" s="1" t="s">
        <v>69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69</v>
      </c>
      <c r="X53" s="1" t="s">
        <v>59</v>
      </c>
      <c r="Y53" s="1" t="s">
        <v>60</v>
      </c>
      <c r="Z53" s="1" t="s">
        <v>127</v>
      </c>
      <c r="AA53" s="2">
        <v>100.0</v>
      </c>
      <c r="AB53" s="1" t="s">
        <v>28</v>
      </c>
      <c r="AC53" s="1" t="s">
        <v>51</v>
      </c>
      <c r="AD53" s="1" t="s">
        <v>59</v>
      </c>
      <c r="AE53" s="1" t="s">
        <v>51</v>
      </c>
      <c r="AF53" s="1" t="s">
        <v>51</v>
      </c>
      <c r="AG53" s="1" t="s">
        <v>51</v>
      </c>
      <c r="AH53" s="2">
        <v>200.0</v>
      </c>
      <c r="AI53" s="2">
        <v>0.0</v>
      </c>
      <c r="AJ53" s="2">
        <v>0.0</v>
      </c>
      <c r="AK53" s="2">
        <v>0.0</v>
      </c>
      <c r="AL53" s="2">
        <v>1.0</v>
      </c>
      <c r="AP53" s="2">
        <v>4.87813566E8</v>
      </c>
      <c r="AQ53" s="1" t="s">
        <v>155</v>
      </c>
      <c r="AR53" s="2">
        <v>45805.48422453704</v>
      </c>
      <c r="AU53" s="1" t="s">
        <v>64</v>
      </c>
      <c r="AW53" s="1" t="s">
        <v>84</v>
      </c>
      <c r="AY53" s="2">
        <v>47.0</v>
      </c>
    </row>
    <row r="54">
      <c r="A54" s="1" t="s">
        <v>51</v>
      </c>
      <c r="C54" s="1" t="s">
        <v>52</v>
      </c>
      <c r="E54" s="1" t="s">
        <v>154</v>
      </c>
      <c r="G54" s="2">
        <v>55.0</v>
      </c>
      <c r="H54" s="1" t="s">
        <v>66</v>
      </c>
      <c r="J54" s="1" t="s">
        <v>86</v>
      </c>
      <c r="K54" s="1" t="s">
        <v>87</v>
      </c>
      <c r="M54" s="1" t="s">
        <v>58</v>
      </c>
      <c r="N54" s="1" t="s">
        <v>58</v>
      </c>
      <c r="O54" s="1" t="s">
        <v>58</v>
      </c>
      <c r="Q54" s="1" t="s">
        <v>58</v>
      </c>
      <c r="R54" s="1" t="s">
        <v>58</v>
      </c>
      <c r="S54" s="1" t="s">
        <v>69</v>
      </c>
      <c r="T54" s="1" t="s">
        <v>70</v>
      </c>
      <c r="U54" s="1" t="s">
        <v>70</v>
      </c>
      <c r="V54" s="1" t="s">
        <v>58</v>
      </c>
      <c r="W54" s="1" t="s">
        <v>70</v>
      </c>
      <c r="X54" s="1" t="s">
        <v>81</v>
      </c>
      <c r="Y54" s="1" t="s">
        <v>95</v>
      </c>
      <c r="Z54" s="1" t="s">
        <v>96</v>
      </c>
      <c r="AA54" s="2">
        <v>100.0</v>
      </c>
      <c r="AB54" s="1" t="s">
        <v>62</v>
      </c>
      <c r="AC54" s="1" t="s">
        <v>71</v>
      </c>
      <c r="AF54" s="1" t="s">
        <v>51</v>
      </c>
      <c r="AG54" s="1" t="s">
        <v>51</v>
      </c>
      <c r="AP54" s="2">
        <v>4.878188E8</v>
      </c>
      <c r="AQ54" s="1" t="s">
        <v>156</v>
      </c>
      <c r="AR54" s="2">
        <v>45805.48887731481</v>
      </c>
      <c r="AU54" s="1" t="s">
        <v>64</v>
      </c>
      <c r="AW54" s="1" t="s">
        <v>84</v>
      </c>
      <c r="AY54" s="2">
        <v>48.0</v>
      </c>
    </row>
    <row r="55">
      <c r="A55" s="1" t="s">
        <v>51</v>
      </c>
      <c r="C55" s="1" t="s">
        <v>52</v>
      </c>
      <c r="E55" s="1" t="s">
        <v>154</v>
      </c>
      <c r="G55" s="2">
        <v>47.0</v>
      </c>
      <c r="H55" s="1" t="s">
        <v>55</v>
      </c>
      <c r="J55" s="1" t="s">
        <v>86</v>
      </c>
      <c r="K55" s="1" t="s">
        <v>87</v>
      </c>
      <c r="M55" s="1" t="s">
        <v>58</v>
      </c>
      <c r="N55" s="1" t="s">
        <v>58</v>
      </c>
      <c r="O55" s="1" t="s">
        <v>58</v>
      </c>
      <c r="Q55" s="1" t="s">
        <v>69</v>
      </c>
      <c r="R55" s="1" t="s">
        <v>58</v>
      </c>
      <c r="S55" s="1" t="s">
        <v>69</v>
      </c>
      <c r="T55" s="1" t="s">
        <v>69</v>
      </c>
      <c r="U55" s="1" t="s">
        <v>58</v>
      </c>
      <c r="V55" s="1" t="s">
        <v>58</v>
      </c>
      <c r="W55" s="1" t="s">
        <v>69</v>
      </c>
      <c r="X55" s="1" t="s">
        <v>88</v>
      </c>
      <c r="Y55" s="1" t="s">
        <v>95</v>
      </c>
      <c r="Z55" s="1" t="s">
        <v>89</v>
      </c>
      <c r="AA55" s="2">
        <v>100.0</v>
      </c>
      <c r="AB55" s="1" t="s">
        <v>62</v>
      </c>
      <c r="AC55" s="1" t="s">
        <v>51</v>
      </c>
      <c r="AD55" s="1" t="s">
        <v>88</v>
      </c>
      <c r="AE55" s="1" t="s">
        <v>51</v>
      </c>
      <c r="AF55" s="1" t="s">
        <v>51</v>
      </c>
      <c r="AG55" s="1" t="s">
        <v>51</v>
      </c>
      <c r="AH55" s="2">
        <v>30.0</v>
      </c>
      <c r="AI55" s="2">
        <v>0.0</v>
      </c>
      <c r="AJ55" s="2">
        <v>0.0</v>
      </c>
      <c r="AK55" s="2">
        <v>0.0</v>
      </c>
      <c r="AL55" s="2">
        <v>1.0</v>
      </c>
      <c r="AP55" s="2">
        <v>4.87826428E8</v>
      </c>
      <c r="AQ55" s="1" t="s">
        <v>157</v>
      </c>
      <c r="AR55" s="2">
        <v>45805.496099537035</v>
      </c>
      <c r="AU55" s="1" t="s">
        <v>64</v>
      </c>
      <c r="AW55" s="1" t="s">
        <v>84</v>
      </c>
      <c r="AY55" s="2">
        <v>49.0</v>
      </c>
    </row>
    <row r="56">
      <c r="A56" s="1" t="s">
        <v>51</v>
      </c>
      <c r="C56" s="1" t="s">
        <v>53</v>
      </c>
      <c r="E56" s="1" t="s">
        <v>53</v>
      </c>
      <c r="F56" s="1" t="s">
        <v>158</v>
      </c>
      <c r="G56" s="2">
        <v>45.0</v>
      </c>
      <c r="H56" s="1" t="s">
        <v>66</v>
      </c>
      <c r="I56" s="1" t="s">
        <v>121</v>
      </c>
      <c r="J56" s="1" t="s">
        <v>86</v>
      </c>
      <c r="K56" s="1" t="s">
        <v>87</v>
      </c>
      <c r="M56" s="1" t="s">
        <v>58</v>
      </c>
      <c r="N56" s="1" t="s">
        <v>58</v>
      </c>
      <c r="O56" s="1" t="s">
        <v>70</v>
      </c>
      <c r="Q56" s="1" t="s">
        <v>58</v>
      </c>
      <c r="R56" s="1" t="s">
        <v>58</v>
      </c>
      <c r="S56" s="1" t="s">
        <v>58</v>
      </c>
      <c r="T56" s="1" t="s">
        <v>69</v>
      </c>
      <c r="U56" s="1" t="s">
        <v>70</v>
      </c>
      <c r="V56" s="1" t="s">
        <v>69</v>
      </c>
      <c r="W56" s="1" t="s">
        <v>69</v>
      </c>
      <c r="X56" s="1" t="s">
        <v>59</v>
      </c>
      <c r="Y56" s="1" t="s">
        <v>82</v>
      </c>
      <c r="Z56" s="1" t="s">
        <v>89</v>
      </c>
      <c r="AA56" s="2">
        <v>10.0</v>
      </c>
      <c r="AB56" s="1" t="s">
        <v>79</v>
      </c>
      <c r="AC56" s="1" t="s">
        <v>71</v>
      </c>
      <c r="AF56" s="1" t="s">
        <v>51</v>
      </c>
      <c r="AG56" s="1" t="s">
        <v>51</v>
      </c>
      <c r="AH56" s="2">
        <v>250.0</v>
      </c>
      <c r="AI56" s="2">
        <v>0.0</v>
      </c>
      <c r="AJ56" s="2">
        <v>0.0</v>
      </c>
      <c r="AK56" s="2">
        <v>0.0</v>
      </c>
      <c r="AL56" s="2">
        <v>1.0</v>
      </c>
      <c r="AM56" s="1" t="s">
        <v>72</v>
      </c>
      <c r="AP56" s="2">
        <v>4.87873583E8</v>
      </c>
      <c r="AQ56" s="1" t="s">
        <v>159</v>
      </c>
      <c r="AR56" s="2">
        <v>45805.533530092594</v>
      </c>
      <c r="AU56" s="1" t="s">
        <v>64</v>
      </c>
      <c r="AW56" s="1" t="s">
        <v>84</v>
      </c>
      <c r="AY56" s="2">
        <v>50.0</v>
      </c>
    </row>
    <row r="57">
      <c r="A57" s="1" t="s">
        <v>51</v>
      </c>
      <c r="C57" s="1" t="s">
        <v>52</v>
      </c>
      <c r="E57" s="1" t="s">
        <v>105</v>
      </c>
      <c r="G57" s="2">
        <v>44.0</v>
      </c>
      <c r="H57" s="1" t="s">
        <v>66</v>
      </c>
      <c r="J57" s="1" t="s">
        <v>86</v>
      </c>
      <c r="K57" s="1" t="s">
        <v>87</v>
      </c>
      <c r="M57" s="1" t="s">
        <v>58</v>
      </c>
      <c r="N57" s="1" t="s">
        <v>58</v>
      </c>
      <c r="O57" s="1" t="s">
        <v>69</v>
      </c>
      <c r="Q57" s="1" t="s">
        <v>58</v>
      </c>
      <c r="R57" s="1" t="s">
        <v>58</v>
      </c>
      <c r="S57" s="1" t="s">
        <v>69</v>
      </c>
      <c r="T57" s="1" t="s">
        <v>70</v>
      </c>
      <c r="U57" s="1" t="s">
        <v>70</v>
      </c>
      <c r="V57" s="1" t="s">
        <v>70</v>
      </c>
      <c r="W57" s="1" t="s">
        <v>69</v>
      </c>
      <c r="X57" s="1" t="s">
        <v>81</v>
      </c>
      <c r="Y57" s="1" t="s">
        <v>95</v>
      </c>
      <c r="Z57" s="1" t="s">
        <v>89</v>
      </c>
      <c r="AA57" s="2">
        <v>100.0</v>
      </c>
      <c r="AB57" s="1" t="s">
        <v>62</v>
      </c>
      <c r="AC57" s="1" t="s">
        <v>71</v>
      </c>
      <c r="AF57" s="1" t="s">
        <v>51</v>
      </c>
      <c r="AG57" s="1" t="s">
        <v>72</v>
      </c>
      <c r="AI57" s="2">
        <v>0.0</v>
      </c>
      <c r="AJ57" s="2">
        <v>0.0</v>
      </c>
      <c r="AK57" s="2">
        <v>0.0</v>
      </c>
      <c r="AL57" s="2">
        <v>1.0</v>
      </c>
      <c r="AP57" s="2">
        <v>4.87902328E8</v>
      </c>
      <c r="AQ57" s="1" t="s">
        <v>160</v>
      </c>
      <c r="AR57" s="2">
        <v>45805.5534375</v>
      </c>
      <c r="AU57" s="1" t="s">
        <v>64</v>
      </c>
      <c r="AW57" s="1" t="s">
        <v>84</v>
      </c>
      <c r="AY57" s="2">
        <v>51.0</v>
      </c>
    </row>
    <row r="58">
      <c r="A58" s="1" t="s">
        <v>51</v>
      </c>
      <c r="C58" s="1" t="s">
        <v>53</v>
      </c>
      <c r="E58" s="1" t="s">
        <v>53</v>
      </c>
      <c r="F58" s="1" t="s">
        <v>161</v>
      </c>
      <c r="G58" s="2">
        <v>41.0</v>
      </c>
      <c r="H58" s="1" t="s">
        <v>66</v>
      </c>
      <c r="I58" s="1" t="s">
        <v>121</v>
      </c>
      <c r="J58" s="1" t="s">
        <v>111</v>
      </c>
      <c r="K58" s="1" t="s">
        <v>87</v>
      </c>
      <c r="M58" s="1" t="s">
        <v>58</v>
      </c>
      <c r="N58" s="1" t="s">
        <v>58</v>
      </c>
      <c r="O58" s="1" t="s">
        <v>69</v>
      </c>
      <c r="Q58" s="1" t="s">
        <v>58</v>
      </c>
      <c r="R58" s="1" t="s">
        <v>58</v>
      </c>
      <c r="S58" s="1" t="s">
        <v>58</v>
      </c>
      <c r="T58" s="1" t="s">
        <v>69</v>
      </c>
      <c r="U58" s="1" t="s">
        <v>69</v>
      </c>
      <c r="V58" s="1" t="s">
        <v>58</v>
      </c>
      <c r="W58" s="1" t="s">
        <v>69</v>
      </c>
      <c r="X58" s="1" t="s">
        <v>88</v>
      </c>
      <c r="Y58" s="1" t="s">
        <v>95</v>
      </c>
      <c r="Z58" s="1" t="s">
        <v>61</v>
      </c>
      <c r="AA58" s="2">
        <v>100.0</v>
      </c>
      <c r="AB58" s="1" t="s">
        <v>62</v>
      </c>
      <c r="AC58" s="1" t="s">
        <v>72</v>
      </c>
      <c r="AF58" s="1" t="s">
        <v>51</v>
      </c>
      <c r="AG58" s="1" t="s">
        <v>51</v>
      </c>
      <c r="AH58" s="2">
        <v>50.0</v>
      </c>
      <c r="AI58" s="2">
        <v>0.0</v>
      </c>
      <c r="AJ58" s="2">
        <v>0.0</v>
      </c>
      <c r="AK58" s="2">
        <v>0.0</v>
      </c>
      <c r="AL58" s="2">
        <v>1.0</v>
      </c>
      <c r="AM58" s="1" t="s">
        <v>51</v>
      </c>
      <c r="AN58" s="2">
        <v>7.16262093E8</v>
      </c>
      <c r="AP58" s="2">
        <v>4.87913501E8</v>
      </c>
      <c r="AQ58" s="1" t="s">
        <v>162</v>
      </c>
      <c r="AR58" s="2">
        <v>45805.56046296296</v>
      </c>
      <c r="AU58" s="1" t="s">
        <v>64</v>
      </c>
      <c r="AW58" s="1" t="s">
        <v>84</v>
      </c>
      <c r="AY58" s="2">
        <v>52.0</v>
      </c>
    </row>
    <row r="59">
      <c r="A59" s="1" t="s">
        <v>51</v>
      </c>
      <c r="C59" s="1" t="s">
        <v>52</v>
      </c>
      <c r="E59" s="1" t="s">
        <v>53</v>
      </c>
      <c r="F59" s="1" t="s">
        <v>102</v>
      </c>
      <c r="G59" s="2">
        <v>45.0</v>
      </c>
      <c r="H59" s="1" t="s">
        <v>55</v>
      </c>
      <c r="I59" s="1" t="s">
        <v>67</v>
      </c>
      <c r="J59" s="1" t="s">
        <v>86</v>
      </c>
      <c r="K59" s="1" t="s">
        <v>87</v>
      </c>
      <c r="M59" s="1" t="s">
        <v>58</v>
      </c>
      <c r="N59" s="1" t="s">
        <v>58</v>
      </c>
      <c r="O59" s="1" t="s">
        <v>58</v>
      </c>
      <c r="Q59" s="1" t="s">
        <v>70</v>
      </c>
      <c r="R59" s="1" t="s">
        <v>58</v>
      </c>
      <c r="S59" s="1" t="s">
        <v>69</v>
      </c>
      <c r="T59" s="1" t="s">
        <v>58</v>
      </c>
      <c r="U59" s="1" t="s">
        <v>70</v>
      </c>
      <c r="V59" s="1" t="s">
        <v>58</v>
      </c>
      <c r="W59" s="1" t="s">
        <v>69</v>
      </c>
      <c r="X59" s="1" t="s">
        <v>81</v>
      </c>
      <c r="Y59" s="1" t="s">
        <v>95</v>
      </c>
      <c r="Z59" s="1" t="s">
        <v>89</v>
      </c>
      <c r="AA59" s="2">
        <v>50.0</v>
      </c>
      <c r="AB59" s="1" t="s">
        <v>62</v>
      </c>
      <c r="AC59" s="1" t="s">
        <v>71</v>
      </c>
      <c r="AF59" s="1" t="s">
        <v>51</v>
      </c>
      <c r="AG59" s="1" t="s">
        <v>72</v>
      </c>
      <c r="AI59" s="2">
        <v>0.0</v>
      </c>
      <c r="AJ59" s="2">
        <v>0.0</v>
      </c>
      <c r="AK59" s="2">
        <v>0.0</v>
      </c>
      <c r="AL59" s="2">
        <v>1.0</v>
      </c>
      <c r="AM59" s="1" t="s">
        <v>72</v>
      </c>
      <c r="AP59" s="2">
        <v>4.87937854E8</v>
      </c>
      <c r="AQ59" s="1" t="s">
        <v>163</v>
      </c>
      <c r="AR59" s="2">
        <v>45805.575833333336</v>
      </c>
      <c r="AU59" s="1" t="s">
        <v>64</v>
      </c>
      <c r="AW59" s="1" t="s">
        <v>84</v>
      </c>
      <c r="AY59" s="2">
        <v>53.0</v>
      </c>
    </row>
    <row r="60">
      <c r="A60" s="1" t="s">
        <v>51</v>
      </c>
      <c r="C60" s="1" t="s">
        <v>52</v>
      </c>
      <c r="E60" s="1" t="s">
        <v>53</v>
      </c>
      <c r="F60" s="1" t="s">
        <v>102</v>
      </c>
      <c r="G60" s="2">
        <v>37.0</v>
      </c>
      <c r="H60" s="1" t="s">
        <v>55</v>
      </c>
      <c r="I60" s="1" t="s">
        <v>67</v>
      </c>
      <c r="J60" s="1" t="s">
        <v>86</v>
      </c>
      <c r="K60" s="1" t="s">
        <v>87</v>
      </c>
      <c r="M60" s="1" t="s">
        <v>58</v>
      </c>
      <c r="N60" s="1" t="s">
        <v>58</v>
      </c>
      <c r="O60" s="1" t="s">
        <v>58</v>
      </c>
      <c r="Q60" s="1" t="s">
        <v>69</v>
      </c>
      <c r="R60" s="1" t="s">
        <v>58</v>
      </c>
      <c r="S60" s="1" t="s">
        <v>69</v>
      </c>
      <c r="T60" s="1" t="s">
        <v>69</v>
      </c>
      <c r="U60" s="1" t="s">
        <v>69</v>
      </c>
      <c r="V60" s="1" t="s">
        <v>70</v>
      </c>
      <c r="W60" s="1" t="s">
        <v>69</v>
      </c>
      <c r="X60" s="1" t="s">
        <v>88</v>
      </c>
      <c r="Y60" s="1" t="s">
        <v>95</v>
      </c>
      <c r="Z60" s="1" t="s">
        <v>89</v>
      </c>
      <c r="AA60" s="2">
        <v>50.0</v>
      </c>
      <c r="AB60" s="1" t="s">
        <v>62</v>
      </c>
      <c r="AC60" s="1" t="s">
        <v>71</v>
      </c>
      <c r="AF60" s="1" t="s">
        <v>51</v>
      </c>
      <c r="AG60" s="1" t="s">
        <v>72</v>
      </c>
      <c r="AI60" s="2">
        <v>0.0</v>
      </c>
      <c r="AJ60" s="2">
        <v>0.0</v>
      </c>
      <c r="AK60" s="2">
        <v>1.0</v>
      </c>
      <c r="AL60" s="2">
        <v>0.0</v>
      </c>
      <c r="AM60" s="1" t="s">
        <v>72</v>
      </c>
      <c r="AP60" s="2">
        <v>4.87977877E8</v>
      </c>
      <c r="AQ60" s="1" t="s">
        <v>164</v>
      </c>
      <c r="AR60" s="2">
        <v>45805.59931712963</v>
      </c>
      <c r="AU60" s="1" t="s">
        <v>64</v>
      </c>
      <c r="AW60" s="1" t="s">
        <v>165</v>
      </c>
      <c r="AY60" s="2">
        <v>54.0</v>
      </c>
    </row>
    <row r="61">
      <c r="A61" s="1" t="s">
        <v>51</v>
      </c>
      <c r="C61" s="1" t="s">
        <v>52</v>
      </c>
      <c r="E61" s="1" t="s">
        <v>53</v>
      </c>
      <c r="F61" s="1" t="s">
        <v>102</v>
      </c>
      <c r="G61" s="2">
        <v>44.0</v>
      </c>
      <c r="H61" s="1" t="s">
        <v>66</v>
      </c>
      <c r="I61" s="1" t="s">
        <v>67</v>
      </c>
      <c r="J61" s="1" t="s">
        <v>111</v>
      </c>
      <c r="K61" s="1" t="s">
        <v>87</v>
      </c>
      <c r="M61" s="1" t="s">
        <v>58</v>
      </c>
      <c r="N61" s="1" t="s">
        <v>58</v>
      </c>
      <c r="O61" s="1" t="s">
        <v>58</v>
      </c>
      <c r="Q61" s="1" t="s">
        <v>69</v>
      </c>
      <c r="R61" s="1" t="s">
        <v>58</v>
      </c>
      <c r="S61" s="1" t="s">
        <v>69</v>
      </c>
      <c r="T61" s="1" t="s">
        <v>69</v>
      </c>
      <c r="U61" s="1" t="s">
        <v>58</v>
      </c>
      <c r="V61" s="1" t="s">
        <v>58</v>
      </c>
      <c r="W61" s="1" t="s">
        <v>69</v>
      </c>
      <c r="X61" s="1" t="s">
        <v>88</v>
      </c>
      <c r="Y61" s="1" t="s">
        <v>95</v>
      </c>
      <c r="Z61" s="1" t="s">
        <v>89</v>
      </c>
      <c r="AA61" s="2">
        <v>100.0</v>
      </c>
      <c r="AB61" s="1" t="s">
        <v>79</v>
      </c>
      <c r="AC61" s="1" t="s">
        <v>71</v>
      </c>
      <c r="AF61" s="1" t="s">
        <v>51</v>
      </c>
      <c r="AG61" s="1" t="s">
        <v>72</v>
      </c>
      <c r="AI61" s="2">
        <v>0.0</v>
      </c>
      <c r="AJ61" s="2">
        <v>1.0</v>
      </c>
      <c r="AK61" s="2">
        <v>1.0</v>
      </c>
      <c r="AL61" s="2">
        <v>0.0</v>
      </c>
      <c r="AM61" s="1" t="s">
        <v>72</v>
      </c>
      <c r="AP61" s="2">
        <v>4.88028391E8</v>
      </c>
      <c r="AQ61" s="1" t="s">
        <v>166</v>
      </c>
      <c r="AR61" s="2">
        <v>45805.62755787037</v>
      </c>
      <c r="AU61" s="1" t="s">
        <v>64</v>
      </c>
      <c r="AW61" s="1" t="s">
        <v>165</v>
      </c>
      <c r="AY61" s="2">
        <v>55.0</v>
      </c>
    </row>
    <row r="62">
      <c r="A62" s="1" t="s">
        <v>51</v>
      </c>
      <c r="C62" s="1" t="s">
        <v>52</v>
      </c>
      <c r="E62" s="1" t="s">
        <v>53</v>
      </c>
      <c r="F62" s="1" t="s">
        <v>54</v>
      </c>
      <c r="G62" s="2">
        <v>45.0</v>
      </c>
      <c r="H62" s="1" t="s">
        <v>66</v>
      </c>
      <c r="I62" s="1" t="s">
        <v>67</v>
      </c>
      <c r="J62" s="1" t="s">
        <v>111</v>
      </c>
      <c r="K62" s="1" t="s">
        <v>87</v>
      </c>
      <c r="M62" s="1" t="s">
        <v>58</v>
      </c>
      <c r="N62" s="1" t="s">
        <v>58</v>
      </c>
      <c r="O62" s="1" t="s">
        <v>69</v>
      </c>
      <c r="Q62" s="1" t="s">
        <v>58</v>
      </c>
      <c r="R62" s="1" t="s">
        <v>58</v>
      </c>
      <c r="S62" s="1" t="s">
        <v>69</v>
      </c>
      <c r="T62" s="1" t="s">
        <v>58</v>
      </c>
      <c r="U62" s="1" t="s">
        <v>58</v>
      </c>
      <c r="V62" s="1" t="s">
        <v>58</v>
      </c>
      <c r="W62" s="1" t="s">
        <v>69</v>
      </c>
      <c r="X62" s="1" t="s">
        <v>81</v>
      </c>
      <c r="Y62" s="1" t="s">
        <v>82</v>
      </c>
      <c r="Z62" s="1" t="s">
        <v>61</v>
      </c>
      <c r="AA62" s="2">
        <v>100.0</v>
      </c>
      <c r="AB62" s="1" t="s">
        <v>79</v>
      </c>
      <c r="AC62" s="1" t="s">
        <v>71</v>
      </c>
      <c r="AF62" s="1" t="s">
        <v>51</v>
      </c>
      <c r="AG62" s="1" t="s">
        <v>51</v>
      </c>
      <c r="AI62" s="2">
        <v>0.0</v>
      </c>
      <c r="AJ62" s="2">
        <v>0.0</v>
      </c>
      <c r="AK62" s="2">
        <v>0.0</v>
      </c>
      <c r="AL62" s="2">
        <v>1.0</v>
      </c>
      <c r="AM62" s="1" t="s">
        <v>51</v>
      </c>
      <c r="AN62" s="2">
        <v>7.39553284E8</v>
      </c>
      <c r="AP62" s="2">
        <v>4.8804228E8</v>
      </c>
      <c r="AQ62" s="1" t="s">
        <v>167</v>
      </c>
      <c r="AR62" s="2">
        <v>45805.635358796295</v>
      </c>
      <c r="AU62" s="1" t="s">
        <v>64</v>
      </c>
      <c r="AW62" s="1" t="s">
        <v>165</v>
      </c>
      <c r="AY62" s="2">
        <v>56.0</v>
      </c>
    </row>
    <row r="63">
      <c r="A63" s="1" t="s">
        <v>51</v>
      </c>
      <c r="C63" s="1" t="s">
        <v>131</v>
      </c>
      <c r="E63" s="1" t="s">
        <v>131</v>
      </c>
      <c r="G63" s="2">
        <v>53.0</v>
      </c>
      <c r="H63" s="1" t="s">
        <v>55</v>
      </c>
      <c r="J63" s="1" t="s">
        <v>86</v>
      </c>
      <c r="K63" s="1" t="s">
        <v>87</v>
      </c>
      <c r="M63" s="1" t="s">
        <v>58</v>
      </c>
      <c r="N63" s="1" t="s">
        <v>58</v>
      </c>
      <c r="O63" s="1" t="s">
        <v>70</v>
      </c>
      <c r="Q63" s="1" t="s">
        <v>69</v>
      </c>
      <c r="R63" s="1" t="s">
        <v>58</v>
      </c>
      <c r="S63" s="1" t="s">
        <v>69</v>
      </c>
      <c r="T63" s="1" t="s">
        <v>69</v>
      </c>
      <c r="U63" s="1" t="s">
        <v>70</v>
      </c>
      <c r="V63" s="1" t="s">
        <v>58</v>
      </c>
      <c r="W63" s="1" t="s">
        <v>69</v>
      </c>
      <c r="X63" s="1" t="s">
        <v>59</v>
      </c>
      <c r="Z63" s="1" t="s">
        <v>108</v>
      </c>
      <c r="AA63" s="2">
        <v>10.0</v>
      </c>
      <c r="AB63" s="1" t="s">
        <v>62</v>
      </c>
      <c r="AF63" s="1" t="s">
        <v>51</v>
      </c>
      <c r="AG63" s="1" t="s">
        <v>72</v>
      </c>
      <c r="AI63" s="2">
        <v>0.0</v>
      </c>
      <c r="AJ63" s="2">
        <v>0.0</v>
      </c>
      <c r="AK63" s="2">
        <v>0.0</v>
      </c>
      <c r="AL63" s="2">
        <v>1.0</v>
      </c>
      <c r="AP63" s="2">
        <v>4.88064602E8</v>
      </c>
      <c r="AQ63" s="1" t="s">
        <v>168</v>
      </c>
      <c r="AR63" s="2">
        <v>45805.64787037037</v>
      </c>
      <c r="AU63" s="1" t="s">
        <v>64</v>
      </c>
      <c r="AW63" s="1" t="s">
        <v>165</v>
      </c>
      <c r="AY63" s="2">
        <v>57.0</v>
      </c>
    </row>
    <row r="64">
      <c r="A64" s="1" t="s">
        <v>51</v>
      </c>
      <c r="C64" s="1" t="s">
        <v>52</v>
      </c>
      <c r="E64" s="1" t="s">
        <v>53</v>
      </c>
      <c r="F64" s="1" t="s">
        <v>161</v>
      </c>
      <c r="G64" s="2">
        <v>45.0</v>
      </c>
      <c r="H64" s="1" t="s">
        <v>55</v>
      </c>
      <c r="I64" s="1" t="s">
        <v>67</v>
      </c>
      <c r="J64" s="1" t="s">
        <v>86</v>
      </c>
      <c r="K64" s="1" t="s">
        <v>87</v>
      </c>
      <c r="M64" s="1" t="s">
        <v>58</v>
      </c>
      <c r="N64" s="1" t="s">
        <v>58</v>
      </c>
      <c r="O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103</v>
      </c>
      <c r="Y64" s="1" t="s">
        <v>95</v>
      </c>
      <c r="Z64" s="1" t="s">
        <v>96</v>
      </c>
      <c r="AA64" s="2">
        <v>100.0</v>
      </c>
      <c r="AB64" s="1" t="s">
        <v>28</v>
      </c>
      <c r="AC64" s="1" t="s">
        <v>51</v>
      </c>
      <c r="AD64" s="1" t="s">
        <v>88</v>
      </c>
      <c r="AE64" s="1" t="s">
        <v>51</v>
      </c>
      <c r="AF64" s="1" t="s">
        <v>51</v>
      </c>
      <c r="AG64" s="1" t="s">
        <v>72</v>
      </c>
      <c r="AI64" s="2">
        <v>0.0</v>
      </c>
      <c r="AJ64" s="2">
        <v>0.0</v>
      </c>
      <c r="AK64" s="2">
        <v>1.0</v>
      </c>
      <c r="AL64" s="2">
        <v>0.0</v>
      </c>
      <c r="AM64" s="1" t="s">
        <v>72</v>
      </c>
      <c r="AP64" s="2">
        <v>4.88106386E8</v>
      </c>
      <c r="AQ64" s="1" t="s">
        <v>169</v>
      </c>
      <c r="AR64" s="2">
        <v>45805.670960648145</v>
      </c>
      <c r="AU64" s="1" t="s">
        <v>64</v>
      </c>
      <c r="AW64" s="1" t="s">
        <v>165</v>
      </c>
      <c r="AY64" s="2">
        <v>58.0</v>
      </c>
    </row>
    <row r="65">
      <c r="A65" s="1" t="s">
        <v>51</v>
      </c>
      <c r="C65" s="1" t="s">
        <v>170</v>
      </c>
      <c r="E65" s="1" t="s">
        <v>53</v>
      </c>
      <c r="F65" s="1" t="s">
        <v>54</v>
      </c>
      <c r="G65" s="2">
        <v>51.0</v>
      </c>
      <c r="H65" s="1" t="s">
        <v>55</v>
      </c>
      <c r="I65" s="1" t="s">
        <v>67</v>
      </c>
      <c r="J65" s="1" t="s">
        <v>68</v>
      </c>
      <c r="K65" s="1" t="s">
        <v>74</v>
      </c>
      <c r="M65" s="1" t="s">
        <v>58</v>
      </c>
      <c r="N65" s="1" t="s">
        <v>58</v>
      </c>
      <c r="O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81</v>
      </c>
      <c r="Y65" s="1" t="s">
        <v>82</v>
      </c>
      <c r="Z65" s="1" t="s">
        <v>89</v>
      </c>
      <c r="AA65" s="2">
        <v>20.0</v>
      </c>
      <c r="AB65" s="1" t="s">
        <v>79</v>
      </c>
      <c r="AC65" s="1" t="s">
        <v>51</v>
      </c>
      <c r="AM65" s="1" t="s">
        <v>51</v>
      </c>
      <c r="AN65" s="2">
        <v>6.4483844E8</v>
      </c>
      <c r="AP65" s="2">
        <v>4.88131078E8</v>
      </c>
      <c r="AQ65" s="1" t="s">
        <v>171</v>
      </c>
      <c r="AR65" s="2">
        <v>45805.68454861111</v>
      </c>
      <c r="AU65" s="1" t="s">
        <v>64</v>
      </c>
      <c r="AW65" s="1" t="s">
        <v>165</v>
      </c>
      <c r="AY65" s="2">
        <v>59.0</v>
      </c>
    </row>
    <row r="66">
      <c r="A66" s="1" t="s">
        <v>51</v>
      </c>
      <c r="C66" s="1" t="s">
        <v>170</v>
      </c>
      <c r="E66" s="1" t="s">
        <v>53</v>
      </c>
      <c r="F66" s="1" t="s">
        <v>54</v>
      </c>
      <c r="H66" s="1" t="s">
        <v>66</v>
      </c>
      <c r="I66" s="1" t="s">
        <v>100</v>
      </c>
      <c r="J66" s="1" t="s">
        <v>56</v>
      </c>
      <c r="K66" s="1" t="s">
        <v>74</v>
      </c>
      <c r="M66" s="1" t="s">
        <v>58</v>
      </c>
      <c r="N66" s="1" t="s">
        <v>58</v>
      </c>
      <c r="O66" s="1" t="s">
        <v>69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103</v>
      </c>
      <c r="Y66" s="1" t="s">
        <v>172</v>
      </c>
      <c r="Z66" s="1" t="s">
        <v>89</v>
      </c>
      <c r="AA66" s="2">
        <v>30.0</v>
      </c>
      <c r="AB66" s="1" t="s">
        <v>28</v>
      </c>
      <c r="AC66" s="1" t="s">
        <v>72</v>
      </c>
      <c r="AF66" s="1" t="s">
        <v>51</v>
      </c>
      <c r="AG66" s="1" t="s">
        <v>51</v>
      </c>
      <c r="AI66" s="2">
        <v>1.0</v>
      </c>
      <c r="AJ66" s="2">
        <v>1.0</v>
      </c>
      <c r="AK66" s="2">
        <v>1.0</v>
      </c>
      <c r="AL66" s="2">
        <v>0.0</v>
      </c>
      <c r="AM66" s="1" t="s">
        <v>72</v>
      </c>
      <c r="AP66" s="2">
        <v>4.88133757E8</v>
      </c>
      <c r="AQ66" s="1" t="s">
        <v>173</v>
      </c>
      <c r="AR66" s="2">
        <v>45805.68608796296</v>
      </c>
      <c r="AU66" s="1" t="s">
        <v>64</v>
      </c>
      <c r="AW66" s="1" t="s">
        <v>165</v>
      </c>
      <c r="AY66" s="2">
        <v>60.0</v>
      </c>
    </row>
    <row r="67">
      <c r="A67" s="1" t="s">
        <v>51</v>
      </c>
      <c r="C67" s="1" t="s">
        <v>52</v>
      </c>
      <c r="E67" s="1" t="s">
        <v>52</v>
      </c>
      <c r="G67" s="2">
        <v>45.0</v>
      </c>
      <c r="H67" s="1" t="s">
        <v>55</v>
      </c>
      <c r="J67" s="1" t="s">
        <v>86</v>
      </c>
      <c r="K67" s="1" t="s">
        <v>87</v>
      </c>
      <c r="M67" s="1" t="s">
        <v>58</v>
      </c>
      <c r="N67" s="1" t="s">
        <v>58</v>
      </c>
      <c r="O67" s="1" t="s">
        <v>58</v>
      </c>
      <c r="Q67" s="1" t="s">
        <v>58</v>
      </c>
      <c r="R67" s="1" t="s">
        <v>58</v>
      </c>
      <c r="S67" s="1" t="s">
        <v>58</v>
      </c>
      <c r="T67" s="1" t="s">
        <v>69</v>
      </c>
      <c r="U67" s="1" t="s">
        <v>58</v>
      </c>
      <c r="V67" s="1" t="s">
        <v>58</v>
      </c>
      <c r="W67" s="1" t="s">
        <v>58</v>
      </c>
      <c r="X67" s="1" t="s">
        <v>88</v>
      </c>
      <c r="Y67" s="1" t="s">
        <v>60</v>
      </c>
      <c r="Z67" s="1" t="s">
        <v>89</v>
      </c>
      <c r="AA67" s="2">
        <v>100.0</v>
      </c>
      <c r="AB67" s="1" t="s">
        <v>62</v>
      </c>
      <c r="AC67" s="1" t="s">
        <v>71</v>
      </c>
      <c r="AF67" s="1" t="s">
        <v>51</v>
      </c>
      <c r="AG67" s="1" t="s">
        <v>72</v>
      </c>
      <c r="AI67" s="2">
        <v>0.0</v>
      </c>
      <c r="AJ67" s="2">
        <v>0.0</v>
      </c>
      <c r="AK67" s="2">
        <v>0.0</v>
      </c>
      <c r="AL67" s="2">
        <v>1.0</v>
      </c>
      <c r="AP67" s="2">
        <v>4.88135385E8</v>
      </c>
      <c r="AQ67" s="1" t="s">
        <v>174</v>
      </c>
      <c r="AR67" s="2">
        <v>45805.68711805555</v>
      </c>
      <c r="AU67" s="1" t="s">
        <v>64</v>
      </c>
      <c r="AW67" s="1" t="s">
        <v>165</v>
      </c>
      <c r="AY67" s="2">
        <v>61.0</v>
      </c>
    </row>
    <row r="68">
      <c r="A68" s="1" t="s">
        <v>51</v>
      </c>
      <c r="C68" s="1" t="s">
        <v>52</v>
      </c>
      <c r="E68" s="1" t="s">
        <v>53</v>
      </c>
      <c r="F68" s="1" t="s">
        <v>54</v>
      </c>
      <c r="G68" s="2">
        <v>47.0</v>
      </c>
      <c r="H68" s="1" t="s">
        <v>66</v>
      </c>
      <c r="I68" s="1" t="s">
        <v>67</v>
      </c>
      <c r="J68" s="1" t="s">
        <v>86</v>
      </c>
      <c r="K68" s="1" t="s">
        <v>74</v>
      </c>
      <c r="M68" s="1" t="s">
        <v>58</v>
      </c>
      <c r="N68" s="1" t="s">
        <v>58</v>
      </c>
      <c r="O68" s="1" t="s">
        <v>69</v>
      </c>
      <c r="Q68" s="1" t="s">
        <v>69</v>
      </c>
      <c r="R68" s="1" t="s">
        <v>58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81</v>
      </c>
      <c r="Y68" s="1" t="s">
        <v>82</v>
      </c>
      <c r="Z68" s="1" t="s">
        <v>89</v>
      </c>
      <c r="AA68" s="2">
        <v>10.0</v>
      </c>
      <c r="AB68" s="1" t="s">
        <v>79</v>
      </c>
      <c r="AC68" s="1" t="s">
        <v>71</v>
      </c>
      <c r="AF68" s="1" t="s">
        <v>51</v>
      </c>
      <c r="AG68" s="1" t="s">
        <v>51</v>
      </c>
      <c r="AH68" s="2">
        <v>100.0</v>
      </c>
      <c r="AI68" s="2">
        <v>0.0</v>
      </c>
      <c r="AJ68" s="2">
        <v>0.0</v>
      </c>
      <c r="AK68" s="2">
        <v>0.0</v>
      </c>
      <c r="AL68" s="2">
        <v>1.0</v>
      </c>
      <c r="AM68" s="1" t="s">
        <v>51</v>
      </c>
      <c r="AN68" s="2">
        <v>6.10832654E8</v>
      </c>
      <c r="AP68" s="2">
        <v>4.88197952E8</v>
      </c>
      <c r="AQ68" s="1" t="s">
        <v>175</v>
      </c>
      <c r="AR68" s="2">
        <v>45805.72736111111</v>
      </c>
      <c r="AU68" s="1" t="s">
        <v>64</v>
      </c>
      <c r="AW68" s="1" t="s">
        <v>165</v>
      </c>
      <c r="AY68" s="2">
        <v>62.0</v>
      </c>
    </row>
    <row r="69">
      <c r="A69" s="1" t="s">
        <v>51</v>
      </c>
      <c r="C69" s="1" t="s">
        <v>53</v>
      </c>
      <c r="E69" s="1" t="s">
        <v>53</v>
      </c>
      <c r="F69" s="1" t="s">
        <v>102</v>
      </c>
      <c r="G69" s="2">
        <v>32.0</v>
      </c>
      <c r="H69" s="1" t="s">
        <v>55</v>
      </c>
      <c r="I69" s="1" t="s">
        <v>121</v>
      </c>
      <c r="J69" s="1" t="s">
        <v>86</v>
      </c>
      <c r="K69" s="1" t="s">
        <v>87</v>
      </c>
      <c r="M69" s="1" t="s">
        <v>58</v>
      </c>
      <c r="N69" s="1" t="s">
        <v>58</v>
      </c>
      <c r="O69" s="1" t="s">
        <v>69</v>
      </c>
      <c r="Q69" s="1" t="s">
        <v>58</v>
      </c>
      <c r="R69" s="1" t="s">
        <v>58</v>
      </c>
      <c r="S69" s="1" t="s">
        <v>69</v>
      </c>
      <c r="T69" s="1" t="s">
        <v>69</v>
      </c>
      <c r="U69" s="1" t="s">
        <v>58</v>
      </c>
      <c r="V69" s="1" t="s">
        <v>58</v>
      </c>
      <c r="W69" s="1" t="s">
        <v>69</v>
      </c>
      <c r="X69" s="1" t="s">
        <v>81</v>
      </c>
      <c r="Y69" s="1" t="s">
        <v>82</v>
      </c>
      <c r="Z69" s="1" t="s">
        <v>89</v>
      </c>
      <c r="AA69" s="2">
        <v>10.0</v>
      </c>
      <c r="AB69" s="1" t="s">
        <v>79</v>
      </c>
      <c r="AC69" s="1" t="s">
        <v>71</v>
      </c>
      <c r="AF69" s="1" t="s">
        <v>51</v>
      </c>
      <c r="AG69" s="1" t="s">
        <v>72</v>
      </c>
      <c r="AI69" s="2">
        <v>1.0</v>
      </c>
      <c r="AJ69" s="2">
        <v>1.0</v>
      </c>
      <c r="AK69" s="2">
        <v>1.0</v>
      </c>
      <c r="AL69" s="2">
        <v>0.0</v>
      </c>
      <c r="AM69" s="1" t="s">
        <v>72</v>
      </c>
      <c r="AP69" s="2">
        <v>4.88202438E8</v>
      </c>
      <c r="AQ69" s="1" t="s">
        <v>176</v>
      </c>
      <c r="AR69" s="2">
        <v>45805.731203703705</v>
      </c>
      <c r="AU69" s="1" t="s">
        <v>64</v>
      </c>
      <c r="AW69" s="1" t="s">
        <v>165</v>
      </c>
      <c r="AY69" s="2">
        <v>63.0</v>
      </c>
    </row>
    <row r="70">
      <c r="A70" s="1" t="s">
        <v>51</v>
      </c>
      <c r="C70" s="1" t="s">
        <v>170</v>
      </c>
      <c r="E70" s="1" t="s">
        <v>53</v>
      </c>
      <c r="F70" s="1" t="s">
        <v>54</v>
      </c>
      <c r="G70" s="2">
        <v>27.0</v>
      </c>
      <c r="H70" s="1" t="s">
        <v>66</v>
      </c>
      <c r="I70" s="1" t="s">
        <v>67</v>
      </c>
      <c r="J70" s="1" t="s">
        <v>68</v>
      </c>
      <c r="K70" s="1" t="s">
        <v>74</v>
      </c>
      <c r="M70" s="1" t="s">
        <v>58</v>
      </c>
      <c r="N70" s="1" t="s">
        <v>58</v>
      </c>
      <c r="O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59</v>
      </c>
      <c r="Y70" s="1" t="s">
        <v>82</v>
      </c>
      <c r="Z70" s="1" t="s">
        <v>89</v>
      </c>
      <c r="AA70" s="2">
        <v>10.0</v>
      </c>
      <c r="AB70" s="1" t="s">
        <v>79</v>
      </c>
      <c r="AC70" s="1" t="s">
        <v>51</v>
      </c>
      <c r="AD70" s="1" t="s">
        <v>81</v>
      </c>
      <c r="AE70" s="1" t="s">
        <v>51</v>
      </c>
      <c r="AF70" s="1" t="s">
        <v>51</v>
      </c>
      <c r="AG70" s="1" t="s">
        <v>51</v>
      </c>
      <c r="AH70" s="2">
        <v>350.0</v>
      </c>
      <c r="AI70" s="2">
        <v>0.0</v>
      </c>
      <c r="AJ70" s="2">
        <v>1.0</v>
      </c>
      <c r="AK70" s="2">
        <v>0.0</v>
      </c>
      <c r="AL70" s="2">
        <v>0.0</v>
      </c>
      <c r="AM70" s="1" t="s">
        <v>51</v>
      </c>
      <c r="AN70" s="2">
        <v>6.59857007E8</v>
      </c>
      <c r="AP70" s="2">
        <v>4.88227278E8</v>
      </c>
      <c r="AQ70" s="1" t="s">
        <v>177</v>
      </c>
      <c r="AR70" s="2">
        <v>45805.75212962963</v>
      </c>
      <c r="AU70" s="1" t="s">
        <v>64</v>
      </c>
      <c r="AW70" s="1" t="s">
        <v>165</v>
      </c>
      <c r="AY70" s="2">
        <v>64.0</v>
      </c>
    </row>
    <row r="71">
      <c r="A71" s="1" t="s">
        <v>51</v>
      </c>
      <c r="C71" s="1" t="s">
        <v>151</v>
      </c>
      <c r="E71" s="1" t="s">
        <v>151</v>
      </c>
      <c r="G71" s="2">
        <v>52.0</v>
      </c>
      <c r="H71" s="1" t="s">
        <v>66</v>
      </c>
      <c r="J71" s="1" t="s">
        <v>86</v>
      </c>
      <c r="K71" s="1" t="s">
        <v>87</v>
      </c>
      <c r="M71" s="1" t="s">
        <v>58</v>
      </c>
      <c r="N71" s="1" t="s">
        <v>58</v>
      </c>
      <c r="O71" s="1" t="s">
        <v>58</v>
      </c>
      <c r="Q71" s="1" t="s">
        <v>69</v>
      </c>
      <c r="R71" s="1" t="s">
        <v>58</v>
      </c>
      <c r="S71" s="1" t="s">
        <v>69</v>
      </c>
      <c r="T71" s="1" t="s">
        <v>69</v>
      </c>
      <c r="U71" s="1" t="s">
        <v>58</v>
      </c>
      <c r="V71" s="1" t="s">
        <v>58</v>
      </c>
      <c r="W71" s="1" t="s">
        <v>69</v>
      </c>
      <c r="X71" s="1" t="s">
        <v>88</v>
      </c>
      <c r="Y71" s="1" t="s">
        <v>95</v>
      </c>
      <c r="Z71" s="1" t="s">
        <v>89</v>
      </c>
      <c r="AA71" s="2">
        <v>100.0</v>
      </c>
      <c r="AB71" s="1" t="s">
        <v>28</v>
      </c>
      <c r="AC71" s="1" t="s">
        <v>51</v>
      </c>
      <c r="AD71" s="1" t="s">
        <v>88</v>
      </c>
      <c r="AE71" s="1" t="s">
        <v>51</v>
      </c>
      <c r="AF71" s="1" t="s">
        <v>51</v>
      </c>
      <c r="AG71" s="1" t="s">
        <v>51</v>
      </c>
      <c r="AI71" s="2">
        <v>1.0</v>
      </c>
      <c r="AJ71" s="2">
        <v>1.0</v>
      </c>
      <c r="AK71" s="2">
        <v>1.0</v>
      </c>
      <c r="AL71" s="2">
        <v>0.0</v>
      </c>
      <c r="AP71" s="2">
        <v>4.8823866E8</v>
      </c>
      <c r="AQ71" s="1" t="s">
        <v>178</v>
      </c>
      <c r="AR71" s="2">
        <v>45805.76369212963</v>
      </c>
      <c r="AU71" s="1" t="s">
        <v>64</v>
      </c>
      <c r="AW71" s="1" t="s">
        <v>165</v>
      </c>
      <c r="AY71" s="2">
        <v>65.0</v>
      </c>
    </row>
    <row r="72">
      <c r="A72" s="1" t="s">
        <v>51</v>
      </c>
      <c r="C72" s="1" t="s">
        <v>151</v>
      </c>
      <c r="E72" s="1" t="s">
        <v>151</v>
      </c>
      <c r="G72" s="2">
        <v>44.0</v>
      </c>
      <c r="H72" s="1" t="s">
        <v>66</v>
      </c>
      <c r="J72" s="1" t="s">
        <v>86</v>
      </c>
      <c r="K72" s="1" t="s">
        <v>87</v>
      </c>
      <c r="M72" s="1" t="s">
        <v>58</v>
      </c>
      <c r="N72" s="1" t="s">
        <v>58</v>
      </c>
      <c r="O72" s="1" t="s">
        <v>58</v>
      </c>
      <c r="Q72" s="1" t="s">
        <v>69</v>
      </c>
      <c r="R72" s="1" t="s">
        <v>58</v>
      </c>
      <c r="S72" s="1" t="s">
        <v>58</v>
      </c>
      <c r="T72" s="1" t="s">
        <v>70</v>
      </c>
      <c r="U72" s="1" t="s">
        <v>69</v>
      </c>
      <c r="V72" s="1" t="s">
        <v>58</v>
      </c>
      <c r="W72" s="1" t="s">
        <v>70</v>
      </c>
      <c r="X72" s="1" t="s">
        <v>59</v>
      </c>
      <c r="Y72" s="1" t="s">
        <v>60</v>
      </c>
      <c r="Z72" s="1" t="s">
        <v>89</v>
      </c>
      <c r="AA72" s="2">
        <v>100.0</v>
      </c>
      <c r="AB72" s="1" t="s">
        <v>62</v>
      </c>
      <c r="AC72" s="1" t="s">
        <v>71</v>
      </c>
      <c r="AF72" s="1" t="s">
        <v>51</v>
      </c>
      <c r="AG72" s="1" t="s">
        <v>51</v>
      </c>
      <c r="AI72" s="2">
        <v>0.0</v>
      </c>
      <c r="AJ72" s="2">
        <v>0.0</v>
      </c>
      <c r="AK72" s="2">
        <v>1.0</v>
      </c>
      <c r="AL72" s="2">
        <v>0.0</v>
      </c>
      <c r="AP72" s="2">
        <v>4.88239373E8</v>
      </c>
      <c r="AQ72" s="1" t="s">
        <v>179</v>
      </c>
      <c r="AR72" s="2">
        <v>45805.76443287037</v>
      </c>
      <c r="AU72" s="1" t="s">
        <v>64</v>
      </c>
      <c r="AW72" s="1" t="s">
        <v>165</v>
      </c>
      <c r="AY72" s="2">
        <v>66.0</v>
      </c>
    </row>
    <row r="73">
      <c r="A73" s="1" t="s">
        <v>51</v>
      </c>
      <c r="C73" s="1" t="s">
        <v>151</v>
      </c>
      <c r="E73" s="1" t="s">
        <v>151</v>
      </c>
      <c r="G73" s="2">
        <v>41.0</v>
      </c>
      <c r="H73" s="1" t="s">
        <v>55</v>
      </c>
      <c r="J73" s="1" t="s">
        <v>86</v>
      </c>
      <c r="K73" s="1" t="s">
        <v>87</v>
      </c>
      <c r="M73" s="1" t="s">
        <v>58</v>
      </c>
      <c r="N73" s="1" t="s">
        <v>58</v>
      </c>
      <c r="O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81</v>
      </c>
      <c r="Y73" s="1" t="s">
        <v>95</v>
      </c>
      <c r="Z73" s="1" t="s">
        <v>96</v>
      </c>
      <c r="AA73" s="2">
        <v>100.0</v>
      </c>
      <c r="AB73" s="1" t="s">
        <v>62</v>
      </c>
      <c r="AC73" s="1" t="s">
        <v>51</v>
      </c>
      <c r="AD73" s="1" t="s">
        <v>81</v>
      </c>
      <c r="AE73" s="1" t="s">
        <v>51</v>
      </c>
      <c r="AF73" s="1" t="s">
        <v>51</v>
      </c>
      <c r="AG73" s="1" t="s">
        <v>51</v>
      </c>
      <c r="AH73" s="2">
        <v>200.0</v>
      </c>
      <c r="AI73" s="2">
        <v>1.0</v>
      </c>
      <c r="AJ73" s="2">
        <v>0.0</v>
      </c>
      <c r="AK73" s="2">
        <v>0.0</v>
      </c>
      <c r="AL73" s="2">
        <v>0.0</v>
      </c>
      <c r="AP73" s="2">
        <v>4.88239828E8</v>
      </c>
      <c r="AQ73" s="1" t="s">
        <v>180</v>
      </c>
      <c r="AR73" s="2">
        <v>45805.76497685185</v>
      </c>
      <c r="AU73" s="1" t="s">
        <v>64</v>
      </c>
      <c r="AW73" s="1" t="s">
        <v>165</v>
      </c>
      <c r="AY73" s="2">
        <v>67.0</v>
      </c>
    </row>
    <row r="74">
      <c r="A74" s="1" t="s">
        <v>51</v>
      </c>
      <c r="C74" s="1" t="s">
        <v>52</v>
      </c>
      <c r="E74" s="1" t="s">
        <v>151</v>
      </c>
      <c r="G74" s="2">
        <v>47.0</v>
      </c>
      <c r="H74" s="1" t="s">
        <v>55</v>
      </c>
      <c r="J74" s="1" t="s">
        <v>86</v>
      </c>
      <c r="K74" s="1" t="s">
        <v>87</v>
      </c>
      <c r="M74" s="1" t="s">
        <v>58</v>
      </c>
      <c r="N74" s="1" t="s">
        <v>58</v>
      </c>
      <c r="O74" s="1" t="s">
        <v>69</v>
      </c>
      <c r="Q74" s="1" t="s">
        <v>69</v>
      </c>
      <c r="R74" s="1" t="s">
        <v>58</v>
      </c>
      <c r="S74" s="1" t="s">
        <v>69</v>
      </c>
      <c r="T74" s="1" t="s">
        <v>69</v>
      </c>
      <c r="U74" s="1" t="s">
        <v>58</v>
      </c>
      <c r="V74" s="1" t="s">
        <v>58</v>
      </c>
      <c r="W74" s="1" t="s">
        <v>69</v>
      </c>
      <c r="X74" s="1" t="s">
        <v>103</v>
      </c>
      <c r="Y74" s="1" t="s">
        <v>60</v>
      </c>
      <c r="Z74" s="1" t="s">
        <v>89</v>
      </c>
      <c r="AA74" s="2">
        <v>100.0</v>
      </c>
      <c r="AB74" s="1" t="s">
        <v>62</v>
      </c>
      <c r="AC74" s="1" t="s">
        <v>71</v>
      </c>
      <c r="AF74" s="1" t="s">
        <v>51</v>
      </c>
      <c r="AG74" s="1" t="s">
        <v>72</v>
      </c>
      <c r="AI74" s="2">
        <v>0.0</v>
      </c>
      <c r="AJ74" s="2">
        <v>0.0</v>
      </c>
      <c r="AK74" s="2">
        <v>0.0</v>
      </c>
      <c r="AL74" s="2">
        <v>1.0</v>
      </c>
      <c r="AP74" s="2">
        <v>4.8824426E8</v>
      </c>
      <c r="AQ74" s="1" t="s">
        <v>181</v>
      </c>
      <c r="AR74" s="2">
        <v>45805.76894675926</v>
      </c>
      <c r="AU74" s="1" t="s">
        <v>64</v>
      </c>
      <c r="AW74" s="1" t="s">
        <v>165</v>
      </c>
      <c r="AY74" s="2">
        <v>68.0</v>
      </c>
    </row>
    <row r="75">
      <c r="A75" s="1" t="s">
        <v>51</v>
      </c>
      <c r="C75" s="1" t="s">
        <v>151</v>
      </c>
      <c r="E75" s="1" t="s">
        <v>151</v>
      </c>
      <c r="G75" s="2">
        <v>39.0</v>
      </c>
      <c r="H75" s="1" t="s">
        <v>66</v>
      </c>
      <c r="J75" s="1" t="s">
        <v>86</v>
      </c>
      <c r="K75" s="1" t="s">
        <v>87</v>
      </c>
      <c r="M75" s="1" t="s">
        <v>58</v>
      </c>
      <c r="N75" s="1" t="s">
        <v>58</v>
      </c>
      <c r="O75" s="1" t="s">
        <v>69</v>
      </c>
      <c r="Q75" s="1" t="s">
        <v>58</v>
      </c>
      <c r="R75" s="1" t="s">
        <v>58</v>
      </c>
      <c r="S75" s="1" t="s">
        <v>69</v>
      </c>
      <c r="T75" s="1" t="s">
        <v>69</v>
      </c>
      <c r="U75" s="1" t="s">
        <v>69</v>
      </c>
      <c r="V75" s="1" t="s">
        <v>58</v>
      </c>
      <c r="W75" s="1" t="s">
        <v>69</v>
      </c>
      <c r="X75" s="1" t="s">
        <v>88</v>
      </c>
      <c r="Y75" s="1" t="s">
        <v>95</v>
      </c>
      <c r="Z75" s="1" t="s">
        <v>89</v>
      </c>
      <c r="AA75" s="2">
        <v>100.0</v>
      </c>
      <c r="AB75" s="1" t="s">
        <v>62</v>
      </c>
      <c r="AC75" s="1" t="s">
        <v>71</v>
      </c>
      <c r="AF75" s="1" t="s">
        <v>51</v>
      </c>
      <c r="AG75" s="1" t="s">
        <v>72</v>
      </c>
      <c r="AI75" s="2">
        <v>1.0</v>
      </c>
      <c r="AJ75" s="2">
        <v>0.0</v>
      </c>
      <c r="AK75" s="2">
        <v>0.0</v>
      </c>
      <c r="AL75" s="2">
        <v>0.0</v>
      </c>
      <c r="AP75" s="2">
        <v>4.88245531E8</v>
      </c>
      <c r="AQ75" s="1" t="s">
        <v>182</v>
      </c>
      <c r="AR75" s="2">
        <v>45805.770474537036</v>
      </c>
      <c r="AU75" s="1" t="s">
        <v>64</v>
      </c>
      <c r="AW75" s="1" t="s">
        <v>165</v>
      </c>
      <c r="AY75" s="2">
        <v>69.0</v>
      </c>
    </row>
    <row r="76">
      <c r="A76" s="1" t="s">
        <v>51</v>
      </c>
      <c r="C76" s="1" t="s">
        <v>52</v>
      </c>
      <c r="E76" s="1" t="s">
        <v>53</v>
      </c>
      <c r="F76" s="1" t="s">
        <v>183</v>
      </c>
      <c r="H76" s="1" t="s">
        <v>55</v>
      </c>
      <c r="I76" s="1" t="s">
        <v>67</v>
      </c>
      <c r="J76" s="1" t="s">
        <v>86</v>
      </c>
      <c r="K76" s="1" t="s">
        <v>87</v>
      </c>
      <c r="M76" s="1" t="s">
        <v>58</v>
      </c>
      <c r="N76" s="1" t="s">
        <v>58</v>
      </c>
      <c r="O76" s="1" t="s">
        <v>58</v>
      </c>
      <c r="Q76" s="1" t="s">
        <v>69</v>
      </c>
      <c r="R76" s="1" t="s">
        <v>58</v>
      </c>
      <c r="S76" s="1" t="s">
        <v>69</v>
      </c>
      <c r="T76" s="1" t="s">
        <v>69</v>
      </c>
      <c r="U76" s="1" t="s">
        <v>70</v>
      </c>
      <c r="V76" s="1" t="s">
        <v>69</v>
      </c>
      <c r="W76" s="1" t="s">
        <v>69</v>
      </c>
      <c r="X76" s="1" t="s">
        <v>103</v>
      </c>
      <c r="Y76" s="1" t="s">
        <v>95</v>
      </c>
      <c r="Z76" s="1" t="s">
        <v>89</v>
      </c>
      <c r="AA76" s="2">
        <v>100.0</v>
      </c>
      <c r="AB76" s="1" t="s">
        <v>62</v>
      </c>
      <c r="AC76" s="1" t="s">
        <v>51</v>
      </c>
      <c r="AD76" s="1" t="s">
        <v>103</v>
      </c>
      <c r="AE76" s="1" t="s">
        <v>51</v>
      </c>
      <c r="AF76" s="1" t="s">
        <v>51</v>
      </c>
      <c r="AG76" s="1" t="s">
        <v>51</v>
      </c>
      <c r="AH76" s="2">
        <v>20.0</v>
      </c>
      <c r="AI76" s="2">
        <v>0.0</v>
      </c>
      <c r="AJ76" s="2">
        <v>0.0</v>
      </c>
      <c r="AK76" s="2">
        <v>1.0</v>
      </c>
      <c r="AL76" s="2">
        <v>0.0</v>
      </c>
      <c r="AM76" s="1" t="s">
        <v>51</v>
      </c>
      <c r="AN76" s="2">
        <v>7.24419895E8</v>
      </c>
      <c r="AP76" s="2">
        <v>4.88246175E8</v>
      </c>
      <c r="AQ76" s="1" t="s">
        <v>184</v>
      </c>
      <c r="AR76" s="2">
        <v>45805.771319444444</v>
      </c>
      <c r="AU76" s="1" t="s">
        <v>64</v>
      </c>
      <c r="AW76" s="1" t="s">
        <v>165</v>
      </c>
      <c r="AY76" s="2">
        <v>70.0</v>
      </c>
    </row>
    <row r="77">
      <c r="A77" s="1" t="s">
        <v>51</v>
      </c>
      <c r="C77" s="1" t="s">
        <v>151</v>
      </c>
      <c r="E77" s="1" t="s">
        <v>151</v>
      </c>
      <c r="G77" s="2">
        <v>51.0</v>
      </c>
      <c r="H77" s="1" t="s">
        <v>66</v>
      </c>
      <c r="J77" s="1" t="s">
        <v>56</v>
      </c>
      <c r="K77" s="1" t="s">
        <v>87</v>
      </c>
      <c r="M77" s="1" t="s">
        <v>58</v>
      </c>
      <c r="N77" s="1" t="s">
        <v>58</v>
      </c>
      <c r="O77" s="1" t="s">
        <v>58</v>
      </c>
      <c r="Q77" s="1" t="s">
        <v>69</v>
      </c>
      <c r="R77" s="1" t="s">
        <v>58</v>
      </c>
      <c r="S77" s="1" t="s">
        <v>69</v>
      </c>
      <c r="T77" s="1" t="s">
        <v>69</v>
      </c>
      <c r="U77" s="1" t="s">
        <v>70</v>
      </c>
      <c r="V77" s="1" t="s">
        <v>58</v>
      </c>
      <c r="W77" s="1" t="s">
        <v>69</v>
      </c>
      <c r="X77" s="1" t="s">
        <v>59</v>
      </c>
      <c r="Y77" s="1" t="s">
        <v>95</v>
      </c>
      <c r="Z77" s="1" t="s">
        <v>61</v>
      </c>
      <c r="AA77" s="2">
        <v>100.0</v>
      </c>
      <c r="AB77" s="1" t="s">
        <v>79</v>
      </c>
      <c r="AC77" s="1" t="s">
        <v>71</v>
      </c>
      <c r="AF77" s="1" t="s">
        <v>51</v>
      </c>
      <c r="AG77" s="1" t="s">
        <v>72</v>
      </c>
      <c r="AI77" s="2">
        <v>1.0</v>
      </c>
      <c r="AJ77" s="2">
        <v>0.0</v>
      </c>
      <c r="AK77" s="2">
        <v>0.0</v>
      </c>
      <c r="AL77" s="2">
        <v>0.0</v>
      </c>
      <c r="AP77" s="2">
        <v>4.882564E8</v>
      </c>
      <c r="AQ77" s="1" t="s">
        <v>185</v>
      </c>
      <c r="AR77" s="2">
        <v>45805.78273148148</v>
      </c>
      <c r="AU77" s="1" t="s">
        <v>64</v>
      </c>
      <c r="AW77" s="1" t="s">
        <v>165</v>
      </c>
      <c r="AY77" s="2">
        <v>71.0</v>
      </c>
    </row>
    <row r="78">
      <c r="A78" s="1" t="s">
        <v>51</v>
      </c>
      <c r="C78" s="1" t="s">
        <v>53</v>
      </c>
      <c r="E78" s="1" t="s">
        <v>53</v>
      </c>
      <c r="F78" s="1" t="s">
        <v>102</v>
      </c>
      <c r="G78" s="2">
        <v>60.0</v>
      </c>
      <c r="H78" s="1" t="s">
        <v>66</v>
      </c>
      <c r="I78" s="1" t="s">
        <v>121</v>
      </c>
      <c r="J78" s="1" t="s">
        <v>111</v>
      </c>
      <c r="K78" s="1" t="s">
        <v>87</v>
      </c>
      <c r="M78" s="1" t="s">
        <v>58</v>
      </c>
      <c r="N78" s="1" t="s">
        <v>58</v>
      </c>
      <c r="O78" s="1" t="s">
        <v>69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 t="s">
        <v>69</v>
      </c>
      <c r="X78" s="1" t="s">
        <v>88</v>
      </c>
      <c r="Y78" s="1" t="s">
        <v>172</v>
      </c>
      <c r="Z78" s="1" t="s">
        <v>89</v>
      </c>
      <c r="AA78" s="2">
        <v>100.0</v>
      </c>
      <c r="AB78" s="1" t="s">
        <v>62</v>
      </c>
      <c r="AC78" s="1" t="s">
        <v>51</v>
      </c>
      <c r="AD78" s="1" t="s">
        <v>88</v>
      </c>
      <c r="AE78" s="1" t="s">
        <v>51</v>
      </c>
      <c r="AF78" s="1" t="s">
        <v>51</v>
      </c>
      <c r="AG78" s="1" t="s">
        <v>72</v>
      </c>
      <c r="AI78" s="2">
        <v>0.0</v>
      </c>
      <c r="AJ78" s="2">
        <v>0.0</v>
      </c>
      <c r="AK78" s="2">
        <v>0.0</v>
      </c>
      <c r="AL78" s="2">
        <v>1.0</v>
      </c>
      <c r="AM78" s="1" t="s">
        <v>72</v>
      </c>
      <c r="AP78" s="2">
        <v>4.88303256E8</v>
      </c>
      <c r="AQ78" s="1" t="s">
        <v>186</v>
      </c>
      <c r="AR78" s="2">
        <v>45805.84951388889</v>
      </c>
      <c r="AU78" s="1" t="s">
        <v>64</v>
      </c>
      <c r="AW78" s="1" t="s">
        <v>165</v>
      </c>
      <c r="AY78" s="2">
        <v>72.0</v>
      </c>
    </row>
    <row r="79">
      <c r="A79" s="1" t="s">
        <v>51</v>
      </c>
      <c r="C79" s="1" t="s">
        <v>52</v>
      </c>
      <c r="E79" s="1" t="s">
        <v>53</v>
      </c>
      <c r="F79" s="1" t="s">
        <v>54</v>
      </c>
      <c r="G79" s="2">
        <v>47.0</v>
      </c>
      <c r="H79" s="1" t="s">
        <v>55</v>
      </c>
      <c r="I79" s="1" t="s">
        <v>67</v>
      </c>
      <c r="J79" s="1" t="s">
        <v>86</v>
      </c>
      <c r="K79" s="1" t="s">
        <v>87</v>
      </c>
      <c r="M79" s="1" t="s">
        <v>58</v>
      </c>
      <c r="N79" s="1" t="s">
        <v>58</v>
      </c>
      <c r="O79" s="1" t="s">
        <v>58</v>
      </c>
      <c r="Q79" s="1" t="s">
        <v>70</v>
      </c>
      <c r="R79" s="1" t="s">
        <v>58</v>
      </c>
      <c r="S79" s="1" t="s">
        <v>69</v>
      </c>
      <c r="T79" s="1" t="s">
        <v>69</v>
      </c>
      <c r="U79" s="1" t="s">
        <v>58</v>
      </c>
      <c r="V79" s="1" t="s">
        <v>58</v>
      </c>
      <c r="W79" s="1" t="s">
        <v>69</v>
      </c>
      <c r="X79" s="1" t="s">
        <v>88</v>
      </c>
      <c r="Y79" s="1" t="s">
        <v>95</v>
      </c>
      <c r="Z79" s="1" t="s">
        <v>89</v>
      </c>
      <c r="AA79" s="2">
        <v>50.0</v>
      </c>
      <c r="AB79" s="1" t="s">
        <v>62</v>
      </c>
      <c r="AC79" s="1" t="s">
        <v>71</v>
      </c>
      <c r="AF79" s="1" t="s">
        <v>51</v>
      </c>
      <c r="AG79" s="1" t="s">
        <v>72</v>
      </c>
      <c r="AI79" s="2">
        <v>0.0</v>
      </c>
      <c r="AJ79" s="2">
        <v>0.0</v>
      </c>
      <c r="AK79" s="2">
        <v>0.0</v>
      </c>
      <c r="AL79" s="2">
        <v>1.0</v>
      </c>
      <c r="AM79" s="1" t="s">
        <v>51</v>
      </c>
      <c r="AN79" s="2">
        <v>8.10323079E8</v>
      </c>
      <c r="AP79" s="2">
        <v>4.88304149E8</v>
      </c>
      <c r="AQ79" s="1" t="s">
        <v>187</v>
      </c>
      <c r="AR79" s="2">
        <v>45805.851111111115</v>
      </c>
      <c r="AU79" s="1" t="s">
        <v>64</v>
      </c>
      <c r="AW79" s="1" t="s">
        <v>165</v>
      </c>
      <c r="AY79" s="2">
        <v>73.0</v>
      </c>
    </row>
    <row r="80">
      <c r="A80" s="1" t="s">
        <v>51</v>
      </c>
      <c r="C80" s="1" t="s">
        <v>188</v>
      </c>
      <c r="E80" s="1" t="s">
        <v>53</v>
      </c>
      <c r="F80" s="1" t="s">
        <v>102</v>
      </c>
      <c r="G80" s="2">
        <v>31.0</v>
      </c>
      <c r="H80" s="1" t="s">
        <v>55</v>
      </c>
      <c r="I80" s="1" t="s">
        <v>100</v>
      </c>
      <c r="J80" s="1" t="s">
        <v>86</v>
      </c>
      <c r="K80" s="1" t="s">
        <v>87</v>
      </c>
      <c r="M80" s="1" t="s">
        <v>58</v>
      </c>
      <c r="N80" s="1" t="s">
        <v>58</v>
      </c>
      <c r="O80" s="1" t="s">
        <v>58</v>
      </c>
      <c r="Q80" s="1" t="s">
        <v>69</v>
      </c>
      <c r="R80" s="1" t="s">
        <v>58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81</v>
      </c>
      <c r="Y80" s="1" t="s">
        <v>60</v>
      </c>
      <c r="Z80" s="1" t="s">
        <v>96</v>
      </c>
      <c r="AA80" s="2">
        <v>100.0</v>
      </c>
      <c r="AB80" s="1" t="s">
        <v>28</v>
      </c>
      <c r="AC80" s="1" t="s">
        <v>71</v>
      </c>
      <c r="AF80" s="1" t="s">
        <v>51</v>
      </c>
      <c r="AG80" s="1" t="s">
        <v>72</v>
      </c>
      <c r="AI80" s="2">
        <v>0.0</v>
      </c>
      <c r="AJ80" s="2">
        <v>0.0</v>
      </c>
      <c r="AK80" s="2">
        <v>0.0</v>
      </c>
      <c r="AL80" s="2">
        <v>1.0</v>
      </c>
      <c r="AM80" s="1" t="s">
        <v>72</v>
      </c>
      <c r="AP80" s="2">
        <v>4.88356383E8</v>
      </c>
      <c r="AQ80" s="1" t="s">
        <v>189</v>
      </c>
      <c r="AR80" s="2">
        <v>45805.996932870374</v>
      </c>
      <c r="AU80" s="1" t="s">
        <v>64</v>
      </c>
      <c r="AW80" s="1" t="s">
        <v>165</v>
      </c>
      <c r="AY80" s="2">
        <v>74.0</v>
      </c>
    </row>
    <row r="81">
      <c r="A81" s="1" t="s">
        <v>51</v>
      </c>
      <c r="C81" s="1" t="s">
        <v>131</v>
      </c>
      <c r="E81" s="1" t="s">
        <v>131</v>
      </c>
      <c r="G81" s="2">
        <v>30.0</v>
      </c>
      <c r="H81" s="1" t="s">
        <v>55</v>
      </c>
      <c r="J81" s="1" t="s">
        <v>111</v>
      </c>
      <c r="K81" s="1" t="s">
        <v>87</v>
      </c>
      <c r="M81" s="1" t="s">
        <v>58</v>
      </c>
      <c r="N81" s="1" t="s">
        <v>58</v>
      </c>
      <c r="O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69</v>
      </c>
      <c r="X81" s="1" t="s">
        <v>103</v>
      </c>
      <c r="Y81" s="1" t="s">
        <v>82</v>
      </c>
      <c r="Z81" s="1" t="s">
        <v>96</v>
      </c>
      <c r="AA81" s="2">
        <v>100.0</v>
      </c>
      <c r="AB81" s="1" t="s">
        <v>28</v>
      </c>
      <c r="AC81" s="1" t="s">
        <v>51</v>
      </c>
      <c r="AD81" s="1" t="s">
        <v>103</v>
      </c>
      <c r="AE81" s="1" t="s">
        <v>51</v>
      </c>
      <c r="AF81" s="1" t="s">
        <v>51</v>
      </c>
      <c r="AG81" s="1" t="s">
        <v>51</v>
      </c>
      <c r="AH81" s="2">
        <v>20.0</v>
      </c>
      <c r="AI81" s="2">
        <v>1.0</v>
      </c>
      <c r="AJ81" s="2">
        <v>1.0</v>
      </c>
      <c r="AK81" s="2">
        <v>1.0</v>
      </c>
      <c r="AL81" s="2">
        <v>0.0</v>
      </c>
      <c r="AP81" s="2">
        <v>4.88401783E8</v>
      </c>
      <c r="AQ81" s="1" t="s">
        <v>190</v>
      </c>
      <c r="AR81" s="2">
        <v>45806.188263888886</v>
      </c>
      <c r="AU81" s="1" t="s">
        <v>64</v>
      </c>
      <c r="AW81" s="1" t="s">
        <v>191</v>
      </c>
      <c r="AY81" s="2">
        <v>75.0</v>
      </c>
    </row>
    <row r="82">
      <c r="A82" s="1" t="s">
        <v>51</v>
      </c>
      <c r="C82" s="1" t="s">
        <v>151</v>
      </c>
      <c r="E82" s="1" t="s">
        <v>151</v>
      </c>
      <c r="G82" s="2">
        <v>42.0</v>
      </c>
      <c r="H82" s="1" t="s">
        <v>55</v>
      </c>
      <c r="J82" s="1" t="s">
        <v>86</v>
      </c>
      <c r="K82" s="1" t="s">
        <v>87</v>
      </c>
      <c r="M82" s="1" t="s">
        <v>58</v>
      </c>
      <c r="N82" s="1" t="s">
        <v>58</v>
      </c>
      <c r="O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58</v>
      </c>
      <c r="V82" s="1" t="s">
        <v>69</v>
      </c>
      <c r="W82" s="1" t="s">
        <v>69</v>
      </c>
      <c r="X82" s="1" t="s">
        <v>81</v>
      </c>
      <c r="Y82" s="1" t="s">
        <v>95</v>
      </c>
      <c r="Z82" s="1" t="s">
        <v>108</v>
      </c>
      <c r="AA82" s="2">
        <v>50.0</v>
      </c>
      <c r="AB82" s="1" t="s">
        <v>62</v>
      </c>
      <c r="AC82" s="1" t="s">
        <v>51</v>
      </c>
      <c r="AD82" s="1" t="s">
        <v>59</v>
      </c>
      <c r="AE82" s="1" t="s">
        <v>51</v>
      </c>
      <c r="AF82" s="1" t="s">
        <v>51</v>
      </c>
      <c r="AG82" s="1" t="s">
        <v>51</v>
      </c>
      <c r="AH82" s="2">
        <v>100.0</v>
      </c>
      <c r="AI82" s="2">
        <v>0.0</v>
      </c>
      <c r="AJ82" s="2">
        <v>0.0</v>
      </c>
      <c r="AK82" s="2">
        <v>0.0</v>
      </c>
      <c r="AL82" s="2">
        <v>1.0</v>
      </c>
      <c r="AP82" s="2">
        <v>4.88438457E8</v>
      </c>
      <c r="AQ82" s="1" t="s">
        <v>192</v>
      </c>
      <c r="AR82" s="2">
        <v>45806.26267361111</v>
      </c>
      <c r="AU82" s="1" t="s">
        <v>64</v>
      </c>
      <c r="AW82" s="1" t="s">
        <v>191</v>
      </c>
      <c r="AY82" s="2">
        <v>76.0</v>
      </c>
    </row>
    <row r="83">
      <c r="A83" s="1" t="s">
        <v>51</v>
      </c>
      <c r="C83" s="1" t="s">
        <v>151</v>
      </c>
      <c r="E83" s="1" t="s">
        <v>151</v>
      </c>
      <c r="G83" s="2">
        <v>40.0</v>
      </c>
      <c r="H83" s="1" t="s">
        <v>66</v>
      </c>
      <c r="J83" s="1" t="s">
        <v>86</v>
      </c>
      <c r="K83" s="1" t="s">
        <v>87</v>
      </c>
      <c r="M83" s="1" t="s">
        <v>58</v>
      </c>
      <c r="N83" s="1" t="s">
        <v>58</v>
      </c>
      <c r="O83" s="1" t="s">
        <v>58</v>
      </c>
      <c r="Q83" s="1" t="s">
        <v>70</v>
      </c>
      <c r="R83" s="1" t="s">
        <v>58</v>
      </c>
      <c r="S83" s="1" t="s">
        <v>69</v>
      </c>
      <c r="T83" s="1" t="s">
        <v>70</v>
      </c>
      <c r="U83" s="1" t="s">
        <v>58</v>
      </c>
      <c r="V83" s="1" t="s">
        <v>58</v>
      </c>
      <c r="W83" s="1" t="s">
        <v>70</v>
      </c>
      <c r="X83" s="1" t="s">
        <v>81</v>
      </c>
      <c r="Y83" s="1" t="s">
        <v>95</v>
      </c>
      <c r="Z83" s="1" t="s">
        <v>127</v>
      </c>
      <c r="AA83" s="2">
        <v>100.0</v>
      </c>
      <c r="AB83" s="1" t="s">
        <v>79</v>
      </c>
      <c r="AC83" s="1" t="s">
        <v>71</v>
      </c>
      <c r="AF83" s="1" t="s">
        <v>51</v>
      </c>
      <c r="AG83" s="1" t="s">
        <v>72</v>
      </c>
      <c r="AI83" s="2">
        <v>0.0</v>
      </c>
      <c r="AJ83" s="2">
        <v>0.0</v>
      </c>
      <c r="AK83" s="2">
        <v>0.0</v>
      </c>
      <c r="AL83" s="2">
        <v>1.0</v>
      </c>
      <c r="AP83" s="2">
        <v>4.88457611E8</v>
      </c>
      <c r="AQ83" s="1" t="s">
        <v>193</v>
      </c>
      <c r="AR83" s="2">
        <v>45806.2902662037</v>
      </c>
      <c r="AU83" s="1" t="s">
        <v>64</v>
      </c>
      <c r="AW83" s="1" t="s">
        <v>191</v>
      </c>
      <c r="AY83" s="2">
        <v>77.0</v>
      </c>
    </row>
    <row r="84">
      <c r="A84" s="1" t="s">
        <v>51</v>
      </c>
      <c r="C84" s="1" t="s">
        <v>170</v>
      </c>
      <c r="E84" s="1" t="s">
        <v>170</v>
      </c>
      <c r="G84" s="2">
        <v>20.0</v>
      </c>
      <c r="H84" s="1" t="s">
        <v>66</v>
      </c>
      <c r="J84" s="1" t="s">
        <v>56</v>
      </c>
      <c r="K84" s="1" t="s">
        <v>74</v>
      </c>
      <c r="M84" s="1" t="s">
        <v>58</v>
      </c>
      <c r="N84" s="1" t="s">
        <v>58</v>
      </c>
      <c r="O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81</v>
      </c>
      <c r="Y84" s="1" t="s">
        <v>82</v>
      </c>
      <c r="Z84" s="1" t="s">
        <v>61</v>
      </c>
      <c r="AA84" s="2">
        <v>100.0</v>
      </c>
      <c r="AB84" s="1" t="s">
        <v>28</v>
      </c>
      <c r="AC84" s="1" t="s">
        <v>51</v>
      </c>
      <c r="AD84" s="1" t="s">
        <v>81</v>
      </c>
      <c r="AE84" s="1" t="s">
        <v>51</v>
      </c>
      <c r="AF84" s="1" t="s">
        <v>51</v>
      </c>
      <c r="AG84" s="1" t="s">
        <v>51</v>
      </c>
      <c r="AH84" s="2">
        <v>100.0</v>
      </c>
      <c r="AI84" s="2">
        <v>0.0</v>
      </c>
      <c r="AJ84" s="2">
        <v>0.0</v>
      </c>
      <c r="AK84" s="2">
        <v>1.0</v>
      </c>
      <c r="AL84" s="2">
        <v>0.0</v>
      </c>
      <c r="AP84" s="2">
        <v>4.88499875E8</v>
      </c>
      <c r="AQ84" s="1" t="s">
        <v>194</v>
      </c>
      <c r="AR84" s="2">
        <v>45806.34857638889</v>
      </c>
      <c r="AU84" s="1" t="s">
        <v>64</v>
      </c>
      <c r="AW84" s="1" t="s">
        <v>191</v>
      </c>
      <c r="AY84" s="2">
        <v>78.0</v>
      </c>
    </row>
    <row r="85">
      <c r="A85" s="1" t="s">
        <v>51</v>
      </c>
      <c r="C85" s="1" t="s">
        <v>52</v>
      </c>
      <c r="E85" s="1" t="s">
        <v>53</v>
      </c>
      <c r="F85" s="1" t="s">
        <v>54</v>
      </c>
      <c r="G85" s="2">
        <v>35.0</v>
      </c>
      <c r="H85" s="1" t="s">
        <v>66</v>
      </c>
      <c r="I85" s="1" t="s">
        <v>67</v>
      </c>
      <c r="J85" s="1" t="s">
        <v>111</v>
      </c>
      <c r="K85" s="1" t="s">
        <v>87</v>
      </c>
      <c r="M85" s="1" t="s">
        <v>58</v>
      </c>
      <c r="N85" s="1" t="s">
        <v>58</v>
      </c>
      <c r="O85" s="1" t="s">
        <v>58</v>
      </c>
      <c r="Q85" s="1" t="s">
        <v>69</v>
      </c>
      <c r="R85" s="1" t="s">
        <v>58</v>
      </c>
      <c r="S85" s="1" t="s">
        <v>58</v>
      </c>
      <c r="T85" s="1" t="s">
        <v>69</v>
      </c>
      <c r="U85" s="1" t="s">
        <v>58</v>
      </c>
      <c r="V85" s="1" t="s">
        <v>58</v>
      </c>
      <c r="W85" s="1" t="s">
        <v>58</v>
      </c>
      <c r="X85" s="1" t="s">
        <v>88</v>
      </c>
      <c r="Y85" s="1" t="s">
        <v>95</v>
      </c>
      <c r="Z85" s="1" t="s">
        <v>89</v>
      </c>
      <c r="AA85" s="2">
        <v>10.0</v>
      </c>
      <c r="AB85" s="1" t="s">
        <v>62</v>
      </c>
      <c r="AC85" s="1" t="s">
        <v>51</v>
      </c>
      <c r="AD85" s="1" t="s">
        <v>59</v>
      </c>
      <c r="AE85" s="1" t="s">
        <v>72</v>
      </c>
      <c r="AF85" s="1" t="s">
        <v>51</v>
      </c>
      <c r="AG85" s="1" t="s">
        <v>72</v>
      </c>
      <c r="AI85" s="2">
        <v>0.0</v>
      </c>
      <c r="AJ85" s="2">
        <v>1.0</v>
      </c>
      <c r="AK85" s="2">
        <v>1.0</v>
      </c>
      <c r="AL85" s="2">
        <v>0.0</v>
      </c>
      <c r="AM85" s="1" t="s">
        <v>72</v>
      </c>
      <c r="AP85" s="2">
        <v>4.88506903E8</v>
      </c>
      <c r="AQ85" s="1" t="s">
        <v>195</v>
      </c>
      <c r="AR85" s="2">
        <v>45806.35741898148</v>
      </c>
      <c r="AU85" s="1" t="s">
        <v>64</v>
      </c>
      <c r="AW85" s="1" t="s">
        <v>191</v>
      </c>
      <c r="AY85" s="2">
        <v>79.0</v>
      </c>
    </row>
    <row r="86">
      <c r="A86" s="1" t="s">
        <v>51</v>
      </c>
      <c r="C86" s="1" t="s">
        <v>52</v>
      </c>
      <c r="E86" s="1" t="s">
        <v>53</v>
      </c>
      <c r="F86" s="1" t="s">
        <v>102</v>
      </c>
      <c r="G86" s="2">
        <v>40.0</v>
      </c>
      <c r="H86" s="1" t="s">
        <v>55</v>
      </c>
      <c r="I86" s="1" t="s">
        <v>67</v>
      </c>
      <c r="J86" s="1" t="s">
        <v>111</v>
      </c>
      <c r="M86" s="1" t="s">
        <v>58</v>
      </c>
      <c r="N86" s="1" t="s">
        <v>58</v>
      </c>
      <c r="O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103</v>
      </c>
      <c r="Y86" s="1" t="s">
        <v>60</v>
      </c>
      <c r="Z86" s="1" t="s">
        <v>89</v>
      </c>
      <c r="AA86" s="2">
        <v>100.0</v>
      </c>
      <c r="AB86" s="1" t="s">
        <v>62</v>
      </c>
      <c r="AC86" s="1" t="s">
        <v>72</v>
      </c>
      <c r="AF86" s="1" t="s">
        <v>51</v>
      </c>
      <c r="AG86" s="1" t="s">
        <v>72</v>
      </c>
      <c r="AI86" s="2">
        <v>1.0</v>
      </c>
      <c r="AJ86" s="2">
        <v>1.0</v>
      </c>
      <c r="AK86" s="2">
        <v>1.0</v>
      </c>
      <c r="AL86" s="2">
        <v>1.0</v>
      </c>
      <c r="AM86" s="1" t="s">
        <v>72</v>
      </c>
      <c r="AP86" s="2">
        <v>4.88569497E8</v>
      </c>
      <c r="AQ86" s="1" t="s">
        <v>196</v>
      </c>
      <c r="AR86" s="2">
        <v>45806.42548611111</v>
      </c>
      <c r="AU86" s="1" t="s">
        <v>64</v>
      </c>
      <c r="AW86" s="1" t="s">
        <v>191</v>
      </c>
      <c r="AY86" s="2">
        <v>80.0</v>
      </c>
    </row>
    <row r="87">
      <c r="A87" s="1" t="s">
        <v>51</v>
      </c>
      <c r="C87" s="1" t="s">
        <v>53</v>
      </c>
      <c r="E87" s="1" t="s">
        <v>53</v>
      </c>
      <c r="F87" s="1" t="s">
        <v>197</v>
      </c>
      <c r="G87" s="2">
        <v>39.0</v>
      </c>
      <c r="H87" s="1" t="s">
        <v>55</v>
      </c>
      <c r="I87" s="1" t="s">
        <v>121</v>
      </c>
      <c r="J87" s="1" t="s">
        <v>86</v>
      </c>
      <c r="K87" s="1" t="s">
        <v>87</v>
      </c>
      <c r="M87" s="1" t="s">
        <v>58</v>
      </c>
      <c r="N87" s="1" t="s">
        <v>58</v>
      </c>
      <c r="O87" s="1" t="s">
        <v>69</v>
      </c>
      <c r="Q87" s="1" t="s">
        <v>69</v>
      </c>
      <c r="R87" s="1" t="s">
        <v>58</v>
      </c>
      <c r="S87" s="1" t="s">
        <v>69</v>
      </c>
      <c r="T87" s="1" t="s">
        <v>69</v>
      </c>
      <c r="U87" s="1" t="s">
        <v>58</v>
      </c>
      <c r="V87" s="1" t="s">
        <v>58</v>
      </c>
      <c r="W87" s="1" t="s">
        <v>70</v>
      </c>
      <c r="X87" s="1" t="s">
        <v>59</v>
      </c>
      <c r="Y87" s="1" t="s">
        <v>95</v>
      </c>
      <c r="Z87" s="1" t="s">
        <v>108</v>
      </c>
      <c r="AA87" s="2">
        <v>100.0</v>
      </c>
      <c r="AB87" s="1" t="s">
        <v>79</v>
      </c>
      <c r="AC87" s="1" t="s">
        <v>71</v>
      </c>
      <c r="AF87" s="1" t="s">
        <v>51</v>
      </c>
      <c r="AG87" s="1" t="s">
        <v>51</v>
      </c>
      <c r="AH87" s="2">
        <v>100.0</v>
      </c>
      <c r="AI87" s="2">
        <v>1.0</v>
      </c>
      <c r="AJ87" s="2">
        <v>1.0</v>
      </c>
      <c r="AK87" s="2">
        <v>1.0</v>
      </c>
      <c r="AL87" s="2">
        <v>0.0</v>
      </c>
      <c r="AM87" s="1" t="s">
        <v>72</v>
      </c>
      <c r="AP87" s="2">
        <v>4.88676978E8</v>
      </c>
      <c r="AQ87" s="1" t="s">
        <v>198</v>
      </c>
      <c r="AR87" s="2">
        <v>45806.5278125</v>
      </c>
      <c r="AU87" s="1" t="s">
        <v>64</v>
      </c>
      <c r="AW87" s="1" t="s">
        <v>191</v>
      </c>
      <c r="AY87" s="2">
        <v>81.0</v>
      </c>
    </row>
    <row r="88">
      <c r="A88" s="1" t="s">
        <v>51</v>
      </c>
      <c r="C88" s="1" t="s">
        <v>52</v>
      </c>
      <c r="E88" s="1" t="s">
        <v>53</v>
      </c>
      <c r="F88" s="1" t="s">
        <v>102</v>
      </c>
      <c r="G88" s="2">
        <v>34.0</v>
      </c>
      <c r="H88" s="1" t="s">
        <v>66</v>
      </c>
      <c r="I88" s="1" t="s">
        <v>67</v>
      </c>
      <c r="J88" s="1" t="s">
        <v>111</v>
      </c>
      <c r="K88" s="1" t="s">
        <v>87</v>
      </c>
      <c r="M88" s="1" t="s">
        <v>58</v>
      </c>
      <c r="N88" s="1" t="s">
        <v>58</v>
      </c>
      <c r="O88" s="1" t="s">
        <v>58</v>
      </c>
      <c r="Q88" s="1" t="s">
        <v>70</v>
      </c>
      <c r="R88" s="1" t="s">
        <v>58</v>
      </c>
      <c r="S88" s="1" t="s">
        <v>69</v>
      </c>
      <c r="T88" s="1" t="s">
        <v>69</v>
      </c>
      <c r="U88" s="1" t="s">
        <v>58</v>
      </c>
      <c r="V88" s="1" t="s">
        <v>58</v>
      </c>
      <c r="W88" s="1" t="s">
        <v>58</v>
      </c>
      <c r="X88" s="1" t="s">
        <v>88</v>
      </c>
      <c r="Y88" s="1" t="s">
        <v>95</v>
      </c>
      <c r="Z88" s="1" t="s">
        <v>108</v>
      </c>
      <c r="AA88" s="2">
        <v>50.0</v>
      </c>
      <c r="AB88" s="1" t="s">
        <v>62</v>
      </c>
      <c r="AC88" s="1" t="s">
        <v>71</v>
      </c>
      <c r="AF88" s="1" t="s">
        <v>51</v>
      </c>
      <c r="AG88" s="1" t="s">
        <v>72</v>
      </c>
      <c r="AI88" s="2">
        <v>0.0</v>
      </c>
      <c r="AJ88" s="2">
        <v>0.0</v>
      </c>
      <c r="AK88" s="2">
        <v>1.0</v>
      </c>
      <c r="AL88" s="2">
        <v>0.0</v>
      </c>
      <c r="AM88" s="1" t="s">
        <v>72</v>
      </c>
      <c r="AP88" s="2">
        <v>4.88690503E8</v>
      </c>
      <c r="AQ88" s="1" t="s">
        <v>199</v>
      </c>
      <c r="AR88" s="2">
        <v>45806.5390625</v>
      </c>
      <c r="AU88" s="1" t="s">
        <v>64</v>
      </c>
      <c r="AW88" s="1" t="s">
        <v>191</v>
      </c>
      <c r="AY88" s="2">
        <v>82.0</v>
      </c>
    </row>
    <row r="89">
      <c r="A89" s="1" t="s">
        <v>51</v>
      </c>
      <c r="C89" s="1" t="s">
        <v>52</v>
      </c>
      <c r="E89" s="1" t="s">
        <v>53</v>
      </c>
      <c r="F89" s="1" t="s">
        <v>54</v>
      </c>
      <c r="G89" s="2">
        <v>22.0</v>
      </c>
      <c r="H89" s="1" t="s">
        <v>66</v>
      </c>
      <c r="I89" s="1" t="s">
        <v>67</v>
      </c>
      <c r="J89" s="1" t="s">
        <v>86</v>
      </c>
      <c r="K89" s="1" t="s">
        <v>87</v>
      </c>
      <c r="M89" s="1" t="s">
        <v>58</v>
      </c>
      <c r="N89" s="1" t="s">
        <v>58</v>
      </c>
      <c r="O89" s="1" t="s">
        <v>58</v>
      </c>
      <c r="Q89" s="1" t="s">
        <v>69</v>
      </c>
      <c r="R89" s="1" t="s">
        <v>58</v>
      </c>
      <c r="S89" s="1" t="s">
        <v>58</v>
      </c>
      <c r="T89" s="1" t="s">
        <v>69</v>
      </c>
      <c r="U89" s="1" t="s">
        <v>69</v>
      </c>
      <c r="V89" s="1" t="s">
        <v>58</v>
      </c>
      <c r="W89" s="1" t="s">
        <v>69</v>
      </c>
      <c r="X89" s="1" t="s">
        <v>59</v>
      </c>
      <c r="Y89" s="1" t="s">
        <v>60</v>
      </c>
      <c r="Z89" s="1" t="s">
        <v>89</v>
      </c>
      <c r="AA89" s="2">
        <v>100.0</v>
      </c>
      <c r="AB89" s="1" t="s">
        <v>28</v>
      </c>
      <c r="AC89" s="1" t="s">
        <v>71</v>
      </c>
      <c r="AF89" s="1" t="s">
        <v>72</v>
      </c>
      <c r="AG89" s="1" t="s">
        <v>72</v>
      </c>
      <c r="AI89" s="2">
        <v>0.0</v>
      </c>
      <c r="AJ89" s="2">
        <v>0.0</v>
      </c>
      <c r="AK89" s="2">
        <v>0.0</v>
      </c>
      <c r="AL89" s="2">
        <v>1.0</v>
      </c>
      <c r="AM89" s="1" t="s">
        <v>72</v>
      </c>
      <c r="AP89" s="2">
        <v>4.88720274E8</v>
      </c>
      <c r="AQ89" s="1" t="s">
        <v>200</v>
      </c>
      <c r="AR89" s="2">
        <v>45806.56145833333</v>
      </c>
      <c r="AU89" s="1" t="s">
        <v>64</v>
      </c>
      <c r="AW89" s="1" t="s">
        <v>191</v>
      </c>
      <c r="AY89" s="2">
        <v>83.0</v>
      </c>
    </row>
    <row r="90">
      <c r="A90" s="1" t="s">
        <v>51</v>
      </c>
      <c r="C90" s="1" t="s">
        <v>53</v>
      </c>
      <c r="E90" s="1" t="s">
        <v>53</v>
      </c>
      <c r="F90" s="1" t="s">
        <v>54</v>
      </c>
      <c r="G90" s="2">
        <v>41.0</v>
      </c>
      <c r="H90" s="1" t="s">
        <v>66</v>
      </c>
      <c r="I90" s="1" t="s">
        <v>121</v>
      </c>
      <c r="J90" s="1" t="s">
        <v>86</v>
      </c>
      <c r="K90" s="1" t="s">
        <v>87</v>
      </c>
      <c r="M90" s="1" t="s">
        <v>58</v>
      </c>
      <c r="N90" s="1" t="s">
        <v>58</v>
      </c>
      <c r="O90" s="1" t="s">
        <v>69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69</v>
      </c>
      <c r="V90" s="1" t="s">
        <v>58</v>
      </c>
      <c r="W90" s="1" t="s">
        <v>58</v>
      </c>
      <c r="X90" s="1" t="s">
        <v>88</v>
      </c>
      <c r="Y90" s="1" t="s">
        <v>60</v>
      </c>
      <c r="Z90" s="1" t="s">
        <v>89</v>
      </c>
      <c r="AA90" s="2">
        <v>100.0</v>
      </c>
      <c r="AB90" s="1" t="s">
        <v>62</v>
      </c>
      <c r="AC90" s="1" t="s">
        <v>71</v>
      </c>
      <c r="AF90" s="1" t="s">
        <v>51</v>
      </c>
      <c r="AG90" s="1" t="s">
        <v>51</v>
      </c>
      <c r="AH90" s="2">
        <v>50.0</v>
      </c>
      <c r="AI90" s="2">
        <v>0.0</v>
      </c>
      <c r="AJ90" s="2">
        <v>0.0</v>
      </c>
      <c r="AK90" s="2">
        <v>0.0</v>
      </c>
      <c r="AL90" s="2">
        <v>1.0</v>
      </c>
      <c r="AM90" s="1" t="s">
        <v>72</v>
      </c>
      <c r="AP90" s="2">
        <v>4.88730589E8</v>
      </c>
      <c r="AQ90" s="1" t="s">
        <v>201</v>
      </c>
      <c r="AR90" s="2">
        <v>45806.56793981481</v>
      </c>
      <c r="AU90" s="1" t="s">
        <v>64</v>
      </c>
      <c r="AW90" s="1" t="s">
        <v>84</v>
      </c>
      <c r="AY90" s="2">
        <v>84.0</v>
      </c>
    </row>
    <row r="91">
      <c r="A91" s="1" t="s">
        <v>51</v>
      </c>
      <c r="C91" s="1" t="s">
        <v>202</v>
      </c>
      <c r="E91" s="1" t="s">
        <v>202</v>
      </c>
      <c r="G91" s="2">
        <v>42.0</v>
      </c>
      <c r="H91" s="1" t="s">
        <v>66</v>
      </c>
      <c r="J91" s="1" t="s">
        <v>86</v>
      </c>
      <c r="K91" s="1" t="s">
        <v>87</v>
      </c>
      <c r="M91" s="1" t="s">
        <v>58</v>
      </c>
      <c r="N91" s="1" t="s">
        <v>58</v>
      </c>
      <c r="O91" s="1" t="s">
        <v>58</v>
      </c>
      <c r="Q91" s="1" t="s">
        <v>69</v>
      </c>
      <c r="R91" s="1" t="s">
        <v>58</v>
      </c>
      <c r="S91" s="1" t="s">
        <v>69</v>
      </c>
      <c r="T91" s="1" t="s">
        <v>58</v>
      </c>
      <c r="U91" s="1" t="s">
        <v>70</v>
      </c>
      <c r="V91" s="1" t="s">
        <v>58</v>
      </c>
      <c r="W91" s="1" t="s">
        <v>69</v>
      </c>
      <c r="X91" s="1" t="s">
        <v>81</v>
      </c>
      <c r="Y91" s="1" t="s">
        <v>95</v>
      </c>
      <c r="Z91" s="1" t="s">
        <v>96</v>
      </c>
      <c r="AA91" s="2">
        <v>100.0</v>
      </c>
      <c r="AB91" s="1" t="s">
        <v>62</v>
      </c>
      <c r="AC91" s="1" t="s">
        <v>71</v>
      </c>
      <c r="AF91" s="1" t="s">
        <v>51</v>
      </c>
      <c r="AG91" s="1" t="s">
        <v>72</v>
      </c>
      <c r="AI91" s="2">
        <v>0.0</v>
      </c>
      <c r="AJ91" s="2">
        <v>0.0</v>
      </c>
      <c r="AK91" s="2">
        <v>1.0</v>
      </c>
      <c r="AL91" s="2">
        <v>0.0</v>
      </c>
      <c r="AP91" s="2">
        <v>4.88786593E8</v>
      </c>
      <c r="AQ91" s="1" t="s">
        <v>203</v>
      </c>
      <c r="AR91" s="2">
        <v>45806.60795138889</v>
      </c>
      <c r="AU91" s="1" t="s">
        <v>64</v>
      </c>
      <c r="AW91" s="1" t="s">
        <v>191</v>
      </c>
      <c r="AY91" s="2">
        <v>85.0</v>
      </c>
    </row>
    <row r="92">
      <c r="A92" s="1" t="s">
        <v>51</v>
      </c>
      <c r="C92" s="1" t="s">
        <v>53</v>
      </c>
      <c r="E92" s="1" t="s">
        <v>53</v>
      </c>
      <c r="F92" s="1" t="s">
        <v>54</v>
      </c>
      <c r="G92" s="2">
        <v>46.0</v>
      </c>
      <c r="H92" s="1" t="s">
        <v>66</v>
      </c>
      <c r="I92" s="1" t="s">
        <v>121</v>
      </c>
      <c r="J92" s="1" t="s">
        <v>111</v>
      </c>
      <c r="K92" s="1" t="s">
        <v>87</v>
      </c>
      <c r="M92" s="1" t="s">
        <v>58</v>
      </c>
      <c r="N92" s="1" t="s">
        <v>58</v>
      </c>
      <c r="O92" s="1" t="s">
        <v>58</v>
      </c>
      <c r="Q92" s="1" t="s">
        <v>69</v>
      </c>
      <c r="R92" s="1" t="s">
        <v>58</v>
      </c>
      <c r="S92" s="1" t="s">
        <v>69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59</v>
      </c>
      <c r="Y92" s="1" t="s">
        <v>95</v>
      </c>
      <c r="Z92" s="1" t="s">
        <v>96</v>
      </c>
      <c r="AA92" s="2">
        <v>100.0</v>
      </c>
      <c r="AB92" s="1" t="s">
        <v>62</v>
      </c>
      <c r="AC92" s="1" t="s">
        <v>72</v>
      </c>
      <c r="AF92" s="1" t="s">
        <v>51</v>
      </c>
      <c r="AG92" s="1" t="s">
        <v>72</v>
      </c>
      <c r="AI92" s="2">
        <v>0.0</v>
      </c>
      <c r="AJ92" s="2">
        <v>0.0</v>
      </c>
      <c r="AK92" s="2">
        <v>0.0</v>
      </c>
      <c r="AL92" s="2">
        <v>1.0</v>
      </c>
      <c r="AM92" s="1" t="s">
        <v>51</v>
      </c>
      <c r="AN92" s="1" t="s">
        <v>204</v>
      </c>
      <c r="AP92" s="2">
        <v>4.8882061E8</v>
      </c>
      <c r="AQ92" s="1" t="s">
        <v>205</v>
      </c>
      <c r="AR92" s="2">
        <v>45806.62994212963</v>
      </c>
      <c r="AU92" s="1" t="s">
        <v>64</v>
      </c>
      <c r="AW92" s="1" t="s">
        <v>191</v>
      </c>
      <c r="AY92" s="2">
        <v>86.0</v>
      </c>
    </row>
    <row r="93">
      <c r="A93" s="1" t="s">
        <v>51</v>
      </c>
      <c r="C93" s="1" t="s">
        <v>53</v>
      </c>
      <c r="E93" s="1" t="s">
        <v>53</v>
      </c>
      <c r="F93" s="1" t="s">
        <v>54</v>
      </c>
      <c r="G93" s="2">
        <v>33.0</v>
      </c>
      <c r="H93" s="1" t="s">
        <v>66</v>
      </c>
      <c r="I93" s="1" t="s">
        <v>121</v>
      </c>
      <c r="J93" s="1" t="s">
        <v>86</v>
      </c>
      <c r="K93" s="1" t="s">
        <v>87</v>
      </c>
      <c r="M93" s="1" t="s">
        <v>58</v>
      </c>
      <c r="N93" s="1" t="s">
        <v>58</v>
      </c>
      <c r="O93" s="1" t="s">
        <v>69</v>
      </c>
      <c r="Q93" s="1" t="s">
        <v>69</v>
      </c>
      <c r="R93" s="1" t="s">
        <v>58</v>
      </c>
      <c r="S93" s="1" t="s">
        <v>58</v>
      </c>
      <c r="T93" s="1" t="s">
        <v>58</v>
      </c>
      <c r="U93" s="1" t="s">
        <v>70</v>
      </c>
      <c r="V93" s="1" t="s">
        <v>58</v>
      </c>
      <c r="W93" s="1" t="s">
        <v>69</v>
      </c>
      <c r="X93" s="1" t="s">
        <v>59</v>
      </c>
      <c r="Y93" s="1" t="s">
        <v>60</v>
      </c>
      <c r="Z93" s="1" t="s">
        <v>96</v>
      </c>
      <c r="AA93" s="2">
        <v>100.0</v>
      </c>
      <c r="AB93" s="1" t="s">
        <v>79</v>
      </c>
      <c r="AC93" s="1" t="s">
        <v>71</v>
      </c>
      <c r="AF93" s="1" t="s">
        <v>51</v>
      </c>
      <c r="AG93" s="1" t="s">
        <v>72</v>
      </c>
      <c r="AI93" s="2">
        <v>0.0</v>
      </c>
      <c r="AJ93" s="2">
        <v>0.0</v>
      </c>
      <c r="AK93" s="2">
        <v>1.0</v>
      </c>
      <c r="AL93" s="2">
        <v>0.0</v>
      </c>
      <c r="AM93" s="1" t="s">
        <v>51</v>
      </c>
      <c r="AN93" s="1" t="s">
        <v>206</v>
      </c>
      <c r="AP93" s="2">
        <v>4.88832371E8</v>
      </c>
      <c r="AQ93" s="1" t="s">
        <v>207</v>
      </c>
      <c r="AR93" s="2">
        <v>45806.637349537035</v>
      </c>
      <c r="AU93" s="1" t="s">
        <v>64</v>
      </c>
      <c r="AW93" s="1" t="s">
        <v>191</v>
      </c>
      <c r="AY93" s="2">
        <v>87.0</v>
      </c>
    </row>
    <row r="94">
      <c r="A94" s="1" t="s">
        <v>51</v>
      </c>
      <c r="C94" s="1" t="s">
        <v>52</v>
      </c>
      <c r="E94" s="1" t="s">
        <v>53</v>
      </c>
      <c r="F94" s="1" t="s">
        <v>94</v>
      </c>
      <c r="G94" s="2">
        <v>43.0</v>
      </c>
      <c r="H94" s="1" t="s">
        <v>66</v>
      </c>
      <c r="I94" s="1" t="s">
        <v>67</v>
      </c>
      <c r="J94" s="1" t="s">
        <v>86</v>
      </c>
      <c r="K94" s="1" t="s">
        <v>87</v>
      </c>
      <c r="M94" s="1" t="s">
        <v>58</v>
      </c>
      <c r="N94" s="1" t="s">
        <v>58</v>
      </c>
      <c r="O94" s="1" t="s">
        <v>70</v>
      </c>
      <c r="Q94" s="1" t="s">
        <v>69</v>
      </c>
      <c r="R94" s="1" t="s">
        <v>58</v>
      </c>
      <c r="S94" s="1" t="s">
        <v>69</v>
      </c>
      <c r="T94" s="1" t="s">
        <v>69</v>
      </c>
      <c r="U94" s="1" t="s">
        <v>69</v>
      </c>
      <c r="V94" s="1" t="s">
        <v>69</v>
      </c>
      <c r="W94" s="1" t="s">
        <v>58</v>
      </c>
      <c r="X94" s="1" t="s">
        <v>88</v>
      </c>
      <c r="Y94" s="1" t="s">
        <v>60</v>
      </c>
      <c r="Z94" s="1" t="s">
        <v>108</v>
      </c>
      <c r="AA94" s="2">
        <v>50.0</v>
      </c>
      <c r="AB94" s="1" t="s">
        <v>79</v>
      </c>
      <c r="AC94" s="1" t="s">
        <v>71</v>
      </c>
      <c r="AF94" s="1" t="s">
        <v>72</v>
      </c>
      <c r="AG94" s="1" t="s">
        <v>72</v>
      </c>
      <c r="AI94" s="2">
        <v>0.0</v>
      </c>
      <c r="AJ94" s="2">
        <v>0.0</v>
      </c>
      <c r="AK94" s="2">
        <v>0.0</v>
      </c>
      <c r="AL94" s="2">
        <v>1.0</v>
      </c>
      <c r="AM94" s="1" t="s">
        <v>72</v>
      </c>
      <c r="AP94" s="2">
        <v>4.88847644E8</v>
      </c>
      <c r="AQ94" s="1" t="s">
        <v>208</v>
      </c>
      <c r="AR94" s="2">
        <v>45806.64840277778</v>
      </c>
      <c r="AU94" s="1" t="s">
        <v>64</v>
      </c>
      <c r="AW94" s="1" t="s">
        <v>191</v>
      </c>
      <c r="AY94" s="2">
        <v>88.0</v>
      </c>
    </row>
    <row r="95">
      <c r="A95" s="1" t="s">
        <v>51</v>
      </c>
      <c r="C95" s="1" t="s">
        <v>52</v>
      </c>
      <c r="E95" s="1" t="s">
        <v>52</v>
      </c>
      <c r="G95" s="2">
        <v>35.0</v>
      </c>
      <c r="H95" s="1" t="s">
        <v>66</v>
      </c>
      <c r="J95" s="1" t="s">
        <v>56</v>
      </c>
      <c r="K95" s="1" t="s">
        <v>87</v>
      </c>
      <c r="M95" s="1" t="s">
        <v>58</v>
      </c>
      <c r="N95" s="1" t="s">
        <v>58</v>
      </c>
      <c r="O95" s="1" t="s">
        <v>69</v>
      </c>
      <c r="Q95" s="1" t="s">
        <v>69</v>
      </c>
      <c r="R95" s="1" t="s">
        <v>58</v>
      </c>
      <c r="S95" s="1" t="s">
        <v>69</v>
      </c>
      <c r="T95" s="1" t="s">
        <v>58</v>
      </c>
      <c r="U95" s="1" t="s">
        <v>58</v>
      </c>
      <c r="V95" s="1" t="s">
        <v>58</v>
      </c>
      <c r="W95" s="1" t="s">
        <v>69</v>
      </c>
      <c r="X95" s="1" t="s">
        <v>88</v>
      </c>
      <c r="Y95" s="1" t="s">
        <v>82</v>
      </c>
      <c r="Z95" s="1" t="s">
        <v>108</v>
      </c>
      <c r="AA95" s="2">
        <v>100.0</v>
      </c>
      <c r="AB95" s="1" t="s">
        <v>62</v>
      </c>
      <c r="AC95" s="1" t="s">
        <v>51</v>
      </c>
      <c r="AD95" s="1" t="s">
        <v>81</v>
      </c>
      <c r="AE95" s="1" t="s">
        <v>51</v>
      </c>
      <c r="AF95" s="1" t="s">
        <v>51</v>
      </c>
      <c r="AG95" s="1" t="s">
        <v>51</v>
      </c>
      <c r="AH95" s="2">
        <v>15.0</v>
      </c>
      <c r="AI95" s="2">
        <v>0.0</v>
      </c>
      <c r="AJ95" s="2">
        <v>0.0</v>
      </c>
      <c r="AK95" s="2">
        <v>0.0</v>
      </c>
      <c r="AL95" s="2">
        <v>1.0</v>
      </c>
      <c r="AP95" s="2">
        <v>4.88871967E8</v>
      </c>
      <c r="AQ95" s="1" t="s">
        <v>209</v>
      </c>
      <c r="AR95" s="2">
        <v>45806.665289351855</v>
      </c>
      <c r="AU95" s="1" t="s">
        <v>64</v>
      </c>
      <c r="AW95" s="1" t="s">
        <v>191</v>
      </c>
      <c r="AY95" s="2">
        <v>89.0</v>
      </c>
    </row>
    <row r="96">
      <c r="A96" s="1" t="s">
        <v>51</v>
      </c>
      <c r="C96" s="1" t="s">
        <v>52</v>
      </c>
      <c r="E96" s="1" t="s">
        <v>53</v>
      </c>
      <c r="F96" s="1" t="s">
        <v>54</v>
      </c>
      <c r="G96" s="2">
        <v>59.0</v>
      </c>
      <c r="H96" s="1" t="s">
        <v>55</v>
      </c>
      <c r="I96" s="1" t="s">
        <v>67</v>
      </c>
      <c r="J96" s="1" t="s">
        <v>111</v>
      </c>
      <c r="K96" s="1" t="s">
        <v>87</v>
      </c>
      <c r="M96" s="1" t="s">
        <v>58</v>
      </c>
      <c r="N96" s="1" t="s">
        <v>58</v>
      </c>
      <c r="O96" s="1" t="s">
        <v>58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58</v>
      </c>
      <c r="V96" s="1" t="s">
        <v>58</v>
      </c>
      <c r="W96" s="1" t="s">
        <v>69</v>
      </c>
      <c r="X96" s="1" t="s">
        <v>59</v>
      </c>
      <c r="Y96" s="1" t="s">
        <v>95</v>
      </c>
      <c r="Z96" s="1" t="s">
        <v>89</v>
      </c>
      <c r="AA96" s="2">
        <v>100.0</v>
      </c>
      <c r="AB96" s="1" t="s">
        <v>62</v>
      </c>
      <c r="AC96" s="1" t="s">
        <v>51</v>
      </c>
      <c r="AD96" s="1" t="s">
        <v>59</v>
      </c>
      <c r="AE96" s="1" t="s">
        <v>51</v>
      </c>
      <c r="AF96" s="1" t="s">
        <v>51</v>
      </c>
      <c r="AG96" s="1" t="s">
        <v>51</v>
      </c>
      <c r="AH96" s="2">
        <v>100.0</v>
      </c>
      <c r="AI96" s="2">
        <v>0.0</v>
      </c>
      <c r="AJ96" s="2">
        <v>0.0</v>
      </c>
      <c r="AK96" s="2">
        <v>0.0</v>
      </c>
      <c r="AL96" s="2">
        <v>1.0</v>
      </c>
      <c r="AM96" s="1" t="s">
        <v>51</v>
      </c>
      <c r="AN96" s="3">
        <v>27727644928</v>
      </c>
      <c r="AP96" s="2">
        <v>4.88885171E8</v>
      </c>
      <c r="AQ96" s="1" t="s">
        <v>210</v>
      </c>
      <c r="AR96" s="2">
        <v>45806.67402777778</v>
      </c>
      <c r="AU96" s="1" t="s">
        <v>64</v>
      </c>
      <c r="AW96" s="1" t="s">
        <v>191</v>
      </c>
      <c r="AY96" s="2">
        <v>90.0</v>
      </c>
    </row>
    <row r="97">
      <c r="A97" s="1" t="s">
        <v>51</v>
      </c>
      <c r="C97" s="1" t="s">
        <v>53</v>
      </c>
      <c r="E97" s="1" t="s">
        <v>53</v>
      </c>
      <c r="F97" s="1" t="s">
        <v>149</v>
      </c>
      <c r="G97" s="2">
        <v>34.0</v>
      </c>
      <c r="H97" s="1" t="s">
        <v>66</v>
      </c>
      <c r="I97" s="1" t="s">
        <v>121</v>
      </c>
      <c r="J97" s="1" t="s">
        <v>86</v>
      </c>
      <c r="K97" s="1" t="s">
        <v>87</v>
      </c>
      <c r="M97" s="1" t="s">
        <v>58</v>
      </c>
      <c r="O97" s="1" t="s">
        <v>58</v>
      </c>
      <c r="Q97" s="1" t="s">
        <v>58</v>
      </c>
      <c r="R97" s="1" t="s">
        <v>58</v>
      </c>
      <c r="S97" s="1" t="s">
        <v>69</v>
      </c>
      <c r="T97" s="1" t="s">
        <v>69</v>
      </c>
      <c r="U97" s="1" t="s">
        <v>58</v>
      </c>
      <c r="V97" s="1" t="s">
        <v>69</v>
      </c>
      <c r="W97" s="1" t="s">
        <v>69</v>
      </c>
      <c r="X97" s="1" t="s">
        <v>59</v>
      </c>
      <c r="Y97" s="1" t="s">
        <v>95</v>
      </c>
      <c r="Z97" s="1" t="s">
        <v>61</v>
      </c>
      <c r="AA97" s="2">
        <v>100.0</v>
      </c>
      <c r="AB97" s="1" t="s">
        <v>79</v>
      </c>
      <c r="AF97" s="1" t="s">
        <v>51</v>
      </c>
      <c r="AG97" s="1" t="s">
        <v>51</v>
      </c>
      <c r="AH97" s="2">
        <v>50.0</v>
      </c>
      <c r="AI97" s="2">
        <v>0.0</v>
      </c>
      <c r="AJ97" s="2">
        <v>0.0</v>
      </c>
      <c r="AK97" s="2">
        <v>0.0</v>
      </c>
      <c r="AL97" s="2">
        <v>1.0</v>
      </c>
      <c r="AM97" s="1" t="s">
        <v>51</v>
      </c>
      <c r="AN97" s="2">
        <v>7.31367408E8</v>
      </c>
      <c r="AP97" s="2">
        <v>4.88933913E8</v>
      </c>
      <c r="AQ97" s="1" t="s">
        <v>211</v>
      </c>
      <c r="AR97" s="2">
        <v>45806.70991898148</v>
      </c>
      <c r="AU97" s="1" t="s">
        <v>64</v>
      </c>
      <c r="AW97" s="1" t="s">
        <v>191</v>
      </c>
      <c r="AY97" s="2">
        <v>91.0</v>
      </c>
    </row>
    <row r="98">
      <c r="A98" s="1" t="s">
        <v>51</v>
      </c>
      <c r="C98" s="1" t="s">
        <v>212</v>
      </c>
      <c r="E98" s="1" t="s">
        <v>53</v>
      </c>
      <c r="F98" s="1" t="s">
        <v>102</v>
      </c>
      <c r="G98" s="2">
        <v>50.0</v>
      </c>
      <c r="H98" s="1" t="s">
        <v>55</v>
      </c>
      <c r="I98" s="1" t="s">
        <v>67</v>
      </c>
      <c r="J98" s="1" t="s">
        <v>86</v>
      </c>
      <c r="K98" s="1" t="s">
        <v>87</v>
      </c>
      <c r="M98" s="1" t="s">
        <v>58</v>
      </c>
      <c r="N98" s="1" t="s">
        <v>58</v>
      </c>
      <c r="O98" s="1" t="s">
        <v>58</v>
      </c>
      <c r="Q98" s="1" t="s">
        <v>69</v>
      </c>
      <c r="R98" s="1" t="s">
        <v>58</v>
      </c>
      <c r="S98" s="1" t="s">
        <v>69</v>
      </c>
      <c r="T98" s="1" t="s">
        <v>69</v>
      </c>
      <c r="U98" s="1" t="s">
        <v>69</v>
      </c>
      <c r="V98" s="1" t="s">
        <v>58</v>
      </c>
      <c r="W98" s="1" t="s">
        <v>69</v>
      </c>
      <c r="X98" s="1" t="s">
        <v>88</v>
      </c>
      <c r="Y98" s="1" t="s">
        <v>95</v>
      </c>
      <c r="Z98" s="1" t="s">
        <v>89</v>
      </c>
      <c r="AA98" s="2">
        <v>100.0</v>
      </c>
      <c r="AB98" s="1" t="s">
        <v>79</v>
      </c>
      <c r="AF98" s="1" t="s">
        <v>51</v>
      </c>
      <c r="AG98" s="1" t="s">
        <v>72</v>
      </c>
      <c r="AI98" s="2">
        <v>0.0</v>
      </c>
      <c r="AJ98" s="2">
        <v>0.0</v>
      </c>
      <c r="AK98" s="2">
        <v>0.0</v>
      </c>
      <c r="AL98" s="2">
        <v>1.0</v>
      </c>
      <c r="AM98" s="1" t="s">
        <v>72</v>
      </c>
      <c r="AP98" s="2">
        <v>4.88978682E8</v>
      </c>
      <c r="AQ98" s="1" t="s">
        <v>213</v>
      </c>
      <c r="AR98" s="2">
        <v>45806.750023148146</v>
      </c>
      <c r="AU98" s="1" t="s">
        <v>64</v>
      </c>
      <c r="AW98" s="1" t="s">
        <v>191</v>
      </c>
      <c r="AY98" s="2">
        <v>92.0</v>
      </c>
    </row>
    <row r="99">
      <c r="A99" s="1" t="s">
        <v>51</v>
      </c>
      <c r="C99" s="1" t="s">
        <v>53</v>
      </c>
      <c r="E99" s="1" t="s">
        <v>53</v>
      </c>
      <c r="F99" s="1" t="s">
        <v>214</v>
      </c>
      <c r="G99" s="2">
        <v>39.0</v>
      </c>
      <c r="H99" s="1" t="s">
        <v>66</v>
      </c>
      <c r="I99" s="1" t="s">
        <v>121</v>
      </c>
      <c r="J99" s="1" t="s">
        <v>86</v>
      </c>
      <c r="K99" s="1" t="s">
        <v>87</v>
      </c>
      <c r="M99" s="1" t="s">
        <v>58</v>
      </c>
      <c r="N99" s="1" t="s">
        <v>58</v>
      </c>
      <c r="O99" s="1" t="s">
        <v>58</v>
      </c>
      <c r="Q99" s="1" t="s">
        <v>69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88</v>
      </c>
      <c r="Y99" s="1" t="s">
        <v>95</v>
      </c>
      <c r="Z99" s="1" t="s">
        <v>89</v>
      </c>
      <c r="AA99" s="2">
        <v>100.0</v>
      </c>
      <c r="AB99" s="1" t="s">
        <v>62</v>
      </c>
      <c r="AC99" s="1" t="s">
        <v>51</v>
      </c>
      <c r="AD99" s="1" t="s">
        <v>81</v>
      </c>
      <c r="AE99" s="1" t="s">
        <v>51</v>
      </c>
      <c r="AG99" s="1" t="s">
        <v>51</v>
      </c>
      <c r="AH99" s="2">
        <v>100.0</v>
      </c>
      <c r="AI99" s="2">
        <v>0.0</v>
      </c>
      <c r="AJ99" s="2">
        <v>1.0</v>
      </c>
      <c r="AK99" s="2">
        <v>1.0</v>
      </c>
      <c r="AL99" s="2">
        <v>0.0</v>
      </c>
      <c r="AM99" s="1" t="s">
        <v>72</v>
      </c>
      <c r="AP99" s="2">
        <v>4.88978973E8</v>
      </c>
      <c r="AQ99" s="1" t="s">
        <v>215</v>
      </c>
      <c r="AR99" s="2">
        <v>45806.750439814816</v>
      </c>
      <c r="AU99" s="1" t="s">
        <v>64</v>
      </c>
      <c r="AW99" s="1" t="s">
        <v>191</v>
      </c>
      <c r="AY99" s="2">
        <v>93.0</v>
      </c>
    </row>
    <row r="100">
      <c r="A100" s="1" t="s">
        <v>51</v>
      </c>
      <c r="C100" s="1" t="s">
        <v>53</v>
      </c>
      <c r="E100" s="1" t="s">
        <v>53</v>
      </c>
      <c r="F100" s="1" t="s">
        <v>54</v>
      </c>
      <c r="G100" s="2">
        <v>45.0</v>
      </c>
      <c r="H100" s="1" t="s">
        <v>66</v>
      </c>
      <c r="I100" s="1" t="s">
        <v>121</v>
      </c>
      <c r="J100" s="1" t="s">
        <v>56</v>
      </c>
      <c r="K100" s="1" t="s">
        <v>87</v>
      </c>
      <c r="M100" s="1" t="s">
        <v>58</v>
      </c>
      <c r="N100" s="1" t="s">
        <v>58</v>
      </c>
      <c r="O100" s="1" t="s">
        <v>69</v>
      </c>
      <c r="Q100" s="1" t="s">
        <v>69</v>
      </c>
      <c r="R100" s="1" t="s">
        <v>58</v>
      </c>
      <c r="S100" s="1" t="s">
        <v>69</v>
      </c>
      <c r="T100" s="1" t="s">
        <v>69</v>
      </c>
      <c r="U100" s="1" t="s">
        <v>70</v>
      </c>
      <c r="V100" s="1" t="s">
        <v>58</v>
      </c>
      <c r="W100" s="1" t="s">
        <v>69</v>
      </c>
      <c r="X100" s="1" t="s">
        <v>88</v>
      </c>
      <c r="Y100" s="1" t="s">
        <v>95</v>
      </c>
      <c r="Z100" s="1" t="s">
        <v>96</v>
      </c>
      <c r="AA100" s="2">
        <v>100.0</v>
      </c>
      <c r="AB100" s="1" t="s">
        <v>62</v>
      </c>
      <c r="AC100" s="1" t="s">
        <v>51</v>
      </c>
      <c r="AD100" s="1" t="s">
        <v>59</v>
      </c>
      <c r="AF100" s="1" t="s">
        <v>51</v>
      </c>
      <c r="AG100" s="1" t="s">
        <v>51</v>
      </c>
      <c r="AH100" s="2">
        <v>50.0</v>
      </c>
      <c r="AI100" s="2">
        <v>1.0</v>
      </c>
      <c r="AJ100" s="2">
        <v>1.0</v>
      </c>
      <c r="AK100" s="2">
        <v>1.0</v>
      </c>
      <c r="AL100" s="2">
        <v>0.0</v>
      </c>
      <c r="AM100" s="1" t="s">
        <v>51</v>
      </c>
      <c r="AN100" s="2">
        <v>8.37723525E8</v>
      </c>
      <c r="AP100" s="2">
        <v>4.89006974E8</v>
      </c>
      <c r="AQ100" s="1" t="s">
        <v>216</v>
      </c>
      <c r="AR100" s="2">
        <v>45806.78528935185</v>
      </c>
      <c r="AU100" s="1" t="s">
        <v>64</v>
      </c>
      <c r="AW100" s="1" t="s">
        <v>191</v>
      </c>
      <c r="AY100" s="2">
        <v>94.0</v>
      </c>
    </row>
    <row r="101">
      <c r="A101" s="1" t="s">
        <v>51</v>
      </c>
      <c r="C101" s="1" t="s">
        <v>53</v>
      </c>
      <c r="E101" s="1" t="s">
        <v>53</v>
      </c>
      <c r="F101" s="1" t="s">
        <v>94</v>
      </c>
      <c r="G101" s="2">
        <v>43.0</v>
      </c>
      <c r="H101" s="1" t="s">
        <v>66</v>
      </c>
      <c r="I101" s="1" t="s">
        <v>121</v>
      </c>
      <c r="J101" s="1" t="s">
        <v>86</v>
      </c>
      <c r="K101" s="1" t="s">
        <v>87</v>
      </c>
      <c r="M101" s="1" t="s">
        <v>58</v>
      </c>
      <c r="N101" s="1" t="s">
        <v>58</v>
      </c>
      <c r="O101" s="1" t="s">
        <v>69</v>
      </c>
      <c r="Q101" s="1" t="s">
        <v>58</v>
      </c>
      <c r="R101" s="1" t="s">
        <v>58</v>
      </c>
      <c r="S101" s="1" t="s">
        <v>58</v>
      </c>
      <c r="T101" s="1" t="s">
        <v>69</v>
      </c>
      <c r="U101" s="1" t="s">
        <v>58</v>
      </c>
      <c r="V101" s="1" t="s">
        <v>58</v>
      </c>
      <c r="W101" s="1" t="s">
        <v>69</v>
      </c>
      <c r="X101" s="1" t="s">
        <v>59</v>
      </c>
      <c r="Y101" s="1" t="s">
        <v>95</v>
      </c>
      <c r="Z101" s="1" t="s">
        <v>89</v>
      </c>
      <c r="AA101" s="2">
        <v>30.0</v>
      </c>
      <c r="AB101" s="1" t="s">
        <v>28</v>
      </c>
      <c r="AC101" s="1" t="s">
        <v>71</v>
      </c>
      <c r="AF101" s="1" t="s">
        <v>72</v>
      </c>
      <c r="AG101" s="1" t="s">
        <v>72</v>
      </c>
      <c r="AI101" s="2">
        <v>0.0</v>
      </c>
      <c r="AJ101" s="2">
        <v>0.0</v>
      </c>
      <c r="AK101" s="2">
        <v>1.0</v>
      </c>
      <c r="AL101" s="2">
        <v>0.0</v>
      </c>
      <c r="AM101" s="1" t="s">
        <v>72</v>
      </c>
      <c r="AP101" s="2">
        <v>4.89015378E8</v>
      </c>
      <c r="AQ101" s="1" t="s">
        <v>217</v>
      </c>
      <c r="AR101" s="2">
        <v>45806.797951388886</v>
      </c>
      <c r="AU101" s="1" t="s">
        <v>64</v>
      </c>
      <c r="AW101" s="1" t="s">
        <v>191</v>
      </c>
      <c r="AY101" s="2">
        <v>95.0</v>
      </c>
    </row>
    <row r="102">
      <c r="A102" s="1" t="s">
        <v>51</v>
      </c>
      <c r="C102" s="1" t="s">
        <v>151</v>
      </c>
      <c r="E102" s="1" t="s">
        <v>53</v>
      </c>
      <c r="F102" s="1" t="s">
        <v>102</v>
      </c>
      <c r="G102" s="2">
        <v>38.0</v>
      </c>
      <c r="H102" s="1" t="s">
        <v>66</v>
      </c>
      <c r="I102" s="1" t="s">
        <v>67</v>
      </c>
      <c r="J102" s="1" t="s">
        <v>68</v>
      </c>
      <c r="K102" s="1" t="s">
        <v>74</v>
      </c>
      <c r="M102" s="1" t="s">
        <v>58</v>
      </c>
      <c r="N102" s="1" t="s">
        <v>58</v>
      </c>
      <c r="O102" s="1" t="s">
        <v>58</v>
      </c>
      <c r="Q102" s="1" t="s">
        <v>58</v>
      </c>
      <c r="R102" s="1" t="s">
        <v>58</v>
      </c>
      <c r="S102" s="1" t="s">
        <v>58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81</v>
      </c>
      <c r="Y102" s="1" t="s">
        <v>60</v>
      </c>
      <c r="Z102" s="1" t="s">
        <v>61</v>
      </c>
      <c r="AA102" s="2">
        <v>10.0</v>
      </c>
      <c r="AB102" s="1" t="s">
        <v>62</v>
      </c>
      <c r="AC102" s="1" t="s">
        <v>71</v>
      </c>
      <c r="AF102" s="1" t="s">
        <v>51</v>
      </c>
      <c r="AG102" s="1" t="s">
        <v>72</v>
      </c>
      <c r="AI102" s="2">
        <v>0.0</v>
      </c>
      <c r="AJ102" s="2">
        <v>0.0</v>
      </c>
      <c r="AK102" s="2">
        <v>0.0</v>
      </c>
      <c r="AL102" s="2">
        <v>1.0</v>
      </c>
      <c r="AM102" s="1" t="s">
        <v>72</v>
      </c>
      <c r="AP102" s="2">
        <v>4.89056347E8</v>
      </c>
      <c r="AQ102" s="1" t="s">
        <v>218</v>
      </c>
      <c r="AR102" s="2">
        <v>45806.863912037035</v>
      </c>
      <c r="AU102" s="1" t="s">
        <v>64</v>
      </c>
      <c r="AW102" s="1" t="s">
        <v>165</v>
      </c>
      <c r="AY102" s="2">
        <v>96.0</v>
      </c>
    </row>
    <row r="103">
      <c r="A103" s="1" t="s">
        <v>51</v>
      </c>
      <c r="C103" s="1" t="s">
        <v>53</v>
      </c>
      <c r="E103" s="1" t="s">
        <v>53</v>
      </c>
      <c r="F103" s="1" t="s">
        <v>102</v>
      </c>
      <c r="G103" s="2">
        <v>39.0</v>
      </c>
      <c r="H103" s="1" t="s">
        <v>55</v>
      </c>
      <c r="I103" s="1" t="s">
        <v>121</v>
      </c>
      <c r="J103" s="1" t="s">
        <v>86</v>
      </c>
      <c r="K103" s="1" t="s">
        <v>74</v>
      </c>
      <c r="M103" s="1" t="s">
        <v>58</v>
      </c>
      <c r="N103" s="1" t="s">
        <v>58</v>
      </c>
      <c r="O103" s="1" t="s">
        <v>58</v>
      </c>
      <c r="Q103" s="1" t="s">
        <v>69</v>
      </c>
      <c r="R103" s="1" t="s">
        <v>58</v>
      </c>
      <c r="S103" s="1" t="s">
        <v>69</v>
      </c>
      <c r="T103" s="1" t="s">
        <v>69</v>
      </c>
      <c r="U103" s="1" t="s">
        <v>69</v>
      </c>
      <c r="V103" s="1" t="s">
        <v>58</v>
      </c>
      <c r="W103" s="1" t="s">
        <v>69</v>
      </c>
      <c r="X103" s="1" t="s">
        <v>59</v>
      </c>
      <c r="Y103" s="1" t="s">
        <v>60</v>
      </c>
      <c r="Z103" s="1" t="s">
        <v>61</v>
      </c>
      <c r="AA103" s="2">
        <v>100.0</v>
      </c>
      <c r="AB103" s="1" t="s">
        <v>62</v>
      </c>
      <c r="AC103" s="1" t="s">
        <v>72</v>
      </c>
      <c r="AF103" s="1" t="s">
        <v>51</v>
      </c>
      <c r="AG103" s="1" t="s">
        <v>51</v>
      </c>
      <c r="AH103" s="2">
        <v>500.0</v>
      </c>
      <c r="AI103" s="2">
        <v>0.0</v>
      </c>
      <c r="AJ103" s="2">
        <v>1.0</v>
      </c>
      <c r="AK103" s="2">
        <v>0.0</v>
      </c>
      <c r="AL103" s="2">
        <v>0.0</v>
      </c>
      <c r="AM103" s="1" t="s">
        <v>51</v>
      </c>
      <c r="AN103" s="2">
        <v>6.94715148E8</v>
      </c>
      <c r="AP103" s="2">
        <v>4.89145506E8</v>
      </c>
      <c r="AQ103" s="1" t="s">
        <v>219</v>
      </c>
      <c r="AR103" s="2">
        <v>45807.1694212963</v>
      </c>
      <c r="AU103" s="1" t="s">
        <v>64</v>
      </c>
      <c r="AW103" s="1" t="s">
        <v>191</v>
      </c>
      <c r="AY103" s="2">
        <v>97.0</v>
      </c>
    </row>
    <row r="104">
      <c r="A104" s="1" t="s">
        <v>51</v>
      </c>
      <c r="C104" s="1" t="s">
        <v>53</v>
      </c>
      <c r="E104" s="1" t="s">
        <v>53</v>
      </c>
      <c r="F104" s="1" t="s">
        <v>102</v>
      </c>
      <c r="G104" s="2">
        <v>54.0</v>
      </c>
      <c r="H104" s="1" t="s">
        <v>66</v>
      </c>
      <c r="I104" s="1" t="s">
        <v>121</v>
      </c>
      <c r="J104" s="1" t="s">
        <v>86</v>
      </c>
      <c r="K104" s="1" t="s">
        <v>87</v>
      </c>
      <c r="M104" s="1" t="s">
        <v>58</v>
      </c>
      <c r="N104" s="1" t="s">
        <v>58</v>
      </c>
      <c r="O104" s="1" t="s">
        <v>58</v>
      </c>
      <c r="Q104" s="1" t="s">
        <v>69</v>
      </c>
      <c r="R104" s="1" t="s">
        <v>69</v>
      </c>
      <c r="S104" s="1" t="s">
        <v>58</v>
      </c>
      <c r="T104" s="1" t="s">
        <v>69</v>
      </c>
      <c r="U104" s="1" t="s">
        <v>58</v>
      </c>
      <c r="V104" s="1" t="s">
        <v>58</v>
      </c>
      <c r="W104" s="1" t="s">
        <v>69</v>
      </c>
      <c r="X104" s="1" t="s">
        <v>81</v>
      </c>
      <c r="Y104" s="1" t="s">
        <v>95</v>
      </c>
      <c r="Z104" s="1" t="s">
        <v>61</v>
      </c>
      <c r="AA104" s="2">
        <v>100.0</v>
      </c>
      <c r="AB104" s="1" t="s">
        <v>62</v>
      </c>
      <c r="AC104" s="1" t="s">
        <v>71</v>
      </c>
      <c r="AF104" s="1" t="s">
        <v>51</v>
      </c>
      <c r="AG104" s="1" t="s">
        <v>51</v>
      </c>
      <c r="AH104" s="2">
        <v>2000.0</v>
      </c>
      <c r="AI104" s="2">
        <v>0.0</v>
      </c>
      <c r="AJ104" s="2">
        <v>0.0</v>
      </c>
      <c r="AK104" s="2">
        <v>0.0</v>
      </c>
      <c r="AL104" s="2">
        <v>1.0</v>
      </c>
      <c r="AM104" s="1" t="s">
        <v>51</v>
      </c>
      <c r="AN104" s="2">
        <v>7.81400075E8</v>
      </c>
      <c r="AP104" s="2">
        <v>4.89150112E8</v>
      </c>
      <c r="AQ104" s="1" t="s">
        <v>220</v>
      </c>
      <c r="AR104" s="2">
        <v>45807.18351851852</v>
      </c>
      <c r="AU104" s="1" t="s">
        <v>64</v>
      </c>
      <c r="AW104" s="1" t="s">
        <v>191</v>
      </c>
      <c r="AY104" s="2">
        <v>98.0</v>
      </c>
    </row>
    <row r="105">
      <c r="A105" s="1" t="s">
        <v>51</v>
      </c>
      <c r="C105" s="1" t="s">
        <v>53</v>
      </c>
      <c r="E105" s="1" t="s">
        <v>53</v>
      </c>
      <c r="F105" s="1" t="s">
        <v>221</v>
      </c>
      <c r="G105" s="2">
        <v>41.0</v>
      </c>
      <c r="H105" s="1" t="s">
        <v>55</v>
      </c>
      <c r="I105" s="1" t="s">
        <v>121</v>
      </c>
      <c r="J105" s="1" t="s">
        <v>56</v>
      </c>
      <c r="K105" s="1" t="s">
        <v>87</v>
      </c>
      <c r="M105" s="1" t="s">
        <v>58</v>
      </c>
      <c r="N105" s="1" t="s">
        <v>58</v>
      </c>
      <c r="O105" s="1" t="s">
        <v>70</v>
      </c>
      <c r="Q105" s="1" t="s">
        <v>70</v>
      </c>
      <c r="R105" s="1" t="s">
        <v>58</v>
      </c>
      <c r="S105" s="1" t="s">
        <v>69</v>
      </c>
      <c r="T105" s="1" t="s">
        <v>69</v>
      </c>
      <c r="U105" s="1" t="s">
        <v>58</v>
      </c>
      <c r="V105" s="1" t="s">
        <v>58</v>
      </c>
      <c r="W105" s="1" t="s">
        <v>70</v>
      </c>
      <c r="X105" s="1" t="s">
        <v>59</v>
      </c>
      <c r="Z105" s="1" t="s">
        <v>89</v>
      </c>
      <c r="AA105" s="2">
        <v>50.0</v>
      </c>
      <c r="AB105" s="1" t="s">
        <v>62</v>
      </c>
      <c r="AC105" s="1" t="s">
        <v>51</v>
      </c>
      <c r="AD105" s="1" t="s">
        <v>59</v>
      </c>
      <c r="AE105" s="1" t="s">
        <v>51</v>
      </c>
      <c r="AF105" s="1" t="s">
        <v>51</v>
      </c>
      <c r="AG105" s="1" t="s">
        <v>51</v>
      </c>
      <c r="AH105" s="2">
        <v>50.0</v>
      </c>
      <c r="AI105" s="2">
        <v>0.0</v>
      </c>
      <c r="AJ105" s="2">
        <v>0.0</v>
      </c>
      <c r="AK105" s="2">
        <v>0.0</v>
      </c>
      <c r="AL105" s="2">
        <v>1.0</v>
      </c>
      <c r="AM105" s="1" t="s">
        <v>72</v>
      </c>
      <c r="AP105" s="2">
        <v>4.89158046E8</v>
      </c>
      <c r="AQ105" s="1" t="s">
        <v>222</v>
      </c>
      <c r="AR105" s="2">
        <v>45807.200844907406</v>
      </c>
      <c r="AU105" s="1" t="s">
        <v>64</v>
      </c>
      <c r="AW105" s="1" t="s">
        <v>191</v>
      </c>
      <c r="AY105" s="2">
        <v>99.0</v>
      </c>
    </row>
    <row r="106">
      <c r="A106" s="1" t="s">
        <v>51</v>
      </c>
      <c r="C106" s="1" t="s">
        <v>53</v>
      </c>
      <c r="E106" s="1" t="s">
        <v>53</v>
      </c>
      <c r="F106" s="1" t="s">
        <v>54</v>
      </c>
      <c r="G106" s="2">
        <v>30.0</v>
      </c>
      <c r="H106" s="1" t="s">
        <v>66</v>
      </c>
      <c r="I106" s="1" t="s">
        <v>121</v>
      </c>
      <c r="J106" s="1" t="s">
        <v>86</v>
      </c>
      <c r="K106" s="1" t="s">
        <v>87</v>
      </c>
      <c r="M106" s="1" t="s">
        <v>69</v>
      </c>
      <c r="N106" s="1" t="s">
        <v>58</v>
      </c>
      <c r="O106" s="1" t="s">
        <v>69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81</v>
      </c>
      <c r="Y106" s="1" t="s">
        <v>82</v>
      </c>
      <c r="Z106" s="1" t="s">
        <v>89</v>
      </c>
      <c r="AA106" s="2">
        <v>100.0</v>
      </c>
      <c r="AB106" s="1" t="s">
        <v>79</v>
      </c>
      <c r="AC106" s="1" t="s">
        <v>71</v>
      </c>
      <c r="AF106" s="1" t="s">
        <v>51</v>
      </c>
      <c r="AG106" s="1" t="s">
        <v>51</v>
      </c>
      <c r="AH106" s="2">
        <v>125.0</v>
      </c>
      <c r="AI106" s="2">
        <v>1.0</v>
      </c>
      <c r="AJ106" s="2">
        <v>1.0</v>
      </c>
      <c r="AK106" s="2">
        <v>1.0</v>
      </c>
      <c r="AL106" s="2">
        <v>0.0</v>
      </c>
      <c r="AM106" s="1" t="s">
        <v>51</v>
      </c>
      <c r="AN106" s="2">
        <v>7.22406196E8</v>
      </c>
      <c r="AP106" s="2">
        <v>4.8916466E8</v>
      </c>
      <c r="AQ106" s="1" t="s">
        <v>223</v>
      </c>
      <c r="AR106" s="2">
        <v>45807.217141203706</v>
      </c>
      <c r="AU106" s="1" t="s">
        <v>64</v>
      </c>
      <c r="AW106" s="1" t="s">
        <v>191</v>
      </c>
      <c r="AY106" s="2">
        <v>100.0</v>
      </c>
    </row>
    <row r="107">
      <c r="A107" s="1" t="s">
        <v>51</v>
      </c>
      <c r="C107" s="1" t="s">
        <v>52</v>
      </c>
      <c r="E107" s="1" t="s">
        <v>53</v>
      </c>
      <c r="F107" s="1" t="s">
        <v>54</v>
      </c>
      <c r="G107" s="2">
        <v>40.0</v>
      </c>
      <c r="H107" s="1" t="s">
        <v>55</v>
      </c>
      <c r="I107" s="1" t="s">
        <v>67</v>
      </c>
      <c r="J107" s="1" t="s">
        <v>86</v>
      </c>
      <c r="K107" s="1" t="s">
        <v>87</v>
      </c>
      <c r="M107" s="1" t="s">
        <v>58</v>
      </c>
      <c r="N107" s="1" t="s">
        <v>58</v>
      </c>
      <c r="O107" s="1" t="s">
        <v>69</v>
      </c>
      <c r="Q107" s="1" t="s">
        <v>69</v>
      </c>
      <c r="R107" s="1" t="s">
        <v>58</v>
      </c>
      <c r="S107" s="1" t="s">
        <v>69</v>
      </c>
      <c r="T107" s="1" t="s">
        <v>69</v>
      </c>
      <c r="U107" s="1" t="s">
        <v>58</v>
      </c>
      <c r="V107" s="1" t="s">
        <v>58</v>
      </c>
      <c r="W107" s="1" t="s">
        <v>69</v>
      </c>
      <c r="X107" s="1" t="s">
        <v>88</v>
      </c>
      <c r="Y107" s="1" t="s">
        <v>95</v>
      </c>
      <c r="Z107" s="1" t="s">
        <v>96</v>
      </c>
      <c r="AA107" s="2">
        <v>100.0</v>
      </c>
      <c r="AB107" s="1" t="s">
        <v>79</v>
      </c>
      <c r="AC107" s="1" t="s">
        <v>51</v>
      </c>
      <c r="AD107" s="1" t="s">
        <v>103</v>
      </c>
      <c r="AE107" s="1" t="s">
        <v>51</v>
      </c>
      <c r="AF107" s="1" t="s">
        <v>51</v>
      </c>
      <c r="AG107" s="1" t="s">
        <v>72</v>
      </c>
      <c r="AI107" s="2">
        <v>0.0</v>
      </c>
      <c r="AJ107" s="2">
        <v>1.0</v>
      </c>
      <c r="AK107" s="2">
        <v>0.0</v>
      </c>
      <c r="AL107" s="2">
        <v>0.0</v>
      </c>
      <c r="AM107" s="1" t="s">
        <v>51</v>
      </c>
      <c r="AN107" s="2">
        <v>7.49037713E8</v>
      </c>
      <c r="AP107" s="2">
        <v>4.89165434E8</v>
      </c>
      <c r="AQ107" s="1" t="s">
        <v>224</v>
      </c>
      <c r="AR107" s="2">
        <v>45807.21875</v>
      </c>
      <c r="AU107" s="1" t="s">
        <v>64</v>
      </c>
      <c r="AW107" s="1" t="s">
        <v>191</v>
      </c>
      <c r="AY107" s="2">
        <v>101.0</v>
      </c>
    </row>
    <row r="108">
      <c r="A108" s="1" t="s">
        <v>51</v>
      </c>
      <c r="C108" s="1" t="s">
        <v>53</v>
      </c>
      <c r="E108" s="1" t="s">
        <v>53</v>
      </c>
      <c r="F108" s="1" t="s">
        <v>225</v>
      </c>
      <c r="G108" s="2">
        <v>37.0</v>
      </c>
      <c r="H108" s="1" t="s">
        <v>66</v>
      </c>
      <c r="I108" s="1" t="s">
        <v>121</v>
      </c>
      <c r="J108" s="1" t="s">
        <v>56</v>
      </c>
      <c r="K108" s="1" t="s">
        <v>87</v>
      </c>
      <c r="M108" s="1" t="s">
        <v>58</v>
      </c>
      <c r="N108" s="1" t="s">
        <v>58</v>
      </c>
      <c r="O108" s="1" t="s">
        <v>58</v>
      </c>
      <c r="Q108" s="1" t="s">
        <v>69</v>
      </c>
      <c r="R108" s="1" t="s">
        <v>58</v>
      </c>
      <c r="S108" s="1" t="s">
        <v>58</v>
      </c>
      <c r="T108" s="1" t="s">
        <v>69</v>
      </c>
      <c r="U108" s="1" t="s">
        <v>58</v>
      </c>
      <c r="V108" s="1" t="s">
        <v>58</v>
      </c>
      <c r="W108" s="1" t="s">
        <v>69</v>
      </c>
      <c r="X108" s="1" t="s">
        <v>59</v>
      </c>
      <c r="Y108" s="1" t="s">
        <v>60</v>
      </c>
      <c r="Z108" s="1" t="s">
        <v>61</v>
      </c>
      <c r="AA108" s="2">
        <v>50.0</v>
      </c>
      <c r="AB108" s="1" t="s">
        <v>79</v>
      </c>
      <c r="AC108" s="1" t="s">
        <v>71</v>
      </c>
      <c r="AF108" s="1" t="s">
        <v>51</v>
      </c>
      <c r="AG108" s="1" t="s">
        <v>51</v>
      </c>
      <c r="AI108" s="2">
        <v>1.0</v>
      </c>
      <c r="AJ108" s="2">
        <v>1.0</v>
      </c>
      <c r="AK108" s="2">
        <v>1.0</v>
      </c>
      <c r="AL108" s="2">
        <v>0.0</v>
      </c>
      <c r="AM108" s="1" t="s">
        <v>51</v>
      </c>
      <c r="AN108" s="2">
        <v>7.63000151E8</v>
      </c>
      <c r="AP108" s="2">
        <v>4.89181341E8</v>
      </c>
      <c r="AQ108" s="1" t="s">
        <v>226</v>
      </c>
      <c r="AR108" s="2">
        <v>45807.250439814816</v>
      </c>
      <c r="AU108" s="1" t="s">
        <v>64</v>
      </c>
      <c r="AW108" s="1" t="s">
        <v>191</v>
      </c>
      <c r="AY108" s="2">
        <v>102.0</v>
      </c>
    </row>
    <row r="109">
      <c r="A109" s="1" t="s">
        <v>51</v>
      </c>
      <c r="C109" s="1" t="s">
        <v>151</v>
      </c>
      <c r="E109" s="1" t="s">
        <v>151</v>
      </c>
      <c r="G109" s="2">
        <v>39.0</v>
      </c>
      <c r="H109" s="1" t="s">
        <v>66</v>
      </c>
      <c r="J109" s="1" t="s">
        <v>86</v>
      </c>
      <c r="K109" s="1" t="s">
        <v>87</v>
      </c>
      <c r="M109" s="1" t="s">
        <v>58</v>
      </c>
      <c r="N109" s="1" t="s">
        <v>70</v>
      </c>
      <c r="O109" s="1" t="s">
        <v>69</v>
      </c>
      <c r="Q109" s="1" t="s">
        <v>69</v>
      </c>
      <c r="R109" s="1" t="s">
        <v>58</v>
      </c>
      <c r="S109" s="1" t="s">
        <v>69</v>
      </c>
      <c r="T109" s="1" t="s">
        <v>69</v>
      </c>
      <c r="U109" s="1" t="s">
        <v>58</v>
      </c>
      <c r="V109" s="1" t="s">
        <v>69</v>
      </c>
      <c r="W109" s="1" t="s">
        <v>69</v>
      </c>
      <c r="X109" s="1" t="s">
        <v>103</v>
      </c>
      <c r="Y109" s="1" t="s">
        <v>227</v>
      </c>
      <c r="Z109" s="1" t="s">
        <v>96</v>
      </c>
      <c r="AA109" s="2">
        <v>10.0</v>
      </c>
      <c r="AB109" s="1" t="s">
        <v>79</v>
      </c>
      <c r="AC109" s="1" t="s">
        <v>71</v>
      </c>
      <c r="AF109" s="1" t="s">
        <v>51</v>
      </c>
      <c r="AG109" s="1" t="s">
        <v>51</v>
      </c>
      <c r="AH109" s="2">
        <v>4000.0</v>
      </c>
      <c r="AI109" s="2">
        <v>1.0</v>
      </c>
      <c r="AJ109" s="2">
        <v>1.0</v>
      </c>
      <c r="AK109" s="2">
        <v>0.0</v>
      </c>
      <c r="AL109" s="2">
        <v>0.0</v>
      </c>
      <c r="AP109" s="2">
        <v>4.89189157E8</v>
      </c>
      <c r="AQ109" s="1" t="s">
        <v>228</v>
      </c>
      <c r="AR109" s="2">
        <v>45807.262337962966</v>
      </c>
      <c r="AU109" s="1" t="s">
        <v>64</v>
      </c>
      <c r="AW109" s="1" t="s">
        <v>191</v>
      </c>
      <c r="AY109" s="2">
        <v>103.0</v>
      </c>
    </row>
    <row r="110">
      <c r="A110" s="1" t="s">
        <v>51</v>
      </c>
      <c r="C110" s="1" t="s">
        <v>151</v>
      </c>
      <c r="E110" s="1" t="s">
        <v>151</v>
      </c>
      <c r="G110" s="2">
        <v>37.0</v>
      </c>
      <c r="H110" s="1" t="s">
        <v>55</v>
      </c>
      <c r="J110" s="1" t="s">
        <v>56</v>
      </c>
      <c r="K110" s="1" t="s">
        <v>92</v>
      </c>
      <c r="M110" s="1" t="s">
        <v>58</v>
      </c>
      <c r="N110" s="1" t="s">
        <v>58</v>
      </c>
      <c r="O110" s="1" t="s">
        <v>69</v>
      </c>
      <c r="Q110" s="1" t="s">
        <v>69</v>
      </c>
      <c r="R110" s="1" t="s">
        <v>58</v>
      </c>
      <c r="S110" s="1" t="s">
        <v>58</v>
      </c>
      <c r="T110" s="1" t="s">
        <v>58</v>
      </c>
      <c r="U110" s="1" t="s">
        <v>69</v>
      </c>
      <c r="V110" s="1" t="s">
        <v>58</v>
      </c>
      <c r="W110" s="1" t="s">
        <v>69</v>
      </c>
      <c r="X110" s="1" t="s">
        <v>81</v>
      </c>
      <c r="Y110" s="1" t="s">
        <v>60</v>
      </c>
      <c r="Z110" s="1" t="s">
        <v>89</v>
      </c>
      <c r="AA110" s="2">
        <v>100.0</v>
      </c>
      <c r="AB110" s="1" t="s">
        <v>62</v>
      </c>
      <c r="AC110" s="1" t="s">
        <v>71</v>
      </c>
      <c r="AF110" s="1" t="s">
        <v>51</v>
      </c>
      <c r="AG110" s="1" t="s">
        <v>72</v>
      </c>
      <c r="AI110" s="2">
        <v>0.0</v>
      </c>
      <c r="AJ110" s="2">
        <v>0.0</v>
      </c>
      <c r="AK110" s="2">
        <v>0.0</v>
      </c>
      <c r="AL110" s="2">
        <v>1.0</v>
      </c>
      <c r="AP110" s="2">
        <v>4.89193078E8</v>
      </c>
      <c r="AQ110" s="1" t="s">
        <v>229</v>
      </c>
      <c r="AR110" s="2">
        <v>45807.26929398148</v>
      </c>
      <c r="AU110" s="1" t="s">
        <v>64</v>
      </c>
      <c r="AW110" s="1" t="s">
        <v>191</v>
      </c>
      <c r="AY110" s="2">
        <v>104.0</v>
      </c>
    </row>
    <row r="111">
      <c r="A111" s="1" t="s">
        <v>51</v>
      </c>
      <c r="C111" s="1" t="s">
        <v>151</v>
      </c>
      <c r="E111" s="1" t="s">
        <v>53</v>
      </c>
      <c r="F111" s="1" t="s">
        <v>102</v>
      </c>
      <c r="G111" s="2">
        <v>39.0</v>
      </c>
      <c r="H111" s="1" t="s">
        <v>55</v>
      </c>
      <c r="I111" s="1" t="s">
        <v>67</v>
      </c>
      <c r="J111" s="1" t="s">
        <v>86</v>
      </c>
      <c r="K111" s="1" t="s">
        <v>87</v>
      </c>
      <c r="M111" s="1" t="s">
        <v>58</v>
      </c>
      <c r="N111" s="1" t="s">
        <v>58</v>
      </c>
      <c r="O111" s="1" t="s">
        <v>58</v>
      </c>
      <c r="Q111" s="1" t="s">
        <v>58</v>
      </c>
      <c r="R111" s="1" t="s">
        <v>58</v>
      </c>
      <c r="S111" s="1" t="s">
        <v>70</v>
      </c>
      <c r="T111" s="1" t="s">
        <v>70</v>
      </c>
      <c r="U111" s="1" t="s">
        <v>58</v>
      </c>
      <c r="V111" s="1" t="s">
        <v>58</v>
      </c>
      <c r="W111" s="1" t="s">
        <v>69</v>
      </c>
      <c r="X111" s="1" t="s">
        <v>59</v>
      </c>
      <c r="Y111" s="1" t="s">
        <v>95</v>
      </c>
      <c r="Z111" s="1" t="s">
        <v>89</v>
      </c>
      <c r="AA111" s="2">
        <v>100.0</v>
      </c>
      <c r="AB111" s="1" t="s">
        <v>79</v>
      </c>
      <c r="AC111" s="1" t="s">
        <v>71</v>
      </c>
      <c r="AF111" s="1" t="s">
        <v>51</v>
      </c>
      <c r="AG111" s="1" t="s">
        <v>72</v>
      </c>
      <c r="AI111" s="2">
        <v>0.0</v>
      </c>
      <c r="AJ111" s="2">
        <v>0.0</v>
      </c>
      <c r="AK111" s="2">
        <v>0.0</v>
      </c>
      <c r="AL111" s="2">
        <v>1.0</v>
      </c>
      <c r="AM111" s="1" t="s">
        <v>72</v>
      </c>
      <c r="AP111" s="2">
        <v>4.89233461E8</v>
      </c>
      <c r="AQ111" s="1" t="s">
        <v>230</v>
      </c>
      <c r="AR111" s="2">
        <v>45807.329305555555</v>
      </c>
      <c r="AU111" s="1" t="s">
        <v>64</v>
      </c>
      <c r="AW111" s="1" t="s">
        <v>191</v>
      </c>
      <c r="AY111" s="2">
        <v>105.0</v>
      </c>
    </row>
    <row r="112">
      <c r="A112" s="1" t="s">
        <v>51</v>
      </c>
      <c r="C112" s="1" t="s">
        <v>53</v>
      </c>
      <c r="E112" s="1" t="s">
        <v>53</v>
      </c>
      <c r="F112" s="1" t="s">
        <v>102</v>
      </c>
      <c r="G112" s="2">
        <v>20.0</v>
      </c>
      <c r="H112" s="1" t="s">
        <v>66</v>
      </c>
      <c r="I112" s="1" t="s">
        <v>121</v>
      </c>
      <c r="J112" s="1" t="s">
        <v>56</v>
      </c>
      <c r="K112" s="1" t="s">
        <v>74</v>
      </c>
      <c r="M112" s="1" t="s">
        <v>58</v>
      </c>
      <c r="N112" s="1" t="s">
        <v>58</v>
      </c>
      <c r="O112" s="1" t="s">
        <v>58</v>
      </c>
      <c r="Q112" s="1" t="s">
        <v>69</v>
      </c>
      <c r="R112" s="1" t="s">
        <v>70</v>
      </c>
      <c r="S112" s="1" t="s">
        <v>69</v>
      </c>
      <c r="T112" s="1" t="s">
        <v>69</v>
      </c>
      <c r="U112" s="1" t="s">
        <v>58</v>
      </c>
      <c r="V112" s="1" t="s">
        <v>58</v>
      </c>
      <c r="W112" s="1" t="s">
        <v>69</v>
      </c>
      <c r="X112" s="1" t="s">
        <v>81</v>
      </c>
      <c r="Y112" s="1" t="s">
        <v>82</v>
      </c>
      <c r="Z112" s="1" t="s">
        <v>89</v>
      </c>
      <c r="AA112" s="2">
        <v>50.0</v>
      </c>
      <c r="AB112" s="1" t="s">
        <v>79</v>
      </c>
      <c r="AC112" s="1" t="s">
        <v>51</v>
      </c>
      <c r="AD112" s="1" t="s">
        <v>81</v>
      </c>
      <c r="AE112" s="1" t="s">
        <v>72</v>
      </c>
      <c r="AF112" s="1" t="s">
        <v>51</v>
      </c>
      <c r="AG112" s="1" t="s">
        <v>51</v>
      </c>
      <c r="AH112" s="2">
        <v>15000.0</v>
      </c>
      <c r="AI112" s="2">
        <v>0.0</v>
      </c>
      <c r="AJ112" s="2">
        <v>1.0</v>
      </c>
      <c r="AK112" s="2">
        <v>0.0</v>
      </c>
      <c r="AL112" s="2">
        <v>0.0</v>
      </c>
      <c r="AM112" s="1" t="s">
        <v>51</v>
      </c>
      <c r="AN112" s="2">
        <v>7.9184213E7</v>
      </c>
      <c r="AP112" s="2">
        <v>4.89236468E8</v>
      </c>
      <c r="AQ112" s="1" t="s">
        <v>231</v>
      </c>
      <c r="AR112" s="2">
        <v>45807.3325462963</v>
      </c>
      <c r="AU112" s="1" t="s">
        <v>64</v>
      </c>
      <c r="AW112" s="1" t="s">
        <v>191</v>
      </c>
      <c r="AY112" s="2">
        <v>106.0</v>
      </c>
    </row>
    <row r="113">
      <c r="A113" s="1" t="s">
        <v>51</v>
      </c>
      <c r="C113" s="1" t="s">
        <v>151</v>
      </c>
      <c r="E113" s="1" t="s">
        <v>53</v>
      </c>
      <c r="F113" s="1" t="s">
        <v>232</v>
      </c>
      <c r="G113" s="2">
        <v>67.0</v>
      </c>
      <c r="H113" s="1" t="s">
        <v>233</v>
      </c>
      <c r="I113" s="1" t="s">
        <v>67</v>
      </c>
      <c r="J113" s="1" t="s">
        <v>68</v>
      </c>
      <c r="K113" s="1" t="s">
        <v>57</v>
      </c>
      <c r="M113" s="1" t="s">
        <v>58</v>
      </c>
      <c r="N113" s="1" t="s">
        <v>58</v>
      </c>
      <c r="O113" s="1" t="s">
        <v>69</v>
      </c>
      <c r="Q113" s="1" t="s">
        <v>70</v>
      </c>
      <c r="R113" s="1" t="s">
        <v>58</v>
      </c>
      <c r="S113" s="1" t="s">
        <v>70</v>
      </c>
      <c r="T113" s="1" t="s">
        <v>69</v>
      </c>
      <c r="U113" s="1" t="s">
        <v>70</v>
      </c>
      <c r="V113" s="1" t="s">
        <v>69</v>
      </c>
      <c r="W113" s="1" t="s">
        <v>58</v>
      </c>
      <c r="X113" s="1" t="s">
        <v>59</v>
      </c>
      <c r="Y113" s="1" t="s">
        <v>82</v>
      </c>
      <c r="Z113" s="1" t="s">
        <v>61</v>
      </c>
      <c r="AA113" s="2">
        <v>10.0</v>
      </c>
      <c r="AB113" s="1" t="s">
        <v>28</v>
      </c>
      <c r="AC113" s="1" t="s">
        <v>71</v>
      </c>
      <c r="AF113" s="1" t="s">
        <v>51</v>
      </c>
      <c r="AG113" s="1" t="s">
        <v>51</v>
      </c>
      <c r="AH113" s="2">
        <v>1000.0</v>
      </c>
      <c r="AI113" s="2">
        <v>0.0</v>
      </c>
      <c r="AJ113" s="2">
        <v>0.0</v>
      </c>
      <c r="AK113" s="2">
        <v>0.0</v>
      </c>
      <c r="AL113" s="2">
        <v>1.0</v>
      </c>
      <c r="AM113" s="1" t="s">
        <v>51</v>
      </c>
      <c r="AN113" s="2">
        <v>6.06449998E8</v>
      </c>
      <c r="AP113" s="2">
        <v>4.89241333E8</v>
      </c>
      <c r="AQ113" s="1" t="s">
        <v>234</v>
      </c>
      <c r="AR113" s="2">
        <v>45807.338796296295</v>
      </c>
      <c r="AU113" s="1" t="s">
        <v>64</v>
      </c>
      <c r="AW113" s="1" t="s">
        <v>191</v>
      </c>
      <c r="AY113" s="2">
        <v>107.0</v>
      </c>
    </row>
    <row r="114">
      <c r="A114" s="1" t="s">
        <v>51</v>
      </c>
      <c r="C114" s="1" t="s">
        <v>151</v>
      </c>
      <c r="E114" s="1" t="s">
        <v>151</v>
      </c>
      <c r="G114" s="2">
        <v>38.0</v>
      </c>
      <c r="H114" s="1" t="s">
        <v>66</v>
      </c>
      <c r="J114" s="1" t="s">
        <v>86</v>
      </c>
      <c r="K114" s="1" t="s">
        <v>87</v>
      </c>
      <c r="M114" s="1" t="s">
        <v>58</v>
      </c>
      <c r="N114" s="1" t="s">
        <v>58</v>
      </c>
      <c r="O114" s="1" t="s">
        <v>58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58</v>
      </c>
      <c r="V114" s="1" t="s">
        <v>69</v>
      </c>
      <c r="W114" s="1" t="s">
        <v>69</v>
      </c>
      <c r="X114" s="1" t="s">
        <v>81</v>
      </c>
      <c r="Y114" s="1" t="s">
        <v>82</v>
      </c>
      <c r="Z114" s="1" t="s">
        <v>89</v>
      </c>
      <c r="AA114" s="2">
        <v>100.0</v>
      </c>
      <c r="AB114" s="1" t="s">
        <v>28</v>
      </c>
      <c r="AC114" s="1" t="s">
        <v>51</v>
      </c>
      <c r="AD114" s="1" t="s">
        <v>81</v>
      </c>
      <c r="AE114" s="1" t="s">
        <v>51</v>
      </c>
      <c r="AF114" s="1" t="s">
        <v>51</v>
      </c>
      <c r="AG114" s="1" t="s">
        <v>51</v>
      </c>
      <c r="AH114" s="2">
        <v>2000.0</v>
      </c>
      <c r="AI114" s="2">
        <v>1.0</v>
      </c>
      <c r="AJ114" s="2">
        <v>1.0</v>
      </c>
      <c r="AK114" s="2">
        <v>0.0</v>
      </c>
      <c r="AL114" s="2">
        <v>0.0</v>
      </c>
      <c r="AP114" s="2">
        <v>4.89249492E8</v>
      </c>
      <c r="AQ114" s="1" t="s">
        <v>235</v>
      </c>
      <c r="AR114" s="2">
        <v>45807.348333333335</v>
      </c>
      <c r="AU114" s="1" t="s">
        <v>64</v>
      </c>
      <c r="AW114" s="1" t="s">
        <v>191</v>
      </c>
      <c r="AY114" s="2">
        <v>108.0</v>
      </c>
    </row>
    <row r="115">
      <c r="A115" s="1" t="s">
        <v>51</v>
      </c>
      <c r="C115" s="1" t="s">
        <v>170</v>
      </c>
      <c r="E115" s="1" t="s">
        <v>53</v>
      </c>
      <c r="F115" s="1" t="s">
        <v>102</v>
      </c>
      <c r="G115" s="2">
        <v>32.0</v>
      </c>
      <c r="I115" s="1" t="s">
        <v>67</v>
      </c>
      <c r="J115" s="1" t="s">
        <v>56</v>
      </c>
      <c r="K115" s="1" t="s">
        <v>74</v>
      </c>
      <c r="M115" s="1" t="s">
        <v>58</v>
      </c>
      <c r="N115" s="1" t="s">
        <v>58</v>
      </c>
      <c r="O115" s="1" t="s">
        <v>69</v>
      </c>
      <c r="Q115" s="1" t="s">
        <v>58</v>
      </c>
      <c r="R115" s="1" t="s">
        <v>58</v>
      </c>
      <c r="S115" s="1" t="s">
        <v>58</v>
      </c>
      <c r="T115" s="1" t="s">
        <v>70</v>
      </c>
      <c r="U115" s="1" t="s">
        <v>58</v>
      </c>
      <c r="V115" s="1" t="s">
        <v>70</v>
      </c>
      <c r="W115" s="1" t="s">
        <v>70</v>
      </c>
      <c r="X115" s="1" t="s">
        <v>81</v>
      </c>
      <c r="Y115" s="1" t="s">
        <v>82</v>
      </c>
      <c r="Z115" s="1" t="s">
        <v>89</v>
      </c>
      <c r="AA115" s="2">
        <v>10.0</v>
      </c>
      <c r="AB115" s="1" t="s">
        <v>79</v>
      </c>
      <c r="AC115" s="1" t="s">
        <v>51</v>
      </c>
      <c r="AD115" s="1" t="s">
        <v>81</v>
      </c>
      <c r="AE115" s="1" t="s">
        <v>51</v>
      </c>
      <c r="AF115" s="1" t="s">
        <v>51</v>
      </c>
      <c r="AG115" s="1" t="s">
        <v>51</v>
      </c>
      <c r="AH115" s="2">
        <v>500.0</v>
      </c>
      <c r="AI115" s="2">
        <v>0.0</v>
      </c>
      <c r="AJ115" s="2">
        <v>0.0</v>
      </c>
      <c r="AK115" s="2">
        <v>0.0</v>
      </c>
      <c r="AL115" s="2">
        <v>1.0</v>
      </c>
      <c r="AM115" s="1" t="s">
        <v>51</v>
      </c>
      <c r="AN115" s="2">
        <v>8.15520878E8</v>
      </c>
      <c r="AP115" s="2">
        <v>4.89250792E8</v>
      </c>
      <c r="AQ115" s="1" t="s">
        <v>236</v>
      </c>
      <c r="AR115" s="2">
        <v>45807.35</v>
      </c>
      <c r="AU115" s="1" t="s">
        <v>64</v>
      </c>
      <c r="AW115" s="1" t="s">
        <v>191</v>
      </c>
      <c r="AY115" s="2">
        <v>109.0</v>
      </c>
    </row>
    <row r="116">
      <c r="A116" s="1" t="s">
        <v>51</v>
      </c>
      <c r="C116" s="1" t="s">
        <v>53</v>
      </c>
      <c r="E116" s="1" t="s">
        <v>151</v>
      </c>
      <c r="G116" s="2">
        <v>28.0</v>
      </c>
      <c r="H116" s="1" t="s">
        <v>233</v>
      </c>
      <c r="J116" s="1" t="s">
        <v>56</v>
      </c>
      <c r="K116" s="1" t="s">
        <v>74</v>
      </c>
      <c r="M116" s="1" t="s">
        <v>58</v>
      </c>
      <c r="N116" s="1" t="s">
        <v>58</v>
      </c>
      <c r="O116" s="1" t="s">
        <v>58</v>
      </c>
      <c r="Q116" s="1" t="s">
        <v>58</v>
      </c>
      <c r="R116" s="1" t="s">
        <v>58</v>
      </c>
      <c r="S116" s="1" t="s">
        <v>70</v>
      </c>
      <c r="T116" s="1" t="s">
        <v>69</v>
      </c>
      <c r="U116" s="1" t="s">
        <v>58</v>
      </c>
      <c r="V116" s="1" t="s">
        <v>58</v>
      </c>
      <c r="W116" s="1" t="s">
        <v>69</v>
      </c>
      <c r="X116" s="1" t="s">
        <v>59</v>
      </c>
      <c r="Y116" s="1" t="s">
        <v>60</v>
      </c>
      <c r="Z116" s="1" t="s">
        <v>108</v>
      </c>
      <c r="AA116" s="2">
        <v>50.0</v>
      </c>
      <c r="AB116" s="1" t="s">
        <v>62</v>
      </c>
      <c r="AC116" s="1" t="s">
        <v>71</v>
      </c>
      <c r="AF116" s="1" t="s">
        <v>51</v>
      </c>
      <c r="AG116" s="1" t="s">
        <v>51</v>
      </c>
      <c r="AH116" s="2">
        <v>600.0</v>
      </c>
      <c r="AI116" s="2">
        <v>0.0</v>
      </c>
      <c r="AJ116" s="2">
        <v>1.0</v>
      </c>
      <c r="AK116" s="2">
        <v>1.0</v>
      </c>
      <c r="AL116" s="2">
        <v>0.0</v>
      </c>
      <c r="AP116" s="2">
        <v>4.89263708E8</v>
      </c>
      <c r="AQ116" s="1" t="s">
        <v>237</v>
      </c>
      <c r="AR116" s="2">
        <v>45807.36615740741</v>
      </c>
      <c r="AU116" s="1" t="s">
        <v>64</v>
      </c>
      <c r="AW116" s="1" t="s">
        <v>191</v>
      </c>
      <c r="AY116" s="2">
        <v>110.0</v>
      </c>
    </row>
    <row r="117">
      <c r="A117" s="1" t="s">
        <v>51</v>
      </c>
      <c r="C117" s="1" t="s">
        <v>151</v>
      </c>
      <c r="E117" s="1" t="s">
        <v>151</v>
      </c>
      <c r="G117" s="2">
        <v>25.0</v>
      </c>
      <c r="H117" s="1" t="s">
        <v>66</v>
      </c>
      <c r="J117" s="1" t="s">
        <v>111</v>
      </c>
      <c r="M117" s="1" t="s">
        <v>58</v>
      </c>
      <c r="N117" s="1" t="s">
        <v>58</v>
      </c>
      <c r="O117" s="1" t="s">
        <v>69</v>
      </c>
      <c r="Q117" s="1" t="s">
        <v>58</v>
      </c>
      <c r="R117" s="1" t="s">
        <v>58</v>
      </c>
      <c r="S117" s="1" t="s">
        <v>69</v>
      </c>
      <c r="T117" s="1" t="s">
        <v>69</v>
      </c>
      <c r="U117" s="1" t="s">
        <v>70</v>
      </c>
      <c r="V117" s="1" t="s">
        <v>58</v>
      </c>
      <c r="W117" s="1" t="s">
        <v>58</v>
      </c>
      <c r="X117" s="1" t="s">
        <v>81</v>
      </c>
      <c r="Y117" s="1" t="s">
        <v>60</v>
      </c>
      <c r="Z117" s="1" t="s">
        <v>61</v>
      </c>
      <c r="AA117" s="2">
        <v>10.0</v>
      </c>
      <c r="AB117" s="1" t="s">
        <v>62</v>
      </c>
      <c r="AC117" s="1" t="s">
        <v>51</v>
      </c>
      <c r="AD117" s="1" t="s">
        <v>81</v>
      </c>
      <c r="AE117" s="1" t="s">
        <v>51</v>
      </c>
      <c r="AF117" s="1" t="s">
        <v>51</v>
      </c>
      <c r="AG117" s="1" t="s">
        <v>51</v>
      </c>
      <c r="AH117" s="2">
        <v>200.0</v>
      </c>
      <c r="AI117" s="2">
        <v>1.0</v>
      </c>
      <c r="AJ117" s="2">
        <v>0.0</v>
      </c>
      <c r="AK117" s="2">
        <v>1.0</v>
      </c>
      <c r="AL117" s="2">
        <v>0.0</v>
      </c>
      <c r="AP117" s="2">
        <v>4.89268248E8</v>
      </c>
      <c r="AQ117" s="1" t="s">
        <v>238</v>
      </c>
      <c r="AR117" s="2">
        <v>45807.370717592596</v>
      </c>
      <c r="AU117" s="1" t="s">
        <v>64</v>
      </c>
      <c r="AW117" s="1" t="s">
        <v>191</v>
      </c>
      <c r="AY117" s="2">
        <v>111.0</v>
      </c>
    </row>
    <row r="118">
      <c r="A118" s="1" t="s">
        <v>51</v>
      </c>
      <c r="C118" s="1" t="s">
        <v>151</v>
      </c>
      <c r="E118" s="1" t="s">
        <v>53</v>
      </c>
      <c r="F118" s="1" t="s">
        <v>54</v>
      </c>
      <c r="G118" s="2">
        <v>26.0</v>
      </c>
      <c r="H118" s="1" t="s">
        <v>55</v>
      </c>
      <c r="I118" s="1" t="s">
        <v>67</v>
      </c>
      <c r="J118" s="1" t="s">
        <v>56</v>
      </c>
      <c r="K118" s="1" t="s">
        <v>87</v>
      </c>
      <c r="M118" s="1" t="s">
        <v>58</v>
      </c>
      <c r="N118" s="1" t="s">
        <v>58</v>
      </c>
      <c r="O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59</v>
      </c>
      <c r="Y118" s="1" t="s">
        <v>60</v>
      </c>
      <c r="Z118" s="1" t="s">
        <v>89</v>
      </c>
      <c r="AA118" s="2">
        <v>10.0</v>
      </c>
      <c r="AB118" s="1" t="s">
        <v>79</v>
      </c>
      <c r="AC118" s="1" t="s">
        <v>51</v>
      </c>
      <c r="AD118" s="1" t="s">
        <v>81</v>
      </c>
      <c r="AE118" s="1" t="s">
        <v>51</v>
      </c>
      <c r="AF118" s="1" t="s">
        <v>51</v>
      </c>
      <c r="AG118" s="1" t="s">
        <v>51</v>
      </c>
      <c r="AH118" s="2">
        <v>1000.0</v>
      </c>
      <c r="AI118" s="2">
        <v>0.0</v>
      </c>
      <c r="AJ118" s="2">
        <v>1.0</v>
      </c>
      <c r="AK118" s="2">
        <v>0.0</v>
      </c>
      <c r="AL118" s="2">
        <v>0.0</v>
      </c>
      <c r="AM118" s="1" t="s">
        <v>51</v>
      </c>
      <c r="AN118" s="2">
        <v>6.32773846E8</v>
      </c>
      <c r="AP118" s="2">
        <v>4.89280512E8</v>
      </c>
      <c r="AQ118" s="1" t="s">
        <v>239</v>
      </c>
      <c r="AR118" s="2">
        <v>45807.384930555556</v>
      </c>
      <c r="AU118" s="1" t="s">
        <v>64</v>
      </c>
      <c r="AW118" s="1" t="s">
        <v>191</v>
      </c>
      <c r="AY118" s="2">
        <v>112.0</v>
      </c>
    </row>
    <row r="119">
      <c r="A119" s="1" t="s">
        <v>51</v>
      </c>
      <c r="C119" s="1" t="s">
        <v>154</v>
      </c>
      <c r="E119" s="1" t="s">
        <v>154</v>
      </c>
      <c r="G119" s="2">
        <v>38.0</v>
      </c>
      <c r="H119" s="1" t="s">
        <v>66</v>
      </c>
      <c r="J119" s="1" t="s">
        <v>86</v>
      </c>
      <c r="K119" s="1" t="s">
        <v>87</v>
      </c>
      <c r="M119" s="1" t="s">
        <v>58</v>
      </c>
      <c r="N119" s="1" t="s">
        <v>58</v>
      </c>
      <c r="O119" s="1" t="s">
        <v>69</v>
      </c>
      <c r="Q119" s="1" t="s">
        <v>69</v>
      </c>
      <c r="R119" s="1" t="s">
        <v>69</v>
      </c>
      <c r="S119" s="1" t="s">
        <v>58</v>
      </c>
      <c r="T119" s="1" t="s">
        <v>58</v>
      </c>
      <c r="U119" s="1" t="s">
        <v>70</v>
      </c>
      <c r="V119" s="1" t="s">
        <v>58</v>
      </c>
      <c r="W119" s="1" t="s">
        <v>70</v>
      </c>
      <c r="X119" s="1" t="s">
        <v>81</v>
      </c>
      <c r="Y119" s="1" t="s">
        <v>60</v>
      </c>
      <c r="Z119" s="1" t="s">
        <v>96</v>
      </c>
      <c r="AA119" s="2">
        <v>50.0</v>
      </c>
      <c r="AB119" s="1" t="s">
        <v>62</v>
      </c>
      <c r="AC119" s="1" t="s">
        <v>71</v>
      </c>
      <c r="AF119" s="1" t="s">
        <v>51</v>
      </c>
      <c r="AG119" s="1" t="s">
        <v>51</v>
      </c>
      <c r="AH119" s="2">
        <v>5000.0</v>
      </c>
      <c r="AI119" s="2">
        <v>0.0</v>
      </c>
      <c r="AJ119" s="2">
        <v>0.0</v>
      </c>
      <c r="AK119" s="2">
        <v>0.0</v>
      </c>
      <c r="AL119" s="2">
        <v>1.0</v>
      </c>
      <c r="AP119" s="2">
        <v>4.89360254E8</v>
      </c>
      <c r="AQ119" s="1" t="s">
        <v>240</v>
      </c>
      <c r="AR119" s="2">
        <v>45807.47440972222</v>
      </c>
      <c r="AU119" s="1" t="s">
        <v>64</v>
      </c>
      <c r="AW119" s="1" t="s">
        <v>191</v>
      </c>
      <c r="AY119" s="2">
        <v>113.0</v>
      </c>
    </row>
    <row r="120">
      <c r="A120" s="1" t="s">
        <v>51</v>
      </c>
      <c r="C120" s="1" t="s">
        <v>154</v>
      </c>
      <c r="E120" s="1" t="s">
        <v>154</v>
      </c>
      <c r="G120" s="2">
        <v>32.0</v>
      </c>
      <c r="H120" s="1" t="s">
        <v>66</v>
      </c>
      <c r="J120" s="1" t="s">
        <v>86</v>
      </c>
      <c r="K120" s="1" t="s">
        <v>87</v>
      </c>
      <c r="M120" s="1" t="s">
        <v>58</v>
      </c>
      <c r="N120" s="1" t="s">
        <v>58</v>
      </c>
      <c r="O120" s="1" t="s">
        <v>58</v>
      </c>
      <c r="Q120" s="1" t="s">
        <v>69</v>
      </c>
      <c r="R120" s="1" t="s">
        <v>58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59</v>
      </c>
      <c r="Y120" s="1" t="s">
        <v>95</v>
      </c>
      <c r="Z120" s="1" t="s">
        <v>89</v>
      </c>
      <c r="AA120" s="2">
        <v>100.0</v>
      </c>
      <c r="AB120" s="1" t="s">
        <v>28</v>
      </c>
      <c r="AC120" s="1" t="s">
        <v>71</v>
      </c>
      <c r="AF120" s="1" t="s">
        <v>51</v>
      </c>
      <c r="AG120" s="1" t="s">
        <v>51</v>
      </c>
      <c r="AH120" s="2">
        <v>500.0</v>
      </c>
      <c r="AI120" s="2">
        <v>1.0</v>
      </c>
      <c r="AJ120" s="2">
        <v>0.0</v>
      </c>
      <c r="AK120" s="2">
        <v>0.0</v>
      </c>
      <c r="AL120" s="2">
        <v>0.0</v>
      </c>
      <c r="AP120" s="2">
        <v>4.89382361E8</v>
      </c>
      <c r="AQ120" s="1" t="s">
        <v>241</v>
      </c>
      <c r="AR120" s="2">
        <v>45807.495983796296</v>
      </c>
      <c r="AU120" s="1" t="s">
        <v>64</v>
      </c>
      <c r="AW120" s="1" t="s">
        <v>191</v>
      </c>
      <c r="AY120" s="2">
        <v>114.0</v>
      </c>
    </row>
    <row r="121">
      <c r="A121" s="1" t="s">
        <v>51</v>
      </c>
      <c r="C121" s="1" t="s">
        <v>154</v>
      </c>
      <c r="E121" s="1" t="s">
        <v>154</v>
      </c>
      <c r="G121" s="2">
        <v>51.0</v>
      </c>
      <c r="H121" s="1" t="s">
        <v>66</v>
      </c>
      <c r="J121" s="1" t="s">
        <v>86</v>
      </c>
      <c r="K121" s="1" t="s">
        <v>87</v>
      </c>
      <c r="M121" s="1" t="s">
        <v>58</v>
      </c>
      <c r="N121" s="1" t="s">
        <v>58</v>
      </c>
      <c r="O121" s="1" t="s">
        <v>58</v>
      </c>
      <c r="Q121" s="1" t="s">
        <v>58</v>
      </c>
      <c r="R121" s="1" t="s">
        <v>58</v>
      </c>
      <c r="S121" s="1" t="s">
        <v>69</v>
      </c>
      <c r="T121" s="1" t="s">
        <v>69</v>
      </c>
      <c r="U121" s="1" t="s">
        <v>58</v>
      </c>
      <c r="V121" s="1" t="s">
        <v>58</v>
      </c>
      <c r="W121" s="1" t="s">
        <v>69</v>
      </c>
      <c r="X121" s="1" t="s">
        <v>59</v>
      </c>
      <c r="Y121" s="1" t="s">
        <v>82</v>
      </c>
      <c r="Z121" s="1" t="s">
        <v>89</v>
      </c>
      <c r="AA121" s="2">
        <v>30.0</v>
      </c>
      <c r="AB121" s="1" t="s">
        <v>79</v>
      </c>
      <c r="AC121" s="1" t="s">
        <v>51</v>
      </c>
      <c r="AD121" s="1" t="s">
        <v>59</v>
      </c>
      <c r="AE121" s="1" t="s">
        <v>51</v>
      </c>
      <c r="AF121" s="1" t="s">
        <v>51</v>
      </c>
      <c r="AG121" s="1" t="s">
        <v>51</v>
      </c>
      <c r="AH121" s="2">
        <v>500.0</v>
      </c>
      <c r="AI121" s="2">
        <v>1.0</v>
      </c>
      <c r="AJ121" s="2">
        <v>0.0</v>
      </c>
      <c r="AK121" s="2">
        <v>1.0</v>
      </c>
      <c r="AL121" s="2">
        <v>0.0</v>
      </c>
      <c r="AP121" s="2">
        <v>4.89384259E8</v>
      </c>
      <c r="AQ121" s="1" t="s">
        <v>242</v>
      </c>
      <c r="AR121" s="2">
        <v>45807.49796296296</v>
      </c>
      <c r="AU121" s="1" t="s">
        <v>64</v>
      </c>
      <c r="AW121" s="1" t="s">
        <v>191</v>
      </c>
      <c r="AY121" s="2">
        <v>115.0</v>
      </c>
    </row>
    <row r="122">
      <c r="A122" s="1" t="s">
        <v>51</v>
      </c>
      <c r="C122" s="1" t="s">
        <v>52</v>
      </c>
      <c r="E122" s="1" t="s">
        <v>154</v>
      </c>
      <c r="G122" s="2">
        <v>38.0</v>
      </c>
      <c r="H122" s="1" t="s">
        <v>55</v>
      </c>
      <c r="J122" s="1" t="s">
        <v>56</v>
      </c>
      <c r="K122" s="1" t="s">
        <v>87</v>
      </c>
      <c r="M122" s="1" t="s">
        <v>58</v>
      </c>
      <c r="N122" s="1" t="s">
        <v>58</v>
      </c>
      <c r="O122" s="1" t="s">
        <v>69</v>
      </c>
      <c r="Q122" s="1" t="s">
        <v>58</v>
      </c>
      <c r="R122" s="1" t="s">
        <v>58</v>
      </c>
      <c r="S122" s="1" t="s">
        <v>69</v>
      </c>
      <c r="T122" s="1" t="s">
        <v>69</v>
      </c>
      <c r="U122" s="1" t="s">
        <v>69</v>
      </c>
      <c r="V122" s="1" t="s">
        <v>58</v>
      </c>
      <c r="W122" s="1" t="s">
        <v>70</v>
      </c>
      <c r="X122" s="1" t="s">
        <v>88</v>
      </c>
      <c r="Y122" s="1" t="s">
        <v>95</v>
      </c>
      <c r="Z122" s="1" t="s">
        <v>108</v>
      </c>
      <c r="AA122" s="2">
        <v>100.0</v>
      </c>
      <c r="AB122" s="1" t="s">
        <v>62</v>
      </c>
      <c r="AC122" s="1" t="s">
        <v>51</v>
      </c>
      <c r="AD122" s="1" t="s">
        <v>59</v>
      </c>
      <c r="AE122" s="1" t="s">
        <v>51</v>
      </c>
      <c r="AF122" s="1" t="s">
        <v>51</v>
      </c>
      <c r="AG122" s="1" t="s">
        <v>72</v>
      </c>
      <c r="AI122" s="2">
        <v>1.0</v>
      </c>
      <c r="AJ122" s="2">
        <v>0.0</v>
      </c>
      <c r="AK122" s="2">
        <v>1.0</v>
      </c>
      <c r="AL122" s="2">
        <v>0.0</v>
      </c>
      <c r="AP122" s="2">
        <v>4.89387431E8</v>
      </c>
      <c r="AQ122" s="1" t="s">
        <v>243</v>
      </c>
      <c r="AR122" s="2">
        <v>45807.501284722224</v>
      </c>
      <c r="AU122" s="1" t="s">
        <v>64</v>
      </c>
      <c r="AW122" s="1" t="s">
        <v>191</v>
      </c>
      <c r="AY122" s="2">
        <v>116.0</v>
      </c>
    </row>
    <row r="123">
      <c r="A123" s="1" t="s">
        <v>51</v>
      </c>
      <c r="C123" s="1" t="s">
        <v>52</v>
      </c>
      <c r="E123" s="1" t="s">
        <v>53</v>
      </c>
      <c r="F123" s="1" t="s">
        <v>54</v>
      </c>
      <c r="G123" s="2">
        <v>29.0</v>
      </c>
      <c r="H123" s="1" t="s">
        <v>66</v>
      </c>
      <c r="I123" s="1" t="s">
        <v>67</v>
      </c>
      <c r="J123" s="1" t="s">
        <v>111</v>
      </c>
      <c r="K123" s="1" t="s">
        <v>87</v>
      </c>
      <c r="M123" s="1" t="s">
        <v>58</v>
      </c>
      <c r="N123" s="1" t="s">
        <v>58</v>
      </c>
      <c r="O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59</v>
      </c>
      <c r="Y123" s="1" t="s">
        <v>95</v>
      </c>
      <c r="Z123" s="1" t="s">
        <v>89</v>
      </c>
      <c r="AA123" s="2">
        <v>100.0</v>
      </c>
      <c r="AB123" s="1" t="s">
        <v>79</v>
      </c>
      <c r="AC123" s="1" t="s">
        <v>51</v>
      </c>
      <c r="AD123" s="1" t="s">
        <v>59</v>
      </c>
      <c r="AE123" s="1" t="s">
        <v>51</v>
      </c>
      <c r="AF123" s="1" t="s">
        <v>51</v>
      </c>
      <c r="AG123" s="1" t="s">
        <v>51</v>
      </c>
      <c r="AH123" s="2">
        <v>1000.0</v>
      </c>
      <c r="AI123" s="2">
        <v>0.0</v>
      </c>
      <c r="AJ123" s="2">
        <v>1.0</v>
      </c>
      <c r="AK123" s="2">
        <v>0.0</v>
      </c>
      <c r="AL123" s="2">
        <v>0.0</v>
      </c>
      <c r="AM123" s="1" t="s">
        <v>51</v>
      </c>
      <c r="AP123" s="2">
        <v>4.89403673E8</v>
      </c>
      <c r="AQ123" s="1" t="s">
        <v>244</v>
      </c>
      <c r="AR123" s="2">
        <v>45807.516435185185</v>
      </c>
      <c r="AU123" s="1" t="s">
        <v>64</v>
      </c>
      <c r="AW123" s="1" t="s">
        <v>191</v>
      </c>
      <c r="AY123" s="2">
        <v>117.0</v>
      </c>
    </row>
    <row r="124">
      <c r="A124" s="1" t="s">
        <v>51</v>
      </c>
      <c r="C124" s="1" t="s">
        <v>151</v>
      </c>
      <c r="E124" s="1" t="s">
        <v>151</v>
      </c>
      <c r="G124" s="2">
        <v>53.0</v>
      </c>
      <c r="H124" s="1" t="s">
        <v>55</v>
      </c>
      <c r="J124" s="1" t="s">
        <v>56</v>
      </c>
      <c r="K124" s="1" t="s">
        <v>74</v>
      </c>
      <c r="M124" s="1" t="s">
        <v>58</v>
      </c>
      <c r="N124" s="1" t="s">
        <v>58</v>
      </c>
      <c r="O124" s="1" t="s">
        <v>58</v>
      </c>
      <c r="Q124" s="1" t="s">
        <v>69</v>
      </c>
      <c r="S124" s="1" t="s">
        <v>58</v>
      </c>
      <c r="T124" s="1" t="s">
        <v>69</v>
      </c>
      <c r="U124" s="1" t="s">
        <v>70</v>
      </c>
      <c r="V124" s="1" t="s">
        <v>58</v>
      </c>
      <c r="W124" s="1" t="s">
        <v>58</v>
      </c>
      <c r="X124" s="1" t="s">
        <v>81</v>
      </c>
      <c r="Y124" s="1" t="s">
        <v>82</v>
      </c>
      <c r="Z124" s="1" t="s">
        <v>61</v>
      </c>
      <c r="AA124" s="2">
        <v>10.0</v>
      </c>
      <c r="AB124" s="1" t="s">
        <v>79</v>
      </c>
      <c r="AC124" s="1" t="s">
        <v>71</v>
      </c>
      <c r="AF124" s="1" t="s">
        <v>51</v>
      </c>
      <c r="AG124" s="1" t="s">
        <v>72</v>
      </c>
      <c r="AI124" s="2">
        <v>0.0</v>
      </c>
      <c r="AJ124" s="2">
        <v>0.0</v>
      </c>
      <c r="AK124" s="2">
        <v>0.0</v>
      </c>
      <c r="AL124" s="2">
        <v>1.0</v>
      </c>
      <c r="AP124" s="2">
        <v>4.89426769E8</v>
      </c>
      <c r="AQ124" s="1" t="s">
        <v>245</v>
      </c>
      <c r="AR124" s="2">
        <v>45807.5375</v>
      </c>
      <c r="AU124" s="1" t="s">
        <v>64</v>
      </c>
      <c r="AW124" s="1" t="s">
        <v>191</v>
      </c>
      <c r="AY124" s="2">
        <v>118.0</v>
      </c>
    </row>
    <row r="125">
      <c r="A125" s="1" t="s">
        <v>51</v>
      </c>
      <c r="C125" s="1" t="s">
        <v>52</v>
      </c>
      <c r="G125" s="2">
        <v>56.0</v>
      </c>
      <c r="H125" s="1" t="s">
        <v>66</v>
      </c>
      <c r="J125" s="1" t="s">
        <v>86</v>
      </c>
      <c r="K125" s="1" t="s">
        <v>87</v>
      </c>
      <c r="M125" s="1" t="s">
        <v>58</v>
      </c>
      <c r="N125" s="1" t="s">
        <v>58</v>
      </c>
      <c r="O125" s="1" t="s">
        <v>58</v>
      </c>
      <c r="Q125" s="1" t="s">
        <v>69</v>
      </c>
      <c r="R125" s="1" t="s">
        <v>58</v>
      </c>
      <c r="S125" s="1" t="s">
        <v>69</v>
      </c>
      <c r="T125" s="1" t="s">
        <v>58</v>
      </c>
      <c r="U125" s="1" t="s">
        <v>58</v>
      </c>
      <c r="V125" s="1" t="s">
        <v>58</v>
      </c>
      <c r="W125" s="1" t="s">
        <v>69</v>
      </c>
      <c r="X125" s="1" t="s">
        <v>88</v>
      </c>
      <c r="Y125" s="1" t="s">
        <v>95</v>
      </c>
      <c r="Z125" s="1" t="s">
        <v>89</v>
      </c>
      <c r="AA125" s="2">
        <v>100.0</v>
      </c>
      <c r="AB125" s="1" t="s">
        <v>79</v>
      </c>
      <c r="AC125" s="1" t="s">
        <v>51</v>
      </c>
      <c r="AD125" s="1" t="s">
        <v>88</v>
      </c>
      <c r="AE125" s="1" t="s">
        <v>72</v>
      </c>
      <c r="AF125" s="1" t="s">
        <v>51</v>
      </c>
      <c r="AG125" s="1" t="s">
        <v>72</v>
      </c>
      <c r="AI125" s="2">
        <v>0.0</v>
      </c>
      <c r="AJ125" s="2">
        <v>0.0</v>
      </c>
      <c r="AK125" s="2">
        <v>1.0</v>
      </c>
      <c r="AL125" s="2">
        <v>0.0</v>
      </c>
      <c r="AP125" s="2">
        <v>4.89436305E8</v>
      </c>
      <c r="AQ125" s="1" t="s">
        <v>246</v>
      </c>
      <c r="AR125" s="2">
        <v>45807.54646990741</v>
      </c>
      <c r="AU125" s="1" t="s">
        <v>64</v>
      </c>
      <c r="AW125" s="1" t="s">
        <v>191</v>
      </c>
      <c r="AY125" s="2">
        <v>119.0</v>
      </c>
    </row>
    <row r="126">
      <c r="A126" s="1" t="s">
        <v>51</v>
      </c>
      <c r="C126" s="1" t="s">
        <v>52</v>
      </c>
      <c r="E126" s="1" t="s">
        <v>53</v>
      </c>
      <c r="F126" s="1" t="s">
        <v>54</v>
      </c>
      <c r="G126" s="2">
        <v>43.0</v>
      </c>
      <c r="H126" s="1" t="s">
        <v>66</v>
      </c>
      <c r="I126" s="1" t="s">
        <v>67</v>
      </c>
      <c r="J126" s="1" t="s">
        <v>86</v>
      </c>
      <c r="K126" s="1" t="s">
        <v>87</v>
      </c>
      <c r="M126" s="1" t="s">
        <v>58</v>
      </c>
      <c r="N126" s="1" t="s">
        <v>58</v>
      </c>
      <c r="O126" s="1" t="s">
        <v>69</v>
      </c>
      <c r="Q126" s="1" t="s">
        <v>58</v>
      </c>
      <c r="R126" s="1" t="s">
        <v>58</v>
      </c>
      <c r="S126" s="1" t="s">
        <v>58</v>
      </c>
      <c r="U126" s="1" t="s">
        <v>58</v>
      </c>
      <c r="W126" s="1" t="s">
        <v>58</v>
      </c>
      <c r="X126" s="1" t="s">
        <v>88</v>
      </c>
      <c r="Y126" s="1" t="s">
        <v>95</v>
      </c>
      <c r="Z126" s="1" t="s">
        <v>61</v>
      </c>
      <c r="AA126" s="2">
        <v>100.0</v>
      </c>
      <c r="AB126" s="1" t="s">
        <v>79</v>
      </c>
      <c r="AC126" s="1" t="s">
        <v>71</v>
      </c>
      <c r="AF126" s="1" t="s">
        <v>72</v>
      </c>
      <c r="AG126" s="1" t="s">
        <v>72</v>
      </c>
      <c r="AI126" s="2">
        <v>0.0</v>
      </c>
      <c r="AJ126" s="2">
        <v>0.0</v>
      </c>
      <c r="AK126" s="2">
        <v>0.0</v>
      </c>
      <c r="AL126" s="2">
        <v>1.0</v>
      </c>
      <c r="AM126" s="1" t="s">
        <v>72</v>
      </c>
      <c r="AP126" s="2">
        <v>4.89486245E8</v>
      </c>
      <c r="AQ126" s="1" t="s">
        <v>247</v>
      </c>
      <c r="AR126" s="2">
        <v>45807.592002314814</v>
      </c>
      <c r="AU126" s="1" t="s">
        <v>64</v>
      </c>
      <c r="AW126" s="1" t="s">
        <v>191</v>
      </c>
      <c r="AY126" s="2">
        <v>120.0</v>
      </c>
    </row>
    <row r="127">
      <c r="A127" s="1" t="s">
        <v>51</v>
      </c>
      <c r="C127" s="1" t="s">
        <v>151</v>
      </c>
      <c r="E127" s="1" t="s">
        <v>105</v>
      </c>
      <c r="G127" s="2">
        <v>23.0</v>
      </c>
      <c r="H127" s="1" t="s">
        <v>66</v>
      </c>
      <c r="J127" s="1" t="s">
        <v>56</v>
      </c>
      <c r="K127" s="1" t="s">
        <v>74</v>
      </c>
      <c r="M127" s="1" t="s">
        <v>70</v>
      </c>
      <c r="N127" s="1" t="s">
        <v>70</v>
      </c>
      <c r="O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1" t="s">
        <v>70</v>
      </c>
      <c r="W127" s="1" t="s">
        <v>70</v>
      </c>
      <c r="X127" s="1" t="s">
        <v>103</v>
      </c>
      <c r="Y127" s="1" t="s">
        <v>227</v>
      </c>
      <c r="Z127" s="1" t="s">
        <v>96</v>
      </c>
      <c r="AA127" s="2">
        <v>10.0</v>
      </c>
      <c r="AB127" s="1" t="s">
        <v>62</v>
      </c>
      <c r="AC127" s="1" t="s">
        <v>71</v>
      </c>
      <c r="AF127" s="1" t="s">
        <v>72</v>
      </c>
      <c r="AG127" s="1" t="s">
        <v>72</v>
      </c>
      <c r="AI127" s="2">
        <v>0.0</v>
      </c>
      <c r="AJ127" s="2">
        <v>0.0</v>
      </c>
      <c r="AK127" s="2">
        <v>0.0</v>
      </c>
      <c r="AL127" s="2">
        <v>1.0</v>
      </c>
      <c r="AP127" s="2">
        <v>4.89492113E8</v>
      </c>
      <c r="AQ127" s="1" t="s">
        <v>248</v>
      </c>
      <c r="AR127" s="2">
        <v>45807.59732638889</v>
      </c>
      <c r="AU127" s="1" t="s">
        <v>64</v>
      </c>
      <c r="AW127" s="1" t="s">
        <v>191</v>
      </c>
      <c r="AY127" s="2">
        <v>121.0</v>
      </c>
    </row>
    <row r="128">
      <c r="A128" s="1" t="s">
        <v>51</v>
      </c>
      <c r="C128" s="1" t="s">
        <v>53</v>
      </c>
      <c r="E128" s="1" t="s">
        <v>53</v>
      </c>
      <c r="F128" s="1" t="s">
        <v>115</v>
      </c>
      <c r="G128" s="2">
        <v>19.0</v>
      </c>
      <c r="H128" s="1" t="s">
        <v>66</v>
      </c>
      <c r="I128" s="1" t="s">
        <v>121</v>
      </c>
      <c r="J128" s="1" t="s">
        <v>56</v>
      </c>
      <c r="K128" s="1" t="s">
        <v>74</v>
      </c>
      <c r="M128" s="1" t="s">
        <v>58</v>
      </c>
      <c r="N128" s="1" t="s">
        <v>58</v>
      </c>
      <c r="O128" s="1" t="s">
        <v>69</v>
      </c>
      <c r="Q128" s="1" t="s">
        <v>70</v>
      </c>
      <c r="R128" s="1" t="s">
        <v>58</v>
      </c>
      <c r="S128" s="1" t="s">
        <v>58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81</v>
      </c>
      <c r="Y128" s="1" t="s">
        <v>60</v>
      </c>
      <c r="Z128" s="1" t="s">
        <v>96</v>
      </c>
      <c r="AA128" s="2">
        <v>10.0</v>
      </c>
      <c r="AB128" s="1" t="s">
        <v>62</v>
      </c>
      <c r="AC128" s="1" t="s">
        <v>71</v>
      </c>
      <c r="AF128" s="1" t="s">
        <v>51</v>
      </c>
      <c r="AG128" s="1" t="s">
        <v>51</v>
      </c>
      <c r="AH128" s="2">
        <v>1000.0</v>
      </c>
      <c r="AI128" s="2">
        <v>1.0</v>
      </c>
      <c r="AJ128" s="2">
        <v>1.0</v>
      </c>
      <c r="AK128" s="2">
        <v>1.0</v>
      </c>
      <c r="AL128" s="2">
        <v>1.0</v>
      </c>
      <c r="AM128" s="1" t="s">
        <v>51</v>
      </c>
      <c r="AN128" s="2">
        <v>7.69618784E8</v>
      </c>
      <c r="AP128" s="2">
        <v>4.89502223E8</v>
      </c>
      <c r="AQ128" s="1" t="s">
        <v>249</v>
      </c>
      <c r="AR128" s="2">
        <v>45807.605266203704</v>
      </c>
      <c r="AU128" s="1" t="s">
        <v>64</v>
      </c>
      <c r="AW128" s="1" t="s">
        <v>191</v>
      </c>
      <c r="AY128" s="2">
        <v>122.0</v>
      </c>
    </row>
    <row r="129">
      <c r="A129" s="1" t="s">
        <v>51</v>
      </c>
      <c r="C129" s="1" t="s">
        <v>151</v>
      </c>
      <c r="E129" s="1" t="s">
        <v>53</v>
      </c>
      <c r="F129" s="1" t="s">
        <v>183</v>
      </c>
      <c r="G129" s="2">
        <v>47.0</v>
      </c>
      <c r="H129" s="1" t="s">
        <v>66</v>
      </c>
      <c r="I129" s="1" t="s">
        <v>67</v>
      </c>
      <c r="J129" s="1" t="s">
        <v>86</v>
      </c>
      <c r="K129" s="1" t="s">
        <v>87</v>
      </c>
      <c r="M129" s="1" t="s">
        <v>58</v>
      </c>
      <c r="N129" s="1" t="s">
        <v>58</v>
      </c>
      <c r="O129" s="1" t="s">
        <v>69</v>
      </c>
      <c r="S129" s="1" t="s">
        <v>69</v>
      </c>
      <c r="U129" s="1" t="s">
        <v>70</v>
      </c>
      <c r="W129" s="1" t="s">
        <v>69</v>
      </c>
      <c r="X129" s="1" t="s">
        <v>88</v>
      </c>
      <c r="Y129" s="1" t="s">
        <v>95</v>
      </c>
      <c r="AB129" s="1" t="s">
        <v>62</v>
      </c>
      <c r="AC129" s="1" t="s">
        <v>71</v>
      </c>
      <c r="AF129" s="1" t="s">
        <v>72</v>
      </c>
      <c r="AG129" s="1" t="s">
        <v>72</v>
      </c>
      <c r="AI129" s="2">
        <v>0.0</v>
      </c>
      <c r="AJ129" s="2">
        <v>0.0</v>
      </c>
      <c r="AK129" s="2">
        <v>0.0</v>
      </c>
      <c r="AL129" s="2">
        <v>1.0</v>
      </c>
      <c r="AM129" s="1" t="s">
        <v>72</v>
      </c>
      <c r="AP129" s="2">
        <v>4.89520831E8</v>
      </c>
      <c r="AQ129" s="1" t="s">
        <v>250</v>
      </c>
      <c r="AR129" s="2">
        <v>45807.62122685185</v>
      </c>
      <c r="AU129" s="1" t="s">
        <v>64</v>
      </c>
      <c r="AW129" s="1" t="s">
        <v>191</v>
      </c>
      <c r="AY129" s="2">
        <v>123.0</v>
      </c>
    </row>
    <row r="130">
      <c r="A130" s="1" t="s">
        <v>51</v>
      </c>
      <c r="C130" s="1" t="s">
        <v>52</v>
      </c>
      <c r="E130" s="1" t="s">
        <v>52</v>
      </c>
      <c r="G130" s="2">
        <v>35.0</v>
      </c>
      <c r="H130" s="1" t="s">
        <v>66</v>
      </c>
      <c r="J130" s="1" t="s">
        <v>86</v>
      </c>
      <c r="K130" s="1" t="s">
        <v>87</v>
      </c>
      <c r="M130" s="1" t="s">
        <v>58</v>
      </c>
      <c r="N130" s="1" t="s">
        <v>58</v>
      </c>
      <c r="O130" s="1" t="s">
        <v>58</v>
      </c>
      <c r="Q130" s="1" t="s">
        <v>69</v>
      </c>
      <c r="R130" s="1" t="s">
        <v>58</v>
      </c>
      <c r="S130" s="1" t="s">
        <v>69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59</v>
      </c>
      <c r="Y130" s="1" t="s">
        <v>95</v>
      </c>
      <c r="Z130" s="1" t="s">
        <v>89</v>
      </c>
      <c r="AA130" s="2">
        <v>30.0</v>
      </c>
      <c r="AB130" s="1" t="s">
        <v>79</v>
      </c>
      <c r="AC130" s="1" t="s">
        <v>71</v>
      </c>
      <c r="AF130" s="1" t="s">
        <v>51</v>
      </c>
      <c r="AG130" s="1" t="s">
        <v>72</v>
      </c>
      <c r="AI130" s="2">
        <v>0.0</v>
      </c>
      <c r="AJ130" s="2">
        <v>0.0</v>
      </c>
      <c r="AK130" s="2">
        <v>1.0</v>
      </c>
      <c r="AL130" s="2">
        <v>0.0</v>
      </c>
      <c r="AP130" s="2">
        <v>4.89573455E8</v>
      </c>
      <c r="AQ130" s="1" t="s">
        <v>251</v>
      </c>
      <c r="AR130" s="2">
        <v>45807.666863425926</v>
      </c>
      <c r="AU130" s="1" t="s">
        <v>64</v>
      </c>
      <c r="AW130" s="1" t="s">
        <v>191</v>
      </c>
      <c r="AY130" s="2">
        <v>124.0</v>
      </c>
    </row>
    <row r="131">
      <c r="A131" s="1" t="s">
        <v>51</v>
      </c>
      <c r="G131" s="2">
        <v>35.0</v>
      </c>
      <c r="AP131" s="2">
        <v>4.89573911E8</v>
      </c>
      <c r="AQ131" s="1" t="s">
        <v>252</v>
      </c>
      <c r="AR131" s="2">
        <v>45807.66736111111</v>
      </c>
      <c r="AU131" s="1" t="s">
        <v>64</v>
      </c>
      <c r="AW131" s="1" t="s">
        <v>191</v>
      </c>
      <c r="AY131" s="2">
        <v>125.0</v>
      </c>
    </row>
    <row r="132">
      <c r="A132" s="1" t="s">
        <v>51</v>
      </c>
      <c r="C132" s="1" t="s">
        <v>151</v>
      </c>
      <c r="E132" s="1" t="s">
        <v>151</v>
      </c>
      <c r="G132" s="2">
        <v>43.0</v>
      </c>
      <c r="H132" s="1" t="s">
        <v>66</v>
      </c>
      <c r="J132" s="1" t="s">
        <v>68</v>
      </c>
      <c r="K132" s="1" t="s">
        <v>92</v>
      </c>
      <c r="M132" s="1" t="s">
        <v>58</v>
      </c>
      <c r="N132" s="1" t="s">
        <v>58</v>
      </c>
      <c r="O132" s="1" t="s">
        <v>58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70</v>
      </c>
      <c r="V132" s="1" t="s">
        <v>58</v>
      </c>
      <c r="W132" s="1" t="s">
        <v>58</v>
      </c>
      <c r="X132" s="1" t="s">
        <v>81</v>
      </c>
      <c r="Y132" s="1" t="s">
        <v>82</v>
      </c>
      <c r="Z132" s="1" t="s">
        <v>61</v>
      </c>
      <c r="AA132" s="2">
        <v>10.0</v>
      </c>
      <c r="AB132" s="1" t="s">
        <v>79</v>
      </c>
      <c r="AC132" s="1" t="s">
        <v>71</v>
      </c>
      <c r="AF132" s="1" t="s">
        <v>51</v>
      </c>
      <c r="AG132" s="1" t="s">
        <v>51</v>
      </c>
      <c r="AH132" s="2">
        <v>200.0</v>
      </c>
      <c r="AI132" s="2">
        <v>0.0</v>
      </c>
      <c r="AJ132" s="2">
        <v>0.0</v>
      </c>
      <c r="AK132" s="2">
        <v>1.0</v>
      </c>
      <c r="AL132" s="2">
        <v>0.0</v>
      </c>
      <c r="AP132" s="2">
        <v>4.89588789E8</v>
      </c>
      <c r="AQ132" s="1" t="s">
        <v>253</v>
      </c>
      <c r="AR132" s="2">
        <v>45807.679606481484</v>
      </c>
      <c r="AU132" s="1" t="s">
        <v>64</v>
      </c>
      <c r="AW132" s="1" t="s">
        <v>191</v>
      </c>
      <c r="AY132" s="2">
        <v>126.0</v>
      </c>
    </row>
    <row r="133">
      <c r="A133" s="1" t="s">
        <v>51</v>
      </c>
      <c r="C133" s="1" t="s">
        <v>151</v>
      </c>
      <c r="E133" s="1" t="s">
        <v>151</v>
      </c>
      <c r="G133" s="2">
        <v>33.0</v>
      </c>
      <c r="H133" s="1" t="s">
        <v>66</v>
      </c>
      <c r="J133" s="1" t="s">
        <v>56</v>
      </c>
      <c r="K133" s="1" t="s">
        <v>78</v>
      </c>
      <c r="M133" s="1" t="s">
        <v>58</v>
      </c>
      <c r="N133" s="1" t="s">
        <v>58</v>
      </c>
      <c r="O133" s="1" t="s">
        <v>58</v>
      </c>
      <c r="Q133" s="1" t="s">
        <v>58</v>
      </c>
      <c r="R133" s="1" t="s">
        <v>70</v>
      </c>
      <c r="S133" s="1" t="s">
        <v>58</v>
      </c>
      <c r="T133" s="1" t="s">
        <v>70</v>
      </c>
      <c r="U133" s="1" t="s">
        <v>70</v>
      </c>
      <c r="V133" s="1" t="s">
        <v>70</v>
      </c>
      <c r="W133" s="1" t="s">
        <v>58</v>
      </c>
      <c r="X133" s="1" t="s">
        <v>81</v>
      </c>
      <c r="Z133" s="1" t="s">
        <v>61</v>
      </c>
      <c r="AA133" s="2">
        <v>10.0</v>
      </c>
      <c r="AB133" s="1" t="s">
        <v>28</v>
      </c>
      <c r="AC133" s="1" t="s">
        <v>71</v>
      </c>
      <c r="AF133" s="1" t="s">
        <v>72</v>
      </c>
      <c r="AG133" s="1" t="s">
        <v>51</v>
      </c>
      <c r="AH133" s="2">
        <v>1000.0</v>
      </c>
      <c r="AI133" s="2">
        <v>0.0</v>
      </c>
      <c r="AJ133" s="2">
        <v>0.0</v>
      </c>
      <c r="AK133" s="2">
        <v>0.0</v>
      </c>
      <c r="AL133" s="2">
        <v>1.0</v>
      </c>
      <c r="AP133" s="2">
        <v>4.89629902E8</v>
      </c>
      <c r="AQ133" s="1" t="s">
        <v>254</v>
      </c>
      <c r="AR133" s="2">
        <v>45807.71865740741</v>
      </c>
      <c r="AU133" s="1" t="s">
        <v>64</v>
      </c>
      <c r="AW133" s="1" t="s">
        <v>255</v>
      </c>
      <c r="AY133" s="2">
        <v>127.0</v>
      </c>
    </row>
    <row r="134">
      <c r="A134" s="1" t="s">
        <v>51</v>
      </c>
      <c r="C134" s="1" t="s">
        <v>52</v>
      </c>
      <c r="E134" s="1" t="s">
        <v>105</v>
      </c>
      <c r="G134" s="2">
        <v>45.0</v>
      </c>
      <c r="H134" s="1" t="s">
        <v>55</v>
      </c>
      <c r="J134" s="1" t="s">
        <v>86</v>
      </c>
      <c r="M134" s="1" t="s">
        <v>58</v>
      </c>
      <c r="N134" s="1" t="s">
        <v>58</v>
      </c>
      <c r="O134" s="1" t="s">
        <v>58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1" t="s">
        <v>69</v>
      </c>
      <c r="X134" s="1" t="s">
        <v>88</v>
      </c>
      <c r="Y134" s="1" t="s">
        <v>95</v>
      </c>
      <c r="Z134" s="1" t="s">
        <v>108</v>
      </c>
      <c r="AA134" s="2">
        <v>100.0</v>
      </c>
      <c r="AB134" s="1" t="s">
        <v>79</v>
      </c>
      <c r="AC134" s="1" t="s">
        <v>51</v>
      </c>
      <c r="AD134" s="1" t="s">
        <v>88</v>
      </c>
      <c r="AE134" s="1" t="s">
        <v>51</v>
      </c>
      <c r="AF134" s="1" t="s">
        <v>51</v>
      </c>
      <c r="AG134" s="1" t="s">
        <v>51</v>
      </c>
      <c r="AH134" s="2">
        <v>10.0</v>
      </c>
      <c r="AI134" s="2">
        <v>1.0</v>
      </c>
      <c r="AJ134" s="2">
        <v>1.0</v>
      </c>
      <c r="AK134" s="2">
        <v>1.0</v>
      </c>
      <c r="AL134" s="2">
        <v>0.0</v>
      </c>
      <c r="AP134" s="2">
        <v>4.89787188E8</v>
      </c>
      <c r="AQ134" s="1" t="s">
        <v>256</v>
      </c>
      <c r="AR134" s="2">
        <v>45808.04665509259</v>
      </c>
      <c r="AU134" s="1" t="s">
        <v>64</v>
      </c>
      <c r="AW134" s="1" t="s">
        <v>255</v>
      </c>
      <c r="AY134" s="2">
        <v>128.0</v>
      </c>
    </row>
    <row r="135">
      <c r="A135" s="1" t="s">
        <v>51</v>
      </c>
      <c r="C135" s="1" t="s">
        <v>52</v>
      </c>
      <c r="E135" s="1" t="s">
        <v>105</v>
      </c>
      <c r="G135" s="2">
        <v>42.0</v>
      </c>
      <c r="H135" s="1" t="s">
        <v>66</v>
      </c>
      <c r="J135" s="1" t="s">
        <v>86</v>
      </c>
      <c r="K135" s="1" t="s">
        <v>87</v>
      </c>
      <c r="M135" s="1" t="s">
        <v>58</v>
      </c>
      <c r="N135" s="1" t="s">
        <v>58</v>
      </c>
      <c r="O135" s="1" t="s">
        <v>69</v>
      </c>
      <c r="Q135" s="1" t="s">
        <v>69</v>
      </c>
      <c r="R135" s="1" t="s">
        <v>69</v>
      </c>
      <c r="S135" s="1" t="s">
        <v>58</v>
      </c>
      <c r="T135" s="1" t="s">
        <v>69</v>
      </c>
      <c r="U135" s="1" t="s">
        <v>58</v>
      </c>
      <c r="V135" s="1" t="s">
        <v>58</v>
      </c>
      <c r="W135" s="1" t="s">
        <v>69</v>
      </c>
      <c r="X135" s="1" t="s">
        <v>81</v>
      </c>
      <c r="Y135" s="1" t="s">
        <v>95</v>
      </c>
      <c r="Z135" s="1" t="s">
        <v>89</v>
      </c>
      <c r="AA135" s="2">
        <v>100.0</v>
      </c>
      <c r="AB135" s="1" t="s">
        <v>79</v>
      </c>
      <c r="AC135" s="1" t="s">
        <v>51</v>
      </c>
      <c r="AD135" s="1" t="s">
        <v>81</v>
      </c>
      <c r="AE135" s="1" t="s">
        <v>51</v>
      </c>
      <c r="AF135" s="1" t="s">
        <v>51</v>
      </c>
      <c r="AG135" s="1" t="s">
        <v>72</v>
      </c>
      <c r="AI135" s="2">
        <v>0.0</v>
      </c>
      <c r="AJ135" s="2">
        <v>0.0</v>
      </c>
      <c r="AK135" s="2">
        <v>0.0</v>
      </c>
      <c r="AL135" s="2">
        <v>1.0</v>
      </c>
      <c r="AP135" s="2">
        <v>4.8982024E8</v>
      </c>
      <c r="AQ135" s="1" t="s">
        <v>257</v>
      </c>
      <c r="AR135" s="2">
        <v>45808.19664351852</v>
      </c>
      <c r="AU135" s="1" t="s">
        <v>64</v>
      </c>
      <c r="AW135" s="1" t="s">
        <v>255</v>
      </c>
      <c r="AY135" s="2">
        <v>129.0</v>
      </c>
    </row>
    <row r="136">
      <c r="A136" s="1" t="s">
        <v>51</v>
      </c>
      <c r="C136" s="1" t="s">
        <v>52</v>
      </c>
      <c r="E136" s="1" t="s">
        <v>53</v>
      </c>
      <c r="F136" s="1" t="s">
        <v>102</v>
      </c>
      <c r="G136" s="2">
        <v>45.0</v>
      </c>
      <c r="H136" s="1" t="s">
        <v>55</v>
      </c>
      <c r="I136" s="1" t="s">
        <v>67</v>
      </c>
      <c r="J136" s="1" t="s">
        <v>86</v>
      </c>
      <c r="K136" s="1" t="s">
        <v>87</v>
      </c>
      <c r="M136" s="1" t="s">
        <v>58</v>
      </c>
      <c r="N136" s="1" t="s">
        <v>58</v>
      </c>
      <c r="O136" s="1" t="s">
        <v>58</v>
      </c>
      <c r="Q136" s="1" t="s">
        <v>58</v>
      </c>
      <c r="R136" s="1" t="s">
        <v>58</v>
      </c>
      <c r="S136" s="1" t="s">
        <v>70</v>
      </c>
      <c r="T136" s="1" t="s">
        <v>70</v>
      </c>
      <c r="U136" s="1" t="s">
        <v>58</v>
      </c>
      <c r="V136" s="1" t="s">
        <v>58</v>
      </c>
      <c r="W136" s="1" t="s">
        <v>70</v>
      </c>
      <c r="X136" s="1" t="s">
        <v>88</v>
      </c>
      <c r="Y136" s="1" t="s">
        <v>60</v>
      </c>
      <c r="Z136" s="1" t="s">
        <v>108</v>
      </c>
      <c r="AA136" s="2">
        <v>100.0</v>
      </c>
      <c r="AB136" s="1" t="s">
        <v>62</v>
      </c>
      <c r="AC136" s="1" t="s">
        <v>71</v>
      </c>
      <c r="AF136" s="1" t="s">
        <v>51</v>
      </c>
      <c r="AG136" s="1" t="s">
        <v>72</v>
      </c>
      <c r="AI136" s="2">
        <v>0.0</v>
      </c>
      <c r="AJ136" s="2">
        <v>0.0</v>
      </c>
      <c r="AK136" s="2">
        <v>0.0</v>
      </c>
      <c r="AL136" s="2">
        <v>1.0</v>
      </c>
      <c r="AM136" s="1" t="s">
        <v>51</v>
      </c>
      <c r="AP136" s="2">
        <v>4.89842136E8</v>
      </c>
      <c r="AQ136" s="1" t="s">
        <v>258</v>
      </c>
      <c r="AR136" s="2">
        <v>45808.254583333335</v>
      </c>
      <c r="AU136" s="1" t="s">
        <v>64</v>
      </c>
      <c r="AW136" s="1" t="s">
        <v>255</v>
      </c>
      <c r="AY136" s="2">
        <v>130.0</v>
      </c>
    </row>
    <row r="137">
      <c r="A137" s="1" t="s">
        <v>51</v>
      </c>
      <c r="C137" s="1" t="s">
        <v>52</v>
      </c>
      <c r="E137" s="1" t="s">
        <v>53</v>
      </c>
      <c r="F137" s="1" t="s">
        <v>136</v>
      </c>
      <c r="G137" s="2">
        <v>46.0</v>
      </c>
      <c r="H137" s="1" t="s">
        <v>55</v>
      </c>
      <c r="I137" s="1" t="s">
        <v>67</v>
      </c>
      <c r="J137" s="1" t="s">
        <v>86</v>
      </c>
      <c r="K137" s="1" t="s">
        <v>87</v>
      </c>
      <c r="M137" s="1" t="s">
        <v>58</v>
      </c>
      <c r="N137" s="1" t="s">
        <v>58</v>
      </c>
      <c r="O137" s="1" t="s">
        <v>69</v>
      </c>
      <c r="Q137" s="1" t="s">
        <v>58</v>
      </c>
      <c r="R137" s="1" t="s">
        <v>58</v>
      </c>
      <c r="S137" s="1" t="s">
        <v>58</v>
      </c>
      <c r="T137" s="1" t="s">
        <v>69</v>
      </c>
      <c r="U137" s="1" t="s">
        <v>58</v>
      </c>
      <c r="V137" s="1" t="s">
        <v>58</v>
      </c>
      <c r="W137" s="1" t="s">
        <v>69</v>
      </c>
      <c r="X137" s="1" t="s">
        <v>88</v>
      </c>
      <c r="Y137" s="1" t="s">
        <v>95</v>
      </c>
      <c r="Z137" s="1" t="s">
        <v>89</v>
      </c>
      <c r="AA137" s="2">
        <v>50.0</v>
      </c>
      <c r="AB137" s="1" t="s">
        <v>62</v>
      </c>
      <c r="AC137" s="1" t="s">
        <v>71</v>
      </c>
      <c r="AF137" s="1" t="s">
        <v>51</v>
      </c>
      <c r="AG137" s="1" t="s">
        <v>72</v>
      </c>
      <c r="AI137" s="2">
        <v>0.0</v>
      </c>
      <c r="AJ137" s="2">
        <v>0.0</v>
      </c>
      <c r="AK137" s="2">
        <v>0.0</v>
      </c>
      <c r="AL137" s="2">
        <v>1.0</v>
      </c>
      <c r="AM137" s="1" t="s">
        <v>72</v>
      </c>
      <c r="AP137" s="2">
        <v>4.89848913E8</v>
      </c>
      <c r="AQ137" s="1" t="s">
        <v>259</v>
      </c>
      <c r="AR137" s="2">
        <v>45808.26868055556</v>
      </c>
      <c r="AU137" s="1" t="s">
        <v>64</v>
      </c>
      <c r="AW137" s="1" t="s">
        <v>255</v>
      </c>
      <c r="AY137" s="2">
        <v>131.0</v>
      </c>
    </row>
    <row r="138">
      <c r="A138" s="1" t="s">
        <v>51</v>
      </c>
      <c r="C138" s="1" t="s">
        <v>131</v>
      </c>
      <c r="E138" s="1" t="s">
        <v>53</v>
      </c>
      <c r="F138" s="1" t="s">
        <v>54</v>
      </c>
      <c r="G138" s="2">
        <v>30.0</v>
      </c>
      <c r="H138" s="1" t="s">
        <v>66</v>
      </c>
      <c r="I138" s="1" t="s">
        <v>67</v>
      </c>
      <c r="J138" s="1" t="s">
        <v>68</v>
      </c>
      <c r="K138" s="1" t="s">
        <v>74</v>
      </c>
      <c r="M138" s="1" t="s">
        <v>58</v>
      </c>
      <c r="N138" s="1" t="s">
        <v>58</v>
      </c>
      <c r="O138" s="1" t="s">
        <v>70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70</v>
      </c>
      <c r="V138" s="1" t="s">
        <v>69</v>
      </c>
      <c r="W138" s="1" t="s">
        <v>58</v>
      </c>
      <c r="X138" s="1" t="s">
        <v>81</v>
      </c>
      <c r="Y138" s="1" t="s">
        <v>82</v>
      </c>
      <c r="Z138" s="1" t="s">
        <v>96</v>
      </c>
      <c r="AA138" s="2">
        <v>10.0</v>
      </c>
      <c r="AB138" s="1" t="s">
        <v>79</v>
      </c>
      <c r="AC138" s="1" t="s">
        <v>72</v>
      </c>
      <c r="AF138" s="1" t="s">
        <v>51</v>
      </c>
      <c r="AG138" s="1" t="s">
        <v>72</v>
      </c>
      <c r="AI138" s="2">
        <v>1.0</v>
      </c>
      <c r="AJ138" s="2">
        <v>0.0</v>
      </c>
      <c r="AK138" s="2">
        <v>0.0</v>
      </c>
      <c r="AL138" s="2">
        <v>0.0</v>
      </c>
      <c r="AM138" s="1" t="s">
        <v>51</v>
      </c>
      <c r="AN138" s="2">
        <v>7.82860878E8</v>
      </c>
      <c r="AP138" s="2">
        <v>4.89854202E8</v>
      </c>
      <c r="AQ138" s="1" t="s">
        <v>260</v>
      </c>
      <c r="AR138" s="2">
        <v>45808.27946759259</v>
      </c>
      <c r="AU138" s="1" t="s">
        <v>64</v>
      </c>
      <c r="AW138" s="1" t="s">
        <v>255</v>
      </c>
      <c r="AY138" s="2">
        <v>132.0</v>
      </c>
    </row>
    <row r="139">
      <c r="A139" s="1" t="s">
        <v>51</v>
      </c>
      <c r="C139" s="1" t="s">
        <v>105</v>
      </c>
      <c r="D139" s="1" t="s">
        <v>261</v>
      </c>
      <c r="E139" s="1" t="s">
        <v>52</v>
      </c>
      <c r="G139" s="2">
        <v>45.0</v>
      </c>
      <c r="H139" s="1" t="s">
        <v>55</v>
      </c>
      <c r="J139" s="1" t="s">
        <v>111</v>
      </c>
      <c r="K139" s="1" t="s">
        <v>87</v>
      </c>
      <c r="M139" s="1" t="s">
        <v>58</v>
      </c>
      <c r="N139" s="1" t="s">
        <v>58</v>
      </c>
      <c r="O139" s="1" t="s">
        <v>58</v>
      </c>
      <c r="Q139" s="1" t="s">
        <v>58</v>
      </c>
      <c r="R139" s="1" t="s">
        <v>58</v>
      </c>
      <c r="S139" s="1" t="s">
        <v>58</v>
      </c>
      <c r="T139" s="1" t="s">
        <v>69</v>
      </c>
      <c r="U139" s="1" t="s">
        <v>58</v>
      </c>
      <c r="V139" s="1" t="s">
        <v>58</v>
      </c>
      <c r="W139" s="1" t="s">
        <v>69</v>
      </c>
      <c r="X139" s="1" t="s">
        <v>88</v>
      </c>
      <c r="Y139" s="1" t="s">
        <v>60</v>
      </c>
      <c r="Z139" s="1" t="s">
        <v>108</v>
      </c>
      <c r="AA139" s="2">
        <v>100.0</v>
      </c>
      <c r="AB139" s="1" t="s">
        <v>62</v>
      </c>
      <c r="AC139" s="1" t="s">
        <v>51</v>
      </c>
      <c r="AD139" s="1" t="s">
        <v>59</v>
      </c>
      <c r="AE139" s="1" t="s">
        <v>51</v>
      </c>
      <c r="AF139" s="1" t="s">
        <v>51</v>
      </c>
      <c r="AG139" s="1" t="s">
        <v>72</v>
      </c>
      <c r="AI139" s="2">
        <v>1.0</v>
      </c>
      <c r="AJ139" s="2">
        <v>1.0</v>
      </c>
      <c r="AK139" s="2">
        <v>1.0</v>
      </c>
      <c r="AL139" s="2">
        <v>0.0</v>
      </c>
      <c r="AP139" s="2">
        <v>4.89854452E8</v>
      </c>
      <c r="AQ139" s="1" t="s">
        <v>262</v>
      </c>
      <c r="AR139" s="2">
        <v>45808.27978009259</v>
      </c>
      <c r="AU139" s="1" t="s">
        <v>64</v>
      </c>
      <c r="AW139" s="1" t="s">
        <v>255</v>
      </c>
      <c r="AY139" s="2">
        <v>133.0</v>
      </c>
    </row>
    <row r="140">
      <c r="A140" s="1" t="s">
        <v>51</v>
      </c>
      <c r="C140" s="1" t="s">
        <v>118</v>
      </c>
      <c r="E140" s="1" t="s">
        <v>105</v>
      </c>
      <c r="G140" s="2">
        <v>25.0</v>
      </c>
      <c r="H140" s="1" t="s">
        <v>66</v>
      </c>
      <c r="J140" s="1" t="s">
        <v>68</v>
      </c>
      <c r="K140" s="1" t="s">
        <v>92</v>
      </c>
      <c r="M140" s="1" t="s">
        <v>58</v>
      </c>
      <c r="N140" s="1" t="s">
        <v>58</v>
      </c>
      <c r="O140" s="1" t="s">
        <v>58</v>
      </c>
      <c r="Q140" s="1" t="s">
        <v>58</v>
      </c>
      <c r="R140" s="1" t="s">
        <v>58</v>
      </c>
      <c r="S140" s="1" t="s">
        <v>58</v>
      </c>
      <c r="T140" s="1" t="s">
        <v>70</v>
      </c>
      <c r="U140" s="1" t="s">
        <v>58</v>
      </c>
      <c r="V140" s="1" t="s">
        <v>58</v>
      </c>
      <c r="W140" s="1" t="s">
        <v>69</v>
      </c>
      <c r="X140" s="1" t="s">
        <v>59</v>
      </c>
      <c r="Y140" s="1" t="s">
        <v>95</v>
      </c>
      <c r="Z140" s="1" t="s">
        <v>108</v>
      </c>
      <c r="AA140" s="2">
        <v>10.0</v>
      </c>
      <c r="AB140" s="1" t="s">
        <v>28</v>
      </c>
      <c r="AC140" s="1" t="s">
        <v>71</v>
      </c>
      <c r="AF140" s="1" t="s">
        <v>51</v>
      </c>
      <c r="AG140" s="1" t="s">
        <v>51</v>
      </c>
      <c r="AH140" s="2">
        <v>20.0</v>
      </c>
      <c r="AI140" s="2">
        <v>0.0</v>
      </c>
      <c r="AJ140" s="2">
        <v>0.0</v>
      </c>
      <c r="AK140" s="2">
        <v>0.0</v>
      </c>
      <c r="AL140" s="2">
        <v>1.0</v>
      </c>
      <c r="AP140" s="2">
        <v>4.89861321E8</v>
      </c>
      <c r="AQ140" s="1" t="s">
        <v>263</v>
      </c>
      <c r="AR140" s="2">
        <v>45808.29232638889</v>
      </c>
      <c r="AU140" s="1" t="s">
        <v>64</v>
      </c>
      <c r="AW140" s="1" t="s">
        <v>255</v>
      </c>
      <c r="AY140" s="2">
        <v>134.0</v>
      </c>
    </row>
    <row r="141">
      <c r="A141" s="1" t="s">
        <v>51</v>
      </c>
      <c r="C141" s="1" t="s">
        <v>53</v>
      </c>
      <c r="E141" s="1" t="s">
        <v>53</v>
      </c>
      <c r="F141" s="1" t="s">
        <v>102</v>
      </c>
      <c r="G141" s="2">
        <v>42.0</v>
      </c>
      <c r="H141" s="1" t="s">
        <v>66</v>
      </c>
      <c r="I141" s="1" t="s">
        <v>67</v>
      </c>
      <c r="J141" s="1" t="s">
        <v>86</v>
      </c>
      <c r="K141" s="1" t="s">
        <v>87</v>
      </c>
      <c r="M141" s="1" t="s">
        <v>58</v>
      </c>
      <c r="N141" s="1" t="s">
        <v>58</v>
      </c>
      <c r="O141" s="1" t="s">
        <v>58</v>
      </c>
      <c r="Q141" s="1" t="s">
        <v>69</v>
      </c>
      <c r="R141" s="1" t="s">
        <v>58</v>
      </c>
      <c r="S141" s="1" t="s">
        <v>58</v>
      </c>
      <c r="T141" s="1" t="s">
        <v>70</v>
      </c>
      <c r="U141" s="1" t="s">
        <v>58</v>
      </c>
      <c r="V141" s="1" t="s">
        <v>58</v>
      </c>
      <c r="W141" s="1" t="s">
        <v>69</v>
      </c>
      <c r="X141" s="1" t="s">
        <v>88</v>
      </c>
      <c r="Y141" s="1" t="s">
        <v>60</v>
      </c>
      <c r="Z141" s="1" t="s">
        <v>108</v>
      </c>
      <c r="AA141" s="2">
        <v>100.0</v>
      </c>
      <c r="AB141" s="1" t="s">
        <v>79</v>
      </c>
      <c r="AC141" s="1" t="s">
        <v>71</v>
      </c>
      <c r="AF141" s="1" t="s">
        <v>51</v>
      </c>
      <c r="AG141" s="1" t="s">
        <v>72</v>
      </c>
      <c r="AI141" s="2">
        <v>0.0</v>
      </c>
      <c r="AJ141" s="2">
        <v>1.0</v>
      </c>
      <c r="AK141" s="2">
        <v>1.0</v>
      </c>
      <c r="AL141" s="2">
        <v>0.0</v>
      </c>
      <c r="AM141" s="1" t="s">
        <v>72</v>
      </c>
      <c r="AP141" s="2">
        <v>4.89875662E8</v>
      </c>
      <c r="AQ141" s="1" t="s">
        <v>264</v>
      </c>
      <c r="AR141" s="2">
        <v>45808.31581018519</v>
      </c>
      <c r="AU141" s="1" t="s">
        <v>64</v>
      </c>
      <c r="AW141" s="1" t="s">
        <v>255</v>
      </c>
      <c r="AY141" s="2">
        <v>135.0</v>
      </c>
    </row>
    <row r="142">
      <c r="A142" s="1" t="s">
        <v>51</v>
      </c>
      <c r="C142" s="1" t="s">
        <v>118</v>
      </c>
      <c r="E142" s="1" t="s">
        <v>105</v>
      </c>
      <c r="G142" s="2">
        <v>43.0</v>
      </c>
      <c r="H142" s="1" t="s">
        <v>55</v>
      </c>
      <c r="K142" s="1" t="s">
        <v>87</v>
      </c>
      <c r="M142" s="1" t="s">
        <v>58</v>
      </c>
      <c r="N142" s="1" t="s">
        <v>58</v>
      </c>
      <c r="O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W142" s="1" t="s">
        <v>69</v>
      </c>
      <c r="X142" s="1" t="s">
        <v>81</v>
      </c>
      <c r="Y142" s="1" t="s">
        <v>95</v>
      </c>
      <c r="Z142" s="1" t="s">
        <v>96</v>
      </c>
      <c r="AA142" s="2">
        <v>100.0</v>
      </c>
      <c r="AB142" s="1" t="s">
        <v>28</v>
      </c>
      <c r="AC142" s="1" t="s">
        <v>71</v>
      </c>
      <c r="AF142" s="1" t="s">
        <v>51</v>
      </c>
      <c r="AI142" s="2">
        <v>1.0</v>
      </c>
      <c r="AJ142" s="2">
        <v>0.0</v>
      </c>
      <c r="AK142" s="2">
        <v>0.0</v>
      </c>
      <c r="AL142" s="2">
        <v>0.0</v>
      </c>
      <c r="AP142" s="2">
        <v>4.89879065E8</v>
      </c>
      <c r="AQ142" s="1" t="s">
        <v>265</v>
      </c>
      <c r="AR142" s="2">
        <v>45808.32135416667</v>
      </c>
      <c r="AU142" s="1" t="s">
        <v>64</v>
      </c>
      <c r="AW142" s="1" t="s">
        <v>255</v>
      </c>
      <c r="AY142" s="2">
        <v>136.0</v>
      </c>
    </row>
    <row r="143">
      <c r="A143" s="1" t="s">
        <v>51</v>
      </c>
      <c r="C143" s="1" t="s">
        <v>131</v>
      </c>
      <c r="E143" s="1" t="s">
        <v>53</v>
      </c>
      <c r="F143" s="1" t="s">
        <v>54</v>
      </c>
      <c r="G143" s="2">
        <v>23.0</v>
      </c>
      <c r="H143" s="1" t="s">
        <v>66</v>
      </c>
      <c r="I143" s="1" t="s">
        <v>100</v>
      </c>
      <c r="J143" s="1" t="s">
        <v>68</v>
      </c>
      <c r="K143" s="1" t="s">
        <v>74</v>
      </c>
      <c r="M143" s="1" t="s">
        <v>58</v>
      </c>
      <c r="N143" s="1" t="s">
        <v>58</v>
      </c>
      <c r="O143" s="1" t="s">
        <v>69</v>
      </c>
      <c r="Q143" s="1" t="s">
        <v>58</v>
      </c>
      <c r="R143" s="1" t="s">
        <v>58</v>
      </c>
      <c r="S143" s="1" t="s">
        <v>70</v>
      </c>
      <c r="T143" s="1" t="s">
        <v>58</v>
      </c>
      <c r="U143" s="1" t="s">
        <v>70</v>
      </c>
      <c r="V143" s="1" t="s">
        <v>58</v>
      </c>
      <c r="W143" s="1" t="s">
        <v>58</v>
      </c>
      <c r="X143" s="1" t="s">
        <v>81</v>
      </c>
      <c r="Y143" s="1" t="s">
        <v>172</v>
      </c>
      <c r="Z143" s="1" t="s">
        <v>96</v>
      </c>
      <c r="AA143" s="2">
        <v>50.0</v>
      </c>
      <c r="AB143" s="1" t="s">
        <v>79</v>
      </c>
      <c r="AC143" s="1" t="s">
        <v>72</v>
      </c>
      <c r="AG143" s="1" t="s">
        <v>51</v>
      </c>
      <c r="AI143" s="2">
        <v>0.0</v>
      </c>
      <c r="AJ143" s="2">
        <v>0.0</v>
      </c>
      <c r="AK143" s="2">
        <v>0.0</v>
      </c>
      <c r="AL143" s="2">
        <v>1.0</v>
      </c>
      <c r="AM143" s="1" t="s">
        <v>51</v>
      </c>
      <c r="AN143" s="2">
        <v>6.55789034E8</v>
      </c>
      <c r="AP143" s="2">
        <v>4.898922E8</v>
      </c>
      <c r="AQ143" s="1" t="s">
        <v>266</v>
      </c>
      <c r="AR143" s="2">
        <v>45808.342997685184</v>
      </c>
      <c r="AU143" s="1" t="s">
        <v>64</v>
      </c>
      <c r="AW143" s="1" t="s">
        <v>255</v>
      </c>
      <c r="AY143" s="2">
        <v>137.0</v>
      </c>
    </row>
    <row r="144">
      <c r="A144" s="1" t="s">
        <v>51</v>
      </c>
      <c r="C144" s="1" t="s">
        <v>131</v>
      </c>
      <c r="E144" s="1" t="s">
        <v>53</v>
      </c>
      <c r="F144" s="1" t="s">
        <v>54</v>
      </c>
      <c r="G144" s="2">
        <v>27.0</v>
      </c>
      <c r="H144" s="1" t="s">
        <v>55</v>
      </c>
      <c r="I144" s="1" t="s">
        <v>67</v>
      </c>
      <c r="J144" s="1" t="s">
        <v>68</v>
      </c>
      <c r="K144" s="1" t="s">
        <v>57</v>
      </c>
      <c r="M144" s="1" t="s">
        <v>58</v>
      </c>
      <c r="N144" s="1" t="s">
        <v>58</v>
      </c>
      <c r="O144" s="1" t="s">
        <v>69</v>
      </c>
      <c r="Q144" s="1" t="s">
        <v>58</v>
      </c>
      <c r="R144" s="1" t="s">
        <v>58</v>
      </c>
      <c r="S144" s="1" t="s">
        <v>58</v>
      </c>
      <c r="T144" s="1" t="s">
        <v>58</v>
      </c>
      <c r="V144" s="1" t="s">
        <v>58</v>
      </c>
      <c r="W144" s="1" t="s">
        <v>58</v>
      </c>
      <c r="X144" s="1" t="s">
        <v>81</v>
      </c>
      <c r="Y144" s="1" t="s">
        <v>172</v>
      </c>
      <c r="AA144" s="2">
        <v>100.0</v>
      </c>
      <c r="AB144" s="1" t="s">
        <v>79</v>
      </c>
      <c r="AC144" s="1" t="s">
        <v>72</v>
      </c>
      <c r="AF144" s="1" t="s">
        <v>51</v>
      </c>
      <c r="AG144" s="1" t="s">
        <v>51</v>
      </c>
      <c r="AH144" s="2">
        <v>20.0</v>
      </c>
      <c r="AI144" s="2">
        <v>0.0</v>
      </c>
      <c r="AJ144" s="2">
        <v>0.0</v>
      </c>
      <c r="AK144" s="2">
        <v>0.0</v>
      </c>
      <c r="AL144" s="2">
        <v>1.0</v>
      </c>
      <c r="AM144" s="1" t="s">
        <v>51</v>
      </c>
      <c r="AN144" s="2">
        <v>7.04538078E8</v>
      </c>
      <c r="AP144" s="2">
        <v>4.89895622E8</v>
      </c>
      <c r="AQ144" s="1" t="s">
        <v>267</v>
      </c>
      <c r="AR144" s="2">
        <v>45808.34820601852</v>
      </c>
      <c r="AU144" s="1" t="s">
        <v>64</v>
      </c>
      <c r="AW144" s="1" t="s">
        <v>255</v>
      </c>
      <c r="AY144" s="2">
        <v>138.0</v>
      </c>
    </row>
    <row r="145">
      <c r="A145" s="1" t="s">
        <v>51</v>
      </c>
      <c r="C145" s="1" t="s">
        <v>53</v>
      </c>
      <c r="E145" s="1" t="s">
        <v>105</v>
      </c>
      <c r="G145" s="2">
        <v>48.0</v>
      </c>
      <c r="H145" s="1" t="s">
        <v>66</v>
      </c>
      <c r="J145" s="1" t="s">
        <v>86</v>
      </c>
      <c r="K145" s="1" t="s">
        <v>87</v>
      </c>
      <c r="M145" s="1" t="s">
        <v>58</v>
      </c>
      <c r="N145" s="1" t="s">
        <v>69</v>
      </c>
      <c r="O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81</v>
      </c>
      <c r="Y145" s="1" t="s">
        <v>95</v>
      </c>
      <c r="Z145" s="1" t="s">
        <v>89</v>
      </c>
      <c r="AA145" s="2">
        <v>20.0</v>
      </c>
      <c r="AB145" s="1" t="s">
        <v>79</v>
      </c>
      <c r="AC145" s="1" t="s">
        <v>51</v>
      </c>
      <c r="AD145" s="1" t="s">
        <v>81</v>
      </c>
      <c r="AE145" s="1" t="s">
        <v>51</v>
      </c>
      <c r="AF145" s="1" t="s">
        <v>51</v>
      </c>
      <c r="AG145" s="1" t="s">
        <v>72</v>
      </c>
      <c r="AI145" s="2">
        <v>1.0</v>
      </c>
      <c r="AJ145" s="2">
        <v>0.0</v>
      </c>
      <c r="AK145" s="2">
        <v>0.0</v>
      </c>
      <c r="AL145" s="2">
        <v>0.0</v>
      </c>
      <c r="AP145" s="2">
        <v>4.89899236E8</v>
      </c>
      <c r="AQ145" s="1" t="s">
        <v>268</v>
      </c>
      <c r="AR145" s="2">
        <v>45808.35460648148</v>
      </c>
      <c r="AU145" s="1" t="s">
        <v>64</v>
      </c>
      <c r="AW145" s="1" t="s">
        <v>255</v>
      </c>
      <c r="AY145" s="2">
        <v>139.0</v>
      </c>
    </row>
    <row r="146">
      <c r="A146" s="1" t="s">
        <v>51</v>
      </c>
      <c r="C146" s="1" t="s">
        <v>269</v>
      </c>
      <c r="E146" s="1" t="s">
        <v>105</v>
      </c>
      <c r="G146" s="2">
        <v>37.0</v>
      </c>
      <c r="H146" s="1" t="s">
        <v>66</v>
      </c>
      <c r="J146" s="1" t="s">
        <v>86</v>
      </c>
      <c r="K146" s="1" t="s">
        <v>87</v>
      </c>
      <c r="M146" s="1" t="s">
        <v>58</v>
      </c>
      <c r="N146" s="1" t="s">
        <v>58</v>
      </c>
      <c r="O146" s="1" t="s">
        <v>58</v>
      </c>
      <c r="Q146" s="1" t="s">
        <v>69</v>
      </c>
      <c r="R146" s="1" t="s">
        <v>58</v>
      </c>
      <c r="S146" s="1" t="s">
        <v>58</v>
      </c>
      <c r="T146" s="1" t="s">
        <v>70</v>
      </c>
      <c r="U146" s="1" t="s">
        <v>70</v>
      </c>
      <c r="V146" s="1" t="s">
        <v>58</v>
      </c>
      <c r="W146" s="1" t="s">
        <v>69</v>
      </c>
      <c r="X146" s="1" t="s">
        <v>88</v>
      </c>
      <c r="Y146" s="1" t="s">
        <v>95</v>
      </c>
      <c r="Z146" s="1" t="s">
        <v>96</v>
      </c>
      <c r="AA146" s="2">
        <v>50.0</v>
      </c>
      <c r="AB146" s="1" t="s">
        <v>79</v>
      </c>
      <c r="AC146" s="1" t="s">
        <v>71</v>
      </c>
      <c r="AF146" s="1" t="s">
        <v>51</v>
      </c>
      <c r="AG146" s="1" t="s">
        <v>72</v>
      </c>
      <c r="AI146" s="2">
        <v>0.0</v>
      </c>
      <c r="AJ146" s="2">
        <v>0.0</v>
      </c>
      <c r="AK146" s="2">
        <v>0.0</v>
      </c>
      <c r="AL146" s="2">
        <v>1.0</v>
      </c>
      <c r="AP146" s="2">
        <v>4.89908744E8</v>
      </c>
      <c r="AQ146" s="1" t="s">
        <v>270</v>
      </c>
      <c r="AR146" s="2">
        <v>45808.36929398148</v>
      </c>
      <c r="AU146" s="1" t="s">
        <v>64</v>
      </c>
      <c r="AW146" s="1" t="s">
        <v>255</v>
      </c>
      <c r="AY146" s="2">
        <v>140.0</v>
      </c>
    </row>
    <row r="147">
      <c r="A147" s="1" t="s">
        <v>51</v>
      </c>
      <c r="C147" s="1" t="s">
        <v>151</v>
      </c>
      <c r="E147" s="1" t="s">
        <v>151</v>
      </c>
      <c r="G147" s="2">
        <v>19.0</v>
      </c>
      <c r="H147" s="1" t="s">
        <v>66</v>
      </c>
      <c r="J147" s="1" t="s">
        <v>56</v>
      </c>
      <c r="K147" s="1" t="s">
        <v>74</v>
      </c>
      <c r="M147" s="1" t="s">
        <v>58</v>
      </c>
      <c r="N147" s="1" t="s">
        <v>58</v>
      </c>
      <c r="O147" s="1" t="s">
        <v>58</v>
      </c>
      <c r="Q147" s="1" t="s">
        <v>70</v>
      </c>
      <c r="R147" s="1" t="s">
        <v>70</v>
      </c>
      <c r="S147" s="1" t="s">
        <v>69</v>
      </c>
      <c r="T147" s="1" t="s">
        <v>69</v>
      </c>
      <c r="U147" s="1" t="s">
        <v>58</v>
      </c>
      <c r="V147" s="1" t="s">
        <v>58</v>
      </c>
      <c r="W147" s="1" t="s">
        <v>69</v>
      </c>
      <c r="X147" s="1" t="s">
        <v>81</v>
      </c>
      <c r="Y147" s="1" t="s">
        <v>82</v>
      </c>
      <c r="Z147" s="1" t="s">
        <v>61</v>
      </c>
      <c r="AA147" s="2">
        <v>10.0</v>
      </c>
      <c r="AB147" s="1" t="s">
        <v>79</v>
      </c>
      <c r="AC147" s="1" t="s">
        <v>71</v>
      </c>
      <c r="AF147" s="1" t="s">
        <v>51</v>
      </c>
      <c r="AG147" s="1" t="s">
        <v>51</v>
      </c>
      <c r="AH147" s="2">
        <v>500.0</v>
      </c>
      <c r="AI147" s="2">
        <v>1.0</v>
      </c>
      <c r="AJ147" s="2">
        <v>1.0</v>
      </c>
      <c r="AK147" s="2">
        <v>1.0</v>
      </c>
      <c r="AL147" s="2">
        <v>1.0</v>
      </c>
      <c r="AP147" s="2">
        <v>4.89927291E8</v>
      </c>
      <c r="AQ147" s="1" t="s">
        <v>271</v>
      </c>
      <c r="AR147" s="2">
        <v>45808.39879629629</v>
      </c>
      <c r="AU147" s="1" t="s">
        <v>64</v>
      </c>
      <c r="AW147" s="1" t="s">
        <v>255</v>
      </c>
      <c r="AY147" s="2">
        <v>141.0</v>
      </c>
    </row>
    <row r="148">
      <c r="A148" s="1" t="s">
        <v>51</v>
      </c>
      <c r="C148" s="1" t="s">
        <v>131</v>
      </c>
      <c r="E148" s="1" t="s">
        <v>53</v>
      </c>
      <c r="F148" s="1" t="s">
        <v>85</v>
      </c>
      <c r="G148" s="2">
        <v>24.0</v>
      </c>
      <c r="H148" s="1" t="s">
        <v>66</v>
      </c>
      <c r="I148" s="1" t="s">
        <v>100</v>
      </c>
      <c r="J148" s="1" t="s">
        <v>56</v>
      </c>
      <c r="K148" s="1" t="s">
        <v>74</v>
      </c>
      <c r="M148" s="1" t="s">
        <v>58</v>
      </c>
      <c r="N148" s="1" t="s">
        <v>58</v>
      </c>
      <c r="O148" s="1" t="s">
        <v>58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81</v>
      </c>
      <c r="Y148" s="1" t="s">
        <v>60</v>
      </c>
      <c r="Z148" s="1" t="s">
        <v>96</v>
      </c>
      <c r="AA148" s="2">
        <v>20.0</v>
      </c>
      <c r="AB148" s="1" t="s">
        <v>79</v>
      </c>
      <c r="AC148" s="1" t="s">
        <v>51</v>
      </c>
      <c r="AD148" s="1" t="s">
        <v>81</v>
      </c>
      <c r="AE148" s="1" t="s">
        <v>51</v>
      </c>
      <c r="AF148" s="1" t="s">
        <v>51</v>
      </c>
      <c r="AG148" s="1" t="s">
        <v>51</v>
      </c>
      <c r="AH148" s="2">
        <v>200.0</v>
      </c>
      <c r="AI148" s="2">
        <v>1.0</v>
      </c>
      <c r="AJ148" s="2">
        <v>0.0</v>
      </c>
      <c r="AK148" s="2">
        <v>0.0</v>
      </c>
      <c r="AL148" s="2">
        <v>0.0</v>
      </c>
      <c r="AM148" s="1" t="s">
        <v>51</v>
      </c>
      <c r="AN148" s="2">
        <v>7.16325173E8</v>
      </c>
      <c r="AP148" s="2">
        <v>4.89931787E8</v>
      </c>
      <c r="AQ148" s="1" t="s">
        <v>272</v>
      </c>
      <c r="AR148" s="2">
        <v>45808.40630787037</v>
      </c>
      <c r="AU148" s="1" t="s">
        <v>64</v>
      </c>
      <c r="AW148" s="1" t="s">
        <v>255</v>
      </c>
      <c r="AY148" s="2">
        <v>142.0</v>
      </c>
    </row>
    <row r="149">
      <c r="A149" s="1" t="s">
        <v>51</v>
      </c>
      <c r="C149" s="1" t="s">
        <v>53</v>
      </c>
      <c r="E149" s="1" t="s">
        <v>131</v>
      </c>
      <c r="G149" s="2">
        <v>27.0</v>
      </c>
      <c r="H149" s="1" t="s">
        <v>66</v>
      </c>
      <c r="J149" s="1" t="s">
        <v>56</v>
      </c>
      <c r="K149" s="1" t="s">
        <v>57</v>
      </c>
      <c r="M149" s="1" t="s">
        <v>58</v>
      </c>
      <c r="N149" s="1" t="s">
        <v>58</v>
      </c>
      <c r="O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103</v>
      </c>
      <c r="Y149" s="1" t="s">
        <v>82</v>
      </c>
      <c r="Z149" s="1" t="s">
        <v>89</v>
      </c>
      <c r="AA149" s="2">
        <v>30.0</v>
      </c>
      <c r="AB149" s="1" t="s">
        <v>62</v>
      </c>
      <c r="AC149" s="1" t="s">
        <v>51</v>
      </c>
      <c r="AD149" s="1" t="s">
        <v>81</v>
      </c>
      <c r="AE149" s="1" t="s">
        <v>51</v>
      </c>
      <c r="AF149" s="1" t="s">
        <v>51</v>
      </c>
      <c r="AG149" s="1" t="s">
        <v>51</v>
      </c>
      <c r="AH149" s="2">
        <v>50.0</v>
      </c>
      <c r="AI149" s="2">
        <v>0.0</v>
      </c>
      <c r="AJ149" s="2">
        <v>1.0</v>
      </c>
      <c r="AK149" s="2">
        <v>0.0</v>
      </c>
      <c r="AL149" s="2">
        <v>1.0</v>
      </c>
      <c r="AP149" s="2">
        <v>4.89933658E8</v>
      </c>
      <c r="AQ149" s="1" t="s">
        <v>273</v>
      </c>
      <c r="AR149" s="2">
        <v>45808.40959490741</v>
      </c>
      <c r="AU149" s="1" t="s">
        <v>64</v>
      </c>
      <c r="AW149" s="1" t="s">
        <v>255</v>
      </c>
      <c r="AY149" s="2">
        <v>143.0</v>
      </c>
    </row>
    <row r="150">
      <c r="A150" s="1" t="s">
        <v>51</v>
      </c>
      <c r="C150" s="1" t="s">
        <v>53</v>
      </c>
      <c r="E150" s="1" t="s">
        <v>131</v>
      </c>
      <c r="G150" s="2">
        <v>27.0</v>
      </c>
      <c r="H150" s="1" t="s">
        <v>55</v>
      </c>
      <c r="J150" s="1" t="s">
        <v>86</v>
      </c>
      <c r="K150" s="1" t="s">
        <v>57</v>
      </c>
      <c r="M150" s="1" t="s">
        <v>58</v>
      </c>
      <c r="N150" s="1" t="s">
        <v>58</v>
      </c>
      <c r="O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81</v>
      </c>
      <c r="Y150" s="1" t="s">
        <v>60</v>
      </c>
      <c r="Z150" s="1" t="s">
        <v>89</v>
      </c>
      <c r="AA150" s="2">
        <v>30.0</v>
      </c>
      <c r="AB150" s="1" t="s">
        <v>62</v>
      </c>
      <c r="AC150" s="1" t="s">
        <v>51</v>
      </c>
      <c r="AD150" s="1" t="s">
        <v>81</v>
      </c>
      <c r="AE150" s="1" t="s">
        <v>51</v>
      </c>
      <c r="AF150" s="1" t="s">
        <v>51</v>
      </c>
      <c r="AG150" s="1" t="s">
        <v>51</v>
      </c>
      <c r="AH150" s="2">
        <v>50.0</v>
      </c>
      <c r="AI150" s="2">
        <v>0.0</v>
      </c>
      <c r="AJ150" s="2">
        <v>1.0</v>
      </c>
      <c r="AK150" s="2">
        <v>0.0</v>
      </c>
      <c r="AL150" s="2">
        <v>0.0</v>
      </c>
      <c r="AP150" s="2">
        <v>4.89935516E8</v>
      </c>
      <c r="AQ150" s="1" t="s">
        <v>274</v>
      </c>
      <c r="AR150" s="2">
        <v>45808.41211805555</v>
      </c>
      <c r="AU150" s="1" t="s">
        <v>64</v>
      </c>
      <c r="AW150" s="1" t="s">
        <v>255</v>
      </c>
      <c r="AY150" s="2">
        <v>144.0</v>
      </c>
    </row>
    <row r="151">
      <c r="A151" s="1" t="s">
        <v>51</v>
      </c>
      <c r="C151" s="1" t="s">
        <v>131</v>
      </c>
      <c r="E151" s="1" t="s">
        <v>131</v>
      </c>
      <c r="G151" s="2">
        <v>33.0</v>
      </c>
      <c r="H151" s="1" t="s">
        <v>55</v>
      </c>
      <c r="J151" s="1" t="s">
        <v>86</v>
      </c>
      <c r="K151" s="1" t="s">
        <v>57</v>
      </c>
      <c r="M151" s="1" t="s">
        <v>58</v>
      </c>
      <c r="N151" s="1" t="s">
        <v>58</v>
      </c>
      <c r="O151" s="1" t="s">
        <v>69</v>
      </c>
      <c r="Q151" s="1" t="s">
        <v>58</v>
      </c>
      <c r="R151" s="1" t="s">
        <v>58</v>
      </c>
      <c r="S151" s="1" t="s">
        <v>58</v>
      </c>
      <c r="T151" s="1" t="s">
        <v>70</v>
      </c>
      <c r="U151" s="1" t="s">
        <v>70</v>
      </c>
      <c r="V151" s="1" t="s">
        <v>69</v>
      </c>
      <c r="W151" s="1" t="s">
        <v>69</v>
      </c>
      <c r="X151" s="1" t="s">
        <v>59</v>
      </c>
      <c r="Y151" s="1" t="s">
        <v>172</v>
      </c>
      <c r="Z151" s="1" t="s">
        <v>108</v>
      </c>
      <c r="AA151" s="2">
        <v>100.0</v>
      </c>
      <c r="AB151" s="1" t="s">
        <v>79</v>
      </c>
      <c r="AC151" s="1" t="s">
        <v>72</v>
      </c>
      <c r="AF151" s="1" t="s">
        <v>51</v>
      </c>
      <c r="AG151" s="1" t="s">
        <v>51</v>
      </c>
      <c r="AH151" s="2">
        <v>10.0</v>
      </c>
      <c r="AI151" s="2">
        <v>0.0</v>
      </c>
      <c r="AJ151" s="2">
        <v>0.0</v>
      </c>
      <c r="AK151" s="2">
        <v>0.0</v>
      </c>
      <c r="AL151" s="2">
        <v>1.0</v>
      </c>
      <c r="AP151" s="2">
        <v>4.89936782E8</v>
      </c>
      <c r="AQ151" s="1" t="s">
        <v>275</v>
      </c>
      <c r="AR151" s="2">
        <v>45808.41376157408</v>
      </c>
      <c r="AU151" s="1" t="s">
        <v>64</v>
      </c>
      <c r="AW151" s="1" t="s">
        <v>255</v>
      </c>
      <c r="AY151" s="2">
        <v>145.0</v>
      </c>
    </row>
    <row r="152">
      <c r="A152" s="1" t="s">
        <v>51</v>
      </c>
      <c r="C152" s="1" t="s">
        <v>131</v>
      </c>
      <c r="E152" s="1" t="s">
        <v>53</v>
      </c>
      <c r="F152" s="1" t="s">
        <v>102</v>
      </c>
      <c r="G152" s="2">
        <v>31.0</v>
      </c>
      <c r="H152" s="1" t="s">
        <v>55</v>
      </c>
      <c r="I152" s="1" t="s">
        <v>67</v>
      </c>
      <c r="J152" s="1" t="s">
        <v>86</v>
      </c>
      <c r="K152" s="1" t="s">
        <v>57</v>
      </c>
      <c r="M152" s="1" t="s">
        <v>58</v>
      </c>
      <c r="N152" s="1" t="s">
        <v>58</v>
      </c>
      <c r="O152" s="1" t="s">
        <v>69</v>
      </c>
      <c r="Q152" s="1" t="s">
        <v>69</v>
      </c>
      <c r="R152" s="1" t="s">
        <v>69</v>
      </c>
      <c r="S152" s="1" t="s">
        <v>58</v>
      </c>
      <c r="T152" s="1" t="s">
        <v>69</v>
      </c>
      <c r="V152" s="1" t="s">
        <v>69</v>
      </c>
      <c r="W152" s="1" t="s">
        <v>69</v>
      </c>
      <c r="X152" s="1" t="s">
        <v>59</v>
      </c>
      <c r="Y152" s="1" t="s">
        <v>172</v>
      </c>
      <c r="Z152" s="1" t="s">
        <v>96</v>
      </c>
      <c r="AA152" s="2">
        <v>100.0</v>
      </c>
      <c r="AB152" s="1" t="s">
        <v>79</v>
      </c>
      <c r="AC152" s="1" t="s">
        <v>72</v>
      </c>
      <c r="AF152" s="1" t="s">
        <v>51</v>
      </c>
      <c r="AG152" s="1" t="s">
        <v>72</v>
      </c>
      <c r="AI152" s="2">
        <v>0.0</v>
      </c>
      <c r="AJ152" s="2">
        <v>0.0</v>
      </c>
      <c r="AK152" s="2">
        <v>0.0</v>
      </c>
      <c r="AL152" s="2">
        <v>1.0</v>
      </c>
      <c r="AM152" s="1" t="s">
        <v>51</v>
      </c>
      <c r="AN152" s="2">
        <v>6.03754007E8</v>
      </c>
      <c r="AP152" s="2">
        <v>4.89939487E8</v>
      </c>
      <c r="AQ152" s="1" t="s">
        <v>276</v>
      </c>
      <c r="AR152" s="2">
        <v>45808.41780092593</v>
      </c>
      <c r="AU152" s="1" t="s">
        <v>64</v>
      </c>
      <c r="AW152" s="1" t="s">
        <v>255</v>
      </c>
      <c r="AY152" s="2">
        <v>146.0</v>
      </c>
    </row>
    <row r="153">
      <c r="A153" s="1" t="s">
        <v>51</v>
      </c>
      <c r="C153" s="1" t="s">
        <v>52</v>
      </c>
      <c r="E153" s="1" t="s">
        <v>53</v>
      </c>
      <c r="F153" s="1" t="s">
        <v>102</v>
      </c>
      <c r="G153" s="2">
        <v>40.0</v>
      </c>
      <c r="H153" s="1" t="s">
        <v>66</v>
      </c>
      <c r="I153" s="1" t="s">
        <v>67</v>
      </c>
      <c r="J153" s="1" t="s">
        <v>86</v>
      </c>
      <c r="K153" s="1" t="s">
        <v>74</v>
      </c>
      <c r="M153" s="1" t="s">
        <v>58</v>
      </c>
      <c r="N153" s="1" t="s">
        <v>58</v>
      </c>
      <c r="O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70</v>
      </c>
      <c r="V153" s="1" t="s">
        <v>58</v>
      </c>
      <c r="W153" s="1" t="s">
        <v>69</v>
      </c>
      <c r="X153" s="1" t="s">
        <v>59</v>
      </c>
      <c r="Y153" s="1" t="s">
        <v>82</v>
      </c>
      <c r="Z153" s="1" t="s">
        <v>89</v>
      </c>
      <c r="AA153" s="2">
        <v>50.0</v>
      </c>
      <c r="AB153" s="1" t="s">
        <v>62</v>
      </c>
      <c r="AC153" s="1" t="s">
        <v>72</v>
      </c>
      <c r="AF153" s="1" t="s">
        <v>51</v>
      </c>
      <c r="AG153" s="1" t="s">
        <v>51</v>
      </c>
      <c r="AH153" s="2">
        <v>20.0</v>
      </c>
      <c r="AI153" s="2">
        <v>0.0</v>
      </c>
      <c r="AJ153" s="2">
        <v>0.0</v>
      </c>
      <c r="AK153" s="2">
        <v>0.0</v>
      </c>
      <c r="AL153" s="2">
        <v>1.0</v>
      </c>
      <c r="AM153" s="1" t="s">
        <v>51</v>
      </c>
      <c r="AN153" s="2">
        <v>8.46416597E8</v>
      </c>
      <c r="AP153" s="2">
        <v>4.89951561E8</v>
      </c>
      <c r="AQ153" s="1" t="s">
        <v>277</v>
      </c>
      <c r="AR153" s="2">
        <v>45808.433796296296</v>
      </c>
      <c r="AU153" s="1" t="s">
        <v>64</v>
      </c>
      <c r="AW153" s="1" t="s">
        <v>255</v>
      </c>
      <c r="AY153" s="2">
        <v>147.0</v>
      </c>
    </row>
    <row r="154">
      <c r="A154" s="1" t="s">
        <v>51</v>
      </c>
      <c r="C154" s="1" t="s">
        <v>52</v>
      </c>
      <c r="E154" s="1" t="s">
        <v>53</v>
      </c>
      <c r="F154" s="1" t="s">
        <v>85</v>
      </c>
      <c r="G154" s="2">
        <v>25.0</v>
      </c>
      <c r="H154" s="1" t="s">
        <v>66</v>
      </c>
      <c r="I154" s="1" t="s">
        <v>67</v>
      </c>
      <c r="J154" s="1" t="s">
        <v>56</v>
      </c>
      <c r="K154" s="1" t="s">
        <v>92</v>
      </c>
      <c r="M154" s="1" t="s">
        <v>58</v>
      </c>
      <c r="N154" s="1" t="s">
        <v>58</v>
      </c>
      <c r="O154" s="1" t="s">
        <v>58</v>
      </c>
      <c r="Q154" s="1" t="s">
        <v>70</v>
      </c>
      <c r="R154" s="1" t="s">
        <v>58</v>
      </c>
      <c r="S154" s="1" t="s">
        <v>69</v>
      </c>
      <c r="T154" s="1" t="s">
        <v>69</v>
      </c>
      <c r="U154" s="1" t="s">
        <v>58</v>
      </c>
      <c r="V154" s="1" t="s">
        <v>69</v>
      </c>
      <c r="W154" s="1" t="s">
        <v>69</v>
      </c>
      <c r="X154" s="1" t="s">
        <v>81</v>
      </c>
      <c r="Y154" s="1" t="s">
        <v>82</v>
      </c>
      <c r="Z154" s="1" t="s">
        <v>61</v>
      </c>
      <c r="AA154" s="2">
        <v>50.0</v>
      </c>
      <c r="AB154" s="1" t="s">
        <v>28</v>
      </c>
      <c r="AC154" s="1" t="s">
        <v>71</v>
      </c>
      <c r="AF154" s="1" t="s">
        <v>51</v>
      </c>
      <c r="AG154" s="1" t="s">
        <v>72</v>
      </c>
      <c r="AI154" s="2">
        <v>0.0</v>
      </c>
      <c r="AJ154" s="2">
        <v>0.0</v>
      </c>
      <c r="AK154" s="2">
        <v>0.0</v>
      </c>
      <c r="AL154" s="2">
        <v>1.0</v>
      </c>
      <c r="AM154" s="1" t="s">
        <v>72</v>
      </c>
      <c r="AP154" s="2">
        <v>4.899521E8</v>
      </c>
      <c r="AQ154" s="1" t="s">
        <v>278</v>
      </c>
      <c r="AR154" s="2">
        <v>45808.4346875</v>
      </c>
      <c r="AU154" s="1" t="s">
        <v>64</v>
      </c>
      <c r="AW154" s="1" t="s">
        <v>255</v>
      </c>
      <c r="AY154" s="2">
        <v>148.0</v>
      </c>
    </row>
    <row r="155">
      <c r="A155" s="1" t="s">
        <v>51</v>
      </c>
      <c r="C155" s="1" t="s">
        <v>151</v>
      </c>
      <c r="E155" s="1" t="s">
        <v>151</v>
      </c>
      <c r="G155" s="2">
        <v>21.0</v>
      </c>
      <c r="H155" s="1" t="s">
        <v>66</v>
      </c>
      <c r="J155" s="1" t="s">
        <v>56</v>
      </c>
      <c r="K155" s="1" t="s">
        <v>87</v>
      </c>
      <c r="M155" s="1" t="s">
        <v>58</v>
      </c>
      <c r="N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81</v>
      </c>
      <c r="Y155" s="1" t="s">
        <v>60</v>
      </c>
      <c r="Z155" s="1" t="s">
        <v>61</v>
      </c>
      <c r="AA155" s="2">
        <v>30.0</v>
      </c>
      <c r="AB155" s="1" t="s">
        <v>62</v>
      </c>
      <c r="AC155" s="1" t="s">
        <v>51</v>
      </c>
      <c r="AD155" s="1" t="s">
        <v>81</v>
      </c>
      <c r="AE155" s="1" t="s">
        <v>51</v>
      </c>
      <c r="AF155" s="1" t="s">
        <v>51</v>
      </c>
      <c r="AG155" s="1" t="s">
        <v>51</v>
      </c>
      <c r="AI155" s="2">
        <v>1.0</v>
      </c>
      <c r="AJ155" s="2">
        <v>0.0</v>
      </c>
      <c r="AK155" s="2">
        <v>0.0</v>
      </c>
      <c r="AL155" s="2">
        <v>0.0</v>
      </c>
      <c r="AP155" s="2">
        <v>4.89973054E8</v>
      </c>
      <c r="AQ155" s="1" t="s">
        <v>279</v>
      </c>
      <c r="AR155" s="2">
        <v>45808.46388888889</v>
      </c>
      <c r="AU155" s="1" t="s">
        <v>64</v>
      </c>
      <c r="AW155" s="1" t="s">
        <v>255</v>
      </c>
      <c r="AY155" s="2">
        <v>149.0</v>
      </c>
    </row>
    <row r="156">
      <c r="A156" s="1" t="s">
        <v>51</v>
      </c>
      <c r="C156" s="1" t="s">
        <v>170</v>
      </c>
      <c r="E156" s="1" t="s">
        <v>170</v>
      </c>
      <c r="G156" s="2">
        <v>42.0</v>
      </c>
      <c r="H156" s="1" t="s">
        <v>66</v>
      </c>
      <c r="J156" s="1" t="s">
        <v>68</v>
      </c>
      <c r="K156" s="1" t="s">
        <v>57</v>
      </c>
      <c r="M156" s="1" t="s">
        <v>70</v>
      </c>
      <c r="N156" s="1" t="s">
        <v>70</v>
      </c>
      <c r="O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1" t="s">
        <v>59</v>
      </c>
      <c r="Y156" s="1" t="s">
        <v>82</v>
      </c>
      <c r="Z156" s="1" t="s">
        <v>61</v>
      </c>
      <c r="AA156" s="2">
        <v>10.0</v>
      </c>
      <c r="AB156" s="1" t="s">
        <v>79</v>
      </c>
      <c r="AC156" s="1" t="s">
        <v>51</v>
      </c>
      <c r="AD156" s="1" t="s">
        <v>59</v>
      </c>
      <c r="AE156" s="1" t="s">
        <v>72</v>
      </c>
      <c r="AF156" s="1" t="s">
        <v>51</v>
      </c>
      <c r="AG156" s="1" t="s">
        <v>51</v>
      </c>
      <c r="AI156" s="2">
        <v>0.0</v>
      </c>
      <c r="AJ156" s="2">
        <v>0.0</v>
      </c>
      <c r="AK156" s="2">
        <v>1.0</v>
      </c>
      <c r="AL156" s="2">
        <v>0.0</v>
      </c>
      <c r="AP156" s="2">
        <v>4.8998635E8</v>
      </c>
      <c r="AQ156" s="1" t="s">
        <v>280</v>
      </c>
      <c r="AR156" s="2">
        <v>45808.481724537036</v>
      </c>
      <c r="AU156" s="1" t="s">
        <v>64</v>
      </c>
      <c r="AW156" s="1" t="s">
        <v>255</v>
      </c>
      <c r="AY156" s="2">
        <v>150.0</v>
      </c>
    </row>
    <row r="157">
      <c r="A157" s="1" t="s">
        <v>51</v>
      </c>
      <c r="C157" s="1" t="s">
        <v>151</v>
      </c>
      <c r="E157" s="1" t="s">
        <v>151</v>
      </c>
      <c r="G157" s="2">
        <v>30.0</v>
      </c>
      <c r="H157" s="1" t="s">
        <v>55</v>
      </c>
      <c r="J157" s="1" t="s">
        <v>86</v>
      </c>
      <c r="K157" s="1" t="s">
        <v>74</v>
      </c>
      <c r="M157" s="1" t="s">
        <v>58</v>
      </c>
      <c r="N157" s="1" t="s">
        <v>58</v>
      </c>
      <c r="O157" s="1" t="s">
        <v>69</v>
      </c>
      <c r="Q157" s="1" t="s">
        <v>58</v>
      </c>
      <c r="R157" s="1" t="s">
        <v>69</v>
      </c>
      <c r="S157" s="1" t="s">
        <v>69</v>
      </c>
      <c r="T157" s="1" t="s">
        <v>58</v>
      </c>
      <c r="U157" s="1" t="s">
        <v>58</v>
      </c>
      <c r="V157" s="1" t="s">
        <v>58</v>
      </c>
      <c r="W157" s="1" t="s">
        <v>69</v>
      </c>
      <c r="X157" s="1" t="s">
        <v>81</v>
      </c>
      <c r="Y157" s="1" t="s">
        <v>227</v>
      </c>
      <c r="Z157" s="1" t="s">
        <v>61</v>
      </c>
      <c r="AA157" s="2">
        <v>50.0</v>
      </c>
      <c r="AB157" s="1" t="s">
        <v>79</v>
      </c>
      <c r="AC157" s="1" t="s">
        <v>51</v>
      </c>
      <c r="AD157" s="1" t="s">
        <v>81</v>
      </c>
      <c r="AE157" s="1" t="s">
        <v>51</v>
      </c>
      <c r="AF157" s="1" t="s">
        <v>51</v>
      </c>
      <c r="AG157" s="1" t="s">
        <v>51</v>
      </c>
      <c r="AH157" s="2">
        <v>300.0</v>
      </c>
      <c r="AI157" s="2">
        <v>1.0</v>
      </c>
      <c r="AJ157" s="2">
        <v>0.0</v>
      </c>
      <c r="AK157" s="2">
        <v>0.0</v>
      </c>
      <c r="AL157" s="2">
        <v>0.0</v>
      </c>
      <c r="AP157" s="2">
        <v>4.89995757E8</v>
      </c>
      <c r="AQ157" s="1" t="s">
        <v>281</v>
      </c>
      <c r="AR157" s="2">
        <v>45808.49559027778</v>
      </c>
      <c r="AU157" s="1" t="s">
        <v>64</v>
      </c>
      <c r="AW157" s="1" t="s">
        <v>191</v>
      </c>
      <c r="AY157" s="2">
        <v>151.0</v>
      </c>
    </row>
    <row r="158">
      <c r="A158" s="1" t="s">
        <v>51</v>
      </c>
      <c r="C158" s="1" t="s">
        <v>53</v>
      </c>
      <c r="E158" s="1" t="s">
        <v>131</v>
      </c>
      <c r="G158" s="2">
        <v>27.0</v>
      </c>
      <c r="H158" s="1" t="s">
        <v>55</v>
      </c>
      <c r="J158" s="1" t="s">
        <v>86</v>
      </c>
      <c r="K158" s="1" t="s">
        <v>57</v>
      </c>
      <c r="M158" s="1" t="s">
        <v>58</v>
      </c>
      <c r="N158" s="1" t="s">
        <v>58</v>
      </c>
      <c r="O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81</v>
      </c>
      <c r="Y158" s="1" t="s">
        <v>60</v>
      </c>
      <c r="Z158" s="1" t="s">
        <v>89</v>
      </c>
      <c r="AA158" s="2">
        <v>20.0</v>
      </c>
      <c r="AB158" s="1" t="s">
        <v>62</v>
      </c>
      <c r="AC158" s="1" t="s">
        <v>51</v>
      </c>
      <c r="AD158" s="1" t="s">
        <v>81</v>
      </c>
      <c r="AE158" s="1" t="s">
        <v>51</v>
      </c>
      <c r="AF158" s="1" t="s">
        <v>51</v>
      </c>
      <c r="AG158" s="1" t="s">
        <v>51</v>
      </c>
      <c r="AH158" s="2">
        <v>50.0</v>
      </c>
      <c r="AI158" s="2">
        <v>0.0</v>
      </c>
      <c r="AJ158" s="2">
        <v>1.0</v>
      </c>
      <c r="AK158" s="2">
        <v>0.0</v>
      </c>
      <c r="AL158" s="2">
        <v>0.0</v>
      </c>
      <c r="AP158" s="2">
        <v>4.89995822E8</v>
      </c>
      <c r="AQ158" s="1" t="s">
        <v>282</v>
      </c>
      <c r="AR158" s="2">
        <v>45808.49568287037</v>
      </c>
      <c r="AU158" s="1" t="s">
        <v>64</v>
      </c>
      <c r="AW158" s="1" t="s">
        <v>255</v>
      </c>
      <c r="AY158" s="2">
        <v>152.0</v>
      </c>
    </row>
    <row r="159">
      <c r="A159" s="1" t="s">
        <v>51</v>
      </c>
      <c r="C159" s="1" t="s">
        <v>53</v>
      </c>
      <c r="E159" s="1" t="s">
        <v>131</v>
      </c>
      <c r="G159" s="2">
        <v>27.0</v>
      </c>
      <c r="H159" s="1" t="s">
        <v>55</v>
      </c>
      <c r="J159" s="1" t="s">
        <v>86</v>
      </c>
      <c r="K159" s="1" t="s">
        <v>57</v>
      </c>
      <c r="M159" s="1" t="s">
        <v>58</v>
      </c>
      <c r="N159" s="1" t="s">
        <v>58</v>
      </c>
      <c r="O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81</v>
      </c>
      <c r="Y159" s="1" t="s">
        <v>60</v>
      </c>
      <c r="Z159" s="1" t="s">
        <v>89</v>
      </c>
      <c r="AA159" s="2">
        <v>30.0</v>
      </c>
      <c r="AB159" s="1" t="s">
        <v>62</v>
      </c>
      <c r="AC159" s="1" t="s">
        <v>51</v>
      </c>
      <c r="AF159" s="1" t="s">
        <v>51</v>
      </c>
      <c r="AG159" s="1" t="s">
        <v>51</v>
      </c>
      <c r="AI159" s="2">
        <v>0.0</v>
      </c>
      <c r="AJ159" s="2">
        <v>1.0</v>
      </c>
      <c r="AK159" s="2">
        <v>0.0</v>
      </c>
      <c r="AL159" s="2">
        <v>0.0</v>
      </c>
      <c r="AP159" s="2">
        <v>4.89999395E8</v>
      </c>
      <c r="AQ159" s="1" t="s">
        <v>283</v>
      </c>
      <c r="AR159" s="2">
        <v>45808.50059027778</v>
      </c>
      <c r="AU159" s="1" t="s">
        <v>64</v>
      </c>
      <c r="AW159" s="1" t="s">
        <v>255</v>
      </c>
      <c r="AY159" s="2">
        <v>153.0</v>
      </c>
    </row>
    <row r="160">
      <c r="A160" s="1" t="s">
        <v>51</v>
      </c>
      <c r="C160" s="1" t="s">
        <v>53</v>
      </c>
      <c r="E160" s="1" t="s">
        <v>131</v>
      </c>
      <c r="G160" s="2">
        <v>28.0</v>
      </c>
      <c r="H160" s="1" t="s">
        <v>66</v>
      </c>
      <c r="J160" s="1" t="s">
        <v>86</v>
      </c>
      <c r="K160" s="1" t="s">
        <v>57</v>
      </c>
      <c r="M160" s="1" t="s">
        <v>58</v>
      </c>
      <c r="N160" s="1" t="s">
        <v>58</v>
      </c>
      <c r="O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X160" s="1" t="s">
        <v>81</v>
      </c>
      <c r="Y160" s="1" t="s">
        <v>82</v>
      </c>
      <c r="Z160" s="1" t="s">
        <v>89</v>
      </c>
      <c r="AA160" s="2">
        <v>40.0</v>
      </c>
      <c r="AB160" s="1" t="s">
        <v>79</v>
      </c>
      <c r="AC160" s="1" t="s">
        <v>51</v>
      </c>
      <c r="AD160" s="1" t="s">
        <v>81</v>
      </c>
      <c r="AE160" s="1" t="s">
        <v>51</v>
      </c>
      <c r="AF160" s="1" t="s">
        <v>51</v>
      </c>
      <c r="AG160" s="1" t="s">
        <v>51</v>
      </c>
      <c r="AH160" s="2">
        <v>50.0</v>
      </c>
      <c r="AI160" s="2">
        <v>0.0</v>
      </c>
      <c r="AJ160" s="2">
        <v>1.0</v>
      </c>
      <c r="AK160" s="2">
        <v>0.0</v>
      </c>
      <c r="AL160" s="2">
        <v>0.0</v>
      </c>
      <c r="AP160" s="2">
        <v>4.90001163E8</v>
      </c>
      <c r="AQ160" s="1" t="s">
        <v>284</v>
      </c>
      <c r="AR160" s="2">
        <v>45808.50234953704</v>
      </c>
      <c r="AU160" s="1" t="s">
        <v>64</v>
      </c>
      <c r="AW160" s="1" t="s">
        <v>255</v>
      </c>
      <c r="AY160" s="2">
        <v>154.0</v>
      </c>
    </row>
    <row r="161">
      <c r="A161" s="1" t="s">
        <v>51</v>
      </c>
      <c r="C161" s="1" t="s">
        <v>131</v>
      </c>
      <c r="E161" s="1" t="s">
        <v>53</v>
      </c>
      <c r="F161" s="1" t="s">
        <v>85</v>
      </c>
      <c r="G161" s="2">
        <v>28.0</v>
      </c>
      <c r="H161" s="1" t="s">
        <v>66</v>
      </c>
      <c r="I161" s="1" t="s">
        <v>100</v>
      </c>
      <c r="J161" s="1" t="s">
        <v>86</v>
      </c>
      <c r="K161" s="1" t="s">
        <v>57</v>
      </c>
      <c r="M161" s="1" t="s">
        <v>58</v>
      </c>
      <c r="N161" s="1" t="s">
        <v>58</v>
      </c>
      <c r="O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81</v>
      </c>
      <c r="Y161" s="1" t="s">
        <v>60</v>
      </c>
      <c r="Z161" s="1" t="s">
        <v>89</v>
      </c>
      <c r="AA161" s="2">
        <v>30.0</v>
      </c>
      <c r="AB161" s="1" t="s">
        <v>62</v>
      </c>
      <c r="AC161" s="1" t="s">
        <v>51</v>
      </c>
      <c r="AF161" s="1" t="s">
        <v>51</v>
      </c>
      <c r="AG161" s="1" t="s">
        <v>51</v>
      </c>
      <c r="AI161" s="2">
        <v>0.0</v>
      </c>
      <c r="AJ161" s="2">
        <v>1.0</v>
      </c>
      <c r="AK161" s="2">
        <v>0.0</v>
      </c>
      <c r="AL161" s="2">
        <v>0.0</v>
      </c>
      <c r="AM161" s="1" t="s">
        <v>51</v>
      </c>
      <c r="AN161" s="2">
        <v>7.3408723E8</v>
      </c>
      <c r="AP161" s="2">
        <v>4.90002951E8</v>
      </c>
      <c r="AQ161" s="1" t="s">
        <v>285</v>
      </c>
      <c r="AR161" s="2">
        <v>45808.50498842593</v>
      </c>
      <c r="AU161" s="1" t="s">
        <v>64</v>
      </c>
      <c r="AW161" s="1" t="s">
        <v>255</v>
      </c>
      <c r="AY161" s="2">
        <v>155.0</v>
      </c>
    </row>
    <row r="162">
      <c r="A162" s="1" t="s">
        <v>51</v>
      </c>
      <c r="C162" s="1" t="s">
        <v>286</v>
      </c>
      <c r="E162" s="1" t="s">
        <v>53</v>
      </c>
      <c r="F162" s="1" t="s">
        <v>102</v>
      </c>
      <c r="G162" s="2">
        <v>35.0</v>
      </c>
      <c r="H162" s="1" t="s">
        <v>66</v>
      </c>
      <c r="I162" s="1" t="s">
        <v>76</v>
      </c>
      <c r="J162" s="1" t="s">
        <v>68</v>
      </c>
      <c r="K162" s="1" t="s">
        <v>78</v>
      </c>
      <c r="M162" s="1" t="s">
        <v>58</v>
      </c>
      <c r="N162" s="1" t="s">
        <v>70</v>
      </c>
      <c r="O162" s="1" t="s">
        <v>69</v>
      </c>
      <c r="Q162" s="1" t="s">
        <v>58</v>
      </c>
      <c r="R162" s="1" t="s">
        <v>58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81</v>
      </c>
      <c r="Y162" s="1" t="s">
        <v>172</v>
      </c>
      <c r="Z162" s="1" t="s">
        <v>89</v>
      </c>
      <c r="AA162" s="2">
        <v>10.0</v>
      </c>
      <c r="AB162" s="1" t="s">
        <v>28</v>
      </c>
      <c r="AC162" s="1" t="s">
        <v>71</v>
      </c>
      <c r="AF162" s="1" t="s">
        <v>51</v>
      </c>
      <c r="AG162" s="1" t="s">
        <v>51</v>
      </c>
      <c r="AH162" s="2">
        <v>20.0</v>
      </c>
      <c r="AI162" s="2">
        <v>0.0</v>
      </c>
      <c r="AJ162" s="2">
        <v>0.0</v>
      </c>
      <c r="AK162" s="2">
        <v>0.0</v>
      </c>
      <c r="AL162" s="2">
        <v>1.0</v>
      </c>
      <c r="AM162" s="1" t="s">
        <v>72</v>
      </c>
      <c r="AP162" s="2">
        <v>4.90003314E8</v>
      </c>
      <c r="AQ162" s="1" t="s">
        <v>287</v>
      </c>
      <c r="AR162" s="2">
        <v>45808.50548611111</v>
      </c>
      <c r="AU162" s="1" t="s">
        <v>64</v>
      </c>
      <c r="AW162" s="1" t="s">
        <v>255</v>
      </c>
      <c r="AY162" s="2">
        <v>156.0</v>
      </c>
    </row>
    <row r="163">
      <c r="A163" s="1" t="s">
        <v>51</v>
      </c>
      <c r="C163" s="1" t="s">
        <v>53</v>
      </c>
      <c r="E163" s="1" t="s">
        <v>131</v>
      </c>
      <c r="G163" s="2">
        <v>29.0</v>
      </c>
      <c r="H163" s="1" t="s">
        <v>55</v>
      </c>
      <c r="J163" s="1" t="s">
        <v>86</v>
      </c>
      <c r="K163" s="1" t="s">
        <v>78</v>
      </c>
      <c r="M163" s="1" t="s">
        <v>58</v>
      </c>
      <c r="N163" s="1" t="s">
        <v>58</v>
      </c>
      <c r="O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81</v>
      </c>
      <c r="Y163" s="1" t="s">
        <v>60</v>
      </c>
      <c r="Z163" s="1" t="s">
        <v>89</v>
      </c>
      <c r="AA163" s="2">
        <v>50.0</v>
      </c>
      <c r="AB163" s="1" t="s">
        <v>79</v>
      </c>
      <c r="AC163" s="1" t="s">
        <v>51</v>
      </c>
      <c r="AD163" s="1" t="s">
        <v>81</v>
      </c>
      <c r="AE163" s="1" t="s">
        <v>51</v>
      </c>
      <c r="AF163" s="1" t="s">
        <v>51</v>
      </c>
      <c r="AG163" s="1" t="s">
        <v>51</v>
      </c>
      <c r="AI163" s="2">
        <v>0.0</v>
      </c>
      <c r="AJ163" s="2">
        <v>1.0</v>
      </c>
      <c r="AK163" s="2">
        <v>0.0</v>
      </c>
      <c r="AL163" s="2">
        <v>0.0</v>
      </c>
      <c r="AP163" s="2">
        <v>4.90004742E8</v>
      </c>
      <c r="AQ163" s="1" t="s">
        <v>288</v>
      </c>
      <c r="AR163" s="2">
        <v>45808.50743055555</v>
      </c>
      <c r="AU163" s="1" t="s">
        <v>64</v>
      </c>
      <c r="AW163" s="1" t="s">
        <v>255</v>
      </c>
      <c r="AY163" s="2">
        <v>157.0</v>
      </c>
    </row>
    <row r="164">
      <c r="A164" s="1" t="s">
        <v>51</v>
      </c>
      <c r="C164" s="1" t="s">
        <v>131</v>
      </c>
      <c r="E164" s="1" t="s">
        <v>53</v>
      </c>
      <c r="F164" s="1" t="s">
        <v>85</v>
      </c>
      <c r="G164" s="2">
        <v>28.0</v>
      </c>
      <c r="H164" s="1" t="s">
        <v>66</v>
      </c>
      <c r="I164" s="1" t="s">
        <v>100</v>
      </c>
      <c r="J164" s="1" t="s">
        <v>86</v>
      </c>
      <c r="K164" s="1" t="s">
        <v>74</v>
      </c>
      <c r="M164" s="1" t="s">
        <v>58</v>
      </c>
      <c r="N164" s="1" t="s">
        <v>58</v>
      </c>
      <c r="O164" s="1" t="s">
        <v>58</v>
      </c>
      <c r="Q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81</v>
      </c>
      <c r="Y164" s="1" t="s">
        <v>82</v>
      </c>
      <c r="Z164" s="1" t="s">
        <v>127</v>
      </c>
      <c r="AA164" s="2">
        <v>10.0</v>
      </c>
      <c r="AB164" s="1" t="s">
        <v>79</v>
      </c>
      <c r="AC164" s="1" t="s">
        <v>51</v>
      </c>
      <c r="AF164" s="1" t="s">
        <v>51</v>
      </c>
      <c r="AG164" s="1" t="s">
        <v>51</v>
      </c>
      <c r="AI164" s="2">
        <v>1.0</v>
      </c>
      <c r="AJ164" s="2">
        <v>0.0</v>
      </c>
      <c r="AK164" s="2">
        <v>0.0</v>
      </c>
      <c r="AL164" s="2">
        <v>0.0</v>
      </c>
      <c r="AM164" s="1" t="s">
        <v>51</v>
      </c>
      <c r="AN164" s="2">
        <v>6.40004045E8</v>
      </c>
      <c r="AP164" s="2">
        <v>4.90013637E8</v>
      </c>
      <c r="AQ164" s="1" t="s">
        <v>289</v>
      </c>
      <c r="AR164" s="2">
        <v>45808.51943287037</v>
      </c>
      <c r="AU164" s="1" t="s">
        <v>64</v>
      </c>
      <c r="AW164" s="1" t="s">
        <v>255</v>
      </c>
      <c r="AY164" s="2">
        <v>158.0</v>
      </c>
    </row>
    <row r="165">
      <c r="A165" s="1" t="s">
        <v>51</v>
      </c>
      <c r="C165" s="1" t="s">
        <v>131</v>
      </c>
      <c r="E165" s="1" t="s">
        <v>53</v>
      </c>
      <c r="F165" s="1" t="s">
        <v>85</v>
      </c>
      <c r="G165" s="2">
        <v>22.0</v>
      </c>
      <c r="H165" s="1" t="s">
        <v>55</v>
      </c>
      <c r="I165" s="1" t="s">
        <v>100</v>
      </c>
      <c r="J165" s="1" t="s">
        <v>86</v>
      </c>
      <c r="K165" s="1" t="s">
        <v>57</v>
      </c>
      <c r="M165" s="1" t="s">
        <v>58</v>
      </c>
      <c r="N165" s="1" t="s">
        <v>58</v>
      </c>
      <c r="O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81</v>
      </c>
      <c r="Y165" s="1" t="s">
        <v>82</v>
      </c>
      <c r="Z165" s="1" t="s">
        <v>127</v>
      </c>
      <c r="AA165" s="2">
        <v>30.0</v>
      </c>
      <c r="AB165" s="1" t="s">
        <v>79</v>
      </c>
      <c r="AC165" s="1" t="s">
        <v>51</v>
      </c>
      <c r="AD165" s="1" t="s">
        <v>81</v>
      </c>
      <c r="AE165" s="1" t="s">
        <v>51</v>
      </c>
      <c r="AF165" s="1" t="s">
        <v>51</v>
      </c>
      <c r="AG165" s="1" t="s">
        <v>51</v>
      </c>
      <c r="AH165" s="2">
        <v>50.0</v>
      </c>
      <c r="AI165" s="2">
        <v>0.0</v>
      </c>
      <c r="AJ165" s="2">
        <v>1.0</v>
      </c>
      <c r="AK165" s="2">
        <v>0.0</v>
      </c>
      <c r="AL165" s="2">
        <v>0.0</v>
      </c>
      <c r="AM165" s="1" t="s">
        <v>51</v>
      </c>
      <c r="AN165" s="2">
        <v>6.73748437E8</v>
      </c>
      <c r="AP165" s="2">
        <v>4.90015156E8</v>
      </c>
      <c r="AQ165" s="1" t="s">
        <v>290</v>
      </c>
      <c r="AR165" s="2">
        <v>45808.52165509259</v>
      </c>
      <c r="AU165" s="1" t="s">
        <v>64</v>
      </c>
      <c r="AW165" s="1" t="s">
        <v>255</v>
      </c>
      <c r="AY165" s="2">
        <v>159.0</v>
      </c>
    </row>
    <row r="166">
      <c r="A166" s="1" t="s">
        <v>51</v>
      </c>
      <c r="C166" s="1" t="s">
        <v>131</v>
      </c>
      <c r="E166" s="1" t="s">
        <v>53</v>
      </c>
      <c r="F166" s="1" t="s">
        <v>291</v>
      </c>
      <c r="G166" s="2">
        <v>24.0</v>
      </c>
      <c r="H166" s="1" t="s">
        <v>55</v>
      </c>
      <c r="I166" s="1" t="s">
        <v>100</v>
      </c>
      <c r="J166" s="1" t="s">
        <v>86</v>
      </c>
      <c r="K166" s="1" t="s">
        <v>57</v>
      </c>
      <c r="M166" s="1" t="s">
        <v>58</v>
      </c>
      <c r="N166" s="1" t="s">
        <v>58</v>
      </c>
      <c r="O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 t="s">
        <v>58</v>
      </c>
      <c r="X166" s="1" t="s">
        <v>81</v>
      </c>
      <c r="Y166" s="1" t="s">
        <v>60</v>
      </c>
      <c r="Z166" s="1" t="s">
        <v>108</v>
      </c>
      <c r="AA166" s="2">
        <v>20.0</v>
      </c>
      <c r="AB166" s="1" t="s">
        <v>62</v>
      </c>
      <c r="AC166" s="1" t="s">
        <v>51</v>
      </c>
      <c r="AD166" s="1" t="s">
        <v>81</v>
      </c>
      <c r="AE166" s="1" t="s">
        <v>51</v>
      </c>
      <c r="AF166" s="1" t="s">
        <v>51</v>
      </c>
      <c r="AG166" s="1" t="s">
        <v>51</v>
      </c>
      <c r="AH166" s="2">
        <v>2.0</v>
      </c>
      <c r="AI166" s="2">
        <v>0.0</v>
      </c>
      <c r="AJ166" s="2">
        <v>1.0</v>
      </c>
      <c r="AK166" s="2">
        <v>0.0</v>
      </c>
      <c r="AL166" s="2">
        <v>0.0</v>
      </c>
      <c r="AM166" s="1" t="s">
        <v>51</v>
      </c>
      <c r="AN166" s="2">
        <v>6.92541294E8</v>
      </c>
      <c r="AP166" s="2">
        <v>4.90021647E8</v>
      </c>
      <c r="AQ166" s="1" t="s">
        <v>292</v>
      </c>
      <c r="AR166" s="2">
        <v>45808.52943287037</v>
      </c>
      <c r="AU166" s="1" t="s">
        <v>64</v>
      </c>
      <c r="AW166" s="1" t="s">
        <v>255</v>
      </c>
      <c r="AY166" s="2">
        <v>160.0</v>
      </c>
    </row>
    <row r="167">
      <c r="A167" s="1" t="s">
        <v>51</v>
      </c>
      <c r="C167" s="1" t="s">
        <v>131</v>
      </c>
      <c r="E167" s="1" t="s">
        <v>53</v>
      </c>
      <c r="F167" s="1" t="s">
        <v>291</v>
      </c>
      <c r="G167" s="2">
        <v>23.0</v>
      </c>
      <c r="H167" s="1" t="s">
        <v>66</v>
      </c>
      <c r="I167" s="1" t="s">
        <v>100</v>
      </c>
      <c r="J167" s="1" t="s">
        <v>86</v>
      </c>
      <c r="K167" s="1" t="s">
        <v>57</v>
      </c>
      <c r="M167" s="1" t="s">
        <v>58</v>
      </c>
      <c r="N167" s="1" t="s">
        <v>58</v>
      </c>
      <c r="O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59</v>
      </c>
      <c r="Y167" s="1" t="s">
        <v>60</v>
      </c>
      <c r="Z167" s="1" t="s">
        <v>108</v>
      </c>
      <c r="AA167" s="2">
        <v>20.0</v>
      </c>
      <c r="AB167" s="1" t="s">
        <v>79</v>
      </c>
      <c r="AC167" s="1" t="s">
        <v>51</v>
      </c>
      <c r="AD167" s="1" t="s">
        <v>59</v>
      </c>
      <c r="AE167" s="1" t="s">
        <v>51</v>
      </c>
      <c r="AF167" s="1" t="s">
        <v>51</v>
      </c>
      <c r="AG167" s="1" t="s">
        <v>51</v>
      </c>
      <c r="AH167" s="2">
        <v>3.0</v>
      </c>
      <c r="AI167" s="2">
        <v>0.0</v>
      </c>
      <c r="AJ167" s="2">
        <v>1.0</v>
      </c>
      <c r="AK167" s="2">
        <v>0.0</v>
      </c>
      <c r="AL167" s="2">
        <v>0.0</v>
      </c>
      <c r="AM167" s="1" t="s">
        <v>51</v>
      </c>
      <c r="AN167" s="2">
        <v>7.32109955E8</v>
      </c>
      <c r="AP167" s="2">
        <v>4.90023205E8</v>
      </c>
      <c r="AQ167" s="1" t="s">
        <v>293</v>
      </c>
      <c r="AR167" s="2">
        <v>45808.531331018516</v>
      </c>
      <c r="AU167" s="1" t="s">
        <v>64</v>
      </c>
      <c r="AW167" s="1" t="s">
        <v>255</v>
      </c>
      <c r="AY167" s="2">
        <v>161.0</v>
      </c>
    </row>
    <row r="168">
      <c r="A168" s="1" t="s">
        <v>51</v>
      </c>
      <c r="C168" s="1" t="s">
        <v>131</v>
      </c>
      <c r="E168" s="1" t="s">
        <v>53</v>
      </c>
      <c r="F168" s="1" t="s">
        <v>291</v>
      </c>
      <c r="G168" s="2">
        <v>20.0</v>
      </c>
      <c r="H168" s="1" t="s">
        <v>66</v>
      </c>
      <c r="I168" s="1" t="s">
        <v>76</v>
      </c>
      <c r="J168" s="1" t="s">
        <v>86</v>
      </c>
      <c r="K168" s="1" t="s">
        <v>78</v>
      </c>
      <c r="M168" s="1" t="s">
        <v>58</v>
      </c>
      <c r="N168" s="1" t="s">
        <v>58</v>
      </c>
      <c r="O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88</v>
      </c>
      <c r="Y168" s="1" t="s">
        <v>82</v>
      </c>
      <c r="Z168" s="1" t="s">
        <v>89</v>
      </c>
      <c r="AA168" s="2">
        <v>30.0</v>
      </c>
      <c r="AB168" s="1" t="s">
        <v>62</v>
      </c>
      <c r="AC168" s="1" t="s">
        <v>51</v>
      </c>
      <c r="AD168" s="1" t="s">
        <v>88</v>
      </c>
      <c r="AE168" s="1" t="s">
        <v>51</v>
      </c>
      <c r="AF168" s="1" t="s">
        <v>51</v>
      </c>
      <c r="AG168" s="1" t="s">
        <v>51</v>
      </c>
      <c r="AH168" s="2">
        <v>2.0</v>
      </c>
      <c r="AI168" s="2">
        <v>0.0</v>
      </c>
      <c r="AJ168" s="2">
        <v>1.0</v>
      </c>
      <c r="AK168" s="2">
        <v>0.0</v>
      </c>
      <c r="AL168" s="2">
        <v>0.0</v>
      </c>
      <c r="AM168" s="1" t="s">
        <v>51</v>
      </c>
      <c r="AN168" s="2">
        <v>7.3293382E7</v>
      </c>
      <c r="AP168" s="2">
        <v>4.90024645E8</v>
      </c>
      <c r="AQ168" s="1" t="s">
        <v>294</v>
      </c>
      <c r="AR168" s="2">
        <v>45808.53369212963</v>
      </c>
      <c r="AU168" s="1" t="s">
        <v>64</v>
      </c>
      <c r="AW168" s="1" t="s">
        <v>255</v>
      </c>
      <c r="AY168" s="2">
        <v>162.0</v>
      </c>
    </row>
    <row r="169">
      <c r="A169" s="1" t="s">
        <v>51</v>
      </c>
      <c r="C169" s="1" t="s">
        <v>131</v>
      </c>
      <c r="E169" s="1" t="s">
        <v>53</v>
      </c>
      <c r="F169" s="1" t="s">
        <v>291</v>
      </c>
      <c r="G169" s="2">
        <v>21.0</v>
      </c>
      <c r="H169" s="1" t="s">
        <v>55</v>
      </c>
      <c r="I169" s="1" t="s">
        <v>67</v>
      </c>
      <c r="J169" s="1" t="s">
        <v>86</v>
      </c>
      <c r="K169" s="1" t="s">
        <v>74</v>
      </c>
      <c r="M169" s="1" t="s">
        <v>58</v>
      </c>
      <c r="N169" s="1" t="s">
        <v>58</v>
      </c>
      <c r="O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59</v>
      </c>
      <c r="Y169" s="1" t="s">
        <v>82</v>
      </c>
      <c r="Z169" s="1" t="s">
        <v>108</v>
      </c>
      <c r="AA169" s="2">
        <v>30.0</v>
      </c>
      <c r="AB169" s="1" t="s">
        <v>62</v>
      </c>
      <c r="AC169" s="1" t="s">
        <v>51</v>
      </c>
      <c r="AD169" s="1" t="s">
        <v>59</v>
      </c>
      <c r="AE169" s="1" t="s">
        <v>51</v>
      </c>
      <c r="AF169" s="1" t="s">
        <v>51</v>
      </c>
      <c r="AG169" s="1" t="s">
        <v>51</v>
      </c>
      <c r="AH169" s="2">
        <v>3.0</v>
      </c>
      <c r="AI169" s="2">
        <v>0.0</v>
      </c>
      <c r="AJ169" s="2">
        <v>1.0</v>
      </c>
      <c r="AK169" s="2">
        <v>0.0</v>
      </c>
      <c r="AL169" s="2">
        <v>0.0</v>
      </c>
      <c r="AM169" s="1" t="s">
        <v>51</v>
      </c>
      <c r="AN169" s="2">
        <v>8.37472508E8</v>
      </c>
      <c r="AP169" s="2">
        <v>4.90025968E8</v>
      </c>
      <c r="AQ169" s="1" t="s">
        <v>295</v>
      </c>
      <c r="AR169" s="2">
        <v>45808.53591435185</v>
      </c>
      <c r="AU169" s="1" t="s">
        <v>64</v>
      </c>
      <c r="AW169" s="1" t="s">
        <v>255</v>
      </c>
      <c r="AY169" s="2">
        <v>163.0</v>
      </c>
    </row>
    <row r="170">
      <c r="A170" s="1" t="s">
        <v>51</v>
      </c>
      <c r="C170" s="1" t="s">
        <v>131</v>
      </c>
      <c r="E170" s="1" t="s">
        <v>53</v>
      </c>
      <c r="F170" s="1" t="s">
        <v>291</v>
      </c>
      <c r="G170" s="2">
        <v>21.0</v>
      </c>
      <c r="H170" s="1" t="s">
        <v>55</v>
      </c>
      <c r="I170" s="1" t="s">
        <v>67</v>
      </c>
      <c r="J170" s="1" t="s">
        <v>86</v>
      </c>
      <c r="K170" s="1" t="s">
        <v>74</v>
      </c>
      <c r="M170" s="1" t="s">
        <v>58</v>
      </c>
      <c r="N170" s="1" t="s">
        <v>58</v>
      </c>
      <c r="O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59</v>
      </c>
      <c r="Y170" s="1" t="s">
        <v>82</v>
      </c>
      <c r="Z170" s="1" t="s">
        <v>108</v>
      </c>
      <c r="AA170" s="2">
        <v>40.0</v>
      </c>
      <c r="AB170" s="1" t="s">
        <v>62</v>
      </c>
      <c r="AC170" s="1" t="s">
        <v>51</v>
      </c>
      <c r="AD170" s="1" t="s">
        <v>59</v>
      </c>
      <c r="AE170" s="1" t="s">
        <v>51</v>
      </c>
      <c r="AF170" s="1" t="s">
        <v>51</v>
      </c>
      <c r="AG170" s="1" t="s">
        <v>51</v>
      </c>
      <c r="AH170" s="2">
        <v>2.0</v>
      </c>
      <c r="AI170" s="2">
        <v>1.0</v>
      </c>
      <c r="AJ170" s="2">
        <v>0.0</v>
      </c>
      <c r="AK170" s="2">
        <v>0.0</v>
      </c>
      <c r="AL170" s="2">
        <v>0.0</v>
      </c>
      <c r="AM170" s="1" t="s">
        <v>51</v>
      </c>
      <c r="AN170" s="2">
        <v>6.04141344E8</v>
      </c>
      <c r="AP170" s="2">
        <v>4.90028048E8</v>
      </c>
      <c r="AQ170" s="1" t="s">
        <v>296</v>
      </c>
      <c r="AR170" s="2">
        <v>45808.53858796296</v>
      </c>
      <c r="AU170" s="1" t="s">
        <v>64</v>
      </c>
      <c r="AW170" s="1" t="s">
        <v>255</v>
      </c>
      <c r="AY170" s="2">
        <v>164.0</v>
      </c>
    </row>
    <row r="171">
      <c r="A171" s="1" t="s">
        <v>51</v>
      </c>
      <c r="C171" s="1" t="s">
        <v>131</v>
      </c>
      <c r="E171" s="1" t="s">
        <v>53</v>
      </c>
      <c r="F171" s="1" t="s">
        <v>85</v>
      </c>
      <c r="G171" s="2">
        <v>22.0</v>
      </c>
      <c r="H171" s="1" t="s">
        <v>55</v>
      </c>
      <c r="I171" s="1" t="s">
        <v>76</v>
      </c>
      <c r="J171" s="1" t="s">
        <v>111</v>
      </c>
      <c r="K171" s="1" t="s">
        <v>57</v>
      </c>
      <c r="M171" s="1" t="s">
        <v>58</v>
      </c>
      <c r="N171" s="1" t="s">
        <v>58</v>
      </c>
      <c r="O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59</v>
      </c>
      <c r="Y171" s="1" t="s">
        <v>82</v>
      </c>
      <c r="Z171" s="1" t="s">
        <v>108</v>
      </c>
      <c r="AA171" s="2">
        <v>20.0</v>
      </c>
      <c r="AB171" s="1" t="s">
        <v>62</v>
      </c>
      <c r="AC171" s="1" t="s">
        <v>51</v>
      </c>
      <c r="AD171" s="1" t="s">
        <v>59</v>
      </c>
      <c r="AE171" s="1" t="s">
        <v>51</v>
      </c>
      <c r="AF171" s="1" t="s">
        <v>51</v>
      </c>
      <c r="AG171" s="1" t="s">
        <v>51</v>
      </c>
      <c r="AH171" s="2">
        <v>2.0</v>
      </c>
      <c r="AI171" s="2">
        <v>0.0</v>
      </c>
      <c r="AJ171" s="2">
        <v>1.0</v>
      </c>
      <c r="AK171" s="2">
        <v>0.0</v>
      </c>
      <c r="AL171" s="2">
        <v>0.0</v>
      </c>
      <c r="AM171" s="1" t="s">
        <v>51</v>
      </c>
      <c r="AN171" s="2">
        <v>7.86258839E8</v>
      </c>
      <c r="AP171" s="2">
        <v>4.90029902E8</v>
      </c>
      <c r="AQ171" s="1" t="s">
        <v>297</v>
      </c>
      <c r="AR171" s="2">
        <v>45808.54121527778</v>
      </c>
      <c r="AU171" s="1" t="s">
        <v>64</v>
      </c>
      <c r="AW171" s="1" t="s">
        <v>255</v>
      </c>
      <c r="AY171" s="2">
        <v>165.0</v>
      </c>
    </row>
    <row r="172">
      <c r="A172" s="1" t="s">
        <v>51</v>
      </c>
      <c r="C172" s="1" t="s">
        <v>52</v>
      </c>
      <c r="E172" s="1" t="s">
        <v>53</v>
      </c>
      <c r="F172" s="1" t="s">
        <v>102</v>
      </c>
      <c r="G172" s="2">
        <v>40.0</v>
      </c>
      <c r="H172" s="1" t="s">
        <v>66</v>
      </c>
      <c r="I172" s="1" t="s">
        <v>100</v>
      </c>
      <c r="J172" s="1" t="s">
        <v>111</v>
      </c>
      <c r="K172" s="1" t="s">
        <v>87</v>
      </c>
      <c r="M172" s="1" t="s">
        <v>58</v>
      </c>
      <c r="N172" s="1" t="s">
        <v>58</v>
      </c>
      <c r="O172" s="1" t="s">
        <v>70</v>
      </c>
      <c r="Q172" s="1" t="s">
        <v>58</v>
      </c>
      <c r="R172" s="1" t="s">
        <v>58</v>
      </c>
      <c r="S172" s="1" t="s">
        <v>70</v>
      </c>
      <c r="T172" s="1" t="s">
        <v>70</v>
      </c>
      <c r="U172" s="1" t="s">
        <v>58</v>
      </c>
      <c r="V172" s="1" t="s">
        <v>58</v>
      </c>
      <c r="W172" s="1" t="s">
        <v>58</v>
      </c>
      <c r="Y172" s="1" t="s">
        <v>95</v>
      </c>
      <c r="Z172" s="1" t="s">
        <v>89</v>
      </c>
      <c r="AA172" s="2">
        <v>100.0</v>
      </c>
      <c r="AB172" s="1" t="s">
        <v>79</v>
      </c>
      <c r="AC172" s="1" t="s">
        <v>71</v>
      </c>
      <c r="AF172" s="1" t="s">
        <v>51</v>
      </c>
      <c r="AG172" s="1" t="s">
        <v>72</v>
      </c>
      <c r="AI172" s="2">
        <v>0.0</v>
      </c>
      <c r="AJ172" s="2">
        <v>0.0</v>
      </c>
      <c r="AK172" s="2">
        <v>0.0</v>
      </c>
      <c r="AL172" s="2">
        <v>1.0</v>
      </c>
      <c r="AM172" s="1" t="s">
        <v>51</v>
      </c>
      <c r="AN172" s="2">
        <v>6.12535762E8</v>
      </c>
      <c r="AP172" s="2">
        <v>4.90034639E8</v>
      </c>
      <c r="AQ172" s="1" t="s">
        <v>298</v>
      </c>
      <c r="AR172" s="2">
        <v>45808.5465625</v>
      </c>
      <c r="AU172" s="1" t="s">
        <v>64</v>
      </c>
      <c r="AW172" s="1" t="s">
        <v>255</v>
      </c>
      <c r="AY172" s="2">
        <v>166.0</v>
      </c>
    </row>
    <row r="173">
      <c r="A173" s="1" t="s">
        <v>51</v>
      </c>
      <c r="C173" s="1" t="s">
        <v>52</v>
      </c>
      <c r="E173" s="1" t="s">
        <v>53</v>
      </c>
      <c r="F173" s="1" t="s">
        <v>102</v>
      </c>
      <c r="G173" s="2">
        <v>43.0</v>
      </c>
      <c r="H173" s="1" t="s">
        <v>66</v>
      </c>
      <c r="I173" s="1" t="s">
        <v>67</v>
      </c>
      <c r="J173" s="1" t="s">
        <v>86</v>
      </c>
      <c r="K173" s="1" t="s">
        <v>87</v>
      </c>
      <c r="M173" s="1" t="s">
        <v>58</v>
      </c>
      <c r="N173" s="1" t="s">
        <v>70</v>
      </c>
      <c r="O173" s="1" t="s">
        <v>58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70</v>
      </c>
      <c r="V173" s="1" t="s">
        <v>58</v>
      </c>
      <c r="W173" s="1" t="s">
        <v>70</v>
      </c>
      <c r="X173" s="1" t="s">
        <v>88</v>
      </c>
      <c r="Y173" s="1" t="s">
        <v>60</v>
      </c>
      <c r="Z173" s="1" t="s">
        <v>61</v>
      </c>
      <c r="AA173" s="2">
        <v>100.0</v>
      </c>
      <c r="AB173" s="1" t="s">
        <v>62</v>
      </c>
      <c r="AC173" s="1" t="s">
        <v>71</v>
      </c>
      <c r="AF173" s="1" t="s">
        <v>51</v>
      </c>
      <c r="AG173" s="1" t="s">
        <v>51</v>
      </c>
      <c r="AH173" s="2">
        <v>3000.0</v>
      </c>
      <c r="AI173" s="2">
        <v>0.0</v>
      </c>
      <c r="AJ173" s="2">
        <v>0.0</v>
      </c>
      <c r="AK173" s="2">
        <v>0.0</v>
      </c>
      <c r="AL173" s="2">
        <v>1.0</v>
      </c>
      <c r="AM173" s="1" t="s">
        <v>51</v>
      </c>
      <c r="AN173" s="2">
        <v>7.94237527E8</v>
      </c>
      <c r="AP173" s="2">
        <v>4.90035398E8</v>
      </c>
      <c r="AQ173" s="1" t="s">
        <v>299</v>
      </c>
      <c r="AR173" s="2">
        <v>45808.54729166667</v>
      </c>
      <c r="AU173" s="1" t="s">
        <v>64</v>
      </c>
      <c r="AW173" s="1" t="s">
        <v>255</v>
      </c>
      <c r="AY173" s="2">
        <v>167.0</v>
      </c>
    </row>
    <row r="174">
      <c r="A174" s="1" t="s">
        <v>51</v>
      </c>
      <c r="C174" s="1" t="s">
        <v>52</v>
      </c>
      <c r="E174" s="1" t="s">
        <v>53</v>
      </c>
      <c r="F174" s="1" t="s">
        <v>94</v>
      </c>
      <c r="G174" s="2">
        <v>51.0</v>
      </c>
      <c r="H174" s="1" t="s">
        <v>55</v>
      </c>
      <c r="I174" s="1" t="s">
        <v>67</v>
      </c>
      <c r="J174" s="1" t="s">
        <v>68</v>
      </c>
      <c r="K174" s="1" t="s">
        <v>92</v>
      </c>
      <c r="M174" s="1" t="s">
        <v>58</v>
      </c>
      <c r="N174" s="1" t="s">
        <v>58</v>
      </c>
      <c r="O174" s="1" t="s">
        <v>69</v>
      </c>
      <c r="Q174" s="1" t="s">
        <v>58</v>
      </c>
      <c r="R174" s="1" t="s">
        <v>58</v>
      </c>
      <c r="S174" s="1" t="s">
        <v>69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88</v>
      </c>
      <c r="Y174" s="1" t="s">
        <v>60</v>
      </c>
      <c r="Z174" s="1" t="s">
        <v>89</v>
      </c>
      <c r="AA174" s="2">
        <v>100.0</v>
      </c>
      <c r="AB174" s="1" t="s">
        <v>79</v>
      </c>
      <c r="AC174" s="1" t="s">
        <v>71</v>
      </c>
      <c r="AF174" s="1" t="s">
        <v>51</v>
      </c>
      <c r="AG174" s="1" t="s">
        <v>51</v>
      </c>
      <c r="AH174" s="2">
        <v>500.0</v>
      </c>
      <c r="AI174" s="2">
        <v>0.0</v>
      </c>
      <c r="AJ174" s="2">
        <v>1.0</v>
      </c>
      <c r="AK174" s="2">
        <v>1.0</v>
      </c>
      <c r="AL174" s="2">
        <v>1.0</v>
      </c>
      <c r="AM174" s="1" t="s">
        <v>51</v>
      </c>
      <c r="AN174" s="2">
        <v>7.61652799E8</v>
      </c>
      <c r="AP174" s="2">
        <v>4.90050303E8</v>
      </c>
      <c r="AQ174" s="1" t="s">
        <v>300</v>
      </c>
      <c r="AR174" s="2">
        <v>45808.5659375</v>
      </c>
      <c r="AU174" s="1" t="s">
        <v>64</v>
      </c>
      <c r="AW174" s="1" t="s">
        <v>255</v>
      </c>
      <c r="AY174" s="2">
        <v>168.0</v>
      </c>
    </row>
    <row r="175">
      <c r="A175" s="1" t="s">
        <v>51</v>
      </c>
      <c r="C175" s="1" t="s">
        <v>52</v>
      </c>
      <c r="E175" s="1" t="s">
        <v>53</v>
      </c>
      <c r="F175" s="1" t="s">
        <v>301</v>
      </c>
      <c r="G175" s="2">
        <v>26.0</v>
      </c>
      <c r="H175" s="1" t="s">
        <v>66</v>
      </c>
      <c r="I175" s="1" t="s">
        <v>100</v>
      </c>
      <c r="J175" s="1" t="s">
        <v>56</v>
      </c>
      <c r="K175" s="1" t="s">
        <v>87</v>
      </c>
      <c r="M175" s="1" t="s">
        <v>58</v>
      </c>
      <c r="N175" s="1" t="s">
        <v>58</v>
      </c>
      <c r="O175" s="1" t="s">
        <v>58</v>
      </c>
      <c r="Q175" s="1" t="s">
        <v>69</v>
      </c>
      <c r="R175" s="1" t="s">
        <v>58</v>
      </c>
      <c r="S175" s="1" t="s">
        <v>69</v>
      </c>
      <c r="T175" s="1" t="s">
        <v>58</v>
      </c>
      <c r="U175" s="1" t="s">
        <v>58</v>
      </c>
      <c r="V175" s="1" t="s">
        <v>58</v>
      </c>
      <c r="W175" s="1" t="s">
        <v>69</v>
      </c>
      <c r="X175" s="1" t="s">
        <v>88</v>
      </c>
      <c r="Y175" s="1" t="s">
        <v>95</v>
      </c>
      <c r="Z175" s="1" t="s">
        <v>96</v>
      </c>
      <c r="AA175" s="2">
        <v>100.0</v>
      </c>
      <c r="AB175" s="1" t="s">
        <v>62</v>
      </c>
      <c r="AC175" s="1" t="s">
        <v>71</v>
      </c>
      <c r="AF175" s="1" t="s">
        <v>51</v>
      </c>
      <c r="AG175" s="1" t="s">
        <v>72</v>
      </c>
      <c r="AI175" s="2">
        <v>0.0</v>
      </c>
      <c r="AJ175" s="2">
        <v>0.0</v>
      </c>
      <c r="AK175" s="2">
        <v>1.0</v>
      </c>
      <c r="AL175" s="2">
        <v>0.0</v>
      </c>
      <c r="AM175" s="1" t="s">
        <v>51</v>
      </c>
      <c r="AP175" s="2">
        <v>4.90054197E8</v>
      </c>
      <c r="AQ175" s="1" t="s">
        <v>302</v>
      </c>
      <c r="AR175" s="2">
        <v>45808.57083333333</v>
      </c>
      <c r="AU175" s="1" t="s">
        <v>64</v>
      </c>
      <c r="AW175" s="1" t="s">
        <v>255</v>
      </c>
      <c r="AY175" s="2">
        <v>169.0</v>
      </c>
    </row>
    <row r="176">
      <c r="A176" s="1" t="s">
        <v>51</v>
      </c>
      <c r="C176" s="1" t="s">
        <v>131</v>
      </c>
      <c r="E176" s="1" t="s">
        <v>53</v>
      </c>
      <c r="F176" s="1" t="s">
        <v>54</v>
      </c>
      <c r="G176" s="2">
        <v>34.0</v>
      </c>
      <c r="H176" s="1" t="s">
        <v>55</v>
      </c>
      <c r="I176" s="1" t="s">
        <v>100</v>
      </c>
      <c r="J176" s="1" t="s">
        <v>56</v>
      </c>
      <c r="K176" s="1" t="s">
        <v>74</v>
      </c>
      <c r="M176" s="1" t="s">
        <v>58</v>
      </c>
      <c r="N176" s="1" t="s">
        <v>58</v>
      </c>
      <c r="O176" s="1" t="s">
        <v>69</v>
      </c>
      <c r="Q176" s="1" t="s">
        <v>58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1" t="s">
        <v>58</v>
      </c>
      <c r="X176" s="1" t="s">
        <v>81</v>
      </c>
      <c r="Y176" s="1" t="s">
        <v>82</v>
      </c>
      <c r="Z176" s="1" t="s">
        <v>108</v>
      </c>
      <c r="AA176" s="2">
        <v>50.0</v>
      </c>
      <c r="AB176" s="1" t="s">
        <v>28</v>
      </c>
      <c r="AC176" s="1" t="s">
        <v>71</v>
      </c>
      <c r="AF176" s="1" t="s">
        <v>51</v>
      </c>
      <c r="AG176" s="1" t="s">
        <v>72</v>
      </c>
      <c r="AI176" s="2">
        <v>0.0</v>
      </c>
      <c r="AJ176" s="2">
        <v>0.0</v>
      </c>
      <c r="AK176" s="2">
        <v>0.0</v>
      </c>
      <c r="AL176" s="2">
        <v>1.0</v>
      </c>
      <c r="AM176" s="1" t="s">
        <v>51</v>
      </c>
      <c r="AN176" s="2">
        <v>7.30603166E8</v>
      </c>
      <c r="AP176" s="2">
        <v>4.90058033E8</v>
      </c>
      <c r="AQ176" s="1" t="s">
        <v>303</v>
      </c>
      <c r="AR176" s="2">
        <v>45808.575162037036</v>
      </c>
      <c r="AU176" s="1" t="s">
        <v>64</v>
      </c>
      <c r="AW176" s="1" t="s">
        <v>255</v>
      </c>
      <c r="AY176" s="2">
        <v>170.0</v>
      </c>
    </row>
    <row r="177">
      <c r="A177" s="1" t="s">
        <v>51</v>
      </c>
      <c r="C177" s="1" t="s">
        <v>131</v>
      </c>
      <c r="E177" s="1" t="s">
        <v>53</v>
      </c>
      <c r="F177" s="1" t="s">
        <v>54</v>
      </c>
      <c r="G177" s="2">
        <v>20.0</v>
      </c>
      <c r="H177" s="1" t="s">
        <v>55</v>
      </c>
      <c r="I177" s="1" t="s">
        <v>100</v>
      </c>
      <c r="J177" s="1" t="s">
        <v>111</v>
      </c>
      <c r="K177" s="1" t="s">
        <v>78</v>
      </c>
      <c r="M177" s="1" t="s">
        <v>58</v>
      </c>
      <c r="N177" s="1" t="s">
        <v>58</v>
      </c>
      <c r="O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 t="s">
        <v>70</v>
      </c>
      <c r="W177" s="1" t="s">
        <v>58</v>
      </c>
      <c r="X177" s="1" t="s">
        <v>81</v>
      </c>
      <c r="Y177" s="1" t="s">
        <v>60</v>
      </c>
      <c r="Z177" s="1" t="s">
        <v>96</v>
      </c>
      <c r="AA177" s="2">
        <v>100.0</v>
      </c>
      <c r="AB177" s="1" t="s">
        <v>62</v>
      </c>
      <c r="AC177" s="1" t="s">
        <v>51</v>
      </c>
      <c r="AD177" s="1" t="s">
        <v>81</v>
      </c>
      <c r="AE177" s="1" t="s">
        <v>72</v>
      </c>
      <c r="AF177" s="1" t="s">
        <v>51</v>
      </c>
      <c r="AG177" s="1" t="s">
        <v>72</v>
      </c>
      <c r="AI177" s="2">
        <v>0.0</v>
      </c>
      <c r="AJ177" s="2">
        <v>1.0</v>
      </c>
      <c r="AK177" s="2">
        <v>0.0</v>
      </c>
      <c r="AL177" s="2">
        <v>0.0</v>
      </c>
      <c r="AM177" s="1" t="s">
        <v>51</v>
      </c>
      <c r="AP177" s="2">
        <v>4.90060926E8</v>
      </c>
      <c r="AQ177" s="1" t="s">
        <v>304</v>
      </c>
      <c r="AR177" s="2">
        <v>45808.57849537037</v>
      </c>
      <c r="AU177" s="1" t="s">
        <v>64</v>
      </c>
      <c r="AW177" s="1" t="s">
        <v>255</v>
      </c>
      <c r="AY177" s="2">
        <v>171.0</v>
      </c>
    </row>
    <row r="178">
      <c r="A178" s="1" t="s">
        <v>51</v>
      </c>
      <c r="C178" s="1" t="s">
        <v>131</v>
      </c>
      <c r="E178" s="1" t="s">
        <v>53</v>
      </c>
      <c r="F178" s="1" t="s">
        <v>54</v>
      </c>
      <c r="G178" s="2">
        <v>27.0</v>
      </c>
      <c r="H178" s="1" t="s">
        <v>55</v>
      </c>
      <c r="I178" s="1" t="s">
        <v>67</v>
      </c>
      <c r="J178" s="1" t="s">
        <v>68</v>
      </c>
      <c r="K178" s="1" t="s">
        <v>78</v>
      </c>
      <c r="M178" s="1" t="s">
        <v>58</v>
      </c>
      <c r="N178" s="1" t="s">
        <v>58</v>
      </c>
      <c r="O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58</v>
      </c>
      <c r="W178" s="1" t="s">
        <v>58</v>
      </c>
      <c r="X178" s="1" t="s">
        <v>81</v>
      </c>
      <c r="Y178" s="1" t="s">
        <v>82</v>
      </c>
      <c r="Z178" s="1" t="s">
        <v>89</v>
      </c>
      <c r="AA178" s="2">
        <v>50.0</v>
      </c>
      <c r="AB178" s="1" t="s">
        <v>28</v>
      </c>
      <c r="AC178" s="1" t="s">
        <v>51</v>
      </c>
      <c r="AE178" s="1" t="s">
        <v>51</v>
      </c>
      <c r="AF178" s="1" t="s">
        <v>51</v>
      </c>
      <c r="AG178" s="1" t="s">
        <v>51</v>
      </c>
      <c r="AH178" s="2">
        <v>200.0</v>
      </c>
      <c r="AI178" s="2">
        <v>0.0</v>
      </c>
      <c r="AJ178" s="2">
        <v>1.0</v>
      </c>
      <c r="AK178" s="2">
        <v>0.0</v>
      </c>
      <c r="AL178" s="2">
        <v>0.0</v>
      </c>
      <c r="AM178" s="1" t="s">
        <v>51</v>
      </c>
      <c r="AN178" s="2">
        <v>8.20589777E8</v>
      </c>
      <c r="AP178" s="2">
        <v>4.90062455E8</v>
      </c>
      <c r="AQ178" s="1" t="s">
        <v>305</v>
      </c>
      <c r="AR178" s="2">
        <v>45808.58027777778</v>
      </c>
      <c r="AU178" s="1" t="s">
        <v>64</v>
      </c>
      <c r="AW178" s="1" t="s">
        <v>255</v>
      </c>
      <c r="AY178" s="2">
        <v>172.0</v>
      </c>
    </row>
    <row r="179">
      <c r="A179" s="1" t="s">
        <v>51</v>
      </c>
      <c r="C179" s="1" t="s">
        <v>131</v>
      </c>
      <c r="E179" s="1" t="s">
        <v>53</v>
      </c>
      <c r="F179" s="1" t="s">
        <v>102</v>
      </c>
      <c r="G179" s="2">
        <v>33.0</v>
      </c>
      <c r="H179" s="1" t="s">
        <v>55</v>
      </c>
      <c r="I179" s="1" t="s">
        <v>67</v>
      </c>
      <c r="J179" s="1" t="s">
        <v>68</v>
      </c>
      <c r="K179" s="1" t="s">
        <v>78</v>
      </c>
      <c r="M179" s="1" t="s">
        <v>58</v>
      </c>
      <c r="N179" s="1" t="s">
        <v>58</v>
      </c>
      <c r="O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81</v>
      </c>
      <c r="Y179" s="1" t="s">
        <v>227</v>
      </c>
      <c r="Z179" s="1" t="s">
        <v>96</v>
      </c>
      <c r="AA179" s="2">
        <v>100.0</v>
      </c>
      <c r="AB179" s="1" t="s">
        <v>62</v>
      </c>
      <c r="AC179" s="1" t="s">
        <v>51</v>
      </c>
      <c r="AD179" s="1" t="s">
        <v>81</v>
      </c>
      <c r="AE179" s="1" t="s">
        <v>51</v>
      </c>
      <c r="AF179" s="1" t="s">
        <v>51</v>
      </c>
      <c r="AG179" s="1" t="s">
        <v>51</v>
      </c>
      <c r="AH179" s="2">
        <v>100.0</v>
      </c>
      <c r="AI179" s="2">
        <v>0.0</v>
      </c>
      <c r="AJ179" s="2">
        <v>0.0</v>
      </c>
      <c r="AK179" s="2">
        <v>0.0</v>
      </c>
      <c r="AL179" s="2">
        <v>1.0</v>
      </c>
      <c r="AM179" s="1" t="s">
        <v>51</v>
      </c>
      <c r="AN179" s="1" t="s">
        <v>306</v>
      </c>
      <c r="AP179" s="2">
        <v>4.90063325E8</v>
      </c>
      <c r="AQ179" s="1" t="s">
        <v>307</v>
      </c>
      <c r="AR179" s="2">
        <v>45808.58094907407</v>
      </c>
      <c r="AU179" s="1" t="s">
        <v>64</v>
      </c>
      <c r="AW179" s="1" t="s">
        <v>255</v>
      </c>
      <c r="AY179" s="2">
        <v>173.0</v>
      </c>
    </row>
    <row r="180">
      <c r="A180" s="1" t="s">
        <v>51</v>
      </c>
      <c r="C180" s="1" t="s">
        <v>131</v>
      </c>
      <c r="E180" s="1" t="s">
        <v>53</v>
      </c>
      <c r="F180" s="1" t="s">
        <v>54</v>
      </c>
      <c r="G180" s="2">
        <v>27.0</v>
      </c>
      <c r="H180" s="1" t="s">
        <v>55</v>
      </c>
      <c r="I180" s="1" t="s">
        <v>100</v>
      </c>
      <c r="J180" s="1" t="s">
        <v>111</v>
      </c>
      <c r="K180" s="1" t="s">
        <v>57</v>
      </c>
      <c r="M180" s="1" t="s">
        <v>58</v>
      </c>
      <c r="N180" s="1" t="s">
        <v>58</v>
      </c>
      <c r="O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1" t="s">
        <v>58</v>
      </c>
      <c r="X180" s="1" t="s">
        <v>81</v>
      </c>
      <c r="Y180" s="1" t="s">
        <v>172</v>
      </c>
      <c r="Z180" s="1" t="s">
        <v>89</v>
      </c>
      <c r="AA180" s="2">
        <v>30.0</v>
      </c>
      <c r="AB180" s="1" t="s">
        <v>28</v>
      </c>
      <c r="AC180" s="1" t="s">
        <v>71</v>
      </c>
      <c r="AF180" s="1" t="s">
        <v>51</v>
      </c>
      <c r="AG180" s="1" t="s">
        <v>51</v>
      </c>
      <c r="AI180" s="2">
        <v>0.0</v>
      </c>
      <c r="AJ180" s="2">
        <v>0.0</v>
      </c>
      <c r="AK180" s="2">
        <v>0.0</v>
      </c>
      <c r="AL180" s="2">
        <v>1.0</v>
      </c>
      <c r="AM180" s="1" t="s">
        <v>51</v>
      </c>
      <c r="AN180" s="2">
        <v>8.33947976E8</v>
      </c>
      <c r="AP180" s="2">
        <v>4.90064388E8</v>
      </c>
      <c r="AQ180" s="1" t="s">
        <v>308</v>
      </c>
      <c r="AR180" s="2">
        <v>45808.582141203704</v>
      </c>
      <c r="AU180" s="1" t="s">
        <v>64</v>
      </c>
      <c r="AW180" s="1" t="s">
        <v>255</v>
      </c>
      <c r="AY180" s="2">
        <v>174.0</v>
      </c>
    </row>
    <row r="181">
      <c r="A181" s="1" t="s">
        <v>51</v>
      </c>
      <c r="E181" s="1" t="s">
        <v>53</v>
      </c>
      <c r="F181" s="1" t="s">
        <v>54</v>
      </c>
      <c r="G181" s="2">
        <v>29.0</v>
      </c>
      <c r="H181" s="1" t="s">
        <v>66</v>
      </c>
      <c r="I181" s="1" t="s">
        <v>67</v>
      </c>
      <c r="J181" s="1" t="s">
        <v>56</v>
      </c>
      <c r="K181" s="1" t="s">
        <v>57</v>
      </c>
      <c r="M181" s="1" t="s">
        <v>58</v>
      </c>
      <c r="N181" s="1" t="s">
        <v>58</v>
      </c>
      <c r="O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 t="s">
        <v>58</v>
      </c>
      <c r="X181" s="1" t="s">
        <v>81</v>
      </c>
      <c r="Y181" s="1" t="s">
        <v>172</v>
      </c>
      <c r="Z181" s="1" t="s">
        <v>96</v>
      </c>
      <c r="AA181" s="2">
        <v>50.0</v>
      </c>
      <c r="AB181" s="1" t="s">
        <v>28</v>
      </c>
      <c r="AC181" s="1" t="s">
        <v>71</v>
      </c>
      <c r="AF181" s="1" t="s">
        <v>51</v>
      </c>
      <c r="AG181" s="1" t="s">
        <v>51</v>
      </c>
      <c r="AI181" s="2">
        <v>1.0</v>
      </c>
      <c r="AJ181" s="2">
        <v>0.0</v>
      </c>
      <c r="AK181" s="2">
        <v>0.0</v>
      </c>
      <c r="AL181" s="2">
        <v>0.0</v>
      </c>
      <c r="AM181" s="1" t="s">
        <v>51</v>
      </c>
      <c r="AN181" s="2">
        <v>7.98581807E8</v>
      </c>
      <c r="AP181" s="2">
        <v>4.90065965E8</v>
      </c>
      <c r="AQ181" s="1" t="s">
        <v>309</v>
      </c>
      <c r="AR181" s="2">
        <v>45808.58390046296</v>
      </c>
      <c r="AU181" s="1" t="s">
        <v>64</v>
      </c>
      <c r="AW181" s="1" t="s">
        <v>255</v>
      </c>
      <c r="AY181" s="2">
        <v>175.0</v>
      </c>
    </row>
    <row r="182">
      <c r="A182" s="1" t="s">
        <v>51</v>
      </c>
      <c r="C182" s="1" t="s">
        <v>131</v>
      </c>
      <c r="E182" s="1" t="s">
        <v>53</v>
      </c>
      <c r="F182" s="1" t="s">
        <v>54</v>
      </c>
      <c r="G182" s="2">
        <v>30.0</v>
      </c>
      <c r="H182" s="1" t="s">
        <v>55</v>
      </c>
      <c r="I182" s="1" t="s">
        <v>100</v>
      </c>
      <c r="J182" s="1" t="s">
        <v>56</v>
      </c>
      <c r="K182" s="1" t="s">
        <v>57</v>
      </c>
      <c r="M182" s="1" t="s">
        <v>58</v>
      </c>
      <c r="N182" s="1" t="s">
        <v>58</v>
      </c>
      <c r="O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 t="s">
        <v>58</v>
      </c>
      <c r="X182" s="1" t="s">
        <v>81</v>
      </c>
      <c r="Y182" s="1" t="s">
        <v>82</v>
      </c>
      <c r="Z182" s="1" t="s">
        <v>89</v>
      </c>
      <c r="AA182" s="2">
        <v>20.0</v>
      </c>
      <c r="AB182" s="1" t="s">
        <v>28</v>
      </c>
      <c r="AC182" s="1" t="s">
        <v>71</v>
      </c>
      <c r="AF182" s="1" t="s">
        <v>51</v>
      </c>
      <c r="AG182" s="1" t="s">
        <v>51</v>
      </c>
      <c r="AI182" s="2">
        <v>1.0</v>
      </c>
      <c r="AJ182" s="2">
        <v>0.0</v>
      </c>
      <c r="AK182" s="2">
        <v>0.0</v>
      </c>
      <c r="AL182" s="2">
        <v>0.0</v>
      </c>
      <c r="AM182" s="1" t="s">
        <v>51</v>
      </c>
      <c r="AN182" s="2">
        <v>6.81216241E8</v>
      </c>
      <c r="AP182" s="2">
        <v>4.90067473E8</v>
      </c>
      <c r="AQ182" s="1" t="s">
        <v>310</v>
      </c>
      <c r="AR182" s="2">
        <v>45808.58574074074</v>
      </c>
      <c r="AU182" s="1" t="s">
        <v>64</v>
      </c>
      <c r="AW182" s="1" t="s">
        <v>255</v>
      </c>
      <c r="AY182" s="2">
        <v>176.0</v>
      </c>
    </row>
    <row r="183">
      <c r="A183" s="1" t="s">
        <v>51</v>
      </c>
      <c r="C183" s="1" t="s">
        <v>131</v>
      </c>
      <c r="E183" s="1" t="s">
        <v>53</v>
      </c>
      <c r="F183" s="1" t="s">
        <v>54</v>
      </c>
      <c r="G183" s="2">
        <v>32.0</v>
      </c>
      <c r="H183" s="1" t="s">
        <v>55</v>
      </c>
      <c r="J183" s="1" t="s">
        <v>111</v>
      </c>
      <c r="K183" s="1" t="s">
        <v>74</v>
      </c>
      <c r="M183" s="1" t="s">
        <v>58</v>
      </c>
      <c r="N183" s="1" t="s">
        <v>58</v>
      </c>
      <c r="O183" s="1" t="s">
        <v>58</v>
      </c>
      <c r="Q183" s="1" t="s">
        <v>58</v>
      </c>
      <c r="R183" s="1" t="s">
        <v>58</v>
      </c>
      <c r="S183" s="1" t="s">
        <v>58</v>
      </c>
      <c r="T183" s="1" t="s">
        <v>58</v>
      </c>
      <c r="U183" s="1" t="s">
        <v>58</v>
      </c>
      <c r="V183" s="1" t="s">
        <v>58</v>
      </c>
      <c r="W183" s="1" t="s">
        <v>58</v>
      </c>
      <c r="X183" s="1" t="s">
        <v>81</v>
      </c>
      <c r="Y183" s="1" t="s">
        <v>82</v>
      </c>
      <c r="Z183" s="1" t="s">
        <v>108</v>
      </c>
      <c r="AA183" s="2">
        <v>20.0</v>
      </c>
      <c r="AB183" s="1" t="s">
        <v>28</v>
      </c>
      <c r="AC183" s="1" t="s">
        <v>71</v>
      </c>
      <c r="AF183" s="1" t="s">
        <v>51</v>
      </c>
      <c r="AG183" s="1" t="s">
        <v>51</v>
      </c>
      <c r="AI183" s="2">
        <v>1.0</v>
      </c>
      <c r="AJ183" s="2">
        <v>0.0</v>
      </c>
      <c r="AK183" s="2">
        <v>0.0</v>
      </c>
      <c r="AL183" s="2">
        <v>0.0</v>
      </c>
      <c r="AM183" s="1" t="s">
        <v>51</v>
      </c>
      <c r="AN183" s="2">
        <v>7.84739697E8</v>
      </c>
      <c r="AP183" s="2">
        <v>4.9006882E8</v>
      </c>
      <c r="AQ183" s="1" t="s">
        <v>311</v>
      </c>
      <c r="AR183" s="2">
        <v>45808.587164351855</v>
      </c>
      <c r="AU183" s="1" t="s">
        <v>64</v>
      </c>
      <c r="AW183" s="1" t="s">
        <v>255</v>
      </c>
      <c r="AY183" s="2">
        <v>177.0</v>
      </c>
    </row>
    <row r="184">
      <c r="A184" s="1" t="s">
        <v>51</v>
      </c>
      <c r="C184" s="1" t="s">
        <v>131</v>
      </c>
      <c r="E184" s="1" t="s">
        <v>53</v>
      </c>
      <c r="F184" s="1" t="s">
        <v>54</v>
      </c>
      <c r="G184" s="2">
        <v>29.0</v>
      </c>
      <c r="H184" s="1" t="s">
        <v>66</v>
      </c>
      <c r="I184" s="1" t="s">
        <v>67</v>
      </c>
      <c r="J184" s="1" t="s">
        <v>68</v>
      </c>
      <c r="K184" s="1" t="s">
        <v>74</v>
      </c>
      <c r="M184" s="1" t="s">
        <v>58</v>
      </c>
      <c r="N184" s="1" t="s">
        <v>58</v>
      </c>
      <c r="O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1" t="s">
        <v>81</v>
      </c>
      <c r="Y184" s="1" t="s">
        <v>172</v>
      </c>
      <c r="Z184" s="1" t="s">
        <v>96</v>
      </c>
      <c r="AA184" s="2">
        <v>50.0</v>
      </c>
      <c r="AB184" s="1" t="s">
        <v>62</v>
      </c>
      <c r="AC184" s="1" t="s">
        <v>51</v>
      </c>
      <c r="AD184" s="1" t="s">
        <v>81</v>
      </c>
      <c r="AE184" s="1" t="s">
        <v>51</v>
      </c>
      <c r="AF184" s="1" t="s">
        <v>51</v>
      </c>
      <c r="AG184" s="1" t="s">
        <v>51</v>
      </c>
      <c r="AI184" s="2">
        <v>1.0</v>
      </c>
      <c r="AJ184" s="2">
        <v>0.0</v>
      </c>
      <c r="AK184" s="2">
        <v>0.0</v>
      </c>
      <c r="AL184" s="2">
        <v>0.0</v>
      </c>
      <c r="AM184" s="1" t="s">
        <v>51</v>
      </c>
      <c r="AN184" s="2">
        <v>8.12338828E8</v>
      </c>
      <c r="AP184" s="2">
        <v>4.90071211E8</v>
      </c>
      <c r="AQ184" s="1" t="s">
        <v>312</v>
      </c>
      <c r="AR184" s="2">
        <v>45808.58969907407</v>
      </c>
      <c r="AU184" s="1" t="s">
        <v>64</v>
      </c>
      <c r="AW184" s="1" t="s">
        <v>255</v>
      </c>
      <c r="AY184" s="2">
        <v>178.0</v>
      </c>
    </row>
    <row r="185">
      <c r="A185" s="1" t="s">
        <v>51</v>
      </c>
      <c r="C185" s="1" t="s">
        <v>131</v>
      </c>
      <c r="E185" s="1" t="s">
        <v>53</v>
      </c>
      <c r="F185" s="1" t="s">
        <v>54</v>
      </c>
      <c r="G185" s="2">
        <v>31.0</v>
      </c>
      <c r="H185" s="1" t="s">
        <v>55</v>
      </c>
      <c r="I185" s="1" t="s">
        <v>100</v>
      </c>
      <c r="J185" s="1" t="s">
        <v>68</v>
      </c>
      <c r="K185" s="1" t="s">
        <v>74</v>
      </c>
      <c r="M185" s="1" t="s">
        <v>58</v>
      </c>
      <c r="N185" s="1" t="s">
        <v>58</v>
      </c>
      <c r="O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1" t="s">
        <v>81</v>
      </c>
      <c r="Y185" s="1" t="s">
        <v>82</v>
      </c>
      <c r="Z185" s="1" t="s">
        <v>96</v>
      </c>
      <c r="AA185" s="2">
        <v>100.0</v>
      </c>
      <c r="AB185" s="1" t="s">
        <v>62</v>
      </c>
      <c r="AC185" s="1" t="s">
        <v>71</v>
      </c>
      <c r="AF185" s="1" t="s">
        <v>51</v>
      </c>
      <c r="AG185" s="1" t="s">
        <v>51</v>
      </c>
      <c r="AH185" s="2">
        <v>7.26534262E8</v>
      </c>
      <c r="AI185" s="2">
        <v>1.0</v>
      </c>
      <c r="AJ185" s="2">
        <v>0.0</v>
      </c>
      <c r="AK185" s="2">
        <v>0.0</v>
      </c>
      <c r="AL185" s="2">
        <v>0.0</v>
      </c>
      <c r="AM185" s="1" t="s">
        <v>51</v>
      </c>
      <c r="AN185" s="2">
        <v>6.82234632E8</v>
      </c>
      <c r="AP185" s="2">
        <v>4.9007346E8</v>
      </c>
      <c r="AQ185" s="1" t="s">
        <v>313</v>
      </c>
      <c r="AR185" s="2">
        <v>45808.59204861111</v>
      </c>
      <c r="AU185" s="1" t="s">
        <v>64</v>
      </c>
      <c r="AW185" s="1" t="s">
        <v>255</v>
      </c>
      <c r="AY185" s="2">
        <v>179.0</v>
      </c>
    </row>
    <row r="186">
      <c r="A186" s="1" t="s">
        <v>51</v>
      </c>
      <c r="C186" s="1" t="s">
        <v>131</v>
      </c>
      <c r="E186" s="1" t="s">
        <v>53</v>
      </c>
      <c r="F186" s="1" t="s">
        <v>54</v>
      </c>
      <c r="G186" s="2">
        <v>30.0</v>
      </c>
      <c r="H186" s="1" t="s">
        <v>55</v>
      </c>
      <c r="I186" s="1" t="s">
        <v>100</v>
      </c>
      <c r="K186" s="1" t="s">
        <v>74</v>
      </c>
      <c r="M186" s="1" t="s">
        <v>58</v>
      </c>
      <c r="N186" s="1" t="s">
        <v>58</v>
      </c>
      <c r="O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81</v>
      </c>
      <c r="Y186" s="1" t="s">
        <v>172</v>
      </c>
      <c r="Z186" s="1" t="s">
        <v>96</v>
      </c>
      <c r="AA186" s="2">
        <v>100.0</v>
      </c>
      <c r="AB186" s="1" t="s">
        <v>28</v>
      </c>
      <c r="AC186" s="1" t="s">
        <v>71</v>
      </c>
      <c r="AF186" s="1" t="s">
        <v>51</v>
      </c>
      <c r="AG186" s="1" t="s">
        <v>51</v>
      </c>
      <c r="AH186" s="2">
        <v>300.0</v>
      </c>
      <c r="AI186" s="2">
        <v>1.0</v>
      </c>
      <c r="AJ186" s="2">
        <v>0.0</v>
      </c>
      <c r="AK186" s="2">
        <v>0.0</v>
      </c>
      <c r="AL186" s="2">
        <v>0.0</v>
      </c>
      <c r="AM186" s="1" t="s">
        <v>51</v>
      </c>
      <c r="AN186" s="2">
        <v>6.71652514E8</v>
      </c>
      <c r="AP186" s="2">
        <v>4.90075045E8</v>
      </c>
      <c r="AQ186" s="1" t="s">
        <v>314</v>
      </c>
      <c r="AR186" s="2">
        <v>45808.593680555554</v>
      </c>
      <c r="AU186" s="1" t="s">
        <v>64</v>
      </c>
      <c r="AW186" s="1" t="s">
        <v>255</v>
      </c>
      <c r="AY186" s="2">
        <v>180.0</v>
      </c>
    </row>
    <row r="187">
      <c r="A187" s="1" t="s">
        <v>51</v>
      </c>
      <c r="C187" s="1" t="s">
        <v>53</v>
      </c>
      <c r="E187" s="1" t="s">
        <v>53</v>
      </c>
      <c r="F187" s="1" t="s">
        <v>54</v>
      </c>
      <c r="G187" s="2">
        <v>25.0</v>
      </c>
      <c r="H187" s="1" t="s">
        <v>55</v>
      </c>
      <c r="I187" s="1" t="s">
        <v>100</v>
      </c>
      <c r="J187" s="1" t="s">
        <v>68</v>
      </c>
      <c r="K187" s="1" t="s">
        <v>57</v>
      </c>
      <c r="M187" s="1" t="s">
        <v>58</v>
      </c>
      <c r="N187" s="1" t="s">
        <v>58</v>
      </c>
      <c r="O187" s="1" t="s">
        <v>70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81</v>
      </c>
      <c r="Y187" s="1" t="s">
        <v>172</v>
      </c>
      <c r="Z187" s="1" t="s">
        <v>89</v>
      </c>
      <c r="AA187" s="2">
        <v>30.0</v>
      </c>
      <c r="AB187" s="1" t="s">
        <v>62</v>
      </c>
      <c r="AC187" s="1" t="s">
        <v>71</v>
      </c>
      <c r="AM187" s="1" t="s">
        <v>51</v>
      </c>
      <c r="AN187" s="2">
        <v>6.58674749E8</v>
      </c>
      <c r="AP187" s="2">
        <v>4.90082004E8</v>
      </c>
      <c r="AQ187" s="1" t="s">
        <v>315</v>
      </c>
      <c r="AR187" s="2">
        <v>45808.60283564815</v>
      </c>
      <c r="AU187" s="1" t="s">
        <v>64</v>
      </c>
      <c r="AW187" s="1" t="s">
        <v>255</v>
      </c>
      <c r="AY187" s="2">
        <v>181.0</v>
      </c>
    </row>
    <row r="188">
      <c r="A188" s="1" t="s">
        <v>51</v>
      </c>
      <c r="C188" s="1" t="s">
        <v>131</v>
      </c>
      <c r="E188" s="1" t="s">
        <v>53</v>
      </c>
      <c r="F188" s="1" t="s">
        <v>54</v>
      </c>
      <c r="G188" s="2">
        <v>26.0</v>
      </c>
      <c r="H188" s="1" t="s">
        <v>55</v>
      </c>
      <c r="I188" s="1" t="s">
        <v>100</v>
      </c>
      <c r="J188" s="1" t="s">
        <v>111</v>
      </c>
      <c r="K188" s="1" t="s">
        <v>57</v>
      </c>
      <c r="M188" s="1" t="s">
        <v>58</v>
      </c>
      <c r="N188" s="1" t="s">
        <v>58</v>
      </c>
      <c r="O188" s="1" t="s">
        <v>58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  <c r="W188" s="1" t="s">
        <v>58</v>
      </c>
      <c r="X188" s="1" t="s">
        <v>81</v>
      </c>
      <c r="Y188" s="1" t="s">
        <v>172</v>
      </c>
      <c r="Z188" s="1" t="s">
        <v>108</v>
      </c>
      <c r="AA188" s="2">
        <v>40.0</v>
      </c>
      <c r="AB188" s="1" t="s">
        <v>62</v>
      </c>
      <c r="AC188" s="1" t="s">
        <v>72</v>
      </c>
      <c r="AF188" s="1" t="s">
        <v>51</v>
      </c>
      <c r="AG188" s="1" t="s">
        <v>51</v>
      </c>
      <c r="AH188" s="2">
        <v>350.0</v>
      </c>
      <c r="AI188" s="2">
        <v>1.0</v>
      </c>
      <c r="AJ188" s="2">
        <v>0.0</v>
      </c>
      <c r="AK188" s="2">
        <v>0.0</v>
      </c>
      <c r="AL188" s="2">
        <v>0.0</v>
      </c>
      <c r="AM188" s="1" t="s">
        <v>51</v>
      </c>
      <c r="AN188" s="2">
        <v>7.27923016E8</v>
      </c>
      <c r="AP188" s="2">
        <v>4.90091445E8</v>
      </c>
      <c r="AQ188" s="1" t="s">
        <v>316</v>
      </c>
      <c r="AR188" s="2">
        <v>45808.61429398148</v>
      </c>
      <c r="AU188" s="1" t="s">
        <v>64</v>
      </c>
      <c r="AW188" s="1" t="s">
        <v>255</v>
      </c>
      <c r="AY188" s="2">
        <v>182.0</v>
      </c>
    </row>
    <row r="189">
      <c r="A189" s="1" t="s">
        <v>51</v>
      </c>
      <c r="C189" s="1" t="s">
        <v>131</v>
      </c>
      <c r="E189" s="1" t="s">
        <v>53</v>
      </c>
      <c r="F189" s="1" t="s">
        <v>54</v>
      </c>
      <c r="G189" s="2">
        <v>36.0</v>
      </c>
      <c r="H189" s="1" t="s">
        <v>55</v>
      </c>
      <c r="I189" s="1" t="s">
        <v>100</v>
      </c>
      <c r="J189" s="1" t="s">
        <v>111</v>
      </c>
      <c r="K189" s="1" t="s">
        <v>57</v>
      </c>
      <c r="M189" s="1" t="s">
        <v>58</v>
      </c>
      <c r="N189" s="1" t="s">
        <v>58</v>
      </c>
      <c r="O189" s="1" t="s">
        <v>70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70</v>
      </c>
      <c r="W189" s="1" t="s">
        <v>58</v>
      </c>
      <c r="X189" s="1" t="s">
        <v>81</v>
      </c>
      <c r="Y189" s="1" t="s">
        <v>82</v>
      </c>
      <c r="Z189" s="1" t="s">
        <v>96</v>
      </c>
      <c r="AA189" s="2">
        <v>100.0</v>
      </c>
      <c r="AB189" s="1" t="s">
        <v>79</v>
      </c>
      <c r="AC189" s="1" t="s">
        <v>51</v>
      </c>
      <c r="AD189" s="1" t="s">
        <v>81</v>
      </c>
      <c r="AE189" s="1" t="s">
        <v>51</v>
      </c>
      <c r="AF189" s="1" t="s">
        <v>51</v>
      </c>
      <c r="AG189" s="1" t="s">
        <v>51</v>
      </c>
      <c r="AI189" s="2">
        <v>1.0</v>
      </c>
      <c r="AJ189" s="2">
        <v>0.0</v>
      </c>
      <c r="AK189" s="2">
        <v>0.0</v>
      </c>
      <c r="AL189" s="2">
        <v>0.0</v>
      </c>
      <c r="AM189" s="1" t="s">
        <v>51</v>
      </c>
      <c r="AN189" s="2">
        <v>6.99134499E8</v>
      </c>
      <c r="AP189" s="2">
        <v>4.90093111E8</v>
      </c>
      <c r="AQ189" s="1" t="s">
        <v>317</v>
      </c>
      <c r="AR189" s="2">
        <v>45808.616261574076</v>
      </c>
      <c r="AU189" s="1" t="s">
        <v>64</v>
      </c>
      <c r="AW189" s="1" t="s">
        <v>255</v>
      </c>
      <c r="AY189" s="2">
        <v>183.0</v>
      </c>
    </row>
    <row r="190">
      <c r="A190" s="1" t="s">
        <v>51</v>
      </c>
      <c r="C190" s="1" t="s">
        <v>131</v>
      </c>
      <c r="E190" s="1" t="s">
        <v>53</v>
      </c>
      <c r="F190" s="1" t="s">
        <v>54</v>
      </c>
      <c r="G190" s="2">
        <v>24.0</v>
      </c>
      <c r="H190" s="1" t="s">
        <v>55</v>
      </c>
      <c r="I190" s="1" t="s">
        <v>100</v>
      </c>
      <c r="J190" s="1" t="s">
        <v>68</v>
      </c>
      <c r="K190" s="1" t="s">
        <v>57</v>
      </c>
      <c r="M190" s="1" t="s">
        <v>58</v>
      </c>
      <c r="N190" s="1" t="s">
        <v>58</v>
      </c>
      <c r="O190" s="1" t="s">
        <v>58</v>
      </c>
      <c r="Q190" s="1" t="s">
        <v>58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81</v>
      </c>
      <c r="Y190" s="1" t="s">
        <v>60</v>
      </c>
      <c r="Z190" s="1" t="s">
        <v>96</v>
      </c>
      <c r="AA190" s="2">
        <v>50.0</v>
      </c>
      <c r="AB190" s="1" t="s">
        <v>62</v>
      </c>
      <c r="AC190" s="1" t="s">
        <v>71</v>
      </c>
      <c r="AF190" s="1" t="s">
        <v>51</v>
      </c>
      <c r="AG190" s="1" t="s">
        <v>51</v>
      </c>
      <c r="AH190" s="2">
        <v>400.0</v>
      </c>
      <c r="AI190" s="2">
        <v>1.0</v>
      </c>
      <c r="AJ190" s="2">
        <v>0.0</v>
      </c>
      <c r="AK190" s="2">
        <v>0.0</v>
      </c>
      <c r="AL190" s="2">
        <v>0.0</v>
      </c>
      <c r="AM190" s="1" t="s">
        <v>51</v>
      </c>
      <c r="AN190" s="2">
        <v>8.13580094E8</v>
      </c>
      <c r="AP190" s="2">
        <v>4.90094558E8</v>
      </c>
      <c r="AQ190" s="1" t="s">
        <v>318</v>
      </c>
      <c r="AR190" s="2">
        <v>45808.618101851855</v>
      </c>
      <c r="AU190" s="1" t="s">
        <v>64</v>
      </c>
      <c r="AW190" s="1" t="s">
        <v>255</v>
      </c>
      <c r="AY190" s="2">
        <v>184.0</v>
      </c>
    </row>
    <row r="191">
      <c r="A191" s="1" t="s">
        <v>51</v>
      </c>
      <c r="C191" s="1" t="s">
        <v>131</v>
      </c>
      <c r="E191" s="1" t="s">
        <v>53</v>
      </c>
      <c r="F191" s="1" t="s">
        <v>54</v>
      </c>
      <c r="G191" s="2">
        <v>23.0</v>
      </c>
      <c r="H191" s="1" t="s">
        <v>55</v>
      </c>
      <c r="I191" s="1" t="s">
        <v>100</v>
      </c>
      <c r="J191" s="1" t="s">
        <v>68</v>
      </c>
      <c r="K191" s="1" t="s">
        <v>74</v>
      </c>
      <c r="M191" s="1" t="s">
        <v>58</v>
      </c>
      <c r="N191" s="1" t="s">
        <v>58</v>
      </c>
      <c r="O191" s="1" t="s">
        <v>70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81</v>
      </c>
      <c r="Y191" s="1" t="s">
        <v>172</v>
      </c>
      <c r="Z191" s="1" t="s">
        <v>127</v>
      </c>
      <c r="AA191" s="2">
        <v>50.0</v>
      </c>
      <c r="AB191" s="1" t="s">
        <v>79</v>
      </c>
      <c r="AC191" s="1" t="s">
        <v>71</v>
      </c>
      <c r="AF191" s="1" t="s">
        <v>51</v>
      </c>
      <c r="AG191" s="1" t="s">
        <v>51</v>
      </c>
      <c r="AH191" s="2">
        <v>300.0</v>
      </c>
      <c r="AI191" s="2">
        <v>1.0</v>
      </c>
      <c r="AJ191" s="2">
        <v>0.0</v>
      </c>
      <c r="AK191" s="2">
        <v>0.0</v>
      </c>
      <c r="AL191" s="2">
        <v>0.0</v>
      </c>
      <c r="AM191" s="1" t="s">
        <v>51</v>
      </c>
      <c r="AN191" s="2">
        <v>8.10851251E8</v>
      </c>
      <c r="AP191" s="2">
        <v>4.90099662E8</v>
      </c>
      <c r="AQ191" s="1" t="s">
        <v>319</v>
      </c>
      <c r="AR191" s="2">
        <v>45808.624085648145</v>
      </c>
      <c r="AU191" s="1" t="s">
        <v>64</v>
      </c>
      <c r="AW191" s="1" t="s">
        <v>255</v>
      </c>
      <c r="AY191" s="2">
        <v>185.0</v>
      </c>
    </row>
    <row r="192">
      <c r="A192" s="1" t="s">
        <v>51</v>
      </c>
      <c r="C192" s="1" t="s">
        <v>131</v>
      </c>
      <c r="E192" s="1" t="s">
        <v>53</v>
      </c>
      <c r="F192" s="1" t="s">
        <v>54</v>
      </c>
      <c r="G192" s="2">
        <v>34.0</v>
      </c>
      <c r="H192" s="1" t="s">
        <v>55</v>
      </c>
      <c r="I192" s="1" t="s">
        <v>100</v>
      </c>
      <c r="J192" s="1" t="s">
        <v>68</v>
      </c>
      <c r="K192" s="1" t="s">
        <v>74</v>
      </c>
      <c r="M192" s="1" t="s">
        <v>58</v>
      </c>
      <c r="N192" s="1" t="s">
        <v>58</v>
      </c>
      <c r="O192" s="1" t="s">
        <v>58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58</v>
      </c>
      <c r="W192" s="1" t="s">
        <v>58</v>
      </c>
      <c r="X192" s="1" t="s">
        <v>81</v>
      </c>
      <c r="Y192" s="1" t="s">
        <v>172</v>
      </c>
      <c r="Z192" s="1" t="s">
        <v>127</v>
      </c>
      <c r="AA192" s="2">
        <v>50.0</v>
      </c>
      <c r="AB192" s="1" t="s">
        <v>79</v>
      </c>
      <c r="AC192" s="1" t="s">
        <v>71</v>
      </c>
      <c r="AF192" s="1" t="s">
        <v>51</v>
      </c>
      <c r="AG192" s="1" t="s">
        <v>51</v>
      </c>
      <c r="AH192" s="2">
        <v>200.0</v>
      </c>
      <c r="AI192" s="2">
        <v>1.0</v>
      </c>
      <c r="AJ192" s="2">
        <v>0.0</v>
      </c>
      <c r="AK192" s="2">
        <v>0.0</v>
      </c>
      <c r="AL192" s="2">
        <v>0.0</v>
      </c>
      <c r="AM192" s="1" t="s">
        <v>51</v>
      </c>
      <c r="AN192" s="2">
        <v>8.10851251E8</v>
      </c>
      <c r="AP192" s="2">
        <v>4.9010102E8</v>
      </c>
      <c r="AQ192" s="1" t="s">
        <v>320</v>
      </c>
      <c r="AR192" s="2">
        <v>45808.62568287037</v>
      </c>
      <c r="AU192" s="1" t="s">
        <v>64</v>
      </c>
      <c r="AW192" s="1" t="s">
        <v>255</v>
      </c>
      <c r="AY192" s="2">
        <v>186.0</v>
      </c>
    </row>
    <row r="193">
      <c r="A193" s="1" t="s">
        <v>51</v>
      </c>
      <c r="C193" s="1" t="s">
        <v>52</v>
      </c>
      <c r="E193" s="1" t="s">
        <v>53</v>
      </c>
      <c r="F193" s="1" t="s">
        <v>54</v>
      </c>
      <c r="G193" s="2">
        <v>43.0</v>
      </c>
      <c r="H193" s="1" t="s">
        <v>66</v>
      </c>
      <c r="I193" s="1" t="s">
        <v>67</v>
      </c>
      <c r="J193" s="1" t="s">
        <v>111</v>
      </c>
      <c r="K193" s="1" t="s">
        <v>74</v>
      </c>
      <c r="M193" s="1" t="s">
        <v>58</v>
      </c>
      <c r="N193" s="1" t="s">
        <v>58</v>
      </c>
      <c r="O193" s="1" t="s">
        <v>69</v>
      </c>
      <c r="Q193" s="1" t="s">
        <v>58</v>
      </c>
      <c r="R193" s="1" t="s">
        <v>58</v>
      </c>
      <c r="S193" s="1" t="s">
        <v>69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88</v>
      </c>
      <c r="Y193" s="1" t="s">
        <v>60</v>
      </c>
      <c r="Z193" s="1" t="s">
        <v>89</v>
      </c>
      <c r="AA193" s="2">
        <v>30.0</v>
      </c>
      <c r="AB193" s="1" t="s">
        <v>79</v>
      </c>
      <c r="AC193" s="1" t="s">
        <v>71</v>
      </c>
      <c r="AF193" s="1" t="s">
        <v>51</v>
      </c>
      <c r="AG193" s="1" t="s">
        <v>51</v>
      </c>
      <c r="AH193" s="2">
        <v>7000.0</v>
      </c>
      <c r="AI193" s="2">
        <v>1.0</v>
      </c>
      <c r="AJ193" s="2">
        <v>1.0</v>
      </c>
      <c r="AK193" s="2">
        <v>1.0</v>
      </c>
      <c r="AL193" s="2">
        <v>0.0</v>
      </c>
      <c r="AM193" s="1" t="s">
        <v>51</v>
      </c>
      <c r="AN193" s="2">
        <v>6.18065596E8</v>
      </c>
      <c r="AP193" s="2">
        <v>4.90101083E8</v>
      </c>
      <c r="AQ193" s="1" t="s">
        <v>321</v>
      </c>
      <c r="AR193" s="2">
        <v>45808.625763888886</v>
      </c>
      <c r="AU193" s="1" t="s">
        <v>64</v>
      </c>
      <c r="AW193" s="1" t="s">
        <v>255</v>
      </c>
      <c r="AY193" s="2">
        <v>187.0</v>
      </c>
    </row>
    <row r="194">
      <c r="A194" s="1" t="s">
        <v>51</v>
      </c>
      <c r="C194" s="1" t="s">
        <v>131</v>
      </c>
      <c r="E194" s="1" t="s">
        <v>53</v>
      </c>
      <c r="F194" s="1" t="s">
        <v>54</v>
      </c>
      <c r="G194" s="2">
        <v>23.0</v>
      </c>
      <c r="H194" s="1" t="s">
        <v>55</v>
      </c>
      <c r="I194" s="1" t="s">
        <v>100</v>
      </c>
      <c r="J194" s="1" t="s">
        <v>68</v>
      </c>
      <c r="K194" s="1" t="s">
        <v>57</v>
      </c>
      <c r="M194" s="1" t="s">
        <v>58</v>
      </c>
      <c r="N194" s="1" t="s">
        <v>58</v>
      </c>
      <c r="O194" s="1" t="s">
        <v>58</v>
      </c>
      <c r="Q194" s="1" t="s">
        <v>58</v>
      </c>
      <c r="R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81</v>
      </c>
      <c r="Y194" s="1" t="s">
        <v>172</v>
      </c>
      <c r="Z194" s="1" t="s">
        <v>96</v>
      </c>
      <c r="AA194" s="2">
        <v>50.0</v>
      </c>
      <c r="AB194" s="1" t="s">
        <v>62</v>
      </c>
      <c r="AC194" s="1" t="s">
        <v>71</v>
      </c>
      <c r="AF194" s="1" t="s">
        <v>51</v>
      </c>
      <c r="AG194" s="1" t="s">
        <v>72</v>
      </c>
      <c r="AI194" s="2">
        <v>0.0</v>
      </c>
      <c r="AJ194" s="2">
        <v>0.0</v>
      </c>
      <c r="AK194" s="2">
        <v>1.0</v>
      </c>
      <c r="AL194" s="2">
        <v>0.0</v>
      </c>
      <c r="AP194" s="2">
        <v>4.90102926E8</v>
      </c>
      <c r="AQ194" s="1" t="s">
        <v>322</v>
      </c>
      <c r="AR194" s="2">
        <v>45808.62768518519</v>
      </c>
      <c r="AU194" s="1" t="s">
        <v>64</v>
      </c>
      <c r="AW194" s="1" t="s">
        <v>255</v>
      </c>
      <c r="AY194" s="2">
        <v>188.0</v>
      </c>
    </row>
    <row r="195">
      <c r="A195" s="1" t="s">
        <v>51</v>
      </c>
      <c r="C195" s="1" t="s">
        <v>131</v>
      </c>
      <c r="E195" s="1" t="s">
        <v>53</v>
      </c>
      <c r="F195" s="1" t="s">
        <v>54</v>
      </c>
      <c r="G195" s="2">
        <v>34.0</v>
      </c>
      <c r="H195" s="1" t="s">
        <v>55</v>
      </c>
      <c r="I195" s="1" t="s">
        <v>100</v>
      </c>
      <c r="J195" s="1" t="s">
        <v>68</v>
      </c>
      <c r="K195" s="1" t="s">
        <v>57</v>
      </c>
      <c r="M195" s="1" t="s">
        <v>58</v>
      </c>
      <c r="N195" s="1" t="s">
        <v>58</v>
      </c>
      <c r="O195" s="1" t="s">
        <v>58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 t="s">
        <v>58</v>
      </c>
      <c r="X195" s="1" t="s">
        <v>81</v>
      </c>
      <c r="Y195" s="1" t="s">
        <v>172</v>
      </c>
      <c r="Z195" s="1" t="s">
        <v>96</v>
      </c>
      <c r="AA195" s="2">
        <v>100.0</v>
      </c>
      <c r="AB195" s="1" t="s">
        <v>62</v>
      </c>
      <c r="AC195" s="1" t="s">
        <v>71</v>
      </c>
      <c r="AF195" s="1" t="s">
        <v>51</v>
      </c>
      <c r="AG195" s="1" t="s">
        <v>51</v>
      </c>
      <c r="AH195" s="2">
        <v>300.0</v>
      </c>
      <c r="AI195" s="2">
        <v>1.0</v>
      </c>
      <c r="AJ195" s="2">
        <v>0.0</v>
      </c>
      <c r="AK195" s="2">
        <v>0.0</v>
      </c>
      <c r="AL195" s="2">
        <v>0.0</v>
      </c>
      <c r="AM195" s="1" t="s">
        <v>51</v>
      </c>
      <c r="AN195" s="2">
        <v>6.37907157E8</v>
      </c>
      <c r="AP195" s="2">
        <v>4.90106648E8</v>
      </c>
      <c r="AQ195" s="1" t="s">
        <v>323</v>
      </c>
      <c r="AR195" s="2">
        <v>45808.63197916667</v>
      </c>
      <c r="AU195" s="1" t="s">
        <v>64</v>
      </c>
      <c r="AW195" s="1" t="s">
        <v>255</v>
      </c>
      <c r="AY195" s="2">
        <v>189.0</v>
      </c>
    </row>
    <row r="196">
      <c r="A196" s="1" t="s">
        <v>51</v>
      </c>
      <c r="C196" s="1" t="s">
        <v>131</v>
      </c>
      <c r="E196" s="1" t="s">
        <v>53</v>
      </c>
      <c r="F196" s="1" t="s">
        <v>54</v>
      </c>
      <c r="G196" s="2">
        <v>34.0</v>
      </c>
      <c r="H196" s="1" t="s">
        <v>55</v>
      </c>
      <c r="I196" s="1" t="s">
        <v>67</v>
      </c>
      <c r="J196" s="1" t="s">
        <v>68</v>
      </c>
      <c r="K196" s="1" t="s">
        <v>57</v>
      </c>
      <c r="M196" s="1" t="s">
        <v>58</v>
      </c>
      <c r="N196" s="1" t="s">
        <v>58</v>
      </c>
      <c r="O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81</v>
      </c>
      <c r="Y196" s="1" t="s">
        <v>172</v>
      </c>
      <c r="Z196" s="1" t="s">
        <v>96</v>
      </c>
      <c r="AA196" s="2">
        <v>50.0</v>
      </c>
      <c r="AB196" s="1" t="s">
        <v>28</v>
      </c>
      <c r="AC196" s="1" t="s">
        <v>71</v>
      </c>
      <c r="AF196" s="1" t="s">
        <v>51</v>
      </c>
      <c r="AG196" s="1" t="s">
        <v>51</v>
      </c>
      <c r="AH196" s="2">
        <v>250.0</v>
      </c>
      <c r="AI196" s="2">
        <v>0.0</v>
      </c>
      <c r="AJ196" s="2">
        <v>0.0</v>
      </c>
      <c r="AK196" s="2">
        <v>0.0</v>
      </c>
      <c r="AL196" s="2">
        <v>1.0</v>
      </c>
      <c r="AM196" s="1" t="s">
        <v>51</v>
      </c>
      <c r="AN196" s="2">
        <v>6.83234535E8</v>
      </c>
      <c r="AP196" s="2">
        <v>4.90108381E8</v>
      </c>
      <c r="AQ196" s="1" t="s">
        <v>324</v>
      </c>
      <c r="AR196" s="2">
        <v>45808.63402777778</v>
      </c>
      <c r="AU196" s="1" t="s">
        <v>64</v>
      </c>
      <c r="AW196" s="1" t="s">
        <v>255</v>
      </c>
      <c r="AY196" s="2">
        <v>190.0</v>
      </c>
    </row>
    <row r="197">
      <c r="A197" s="1" t="s">
        <v>51</v>
      </c>
      <c r="C197" s="1" t="s">
        <v>131</v>
      </c>
      <c r="E197" s="1" t="s">
        <v>53</v>
      </c>
      <c r="F197" s="1" t="s">
        <v>54</v>
      </c>
      <c r="G197" s="2">
        <v>23.0</v>
      </c>
      <c r="H197" s="1" t="s">
        <v>66</v>
      </c>
      <c r="I197" s="1" t="s">
        <v>100</v>
      </c>
      <c r="J197" s="1" t="s">
        <v>111</v>
      </c>
      <c r="K197" s="1" t="s">
        <v>57</v>
      </c>
      <c r="M197" s="1" t="s">
        <v>58</v>
      </c>
      <c r="N197" s="1" t="s">
        <v>58</v>
      </c>
      <c r="O197" s="1" t="s">
        <v>58</v>
      </c>
      <c r="Q197" s="1" t="s">
        <v>58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81</v>
      </c>
      <c r="Y197" s="1" t="s">
        <v>60</v>
      </c>
      <c r="Z197" s="1" t="s">
        <v>96</v>
      </c>
      <c r="AA197" s="2">
        <v>100.0</v>
      </c>
      <c r="AB197" s="1" t="s">
        <v>79</v>
      </c>
      <c r="AC197" s="1" t="s">
        <v>51</v>
      </c>
      <c r="AD197" s="1" t="s">
        <v>81</v>
      </c>
      <c r="AE197" s="1" t="s">
        <v>51</v>
      </c>
      <c r="AF197" s="1" t="s">
        <v>51</v>
      </c>
      <c r="AG197" s="1" t="s">
        <v>51</v>
      </c>
      <c r="AH197" s="2">
        <v>350.0</v>
      </c>
      <c r="AI197" s="2">
        <v>1.0</v>
      </c>
      <c r="AJ197" s="2">
        <v>0.0</v>
      </c>
      <c r="AK197" s="2">
        <v>0.0</v>
      </c>
      <c r="AL197" s="2">
        <v>0.0</v>
      </c>
      <c r="AM197" s="1" t="s">
        <v>51</v>
      </c>
      <c r="AN197" s="2">
        <v>6.05896906E8</v>
      </c>
      <c r="AP197" s="2">
        <v>4.90110505E8</v>
      </c>
      <c r="AQ197" s="1" t="s">
        <v>325</v>
      </c>
      <c r="AR197" s="2">
        <v>45808.63599537037</v>
      </c>
      <c r="AU197" s="1" t="s">
        <v>64</v>
      </c>
      <c r="AW197" s="1" t="s">
        <v>255</v>
      </c>
      <c r="AY197" s="2">
        <v>191.0</v>
      </c>
    </row>
    <row r="198">
      <c r="A198" s="1" t="s">
        <v>51</v>
      </c>
      <c r="C198" s="1" t="s">
        <v>131</v>
      </c>
      <c r="E198" s="1" t="s">
        <v>53</v>
      </c>
      <c r="F198" s="1" t="s">
        <v>54</v>
      </c>
      <c r="G198" s="2">
        <v>37.0</v>
      </c>
      <c r="H198" s="1" t="s">
        <v>55</v>
      </c>
      <c r="I198" s="1" t="s">
        <v>100</v>
      </c>
      <c r="J198" s="1" t="s">
        <v>56</v>
      </c>
      <c r="K198" s="1" t="s">
        <v>74</v>
      </c>
      <c r="M198" s="1" t="s">
        <v>58</v>
      </c>
      <c r="N198" s="1" t="s">
        <v>58</v>
      </c>
      <c r="O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81</v>
      </c>
      <c r="Y198" s="1" t="s">
        <v>172</v>
      </c>
      <c r="Z198" s="1" t="s">
        <v>96</v>
      </c>
      <c r="AA198" s="2">
        <v>100.0</v>
      </c>
      <c r="AB198" s="1" t="s">
        <v>79</v>
      </c>
      <c r="AC198" s="1" t="s">
        <v>51</v>
      </c>
      <c r="AD198" s="1" t="s">
        <v>81</v>
      </c>
      <c r="AF198" s="1" t="s">
        <v>51</v>
      </c>
      <c r="AG198" s="1" t="s">
        <v>51</v>
      </c>
      <c r="AH198" s="2">
        <v>300.0</v>
      </c>
      <c r="AI198" s="2">
        <v>1.0</v>
      </c>
      <c r="AJ198" s="2">
        <v>0.0</v>
      </c>
      <c r="AK198" s="2">
        <v>0.0</v>
      </c>
      <c r="AL198" s="2">
        <v>0.0</v>
      </c>
      <c r="AM198" s="1" t="s">
        <v>51</v>
      </c>
      <c r="AN198" s="2">
        <v>7.47761012E8</v>
      </c>
      <c r="AP198" s="2">
        <v>4.90112113E8</v>
      </c>
      <c r="AQ198" s="1" t="s">
        <v>326</v>
      </c>
      <c r="AR198" s="2">
        <v>45808.63810185185</v>
      </c>
      <c r="AU198" s="1" t="s">
        <v>64</v>
      </c>
      <c r="AW198" s="1" t="s">
        <v>255</v>
      </c>
      <c r="AY198" s="2">
        <v>192.0</v>
      </c>
    </row>
    <row r="199">
      <c r="A199" s="1" t="s">
        <v>51</v>
      </c>
      <c r="C199" s="1" t="s">
        <v>131</v>
      </c>
      <c r="E199" s="1" t="s">
        <v>53</v>
      </c>
      <c r="F199" s="1" t="s">
        <v>54</v>
      </c>
      <c r="G199" s="2">
        <v>43.0</v>
      </c>
      <c r="H199" s="1" t="s">
        <v>55</v>
      </c>
      <c r="I199" s="1" t="s">
        <v>67</v>
      </c>
      <c r="J199" s="1" t="s">
        <v>68</v>
      </c>
      <c r="K199" s="1" t="s">
        <v>74</v>
      </c>
      <c r="M199" s="1" t="s">
        <v>58</v>
      </c>
      <c r="N199" s="1" t="s">
        <v>58</v>
      </c>
      <c r="O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81</v>
      </c>
      <c r="Y199" s="1" t="s">
        <v>60</v>
      </c>
      <c r="Z199" s="1" t="s">
        <v>96</v>
      </c>
      <c r="AA199" s="2">
        <v>100.0</v>
      </c>
      <c r="AB199" s="1" t="s">
        <v>28</v>
      </c>
      <c r="AC199" s="1" t="s">
        <v>51</v>
      </c>
      <c r="AD199" s="1" t="s">
        <v>81</v>
      </c>
      <c r="AE199" s="1" t="s">
        <v>51</v>
      </c>
      <c r="AF199" s="1" t="s">
        <v>51</v>
      </c>
      <c r="AG199" s="1" t="s">
        <v>51</v>
      </c>
      <c r="AI199" s="2">
        <v>0.0</v>
      </c>
      <c r="AJ199" s="2">
        <v>0.0</v>
      </c>
      <c r="AK199" s="2">
        <v>0.0</v>
      </c>
      <c r="AL199" s="2">
        <v>1.0</v>
      </c>
      <c r="AM199" s="1" t="s">
        <v>51</v>
      </c>
      <c r="AN199" s="2">
        <v>6.56652996E8</v>
      </c>
      <c r="AP199" s="2">
        <v>4.9011343E8</v>
      </c>
      <c r="AQ199" s="1" t="s">
        <v>327</v>
      </c>
      <c r="AR199" s="2">
        <v>45808.639398148145</v>
      </c>
      <c r="AU199" s="1" t="s">
        <v>64</v>
      </c>
      <c r="AW199" s="1" t="s">
        <v>255</v>
      </c>
      <c r="AY199" s="2">
        <v>193.0</v>
      </c>
    </row>
    <row r="200">
      <c r="A200" s="1" t="s">
        <v>51</v>
      </c>
      <c r="C200" s="1" t="s">
        <v>131</v>
      </c>
      <c r="E200" s="1" t="s">
        <v>53</v>
      </c>
      <c r="F200" s="1" t="s">
        <v>54</v>
      </c>
      <c r="G200" s="2">
        <v>32.0</v>
      </c>
      <c r="H200" s="1" t="s">
        <v>55</v>
      </c>
      <c r="I200" s="1" t="s">
        <v>100</v>
      </c>
      <c r="J200" s="1" t="s">
        <v>68</v>
      </c>
      <c r="K200" s="1" t="s">
        <v>57</v>
      </c>
      <c r="M200" s="1" t="s">
        <v>58</v>
      </c>
      <c r="N200" s="1" t="s">
        <v>58</v>
      </c>
      <c r="O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81</v>
      </c>
      <c r="Y200" s="1" t="s">
        <v>60</v>
      </c>
      <c r="Z200" s="1" t="s">
        <v>96</v>
      </c>
      <c r="AA200" s="2">
        <v>100.0</v>
      </c>
      <c r="AB200" s="1" t="s">
        <v>79</v>
      </c>
      <c r="AC200" s="1" t="s">
        <v>51</v>
      </c>
      <c r="AD200" s="1" t="s">
        <v>81</v>
      </c>
      <c r="AE200" s="1" t="s">
        <v>51</v>
      </c>
      <c r="AF200" s="1" t="s">
        <v>51</v>
      </c>
      <c r="AG200" s="1" t="s">
        <v>51</v>
      </c>
      <c r="AI200" s="2">
        <v>0.0</v>
      </c>
      <c r="AJ200" s="2">
        <v>1.0</v>
      </c>
      <c r="AK200" s="2">
        <v>0.0</v>
      </c>
      <c r="AL200" s="2">
        <v>0.0</v>
      </c>
      <c r="AM200" s="1" t="s">
        <v>51</v>
      </c>
      <c r="AN200" s="2">
        <v>8.37345408E8</v>
      </c>
      <c r="AP200" s="2">
        <v>4.90115535E8</v>
      </c>
      <c r="AQ200" s="1" t="s">
        <v>328</v>
      </c>
      <c r="AR200" s="2">
        <v>45808.64135416667</v>
      </c>
      <c r="AU200" s="1" t="s">
        <v>64</v>
      </c>
      <c r="AW200" s="1" t="s">
        <v>255</v>
      </c>
      <c r="AY200" s="2">
        <v>194.0</v>
      </c>
    </row>
    <row r="201">
      <c r="A201" s="1" t="s">
        <v>51</v>
      </c>
      <c r="C201" s="1" t="s">
        <v>131</v>
      </c>
      <c r="E201" s="1" t="s">
        <v>53</v>
      </c>
      <c r="F201" s="1" t="s">
        <v>54</v>
      </c>
      <c r="G201" s="2">
        <v>26.0</v>
      </c>
      <c r="H201" s="1" t="s">
        <v>66</v>
      </c>
      <c r="I201" s="1" t="s">
        <v>100</v>
      </c>
      <c r="J201" s="1" t="s">
        <v>56</v>
      </c>
      <c r="K201" s="1" t="s">
        <v>57</v>
      </c>
      <c r="M201" s="1" t="s">
        <v>58</v>
      </c>
      <c r="N201" s="1" t="s">
        <v>58</v>
      </c>
      <c r="O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81</v>
      </c>
      <c r="Y201" s="1" t="s">
        <v>82</v>
      </c>
      <c r="Z201" s="1" t="s">
        <v>127</v>
      </c>
      <c r="AA201" s="2">
        <v>50.0</v>
      </c>
      <c r="AB201" s="1" t="s">
        <v>79</v>
      </c>
      <c r="AC201" s="1" t="s">
        <v>71</v>
      </c>
      <c r="AF201" s="1" t="s">
        <v>51</v>
      </c>
      <c r="AG201" s="1" t="s">
        <v>51</v>
      </c>
      <c r="AI201" s="2">
        <v>1.0</v>
      </c>
      <c r="AJ201" s="2">
        <v>0.0</v>
      </c>
      <c r="AK201" s="2">
        <v>0.0</v>
      </c>
      <c r="AL201" s="2">
        <v>0.0</v>
      </c>
      <c r="AM201" s="1" t="s">
        <v>51</v>
      </c>
      <c r="AN201" s="2">
        <v>8.37345408E8</v>
      </c>
      <c r="AP201" s="2">
        <v>4.90116971E8</v>
      </c>
      <c r="AQ201" s="1" t="s">
        <v>329</v>
      </c>
      <c r="AR201" s="2">
        <v>45808.64273148148</v>
      </c>
      <c r="AU201" s="1" t="s">
        <v>64</v>
      </c>
      <c r="AW201" s="1" t="s">
        <v>255</v>
      </c>
      <c r="AY201" s="2">
        <v>195.0</v>
      </c>
    </row>
    <row r="202">
      <c r="A202" s="1" t="s">
        <v>51</v>
      </c>
      <c r="C202" s="1" t="s">
        <v>52</v>
      </c>
      <c r="E202" s="1" t="s">
        <v>53</v>
      </c>
      <c r="F202" s="1" t="s">
        <v>54</v>
      </c>
      <c r="G202" s="2">
        <v>31.0</v>
      </c>
      <c r="H202" s="1" t="s">
        <v>55</v>
      </c>
      <c r="I202" s="1" t="s">
        <v>67</v>
      </c>
      <c r="J202" s="1" t="s">
        <v>68</v>
      </c>
      <c r="K202" s="1" t="s">
        <v>74</v>
      </c>
      <c r="M202" s="1" t="s">
        <v>58</v>
      </c>
      <c r="N202" s="1" t="s">
        <v>58</v>
      </c>
      <c r="O202" s="1" t="s">
        <v>70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70</v>
      </c>
      <c r="W202" s="1" t="s">
        <v>70</v>
      </c>
      <c r="X202" s="1" t="s">
        <v>81</v>
      </c>
      <c r="Y202" s="1" t="s">
        <v>172</v>
      </c>
      <c r="Z202" s="1" t="s">
        <v>108</v>
      </c>
      <c r="AA202" s="2">
        <v>100.0</v>
      </c>
      <c r="AB202" s="1" t="s">
        <v>62</v>
      </c>
      <c r="AC202" s="1" t="s">
        <v>51</v>
      </c>
      <c r="AD202" s="1" t="s">
        <v>81</v>
      </c>
      <c r="AE202" s="1" t="s">
        <v>51</v>
      </c>
      <c r="AF202" s="1" t="s">
        <v>51</v>
      </c>
      <c r="AG202" s="1" t="s">
        <v>51</v>
      </c>
      <c r="AH202" s="2">
        <v>350.0</v>
      </c>
      <c r="AI202" s="2">
        <v>0.0</v>
      </c>
      <c r="AJ202" s="2">
        <v>0.0</v>
      </c>
      <c r="AK202" s="2">
        <v>0.0</v>
      </c>
      <c r="AL202" s="2">
        <v>1.0</v>
      </c>
      <c r="AM202" s="1" t="s">
        <v>51</v>
      </c>
      <c r="AN202" s="2">
        <v>6.97663225E8</v>
      </c>
      <c r="AP202" s="2">
        <v>4.90118314E8</v>
      </c>
      <c r="AQ202" s="1" t="s">
        <v>330</v>
      </c>
      <c r="AR202" s="2">
        <v>45808.644282407404</v>
      </c>
      <c r="AU202" s="1" t="s">
        <v>64</v>
      </c>
      <c r="AW202" s="1" t="s">
        <v>255</v>
      </c>
      <c r="AY202" s="2">
        <v>196.0</v>
      </c>
    </row>
    <row r="203">
      <c r="A203" s="1" t="s">
        <v>51</v>
      </c>
      <c r="C203" s="1" t="s">
        <v>53</v>
      </c>
      <c r="E203" s="1" t="s">
        <v>53</v>
      </c>
      <c r="F203" s="1" t="s">
        <v>54</v>
      </c>
      <c r="G203" s="2">
        <v>45.0</v>
      </c>
      <c r="H203" s="1" t="s">
        <v>66</v>
      </c>
      <c r="I203" s="1" t="s">
        <v>121</v>
      </c>
      <c r="J203" s="1" t="s">
        <v>86</v>
      </c>
      <c r="K203" s="1" t="s">
        <v>87</v>
      </c>
      <c r="M203" s="1" t="s">
        <v>58</v>
      </c>
      <c r="N203" s="1" t="s">
        <v>58</v>
      </c>
      <c r="O203" s="1" t="s">
        <v>58</v>
      </c>
      <c r="Q203" s="1" t="s">
        <v>69</v>
      </c>
      <c r="R203" s="1" t="s">
        <v>58</v>
      </c>
      <c r="S203" s="1" t="s">
        <v>69</v>
      </c>
      <c r="T203" s="1" t="s">
        <v>58</v>
      </c>
      <c r="U203" s="1" t="s">
        <v>58</v>
      </c>
      <c r="V203" s="1" t="s">
        <v>58</v>
      </c>
      <c r="W203" s="1" t="s">
        <v>69</v>
      </c>
      <c r="X203" s="1" t="s">
        <v>59</v>
      </c>
      <c r="Y203" s="1" t="s">
        <v>95</v>
      </c>
      <c r="Z203" s="1" t="s">
        <v>96</v>
      </c>
      <c r="AA203" s="2">
        <v>40.0</v>
      </c>
      <c r="AB203" s="1" t="s">
        <v>62</v>
      </c>
      <c r="AC203" s="1" t="s">
        <v>51</v>
      </c>
      <c r="AD203" s="1" t="s">
        <v>59</v>
      </c>
      <c r="AE203" s="1" t="s">
        <v>51</v>
      </c>
      <c r="AF203" s="1" t="s">
        <v>51</v>
      </c>
      <c r="AG203" s="1" t="s">
        <v>51</v>
      </c>
      <c r="AH203" s="2">
        <v>50.0</v>
      </c>
      <c r="AI203" s="2">
        <v>0.0</v>
      </c>
      <c r="AJ203" s="2">
        <v>0.0</v>
      </c>
      <c r="AK203" s="2">
        <v>0.0</v>
      </c>
      <c r="AL203" s="2">
        <v>1.0</v>
      </c>
      <c r="AM203" s="1" t="s">
        <v>51</v>
      </c>
      <c r="AN203" s="2">
        <v>7.63237797E8</v>
      </c>
      <c r="AP203" s="2">
        <v>4.9012673E8</v>
      </c>
      <c r="AQ203" s="1" t="s">
        <v>331</v>
      </c>
      <c r="AR203" s="2">
        <v>45808.65414351852</v>
      </c>
      <c r="AU203" s="1" t="s">
        <v>64</v>
      </c>
      <c r="AW203" s="1" t="s">
        <v>255</v>
      </c>
      <c r="AY203" s="2">
        <v>197.0</v>
      </c>
    </row>
    <row r="204">
      <c r="A204" s="1" t="s">
        <v>51</v>
      </c>
      <c r="C204" s="1" t="s">
        <v>53</v>
      </c>
      <c r="E204" s="1" t="s">
        <v>53</v>
      </c>
      <c r="F204" s="1" t="s">
        <v>54</v>
      </c>
      <c r="G204" s="2">
        <v>23.0</v>
      </c>
      <c r="H204" s="1" t="s">
        <v>66</v>
      </c>
      <c r="I204" s="1" t="s">
        <v>121</v>
      </c>
      <c r="J204" s="1" t="s">
        <v>56</v>
      </c>
      <c r="K204" s="1" t="s">
        <v>87</v>
      </c>
      <c r="M204" s="1" t="s">
        <v>58</v>
      </c>
      <c r="N204" s="1" t="s">
        <v>58</v>
      </c>
      <c r="O204" s="1" t="s">
        <v>69</v>
      </c>
      <c r="Q204" s="1" t="s">
        <v>58</v>
      </c>
      <c r="R204" s="1" t="s">
        <v>58</v>
      </c>
      <c r="S204" s="1" t="s">
        <v>58</v>
      </c>
      <c r="T204" s="1" t="s">
        <v>69</v>
      </c>
      <c r="U204" s="1" t="s">
        <v>58</v>
      </c>
      <c r="V204" s="1" t="s">
        <v>58</v>
      </c>
      <c r="W204" s="1" t="s">
        <v>58</v>
      </c>
      <c r="X204" s="1" t="s">
        <v>59</v>
      </c>
      <c r="Y204" s="1" t="s">
        <v>82</v>
      </c>
      <c r="Z204" s="1" t="s">
        <v>127</v>
      </c>
      <c r="AA204" s="2">
        <v>20.0</v>
      </c>
      <c r="AB204" s="1" t="s">
        <v>62</v>
      </c>
      <c r="AC204" s="1" t="s">
        <v>51</v>
      </c>
      <c r="AD204" s="1" t="s">
        <v>59</v>
      </c>
      <c r="AE204" s="1" t="s">
        <v>51</v>
      </c>
      <c r="AF204" s="1" t="s">
        <v>51</v>
      </c>
      <c r="AG204" s="1" t="s">
        <v>51</v>
      </c>
      <c r="AH204" s="2">
        <v>200.0</v>
      </c>
      <c r="AI204" s="2">
        <v>0.0</v>
      </c>
      <c r="AJ204" s="2">
        <v>0.0</v>
      </c>
      <c r="AK204" s="2">
        <v>0.0</v>
      </c>
      <c r="AL204" s="2">
        <v>1.0</v>
      </c>
      <c r="AM204" s="1" t="s">
        <v>51</v>
      </c>
      <c r="AN204" s="2">
        <v>7.90141579E8</v>
      </c>
      <c r="AP204" s="2">
        <v>4.9013096E8</v>
      </c>
      <c r="AQ204" s="1" t="s">
        <v>332</v>
      </c>
      <c r="AR204" s="2">
        <v>45808.65866898148</v>
      </c>
      <c r="AU204" s="1" t="s">
        <v>64</v>
      </c>
      <c r="AW204" s="1" t="s">
        <v>255</v>
      </c>
      <c r="AY204" s="2">
        <v>198.0</v>
      </c>
    </row>
    <row r="205">
      <c r="A205" s="1" t="s">
        <v>51</v>
      </c>
      <c r="C205" s="1" t="s">
        <v>52</v>
      </c>
      <c r="E205" s="1" t="s">
        <v>53</v>
      </c>
      <c r="F205" s="1" t="s">
        <v>102</v>
      </c>
      <c r="G205" s="2">
        <v>38.0</v>
      </c>
      <c r="H205" s="1" t="s">
        <v>66</v>
      </c>
      <c r="I205" s="1" t="s">
        <v>67</v>
      </c>
      <c r="J205" s="1" t="s">
        <v>111</v>
      </c>
      <c r="K205" s="1" t="s">
        <v>87</v>
      </c>
      <c r="M205" s="1" t="s">
        <v>58</v>
      </c>
      <c r="N205" s="1" t="s">
        <v>58</v>
      </c>
      <c r="O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58</v>
      </c>
      <c r="V205" s="1" t="s">
        <v>58</v>
      </c>
      <c r="W205" s="1" t="s">
        <v>58</v>
      </c>
      <c r="X205" s="1" t="s">
        <v>103</v>
      </c>
      <c r="Y205" s="1" t="s">
        <v>60</v>
      </c>
      <c r="Z205" s="1" t="s">
        <v>61</v>
      </c>
      <c r="AA205" s="2">
        <v>50.0</v>
      </c>
      <c r="AB205" s="1" t="s">
        <v>28</v>
      </c>
      <c r="AC205" s="1" t="s">
        <v>51</v>
      </c>
      <c r="AD205" s="1" t="s">
        <v>81</v>
      </c>
      <c r="AE205" s="1" t="s">
        <v>51</v>
      </c>
      <c r="AF205" s="1" t="s">
        <v>51</v>
      </c>
      <c r="AG205" s="1" t="s">
        <v>72</v>
      </c>
      <c r="AI205" s="2">
        <v>0.0</v>
      </c>
      <c r="AJ205" s="2">
        <v>1.0</v>
      </c>
      <c r="AK205" s="2">
        <v>0.0</v>
      </c>
      <c r="AL205" s="2">
        <v>0.0</v>
      </c>
      <c r="AM205" s="1" t="s">
        <v>72</v>
      </c>
      <c r="AP205" s="2">
        <v>4.90134861E8</v>
      </c>
      <c r="AQ205" s="1" t="s">
        <v>333</v>
      </c>
      <c r="AR205" s="2">
        <v>45808.66370370371</v>
      </c>
      <c r="AU205" s="1" t="s">
        <v>64</v>
      </c>
      <c r="AW205" s="1" t="s">
        <v>255</v>
      </c>
      <c r="AY205" s="2">
        <v>199.0</v>
      </c>
    </row>
    <row r="206">
      <c r="A206" s="1" t="s">
        <v>51</v>
      </c>
      <c r="C206" s="1" t="s">
        <v>52</v>
      </c>
      <c r="E206" s="1" t="s">
        <v>52</v>
      </c>
      <c r="G206" s="2">
        <v>53.0</v>
      </c>
      <c r="H206" s="1" t="s">
        <v>55</v>
      </c>
      <c r="J206" s="1" t="s">
        <v>68</v>
      </c>
      <c r="K206" s="1" t="s">
        <v>74</v>
      </c>
      <c r="M206" s="1" t="s">
        <v>58</v>
      </c>
      <c r="N206" s="1" t="s">
        <v>58</v>
      </c>
      <c r="O206" s="1" t="s">
        <v>58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88</v>
      </c>
      <c r="Y206" s="1" t="s">
        <v>82</v>
      </c>
      <c r="Z206" s="1" t="s">
        <v>89</v>
      </c>
      <c r="AA206" s="2">
        <v>40.0</v>
      </c>
      <c r="AB206" s="1" t="s">
        <v>79</v>
      </c>
      <c r="AC206" s="1" t="s">
        <v>72</v>
      </c>
      <c r="AF206" s="1" t="s">
        <v>51</v>
      </c>
      <c r="AG206" s="1" t="s">
        <v>51</v>
      </c>
      <c r="AH206" s="2">
        <v>4000.0</v>
      </c>
      <c r="AI206" s="2">
        <v>0.0</v>
      </c>
      <c r="AJ206" s="2">
        <v>0.0</v>
      </c>
      <c r="AK206" s="2">
        <v>0.0</v>
      </c>
      <c r="AL206" s="2">
        <v>1.0</v>
      </c>
      <c r="AP206" s="2">
        <v>4.90144601E8</v>
      </c>
      <c r="AQ206" s="1" t="s">
        <v>334</v>
      </c>
      <c r="AR206" s="2">
        <v>45808.67371527778</v>
      </c>
      <c r="AU206" s="1" t="s">
        <v>64</v>
      </c>
      <c r="AW206" s="1" t="s">
        <v>255</v>
      </c>
      <c r="AY206" s="2">
        <v>200.0</v>
      </c>
    </row>
    <row r="207">
      <c r="A207" s="1" t="s">
        <v>51</v>
      </c>
      <c r="C207" s="1" t="s">
        <v>53</v>
      </c>
      <c r="E207" s="1" t="s">
        <v>53</v>
      </c>
      <c r="G207" s="2">
        <v>40.0</v>
      </c>
      <c r="H207" s="1" t="s">
        <v>55</v>
      </c>
      <c r="I207" s="1" t="s">
        <v>121</v>
      </c>
      <c r="J207" s="1" t="s">
        <v>86</v>
      </c>
      <c r="K207" s="1" t="s">
        <v>87</v>
      </c>
      <c r="M207" s="1" t="s">
        <v>58</v>
      </c>
      <c r="N207" s="1" t="s">
        <v>58</v>
      </c>
      <c r="O207" s="1" t="s">
        <v>69</v>
      </c>
      <c r="Q207" s="1" t="s">
        <v>69</v>
      </c>
      <c r="R207" s="1" t="s">
        <v>58</v>
      </c>
      <c r="S207" s="1" t="s">
        <v>69</v>
      </c>
      <c r="T207" s="1" t="s">
        <v>69</v>
      </c>
      <c r="U207" s="1" t="s">
        <v>58</v>
      </c>
      <c r="V207" s="1" t="s">
        <v>70</v>
      </c>
      <c r="W207" s="1" t="s">
        <v>69</v>
      </c>
      <c r="X207" s="1" t="s">
        <v>81</v>
      </c>
      <c r="Y207" s="1" t="s">
        <v>95</v>
      </c>
      <c r="Z207" s="1" t="s">
        <v>89</v>
      </c>
      <c r="AA207" s="2">
        <v>10.0</v>
      </c>
      <c r="AB207" s="1" t="s">
        <v>28</v>
      </c>
      <c r="AC207" s="1" t="s">
        <v>71</v>
      </c>
      <c r="AF207" s="1" t="s">
        <v>72</v>
      </c>
      <c r="AG207" s="1" t="s">
        <v>72</v>
      </c>
      <c r="AI207" s="2">
        <v>0.0</v>
      </c>
      <c r="AJ207" s="2">
        <v>0.0</v>
      </c>
      <c r="AK207" s="2">
        <v>0.0</v>
      </c>
      <c r="AL207" s="2">
        <v>1.0</v>
      </c>
      <c r="AM207" s="1" t="s">
        <v>72</v>
      </c>
      <c r="AP207" s="2">
        <v>4.90148133E8</v>
      </c>
      <c r="AQ207" s="1" t="s">
        <v>335</v>
      </c>
      <c r="AR207" s="2">
        <v>45808.67863425926</v>
      </c>
      <c r="AU207" s="1" t="s">
        <v>64</v>
      </c>
      <c r="AW207" s="1" t="s">
        <v>255</v>
      </c>
      <c r="AY207" s="2">
        <v>201.0</v>
      </c>
    </row>
    <row r="208">
      <c r="A208" s="1" t="s">
        <v>51</v>
      </c>
      <c r="C208" s="1" t="s">
        <v>52</v>
      </c>
      <c r="E208" s="1" t="s">
        <v>53</v>
      </c>
      <c r="F208" s="1" t="s">
        <v>149</v>
      </c>
      <c r="G208" s="2">
        <v>47.0</v>
      </c>
      <c r="H208" s="1" t="s">
        <v>66</v>
      </c>
      <c r="I208" s="1" t="s">
        <v>67</v>
      </c>
      <c r="J208" s="1" t="s">
        <v>56</v>
      </c>
      <c r="K208" s="1" t="s">
        <v>87</v>
      </c>
      <c r="M208" s="1" t="s">
        <v>58</v>
      </c>
      <c r="N208" s="1" t="s">
        <v>58</v>
      </c>
      <c r="O208" s="1" t="s">
        <v>69</v>
      </c>
      <c r="Q208" s="1" t="s">
        <v>58</v>
      </c>
      <c r="R208" s="1" t="s">
        <v>58</v>
      </c>
      <c r="S208" s="1" t="s">
        <v>58</v>
      </c>
      <c r="T208" s="1" t="s">
        <v>69</v>
      </c>
      <c r="U208" s="1" t="s">
        <v>70</v>
      </c>
      <c r="V208" s="1" t="s">
        <v>69</v>
      </c>
      <c r="W208" s="1" t="s">
        <v>69</v>
      </c>
      <c r="X208" s="1" t="s">
        <v>81</v>
      </c>
      <c r="Y208" s="1" t="s">
        <v>60</v>
      </c>
      <c r="Z208" s="1" t="s">
        <v>127</v>
      </c>
      <c r="AA208" s="2">
        <v>100.0</v>
      </c>
      <c r="AB208" s="1" t="s">
        <v>79</v>
      </c>
      <c r="AC208" s="1" t="s">
        <v>71</v>
      </c>
      <c r="AF208" s="1" t="s">
        <v>51</v>
      </c>
      <c r="AG208" s="1" t="s">
        <v>72</v>
      </c>
      <c r="AI208" s="2">
        <v>0.0</v>
      </c>
      <c r="AJ208" s="2">
        <v>0.0</v>
      </c>
      <c r="AK208" s="2">
        <v>0.0</v>
      </c>
      <c r="AL208" s="2">
        <v>1.0</v>
      </c>
      <c r="AM208" s="1" t="s">
        <v>72</v>
      </c>
      <c r="AP208" s="2">
        <v>4.90165111E8</v>
      </c>
      <c r="AQ208" s="1" t="s">
        <v>336</v>
      </c>
      <c r="AR208" s="2">
        <v>45808.69988425926</v>
      </c>
      <c r="AU208" s="1" t="s">
        <v>64</v>
      </c>
      <c r="AW208" s="1" t="s">
        <v>255</v>
      </c>
      <c r="AY208" s="2">
        <v>202.0</v>
      </c>
    </row>
    <row r="209">
      <c r="A209" s="1" t="s">
        <v>51</v>
      </c>
      <c r="C209" s="1" t="s">
        <v>131</v>
      </c>
      <c r="E209" s="1" t="s">
        <v>53</v>
      </c>
      <c r="F209" s="1" t="s">
        <v>291</v>
      </c>
      <c r="G209" s="2">
        <v>25.0</v>
      </c>
      <c r="H209" s="1" t="s">
        <v>55</v>
      </c>
      <c r="I209" s="1" t="s">
        <v>100</v>
      </c>
      <c r="J209" s="1" t="s">
        <v>86</v>
      </c>
      <c r="K209" s="1" t="s">
        <v>57</v>
      </c>
      <c r="M209" s="1" t="s">
        <v>58</v>
      </c>
      <c r="N209" s="1" t="s">
        <v>58</v>
      </c>
      <c r="O209" s="1" t="s">
        <v>58</v>
      </c>
      <c r="Q209" s="1" t="s">
        <v>58</v>
      </c>
      <c r="R209" s="1" t="s">
        <v>58</v>
      </c>
      <c r="S209" s="1" t="s">
        <v>58</v>
      </c>
      <c r="T209" s="1" t="s">
        <v>58</v>
      </c>
      <c r="U209" s="1" t="s">
        <v>58</v>
      </c>
      <c r="V209" s="1" t="s">
        <v>58</v>
      </c>
      <c r="W209" s="1" t="s">
        <v>58</v>
      </c>
      <c r="X209" s="1" t="s">
        <v>59</v>
      </c>
      <c r="Y209" s="1" t="s">
        <v>82</v>
      </c>
      <c r="Z209" s="1" t="s">
        <v>89</v>
      </c>
      <c r="AA209" s="2">
        <v>20.0</v>
      </c>
      <c r="AB209" s="1" t="s">
        <v>62</v>
      </c>
      <c r="AC209" s="1" t="s">
        <v>51</v>
      </c>
      <c r="AD209" s="1" t="s">
        <v>81</v>
      </c>
      <c r="AE209" s="1" t="s">
        <v>51</v>
      </c>
      <c r="AF209" s="1" t="s">
        <v>51</v>
      </c>
      <c r="AG209" s="1" t="s">
        <v>51</v>
      </c>
      <c r="AH209" s="2">
        <v>3.0</v>
      </c>
      <c r="AI209" s="2">
        <v>1.0</v>
      </c>
      <c r="AJ209" s="2">
        <v>1.0</v>
      </c>
      <c r="AK209" s="2">
        <v>0.0</v>
      </c>
      <c r="AL209" s="2">
        <v>0.0</v>
      </c>
      <c r="AM209" s="1" t="s">
        <v>51</v>
      </c>
      <c r="AN209" s="2">
        <v>8.24731825E8</v>
      </c>
      <c r="AP209" s="2">
        <v>4.90188824E8</v>
      </c>
      <c r="AQ209" s="1" t="s">
        <v>337</v>
      </c>
      <c r="AR209" s="2">
        <v>45808.72751157408</v>
      </c>
      <c r="AU209" s="1" t="s">
        <v>64</v>
      </c>
      <c r="AW209" s="1" t="s">
        <v>255</v>
      </c>
      <c r="AY209" s="2">
        <v>203.0</v>
      </c>
    </row>
    <row r="210">
      <c r="A210" s="1" t="s">
        <v>51</v>
      </c>
      <c r="C210" s="1" t="s">
        <v>131</v>
      </c>
      <c r="E210" s="1" t="s">
        <v>53</v>
      </c>
      <c r="F210" s="1" t="s">
        <v>85</v>
      </c>
      <c r="G210" s="2">
        <v>20.0</v>
      </c>
      <c r="H210" s="1" t="s">
        <v>55</v>
      </c>
      <c r="I210" s="1" t="s">
        <v>67</v>
      </c>
      <c r="J210" s="1" t="s">
        <v>68</v>
      </c>
      <c r="K210" s="1" t="s">
        <v>57</v>
      </c>
      <c r="M210" s="1" t="s">
        <v>58</v>
      </c>
      <c r="N210" s="1" t="s">
        <v>58</v>
      </c>
      <c r="O210" s="1" t="s">
        <v>58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  <c r="W210" s="1" t="s">
        <v>58</v>
      </c>
      <c r="X210" s="1" t="s">
        <v>59</v>
      </c>
      <c r="Y210" s="1" t="s">
        <v>82</v>
      </c>
      <c r="Z210" s="1" t="s">
        <v>89</v>
      </c>
      <c r="AA210" s="2">
        <v>40.0</v>
      </c>
      <c r="AB210" s="1" t="s">
        <v>79</v>
      </c>
      <c r="AC210" s="1" t="s">
        <v>51</v>
      </c>
      <c r="AD210" s="1" t="s">
        <v>59</v>
      </c>
      <c r="AE210" s="1" t="s">
        <v>51</v>
      </c>
      <c r="AF210" s="1" t="s">
        <v>51</v>
      </c>
      <c r="AG210" s="1" t="s">
        <v>51</v>
      </c>
      <c r="AH210" s="2">
        <v>2.0</v>
      </c>
      <c r="AI210" s="2">
        <v>1.0</v>
      </c>
      <c r="AJ210" s="2">
        <v>0.0</v>
      </c>
      <c r="AK210" s="2">
        <v>0.0</v>
      </c>
      <c r="AL210" s="2">
        <v>0.0</v>
      </c>
      <c r="AM210" s="1" t="s">
        <v>51</v>
      </c>
      <c r="AN210" s="2">
        <v>7.82201442E8</v>
      </c>
      <c r="AP210" s="2">
        <v>4.90190123E8</v>
      </c>
      <c r="AQ210" s="1" t="s">
        <v>338</v>
      </c>
      <c r="AR210" s="2">
        <v>45808.729097222225</v>
      </c>
      <c r="AU210" s="1" t="s">
        <v>64</v>
      </c>
      <c r="AW210" s="1" t="s">
        <v>255</v>
      </c>
      <c r="AY210" s="2">
        <v>204.0</v>
      </c>
    </row>
    <row r="211">
      <c r="A211" s="1" t="s">
        <v>51</v>
      </c>
      <c r="C211" s="1" t="s">
        <v>131</v>
      </c>
      <c r="E211" s="1" t="s">
        <v>53</v>
      </c>
      <c r="F211" s="1" t="s">
        <v>85</v>
      </c>
      <c r="G211" s="2">
        <v>24.0</v>
      </c>
      <c r="H211" s="1" t="s">
        <v>66</v>
      </c>
      <c r="I211" s="1" t="s">
        <v>67</v>
      </c>
      <c r="J211" s="1" t="s">
        <v>68</v>
      </c>
      <c r="K211" s="1" t="s">
        <v>74</v>
      </c>
      <c r="M211" s="1" t="s">
        <v>58</v>
      </c>
      <c r="N211" s="1" t="s">
        <v>58</v>
      </c>
      <c r="O211" s="1" t="s">
        <v>58</v>
      </c>
      <c r="Q211" s="1" t="s">
        <v>58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  <c r="W211" s="1" t="s">
        <v>58</v>
      </c>
      <c r="X211" s="1" t="s">
        <v>59</v>
      </c>
      <c r="Y211" s="1" t="s">
        <v>82</v>
      </c>
      <c r="Z211" s="1" t="s">
        <v>89</v>
      </c>
      <c r="AA211" s="2">
        <v>50.0</v>
      </c>
      <c r="AB211" s="1" t="s">
        <v>79</v>
      </c>
      <c r="AC211" s="1" t="s">
        <v>51</v>
      </c>
      <c r="AD211" s="1" t="s">
        <v>59</v>
      </c>
      <c r="AE211" s="1" t="s">
        <v>51</v>
      </c>
      <c r="AF211" s="1" t="s">
        <v>51</v>
      </c>
      <c r="AG211" s="1" t="s">
        <v>51</v>
      </c>
      <c r="AH211" s="2">
        <v>6.0</v>
      </c>
      <c r="AI211" s="2">
        <v>0.0</v>
      </c>
      <c r="AJ211" s="2">
        <v>1.0</v>
      </c>
      <c r="AK211" s="2">
        <v>0.0</v>
      </c>
      <c r="AL211" s="2">
        <v>0.0</v>
      </c>
      <c r="AM211" s="1" t="s">
        <v>51</v>
      </c>
      <c r="AN211" s="2">
        <v>8.351742E8</v>
      </c>
      <c r="AP211" s="2">
        <v>4.90191795E8</v>
      </c>
      <c r="AQ211" s="1" t="s">
        <v>339</v>
      </c>
      <c r="AR211" s="2">
        <v>45808.73111111111</v>
      </c>
      <c r="AU211" s="1" t="s">
        <v>64</v>
      </c>
      <c r="AW211" s="1" t="s">
        <v>255</v>
      </c>
      <c r="AY211" s="2">
        <v>205.0</v>
      </c>
    </row>
    <row r="212">
      <c r="A212" s="1" t="s">
        <v>51</v>
      </c>
      <c r="C212" s="1" t="s">
        <v>131</v>
      </c>
      <c r="E212" s="1" t="s">
        <v>53</v>
      </c>
      <c r="F212" s="1" t="s">
        <v>291</v>
      </c>
      <c r="G212" s="2">
        <v>19.0</v>
      </c>
      <c r="H212" s="1" t="s">
        <v>66</v>
      </c>
      <c r="I212" s="1" t="s">
        <v>76</v>
      </c>
      <c r="J212" s="1" t="s">
        <v>111</v>
      </c>
      <c r="K212" s="1" t="s">
        <v>74</v>
      </c>
      <c r="M212" s="1" t="s">
        <v>58</v>
      </c>
      <c r="N212" s="1" t="s">
        <v>58</v>
      </c>
      <c r="O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59</v>
      </c>
      <c r="Y212" s="1" t="s">
        <v>60</v>
      </c>
      <c r="Z212" s="1" t="s">
        <v>89</v>
      </c>
      <c r="AA212" s="2">
        <v>50.0</v>
      </c>
      <c r="AB212" s="1" t="s">
        <v>62</v>
      </c>
      <c r="AC212" s="1" t="s">
        <v>51</v>
      </c>
      <c r="AD212" s="1" t="s">
        <v>59</v>
      </c>
      <c r="AE212" s="1" t="s">
        <v>51</v>
      </c>
      <c r="AF212" s="1" t="s">
        <v>51</v>
      </c>
      <c r="AG212" s="1" t="s">
        <v>51</v>
      </c>
      <c r="AH212" s="2">
        <v>2.0</v>
      </c>
      <c r="AI212" s="2">
        <v>1.0</v>
      </c>
      <c r="AJ212" s="2">
        <v>0.0</v>
      </c>
      <c r="AK212" s="2">
        <v>0.0</v>
      </c>
      <c r="AL212" s="2">
        <v>0.0</v>
      </c>
      <c r="AM212" s="1" t="s">
        <v>51</v>
      </c>
      <c r="AN212" s="2">
        <v>7.16325173E8</v>
      </c>
      <c r="AP212" s="2">
        <v>4.90193602E8</v>
      </c>
      <c r="AQ212" s="1" t="s">
        <v>340</v>
      </c>
      <c r="AR212" s="2">
        <v>45808.73310185185</v>
      </c>
      <c r="AU212" s="1" t="s">
        <v>64</v>
      </c>
      <c r="AW212" s="1" t="s">
        <v>255</v>
      </c>
      <c r="AY212" s="2">
        <v>206.0</v>
      </c>
    </row>
    <row r="213">
      <c r="A213" s="1" t="s">
        <v>51</v>
      </c>
      <c r="C213" s="1" t="s">
        <v>131</v>
      </c>
      <c r="E213" s="1" t="s">
        <v>53</v>
      </c>
      <c r="F213" s="1" t="s">
        <v>291</v>
      </c>
      <c r="G213" s="2">
        <v>24.0</v>
      </c>
      <c r="H213" s="1" t="s">
        <v>55</v>
      </c>
      <c r="I213" s="1" t="s">
        <v>100</v>
      </c>
      <c r="J213" s="1" t="s">
        <v>111</v>
      </c>
      <c r="K213" s="1" t="s">
        <v>57</v>
      </c>
      <c r="M213" s="1" t="s">
        <v>58</v>
      </c>
      <c r="N213" s="1" t="s">
        <v>58</v>
      </c>
      <c r="O213" s="1" t="s">
        <v>58</v>
      </c>
      <c r="Q213" s="1" t="s">
        <v>58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  <c r="W213" s="1" t="s">
        <v>58</v>
      </c>
      <c r="X213" s="1" t="s">
        <v>59</v>
      </c>
      <c r="Y213" s="1" t="s">
        <v>60</v>
      </c>
      <c r="Z213" s="1" t="s">
        <v>127</v>
      </c>
      <c r="AA213" s="2">
        <v>20.0</v>
      </c>
      <c r="AB213" s="1" t="s">
        <v>79</v>
      </c>
      <c r="AC213" s="1" t="s">
        <v>51</v>
      </c>
      <c r="AD213" s="1" t="s">
        <v>59</v>
      </c>
      <c r="AE213" s="1" t="s">
        <v>51</v>
      </c>
      <c r="AF213" s="1" t="s">
        <v>51</v>
      </c>
      <c r="AG213" s="1" t="s">
        <v>51</v>
      </c>
      <c r="AH213" s="2">
        <v>3.0</v>
      </c>
      <c r="AI213" s="2">
        <v>1.0</v>
      </c>
      <c r="AJ213" s="2">
        <v>0.0</v>
      </c>
      <c r="AK213" s="2">
        <v>0.0</v>
      </c>
      <c r="AL213" s="2">
        <v>0.0</v>
      </c>
      <c r="AM213" s="1" t="s">
        <v>51</v>
      </c>
      <c r="AN213" s="2">
        <v>8.44112654E8</v>
      </c>
      <c r="AP213" s="2">
        <v>4.90194764E8</v>
      </c>
      <c r="AQ213" s="1" t="s">
        <v>341</v>
      </c>
      <c r="AR213" s="2">
        <v>45808.73469907408</v>
      </c>
      <c r="AU213" s="1" t="s">
        <v>64</v>
      </c>
      <c r="AW213" s="1" t="s">
        <v>255</v>
      </c>
      <c r="AY213" s="2">
        <v>207.0</v>
      </c>
    </row>
    <row r="214">
      <c r="A214" s="1" t="s">
        <v>51</v>
      </c>
      <c r="C214" s="1" t="s">
        <v>131</v>
      </c>
      <c r="E214" s="1" t="s">
        <v>53</v>
      </c>
      <c r="F214" s="1" t="s">
        <v>85</v>
      </c>
      <c r="G214" s="2">
        <v>22.0</v>
      </c>
      <c r="H214" s="1" t="s">
        <v>55</v>
      </c>
      <c r="I214" s="1" t="s">
        <v>67</v>
      </c>
      <c r="J214" s="1" t="s">
        <v>86</v>
      </c>
      <c r="K214" s="1" t="s">
        <v>74</v>
      </c>
      <c r="M214" s="1" t="s">
        <v>58</v>
      </c>
      <c r="N214" s="1" t="s">
        <v>58</v>
      </c>
      <c r="O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59</v>
      </c>
      <c r="Y214" s="1" t="s">
        <v>82</v>
      </c>
      <c r="Z214" s="1" t="s">
        <v>108</v>
      </c>
      <c r="AA214" s="2">
        <v>20.0</v>
      </c>
      <c r="AB214" s="1" t="s">
        <v>79</v>
      </c>
      <c r="AC214" s="1" t="s">
        <v>51</v>
      </c>
      <c r="AD214" s="1" t="s">
        <v>59</v>
      </c>
      <c r="AE214" s="1" t="s">
        <v>51</v>
      </c>
      <c r="AF214" s="1" t="s">
        <v>51</v>
      </c>
      <c r="AG214" s="1" t="s">
        <v>51</v>
      </c>
      <c r="AH214" s="2">
        <v>4.0</v>
      </c>
      <c r="AI214" s="2">
        <v>1.0</v>
      </c>
      <c r="AJ214" s="2">
        <v>0.0</v>
      </c>
      <c r="AK214" s="2">
        <v>0.0</v>
      </c>
      <c r="AL214" s="2">
        <v>0.0</v>
      </c>
      <c r="AM214" s="1" t="s">
        <v>51</v>
      </c>
      <c r="AN214" s="2">
        <v>8.3324428E7</v>
      </c>
      <c r="AP214" s="2">
        <v>4.90195712E8</v>
      </c>
      <c r="AQ214" s="1" t="s">
        <v>342</v>
      </c>
      <c r="AR214" s="2">
        <v>45808.73625</v>
      </c>
      <c r="AU214" s="1" t="s">
        <v>64</v>
      </c>
      <c r="AW214" s="1" t="s">
        <v>255</v>
      </c>
      <c r="AY214" s="2">
        <v>208.0</v>
      </c>
    </row>
    <row r="215">
      <c r="A215" s="1" t="s">
        <v>51</v>
      </c>
      <c r="C215" s="1" t="s">
        <v>131</v>
      </c>
      <c r="E215" s="1" t="s">
        <v>53</v>
      </c>
      <c r="F215" s="1" t="s">
        <v>85</v>
      </c>
      <c r="G215" s="2">
        <v>23.0</v>
      </c>
      <c r="H215" s="1" t="s">
        <v>55</v>
      </c>
      <c r="I215" s="1" t="s">
        <v>76</v>
      </c>
      <c r="J215" s="1" t="s">
        <v>111</v>
      </c>
      <c r="K215" s="1" t="s">
        <v>78</v>
      </c>
      <c r="M215" s="1" t="s">
        <v>58</v>
      </c>
      <c r="N215" s="1" t="s">
        <v>58</v>
      </c>
      <c r="O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88</v>
      </c>
      <c r="Y215" s="1" t="s">
        <v>82</v>
      </c>
      <c r="Z215" s="1" t="s">
        <v>127</v>
      </c>
      <c r="AA215" s="2">
        <v>20.0</v>
      </c>
      <c r="AB215" s="1" t="s">
        <v>79</v>
      </c>
      <c r="AC215" s="1" t="s">
        <v>51</v>
      </c>
      <c r="AD215" s="1" t="s">
        <v>88</v>
      </c>
      <c r="AE215" s="1" t="s">
        <v>51</v>
      </c>
      <c r="AF215" s="1" t="s">
        <v>51</v>
      </c>
      <c r="AG215" s="1" t="s">
        <v>51</v>
      </c>
      <c r="AH215" s="2">
        <v>6.0</v>
      </c>
      <c r="AI215" s="2">
        <v>1.0</v>
      </c>
      <c r="AJ215" s="2">
        <v>0.0</v>
      </c>
      <c r="AK215" s="2">
        <v>0.0</v>
      </c>
      <c r="AL215" s="2">
        <v>0.0</v>
      </c>
      <c r="AM215" s="1" t="s">
        <v>51</v>
      </c>
      <c r="AN215" s="2">
        <v>6.39293953E8</v>
      </c>
      <c r="AP215" s="2">
        <v>4.90196718E8</v>
      </c>
      <c r="AQ215" s="1" t="s">
        <v>343</v>
      </c>
      <c r="AR215" s="2">
        <v>45808.73804398148</v>
      </c>
      <c r="AU215" s="1" t="s">
        <v>64</v>
      </c>
      <c r="AW215" s="1" t="s">
        <v>255</v>
      </c>
      <c r="AY215" s="2">
        <v>209.0</v>
      </c>
    </row>
    <row r="216">
      <c r="A216" s="1" t="s">
        <v>51</v>
      </c>
      <c r="C216" s="1" t="s">
        <v>52</v>
      </c>
      <c r="E216" s="1" t="s">
        <v>52</v>
      </c>
      <c r="G216" s="2">
        <v>44.0</v>
      </c>
      <c r="K216" s="1" t="s">
        <v>87</v>
      </c>
      <c r="N216" s="1" t="s">
        <v>58</v>
      </c>
      <c r="O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70</v>
      </c>
      <c r="V216" s="1" t="s">
        <v>58</v>
      </c>
      <c r="W216" s="1" t="s">
        <v>58</v>
      </c>
      <c r="X216" s="1" t="s">
        <v>81</v>
      </c>
      <c r="Y216" s="1" t="s">
        <v>60</v>
      </c>
      <c r="Z216" s="1" t="s">
        <v>89</v>
      </c>
      <c r="AA216" s="2">
        <v>100.0</v>
      </c>
      <c r="AB216" s="1" t="s">
        <v>62</v>
      </c>
      <c r="AC216" s="1" t="s">
        <v>71</v>
      </c>
      <c r="AF216" s="1" t="s">
        <v>51</v>
      </c>
      <c r="AG216" s="1" t="s">
        <v>72</v>
      </c>
      <c r="AI216" s="2">
        <v>1.0</v>
      </c>
      <c r="AJ216" s="2">
        <v>1.0</v>
      </c>
      <c r="AK216" s="2">
        <v>1.0</v>
      </c>
      <c r="AL216" s="2">
        <v>0.0</v>
      </c>
      <c r="AP216" s="2">
        <v>4.90197763E8</v>
      </c>
      <c r="AQ216" s="1" t="s">
        <v>344</v>
      </c>
      <c r="AR216" s="2">
        <v>45808.739583333336</v>
      </c>
      <c r="AU216" s="1" t="s">
        <v>64</v>
      </c>
      <c r="AW216" s="1" t="s">
        <v>255</v>
      </c>
      <c r="AY216" s="2">
        <v>210.0</v>
      </c>
    </row>
    <row r="217">
      <c r="A217" s="1" t="s">
        <v>51</v>
      </c>
      <c r="C217" s="1" t="s">
        <v>131</v>
      </c>
      <c r="E217" s="1" t="s">
        <v>53</v>
      </c>
      <c r="F217" s="1" t="s">
        <v>345</v>
      </c>
      <c r="G217" s="2">
        <v>25.0</v>
      </c>
      <c r="H217" s="1" t="s">
        <v>66</v>
      </c>
      <c r="I217" s="1" t="s">
        <v>100</v>
      </c>
      <c r="J217" s="1" t="s">
        <v>111</v>
      </c>
      <c r="K217" s="1" t="s">
        <v>78</v>
      </c>
      <c r="M217" s="1" t="s">
        <v>58</v>
      </c>
      <c r="N217" s="1" t="s">
        <v>58</v>
      </c>
      <c r="O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88</v>
      </c>
      <c r="Y217" s="1" t="s">
        <v>95</v>
      </c>
      <c r="Z217" s="1" t="s">
        <v>89</v>
      </c>
      <c r="AA217" s="2">
        <v>10.0</v>
      </c>
      <c r="AB217" s="1" t="s">
        <v>62</v>
      </c>
      <c r="AC217" s="1" t="s">
        <v>51</v>
      </c>
      <c r="AD217" s="1" t="s">
        <v>59</v>
      </c>
      <c r="AE217" s="1" t="s">
        <v>51</v>
      </c>
      <c r="AF217" s="1" t="s">
        <v>51</v>
      </c>
      <c r="AG217" s="1" t="s">
        <v>51</v>
      </c>
      <c r="AH217" s="2">
        <v>2.0</v>
      </c>
      <c r="AI217" s="2">
        <v>1.0</v>
      </c>
      <c r="AJ217" s="2">
        <v>0.0</v>
      </c>
      <c r="AK217" s="2">
        <v>0.0</v>
      </c>
      <c r="AL217" s="2">
        <v>0.0</v>
      </c>
      <c r="AM217" s="1" t="s">
        <v>51</v>
      </c>
      <c r="AN217" s="2">
        <v>7.35090851E8</v>
      </c>
      <c r="AP217" s="2">
        <v>4.90197869E8</v>
      </c>
      <c r="AQ217" s="1" t="s">
        <v>346</v>
      </c>
      <c r="AR217" s="2">
        <v>45808.73974537037</v>
      </c>
      <c r="AU217" s="1" t="s">
        <v>64</v>
      </c>
      <c r="AW217" s="1" t="s">
        <v>255</v>
      </c>
      <c r="AY217" s="2">
        <v>211.0</v>
      </c>
    </row>
    <row r="218">
      <c r="A218" s="1" t="s">
        <v>51</v>
      </c>
      <c r="C218" s="1" t="s">
        <v>347</v>
      </c>
      <c r="E218" s="1" t="s">
        <v>154</v>
      </c>
      <c r="G218" s="2">
        <v>38.0</v>
      </c>
      <c r="H218" s="1" t="s">
        <v>55</v>
      </c>
      <c r="J218" s="1" t="s">
        <v>86</v>
      </c>
      <c r="K218" s="1" t="s">
        <v>87</v>
      </c>
      <c r="M218" s="1" t="s">
        <v>58</v>
      </c>
      <c r="N218" s="1" t="s">
        <v>58</v>
      </c>
      <c r="O218" s="1" t="s">
        <v>58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59</v>
      </c>
      <c r="Y218" s="1" t="s">
        <v>227</v>
      </c>
      <c r="Z218" s="1" t="s">
        <v>89</v>
      </c>
      <c r="AA218" s="2">
        <v>100.0</v>
      </c>
      <c r="AB218" s="1" t="s">
        <v>62</v>
      </c>
      <c r="AC218" s="1" t="s">
        <v>51</v>
      </c>
      <c r="AD218" s="1" t="s">
        <v>81</v>
      </c>
      <c r="AE218" s="1" t="s">
        <v>51</v>
      </c>
      <c r="AF218" s="1" t="s">
        <v>51</v>
      </c>
      <c r="AG218" s="1" t="s">
        <v>51</v>
      </c>
      <c r="AH218" s="2">
        <v>100.0</v>
      </c>
      <c r="AI218" s="2">
        <v>0.0</v>
      </c>
      <c r="AJ218" s="2">
        <v>0.0</v>
      </c>
      <c r="AK218" s="2">
        <v>0.0</v>
      </c>
      <c r="AL218" s="2">
        <v>1.0</v>
      </c>
      <c r="AP218" s="2">
        <v>4.90198157E8</v>
      </c>
      <c r="AQ218" s="1" t="s">
        <v>348</v>
      </c>
      <c r="AR218" s="2">
        <v>45808.74019675926</v>
      </c>
      <c r="AU218" s="1" t="s">
        <v>64</v>
      </c>
      <c r="AW218" s="1" t="s">
        <v>255</v>
      </c>
      <c r="AY218" s="2">
        <v>212.0</v>
      </c>
    </row>
    <row r="219">
      <c r="A219" s="1" t="s">
        <v>51</v>
      </c>
      <c r="C219" s="1" t="s">
        <v>131</v>
      </c>
      <c r="E219" s="1" t="s">
        <v>53</v>
      </c>
      <c r="F219" s="1" t="s">
        <v>291</v>
      </c>
      <c r="G219" s="2">
        <v>27.0</v>
      </c>
      <c r="H219" s="1" t="s">
        <v>55</v>
      </c>
      <c r="I219" s="1" t="s">
        <v>67</v>
      </c>
      <c r="J219" s="1" t="s">
        <v>111</v>
      </c>
      <c r="K219" s="1" t="s">
        <v>78</v>
      </c>
      <c r="M219" s="1" t="s">
        <v>58</v>
      </c>
      <c r="N219" s="1" t="s">
        <v>58</v>
      </c>
      <c r="O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59</v>
      </c>
      <c r="Y219" s="1" t="s">
        <v>172</v>
      </c>
      <c r="Z219" s="1" t="s">
        <v>127</v>
      </c>
      <c r="AA219" s="2">
        <v>30.0</v>
      </c>
      <c r="AB219" s="1" t="s">
        <v>62</v>
      </c>
      <c r="AC219" s="1" t="s">
        <v>51</v>
      </c>
      <c r="AD219" s="1" t="s">
        <v>59</v>
      </c>
      <c r="AE219" s="1" t="s">
        <v>51</v>
      </c>
      <c r="AF219" s="1" t="s">
        <v>51</v>
      </c>
      <c r="AI219" s="2">
        <v>1.0</v>
      </c>
      <c r="AJ219" s="2">
        <v>0.0</v>
      </c>
      <c r="AK219" s="2">
        <v>0.0</v>
      </c>
      <c r="AL219" s="2">
        <v>0.0</v>
      </c>
      <c r="AM219" s="1" t="s">
        <v>51</v>
      </c>
      <c r="AN219" s="2">
        <v>6.9329315E8</v>
      </c>
      <c r="AP219" s="2">
        <v>4.90199022E8</v>
      </c>
      <c r="AQ219" s="1" t="s">
        <v>349</v>
      </c>
      <c r="AR219" s="2">
        <v>45808.741527777776</v>
      </c>
      <c r="AU219" s="1" t="s">
        <v>64</v>
      </c>
      <c r="AW219" s="1" t="s">
        <v>255</v>
      </c>
      <c r="AY219" s="2">
        <v>213.0</v>
      </c>
    </row>
    <row r="220">
      <c r="A220" s="1" t="s">
        <v>51</v>
      </c>
      <c r="C220" s="1" t="s">
        <v>131</v>
      </c>
      <c r="E220" s="1" t="s">
        <v>53</v>
      </c>
      <c r="F220" s="1" t="s">
        <v>350</v>
      </c>
      <c r="G220" s="2">
        <v>29.0</v>
      </c>
      <c r="H220" s="1" t="s">
        <v>66</v>
      </c>
      <c r="I220" s="1" t="s">
        <v>67</v>
      </c>
      <c r="J220" s="1" t="s">
        <v>111</v>
      </c>
      <c r="K220" s="1" t="s">
        <v>57</v>
      </c>
      <c r="M220" s="1" t="s">
        <v>58</v>
      </c>
      <c r="N220" s="1" t="s">
        <v>70</v>
      </c>
      <c r="O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88</v>
      </c>
      <c r="Y220" s="1" t="s">
        <v>82</v>
      </c>
      <c r="Z220" s="1" t="s">
        <v>89</v>
      </c>
      <c r="AA220" s="2">
        <v>10.0</v>
      </c>
      <c r="AB220" s="1" t="s">
        <v>79</v>
      </c>
      <c r="AC220" s="1" t="s">
        <v>51</v>
      </c>
      <c r="AD220" s="1" t="s">
        <v>88</v>
      </c>
      <c r="AF220" s="1" t="s">
        <v>51</v>
      </c>
      <c r="AG220" s="1" t="s">
        <v>51</v>
      </c>
      <c r="AI220" s="2">
        <v>1.0</v>
      </c>
      <c r="AJ220" s="2">
        <v>0.0</v>
      </c>
      <c r="AK220" s="2">
        <v>0.0</v>
      </c>
      <c r="AL220" s="2">
        <v>0.0</v>
      </c>
      <c r="AM220" s="1" t="s">
        <v>51</v>
      </c>
      <c r="AN220" s="2">
        <v>7.69616023E8</v>
      </c>
      <c r="AP220" s="2">
        <v>4.90201666E8</v>
      </c>
      <c r="AQ220" s="1" t="s">
        <v>351</v>
      </c>
      <c r="AR220" s="2">
        <v>45808.74564814815</v>
      </c>
      <c r="AU220" s="1" t="s">
        <v>64</v>
      </c>
      <c r="AW220" s="1" t="s">
        <v>255</v>
      </c>
      <c r="AY220" s="2">
        <v>214.0</v>
      </c>
    </row>
    <row r="221">
      <c r="A221" s="1" t="s">
        <v>51</v>
      </c>
      <c r="C221" s="1" t="s">
        <v>131</v>
      </c>
      <c r="E221" s="1" t="s">
        <v>53</v>
      </c>
      <c r="F221" s="1" t="s">
        <v>85</v>
      </c>
      <c r="G221" s="2">
        <v>21.0</v>
      </c>
      <c r="H221" s="1" t="s">
        <v>55</v>
      </c>
      <c r="I221" s="1" t="s">
        <v>100</v>
      </c>
      <c r="K221" s="1" t="s">
        <v>57</v>
      </c>
      <c r="M221" s="1" t="s">
        <v>70</v>
      </c>
      <c r="N221" s="1" t="s">
        <v>58</v>
      </c>
      <c r="O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70</v>
      </c>
      <c r="V221" s="1" t="s">
        <v>58</v>
      </c>
      <c r="X221" s="1" t="s">
        <v>88</v>
      </c>
      <c r="Y221" s="1" t="s">
        <v>82</v>
      </c>
      <c r="Z221" s="1" t="s">
        <v>89</v>
      </c>
      <c r="AA221" s="2">
        <v>20.0</v>
      </c>
      <c r="AB221" s="1" t="s">
        <v>62</v>
      </c>
      <c r="AC221" s="1" t="s">
        <v>51</v>
      </c>
      <c r="AD221" s="1" t="s">
        <v>59</v>
      </c>
      <c r="AE221" s="1" t="s">
        <v>51</v>
      </c>
      <c r="AF221" s="1" t="s">
        <v>51</v>
      </c>
      <c r="AG221" s="1" t="s">
        <v>51</v>
      </c>
      <c r="AH221" s="2">
        <v>4.0</v>
      </c>
      <c r="AI221" s="2">
        <v>1.0</v>
      </c>
      <c r="AJ221" s="2">
        <v>0.0</v>
      </c>
      <c r="AK221" s="2">
        <v>0.0</v>
      </c>
      <c r="AL221" s="2">
        <v>0.0</v>
      </c>
      <c r="AM221" s="1" t="s">
        <v>51</v>
      </c>
      <c r="AN221" s="2">
        <v>6.58208359E8</v>
      </c>
      <c r="AP221" s="2">
        <v>4.90202815E8</v>
      </c>
      <c r="AQ221" s="1" t="s">
        <v>352</v>
      </c>
      <c r="AR221" s="2">
        <v>45808.747453703705</v>
      </c>
      <c r="AU221" s="1" t="s">
        <v>64</v>
      </c>
      <c r="AW221" s="1" t="s">
        <v>255</v>
      </c>
      <c r="AY221" s="2">
        <v>215.0</v>
      </c>
    </row>
    <row r="222">
      <c r="A222" s="1" t="s">
        <v>51</v>
      </c>
      <c r="C222" s="1" t="s">
        <v>131</v>
      </c>
      <c r="E222" s="1" t="s">
        <v>53</v>
      </c>
      <c r="F222" s="1" t="s">
        <v>85</v>
      </c>
      <c r="G222" s="2">
        <v>26.0</v>
      </c>
      <c r="H222" s="1" t="s">
        <v>55</v>
      </c>
      <c r="I222" s="1" t="s">
        <v>100</v>
      </c>
      <c r="J222" s="1" t="s">
        <v>68</v>
      </c>
      <c r="K222" s="1" t="s">
        <v>57</v>
      </c>
      <c r="M222" s="1" t="s">
        <v>58</v>
      </c>
      <c r="N222" s="1" t="s">
        <v>58</v>
      </c>
      <c r="O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81</v>
      </c>
      <c r="Y222" s="1" t="s">
        <v>82</v>
      </c>
      <c r="Z222" s="1" t="s">
        <v>89</v>
      </c>
      <c r="AA222" s="2">
        <v>40.0</v>
      </c>
      <c r="AB222" s="1" t="s">
        <v>62</v>
      </c>
      <c r="AC222" s="1" t="s">
        <v>51</v>
      </c>
      <c r="AD222" s="1" t="s">
        <v>81</v>
      </c>
      <c r="AE222" s="1" t="s">
        <v>51</v>
      </c>
      <c r="AF222" s="1" t="s">
        <v>51</v>
      </c>
      <c r="AG222" s="1" t="s">
        <v>51</v>
      </c>
      <c r="AH222" s="2">
        <v>3.0</v>
      </c>
      <c r="AI222" s="2">
        <v>1.0</v>
      </c>
      <c r="AJ222" s="2">
        <v>0.0</v>
      </c>
      <c r="AK222" s="2">
        <v>0.0</v>
      </c>
      <c r="AL222" s="2">
        <v>0.0</v>
      </c>
      <c r="AM222" s="1" t="s">
        <v>51</v>
      </c>
      <c r="AN222" s="2">
        <v>7.33428072E8</v>
      </c>
      <c r="AP222" s="2">
        <v>4.9020474E8</v>
      </c>
      <c r="AQ222" s="1" t="s">
        <v>353</v>
      </c>
      <c r="AR222" s="2">
        <v>45808.75047453704</v>
      </c>
      <c r="AU222" s="1" t="s">
        <v>64</v>
      </c>
      <c r="AW222" s="1" t="s">
        <v>255</v>
      </c>
      <c r="AY222" s="2">
        <v>216.0</v>
      </c>
    </row>
    <row r="223">
      <c r="A223" s="1" t="s">
        <v>51</v>
      </c>
      <c r="C223" s="1" t="s">
        <v>131</v>
      </c>
      <c r="E223" s="1" t="s">
        <v>53</v>
      </c>
      <c r="F223" s="1" t="s">
        <v>85</v>
      </c>
      <c r="G223" s="2">
        <v>25.0</v>
      </c>
      <c r="H223" s="1" t="s">
        <v>55</v>
      </c>
      <c r="I223" s="1" t="s">
        <v>67</v>
      </c>
      <c r="J223" s="1" t="s">
        <v>111</v>
      </c>
      <c r="K223" s="1" t="s">
        <v>57</v>
      </c>
      <c r="M223" s="1" t="s">
        <v>58</v>
      </c>
      <c r="N223" s="1" t="s">
        <v>58</v>
      </c>
      <c r="O223" s="1" t="s">
        <v>58</v>
      </c>
      <c r="Q223" s="1" t="s">
        <v>58</v>
      </c>
      <c r="R223" s="1" t="s">
        <v>70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88</v>
      </c>
      <c r="Y223" s="1" t="s">
        <v>82</v>
      </c>
      <c r="Z223" s="1" t="s">
        <v>89</v>
      </c>
      <c r="AA223" s="2">
        <v>20.0</v>
      </c>
      <c r="AB223" s="1" t="s">
        <v>79</v>
      </c>
      <c r="AC223" s="1" t="s">
        <v>51</v>
      </c>
      <c r="AD223" s="1" t="s">
        <v>59</v>
      </c>
      <c r="AE223" s="1" t="s">
        <v>51</v>
      </c>
      <c r="AF223" s="1" t="s">
        <v>51</v>
      </c>
      <c r="AG223" s="1" t="s">
        <v>51</v>
      </c>
      <c r="AH223" s="2">
        <v>20.0</v>
      </c>
      <c r="AI223" s="2">
        <v>1.0</v>
      </c>
      <c r="AJ223" s="2">
        <v>0.0</v>
      </c>
      <c r="AK223" s="2">
        <v>0.0</v>
      </c>
      <c r="AL223" s="2">
        <v>0.0</v>
      </c>
      <c r="AM223" s="1" t="s">
        <v>51</v>
      </c>
      <c r="AN223" s="2">
        <v>7.10434171E8</v>
      </c>
      <c r="AP223" s="2">
        <v>4.90206995E8</v>
      </c>
      <c r="AQ223" s="1" t="s">
        <v>354</v>
      </c>
      <c r="AR223" s="2">
        <v>45808.75423611111</v>
      </c>
      <c r="AU223" s="1" t="s">
        <v>64</v>
      </c>
      <c r="AW223" s="1" t="s">
        <v>255</v>
      </c>
      <c r="AY223" s="2">
        <v>217.0</v>
      </c>
    </row>
    <row r="224">
      <c r="A224" s="1" t="s">
        <v>51</v>
      </c>
      <c r="C224" s="1" t="s">
        <v>131</v>
      </c>
      <c r="E224" s="1" t="s">
        <v>53</v>
      </c>
      <c r="F224" s="1" t="s">
        <v>85</v>
      </c>
      <c r="G224" s="2">
        <v>21.0</v>
      </c>
      <c r="H224" s="1" t="s">
        <v>66</v>
      </c>
      <c r="I224" s="1" t="s">
        <v>100</v>
      </c>
      <c r="J224" s="1" t="s">
        <v>111</v>
      </c>
      <c r="K224" s="1" t="s">
        <v>57</v>
      </c>
      <c r="M224" s="1" t="s">
        <v>58</v>
      </c>
      <c r="N224" s="1" t="s">
        <v>58</v>
      </c>
      <c r="O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59</v>
      </c>
      <c r="Y224" s="1" t="s">
        <v>60</v>
      </c>
      <c r="AA224" s="2">
        <v>20.0</v>
      </c>
      <c r="AB224" s="1" t="s">
        <v>62</v>
      </c>
      <c r="AC224" s="1" t="s">
        <v>51</v>
      </c>
      <c r="AD224" s="1" t="s">
        <v>88</v>
      </c>
      <c r="AE224" s="1" t="s">
        <v>51</v>
      </c>
      <c r="AF224" s="1" t="s">
        <v>51</v>
      </c>
      <c r="AG224" s="1" t="s">
        <v>51</v>
      </c>
      <c r="AH224" s="2">
        <v>20.0</v>
      </c>
      <c r="AI224" s="2">
        <v>1.0</v>
      </c>
      <c r="AJ224" s="2">
        <v>0.0</v>
      </c>
      <c r="AK224" s="2">
        <v>0.0</v>
      </c>
      <c r="AL224" s="2">
        <v>0.0</v>
      </c>
      <c r="AM224" s="1" t="s">
        <v>51</v>
      </c>
      <c r="AN224" s="2">
        <v>6.311026E8</v>
      </c>
      <c r="AP224" s="2">
        <v>4.90208705E8</v>
      </c>
      <c r="AQ224" s="1" t="s">
        <v>355</v>
      </c>
      <c r="AR224" s="2">
        <v>45808.75724537037</v>
      </c>
      <c r="AU224" s="1" t="s">
        <v>64</v>
      </c>
      <c r="AW224" s="1" t="s">
        <v>255</v>
      </c>
      <c r="AY224" s="2">
        <v>218.0</v>
      </c>
    </row>
    <row r="225">
      <c r="A225" s="1" t="s">
        <v>51</v>
      </c>
      <c r="C225" s="1" t="s">
        <v>52</v>
      </c>
      <c r="E225" s="1" t="s">
        <v>52</v>
      </c>
      <c r="G225" s="2">
        <v>29.0</v>
      </c>
      <c r="H225" s="1" t="s">
        <v>66</v>
      </c>
      <c r="J225" s="1" t="s">
        <v>56</v>
      </c>
      <c r="K225" s="1" t="s">
        <v>87</v>
      </c>
      <c r="M225" s="1" t="s">
        <v>58</v>
      </c>
      <c r="N225" s="1" t="s">
        <v>58</v>
      </c>
      <c r="O225" s="1" t="s">
        <v>58</v>
      </c>
      <c r="Q225" s="1" t="s">
        <v>58</v>
      </c>
      <c r="R225" s="1" t="s">
        <v>58</v>
      </c>
      <c r="S225" s="1" t="s">
        <v>69</v>
      </c>
      <c r="T225" s="1" t="s">
        <v>69</v>
      </c>
      <c r="U225" s="1" t="s">
        <v>58</v>
      </c>
      <c r="V225" s="1" t="s">
        <v>69</v>
      </c>
      <c r="W225" s="1" t="s">
        <v>69</v>
      </c>
      <c r="X225" s="1" t="s">
        <v>88</v>
      </c>
      <c r="Y225" s="1" t="s">
        <v>95</v>
      </c>
      <c r="Z225" s="1" t="s">
        <v>89</v>
      </c>
      <c r="AA225" s="2">
        <v>30.0</v>
      </c>
      <c r="AB225" s="1" t="s">
        <v>62</v>
      </c>
      <c r="AC225" s="1" t="s">
        <v>51</v>
      </c>
      <c r="AD225" s="1" t="s">
        <v>81</v>
      </c>
      <c r="AE225" s="1" t="s">
        <v>72</v>
      </c>
      <c r="AF225" s="1" t="s">
        <v>51</v>
      </c>
      <c r="AG225" s="1" t="s">
        <v>51</v>
      </c>
      <c r="AH225" s="2">
        <v>5000.0</v>
      </c>
      <c r="AI225" s="2">
        <v>0.0</v>
      </c>
      <c r="AJ225" s="2">
        <v>0.0</v>
      </c>
      <c r="AK225" s="2">
        <v>1.0</v>
      </c>
      <c r="AL225" s="2">
        <v>0.0</v>
      </c>
      <c r="AP225" s="2">
        <v>4.9022804E8</v>
      </c>
      <c r="AQ225" s="1" t="s">
        <v>356</v>
      </c>
      <c r="AR225" s="2">
        <v>45808.79471064815</v>
      </c>
      <c r="AU225" s="1" t="s">
        <v>64</v>
      </c>
      <c r="AW225" s="1" t="s">
        <v>255</v>
      </c>
      <c r="AY225" s="2">
        <v>219.0</v>
      </c>
    </row>
    <row r="226">
      <c r="A226" s="1" t="s">
        <v>51</v>
      </c>
      <c r="C226" s="1" t="s">
        <v>53</v>
      </c>
      <c r="E226" s="1" t="s">
        <v>53</v>
      </c>
      <c r="F226" s="1" t="s">
        <v>54</v>
      </c>
      <c r="G226" s="2">
        <v>29.0</v>
      </c>
      <c r="H226" s="1" t="s">
        <v>55</v>
      </c>
      <c r="I226" s="1" t="s">
        <v>121</v>
      </c>
      <c r="J226" s="1" t="s">
        <v>86</v>
      </c>
      <c r="K226" s="1" t="s">
        <v>87</v>
      </c>
      <c r="M226" s="1" t="s">
        <v>58</v>
      </c>
      <c r="N226" s="1" t="s">
        <v>58</v>
      </c>
      <c r="O226" s="1" t="s">
        <v>58</v>
      </c>
      <c r="Q226" s="1" t="s">
        <v>58</v>
      </c>
      <c r="R226" s="1" t="s">
        <v>58</v>
      </c>
      <c r="S226" s="1" t="s">
        <v>69</v>
      </c>
      <c r="T226" s="1" t="s">
        <v>58</v>
      </c>
      <c r="U226" s="1" t="s">
        <v>58</v>
      </c>
      <c r="V226" s="1" t="s">
        <v>58</v>
      </c>
      <c r="W226" s="1" t="s">
        <v>69</v>
      </c>
      <c r="X226" s="1" t="s">
        <v>81</v>
      </c>
      <c r="Y226" s="1" t="s">
        <v>227</v>
      </c>
      <c r="Z226" s="1" t="s">
        <v>89</v>
      </c>
      <c r="AA226" s="2">
        <v>100.0</v>
      </c>
      <c r="AB226" s="1" t="s">
        <v>79</v>
      </c>
      <c r="AC226" s="1" t="s">
        <v>71</v>
      </c>
      <c r="AF226" s="1" t="s">
        <v>51</v>
      </c>
      <c r="AG226" s="1" t="s">
        <v>51</v>
      </c>
      <c r="AH226" s="2">
        <v>2000.0</v>
      </c>
      <c r="AI226" s="2">
        <v>1.0</v>
      </c>
      <c r="AJ226" s="2">
        <v>1.0</v>
      </c>
      <c r="AK226" s="2">
        <v>1.0</v>
      </c>
      <c r="AL226" s="2">
        <v>1.0</v>
      </c>
      <c r="AM226" s="1" t="s">
        <v>51</v>
      </c>
      <c r="AN226" s="2">
        <v>7.11949267E8</v>
      </c>
      <c r="AP226" s="2">
        <v>4.90254059E8</v>
      </c>
      <c r="AQ226" s="1" t="s">
        <v>357</v>
      </c>
      <c r="AR226" s="2">
        <v>45808.8659375</v>
      </c>
      <c r="AU226" s="1" t="s">
        <v>64</v>
      </c>
      <c r="AW226" s="1" t="s">
        <v>255</v>
      </c>
      <c r="AY226" s="2">
        <v>220.0</v>
      </c>
    </row>
    <row r="227">
      <c r="A227" s="1" t="s">
        <v>51</v>
      </c>
      <c r="C227" s="1" t="s">
        <v>52</v>
      </c>
      <c r="E227" s="1" t="s">
        <v>53</v>
      </c>
      <c r="F227" s="1" t="s">
        <v>54</v>
      </c>
      <c r="G227" s="2">
        <v>48.0</v>
      </c>
      <c r="H227" s="1" t="s">
        <v>66</v>
      </c>
      <c r="I227" s="1" t="s">
        <v>67</v>
      </c>
      <c r="J227" s="1" t="s">
        <v>86</v>
      </c>
      <c r="K227" s="1" t="s">
        <v>87</v>
      </c>
      <c r="M227" s="1" t="s">
        <v>58</v>
      </c>
      <c r="N227" s="1" t="s">
        <v>58</v>
      </c>
      <c r="O227" s="1" t="s">
        <v>58</v>
      </c>
      <c r="Q227" s="1" t="s">
        <v>69</v>
      </c>
      <c r="R227" s="1" t="s">
        <v>58</v>
      </c>
      <c r="S227" s="1" t="s">
        <v>69</v>
      </c>
      <c r="T227" s="1" t="s">
        <v>58</v>
      </c>
      <c r="U227" s="1" t="s">
        <v>69</v>
      </c>
      <c r="V227" s="1" t="s">
        <v>58</v>
      </c>
      <c r="W227" s="1" t="s">
        <v>69</v>
      </c>
      <c r="X227" s="1" t="s">
        <v>88</v>
      </c>
      <c r="Y227" s="1" t="s">
        <v>95</v>
      </c>
      <c r="AC227" s="1" t="s">
        <v>71</v>
      </c>
      <c r="AF227" s="1" t="s">
        <v>51</v>
      </c>
      <c r="AI227" s="2">
        <v>0.0</v>
      </c>
      <c r="AJ227" s="2">
        <v>0.0</v>
      </c>
      <c r="AK227" s="2">
        <v>0.0</v>
      </c>
      <c r="AL227" s="2">
        <v>1.0</v>
      </c>
      <c r="AM227" s="1" t="s">
        <v>51</v>
      </c>
      <c r="AN227" s="2">
        <v>7.35260674E8</v>
      </c>
      <c r="AP227" s="2">
        <v>4.90347458E8</v>
      </c>
      <c r="AQ227" s="1" t="s">
        <v>358</v>
      </c>
      <c r="AR227" s="2">
        <v>45809.29672453704</v>
      </c>
      <c r="AU227" s="1" t="s">
        <v>64</v>
      </c>
      <c r="AW227" s="1" t="s">
        <v>255</v>
      </c>
      <c r="AY227" s="2">
        <v>221.0</v>
      </c>
    </row>
    <row r="228">
      <c r="A228" s="1" t="s">
        <v>51</v>
      </c>
      <c r="C228" s="1" t="s">
        <v>52</v>
      </c>
      <c r="E228" s="1" t="s">
        <v>53</v>
      </c>
      <c r="F228" s="1" t="s">
        <v>94</v>
      </c>
      <c r="G228" s="2">
        <v>32.0</v>
      </c>
      <c r="H228" s="1" t="s">
        <v>55</v>
      </c>
      <c r="I228" s="1" t="s">
        <v>67</v>
      </c>
      <c r="J228" s="1" t="s">
        <v>111</v>
      </c>
      <c r="K228" s="1" t="s">
        <v>87</v>
      </c>
      <c r="M228" s="1" t="s">
        <v>58</v>
      </c>
      <c r="N228" s="1" t="s">
        <v>58</v>
      </c>
      <c r="O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103</v>
      </c>
      <c r="Y228" s="1" t="s">
        <v>60</v>
      </c>
      <c r="Z228" s="1" t="s">
        <v>61</v>
      </c>
      <c r="AA228" s="2">
        <v>100.0</v>
      </c>
      <c r="AB228" s="1" t="s">
        <v>79</v>
      </c>
      <c r="AC228" s="1" t="s">
        <v>72</v>
      </c>
      <c r="AF228" s="1" t="s">
        <v>51</v>
      </c>
      <c r="AG228" s="1" t="s">
        <v>72</v>
      </c>
      <c r="AI228" s="2">
        <v>0.0</v>
      </c>
      <c r="AJ228" s="2">
        <v>0.0</v>
      </c>
      <c r="AK228" s="2">
        <v>0.0</v>
      </c>
      <c r="AL228" s="2">
        <v>1.0</v>
      </c>
      <c r="AM228" s="1" t="s">
        <v>51</v>
      </c>
      <c r="AN228" s="1" t="s">
        <v>359</v>
      </c>
      <c r="AP228" s="2">
        <v>4.90355534E8</v>
      </c>
      <c r="AQ228" s="1" t="s">
        <v>360</v>
      </c>
      <c r="AR228" s="2">
        <v>45809.317928240744</v>
      </c>
      <c r="AU228" s="1" t="s">
        <v>64</v>
      </c>
      <c r="AW228" s="1" t="s">
        <v>255</v>
      </c>
      <c r="AY228" s="2">
        <v>222.0</v>
      </c>
    </row>
    <row r="229">
      <c r="A229" s="1" t="s">
        <v>51</v>
      </c>
      <c r="C229" s="1" t="s">
        <v>151</v>
      </c>
      <c r="E229" s="1" t="s">
        <v>151</v>
      </c>
      <c r="G229" s="2">
        <v>36.0</v>
      </c>
      <c r="H229" s="1" t="s">
        <v>66</v>
      </c>
      <c r="J229" s="1" t="s">
        <v>86</v>
      </c>
      <c r="K229" s="1" t="s">
        <v>87</v>
      </c>
      <c r="M229" s="1" t="s">
        <v>58</v>
      </c>
      <c r="N229" s="1" t="s">
        <v>58</v>
      </c>
      <c r="O229" s="1" t="s">
        <v>58</v>
      </c>
      <c r="Q229" s="1" t="s">
        <v>58</v>
      </c>
      <c r="R229" s="1" t="s">
        <v>58</v>
      </c>
      <c r="S229" s="1" t="s">
        <v>69</v>
      </c>
      <c r="T229" s="1" t="s">
        <v>69</v>
      </c>
      <c r="U229" s="1" t="s">
        <v>58</v>
      </c>
      <c r="V229" s="1" t="s">
        <v>58</v>
      </c>
      <c r="W229" s="1" t="s">
        <v>69</v>
      </c>
      <c r="X229" s="1" t="s">
        <v>81</v>
      </c>
      <c r="Y229" s="1" t="s">
        <v>60</v>
      </c>
      <c r="Z229" s="1" t="s">
        <v>89</v>
      </c>
      <c r="AA229" s="2">
        <v>50.0</v>
      </c>
      <c r="AB229" s="1" t="s">
        <v>79</v>
      </c>
      <c r="AC229" s="1" t="s">
        <v>71</v>
      </c>
      <c r="AF229" s="1" t="s">
        <v>51</v>
      </c>
      <c r="AG229" s="1" t="s">
        <v>72</v>
      </c>
      <c r="AI229" s="2">
        <v>1.0</v>
      </c>
      <c r="AJ229" s="2">
        <v>0.0</v>
      </c>
      <c r="AK229" s="2">
        <v>0.0</v>
      </c>
      <c r="AL229" s="2">
        <v>0.0</v>
      </c>
      <c r="AP229" s="2">
        <v>4.90371203E8</v>
      </c>
      <c r="AQ229" s="1" t="s">
        <v>361</v>
      </c>
      <c r="AR229" s="2">
        <v>45809.35847222222</v>
      </c>
      <c r="AU229" s="1" t="s">
        <v>64</v>
      </c>
      <c r="AW229" s="1" t="s">
        <v>255</v>
      </c>
      <c r="AY229" s="2">
        <v>223.0</v>
      </c>
    </row>
    <row r="230">
      <c r="A230" s="1" t="s">
        <v>51</v>
      </c>
      <c r="C230" s="1" t="s">
        <v>151</v>
      </c>
      <c r="E230" s="1" t="s">
        <v>53</v>
      </c>
      <c r="F230" s="1" t="s">
        <v>232</v>
      </c>
      <c r="G230" s="2">
        <v>37.0</v>
      </c>
      <c r="H230" s="1" t="s">
        <v>55</v>
      </c>
      <c r="I230" s="1" t="s">
        <v>67</v>
      </c>
      <c r="J230" s="1" t="s">
        <v>111</v>
      </c>
      <c r="K230" s="1" t="s">
        <v>74</v>
      </c>
      <c r="M230" s="1" t="s">
        <v>58</v>
      </c>
      <c r="N230" s="1" t="s">
        <v>58</v>
      </c>
      <c r="O230" s="1" t="s">
        <v>69</v>
      </c>
      <c r="Q230" s="1" t="s">
        <v>69</v>
      </c>
      <c r="R230" s="1" t="s">
        <v>58</v>
      </c>
      <c r="S230" s="1" t="s">
        <v>58</v>
      </c>
      <c r="T230" s="1" t="s">
        <v>69</v>
      </c>
      <c r="U230" s="1" t="s">
        <v>70</v>
      </c>
      <c r="V230" s="1" t="s">
        <v>58</v>
      </c>
      <c r="W230" s="1" t="s">
        <v>69</v>
      </c>
      <c r="X230" s="1" t="s">
        <v>81</v>
      </c>
      <c r="Y230" s="1" t="s">
        <v>82</v>
      </c>
      <c r="Z230" s="1" t="s">
        <v>89</v>
      </c>
      <c r="AA230" s="2">
        <v>100.0</v>
      </c>
      <c r="AB230" s="1" t="s">
        <v>62</v>
      </c>
      <c r="AC230" s="1" t="s">
        <v>51</v>
      </c>
      <c r="AD230" s="1" t="s">
        <v>81</v>
      </c>
      <c r="AE230" s="1" t="s">
        <v>51</v>
      </c>
      <c r="AF230" s="1" t="s">
        <v>51</v>
      </c>
      <c r="AG230" s="1" t="s">
        <v>72</v>
      </c>
      <c r="AI230" s="2">
        <v>1.0</v>
      </c>
      <c r="AJ230" s="2">
        <v>1.0</v>
      </c>
      <c r="AK230" s="2">
        <v>1.0</v>
      </c>
      <c r="AL230" s="2">
        <v>0.0</v>
      </c>
      <c r="AM230" s="1" t="s">
        <v>51</v>
      </c>
      <c r="AN230" s="2">
        <v>7.83579949E8</v>
      </c>
      <c r="AP230" s="2">
        <v>4.90398613E8</v>
      </c>
      <c r="AQ230" s="1" t="s">
        <v>362</v>
      </c>
      <c r="AR230" s="2">
        <v>45809.41784722222</v>
      </c>
      <c r="AU230" s="1" t="s">
        <v>64</v>
      </c>
      <c r="AW230" s="1" t="s">
        <v>191</v>
      </c>
      <c r="AY230" s="2">
        <v>224.0</v>
      </c>
    </row>
    <row r="231">
      <c r="A231" s="1" t="s">
        <v>51</v>
      </c>
      <c r="C231" s="1" t="s">
        <v>131</v>
      </c>
      <c r="E231" s="1" t="s">
        <v>53</v>
      </c>
      <c r="F231" s="1" t="s">
        <v>54</v>
      </c>
      <c r="G231" s="2">
        <v>34.0</v>
      </c>
      <c r="H231" s="1" t="s">
        <v>66</v>
      </c>
      <c r="I231" s="1" t="s">
        <v>67</v>
      </c>
      <c r="J231" s="1" t="s">
        <v>56</v>
      </c>
      <c r="K231" s="1" t="s">
        <v>74</v>
      </c>
      <c r="M231" s="1" t="s">
        <v>58</v>
      </c>
      <c r="N231" s="1" t="s">
        <v>58</v>
      </c>
      <c r="O231" s="1" t="s">
        <v>69</v>
      </c>
      <c r="Q231" s="1" t="s">
        <v>58</v>
      </c>
      <c r="R231" s="1" t="s">
        <v>58</v>
      </c>
      <c r="S231" s="1" t="s">
        <v>70</v>
      </c>
      <c r="T231" s="1" t="s">
        <v>70</v>
      </c>
      <c r="U231" s="1" t="s">
        <v>58</v>
      </c>
      <c r="V231" s="1" t="s">
        <v>58</v>
      </c>
      <c r="W231" s="1" t="s">
        <v>69</v>
      </c>
      <c r="X231" s="1" t="s">
        <v>81</v>
      </c>
      <c r="Y231" s="1" t="s">
        <v>172</v>
      </c>
      <c r="Z231" s="1" t="s">
        <v>108</v>
      </c>
      <c r="AA231" s="2">
        <v>50.0</v>
      </c>
      <c r="AB231" s="1" t="s">
        <v>79</v>
      </c>
      <c r="AC231" s="1" t="s">
        <v>71</v>
      </c>
      <c r="AF231" s="1" t="s">
        <v>51</v>
      </c>
      <c r="AG231" s="1" t="s">
        <v>51</v>
      </c>
      <c r="AH231" s="2">
        <v>300.0</v>
      </c>
      <c r="AI231" s="2">
        <v>0.0</v>
      </c>
      <c r="AJ231" s="2">
        <v>0.0</v>
      </c>
      <c r="AK231" s="2">
        <v>1.0</v>
      </c>
      <c r="AL231" s="2">
        <v>0.0</v>
      </c>
      <c r="AM231" s="1" t="s">
        <v>51</v>
      </c>
      <c r="AN231" s="2">
        <v>7.87607612E8</v>
      </c>
      <c r="AP231" s="2">
        <v>4.90400697E8</v>
      </c>
      <c r="AQ231" s="1" t="s">
        <v>363</v>
      </c>
      <c r="AR231" s="2">
        <v>45809.421006944445</v>
      </c>
      <c r="AU231" s="1" t="s">
        <v>64</v>
      </c>
      <c r="AW231" s="1" t="s">
        <v>255</v>
      </c>
      <c r="AY231" s="2">
        <v>225.0</v>
      </c>
    </row>
    <row r="232">
      <c r="A232" s="1" t="s">
        <v>51</v>
      </c>
      <c r="C232" s="1" t="s">
        <v>151</v>
      </c>
      <c r="E232" s="1" t="s">
        <v>53</v>
      </c>
      <c r="F232" s="1" t="s">
        <v>102</v>
      </c>
      <c r="G232" s="2">
        <v>24.0</v>
      </c>
      <c r="H232" s="1" t="s">
        <v>66</v>
      </c>
      <c r="I232" s="1" t="s">
        <v>100</v>
      </c>
      <c r="J232" s="1" t="s">
        <v>68</v>
      </c>
      <c r="K232" s="1" t="s">
        <v>74</v>
      </c>
      <c r="M232" s="1" t="s">
        <v>58</v>
      </c>
      <c r="N232" s="1" t="s">
        <v>58</v>
      </c>
      <c r="O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70</v>
      </c>
      <c r="V232" s="1" t="s">
        <v>58</v>
      </c>
      <c r="W232" s="1" t="s">
        <v>69</v>
      </c>
      <c r="X232" s="1" t="s">
        <v>81</v>
      </c>
      <c r="Y232" s="1" t="s">
        <v>60</v>
      </c>
      <c r="Z232" s="1" t="s">
        <v>61</v>
      </c>
      <c r="AA232" s="2">
        <v>10.0</v>
      </c>
      <c r="AB232" s="1" t="s">
        <v>79</v>
      </c>
      <c r="AC232" s="1" t="s">
        <v>71</v>
      </c>
      <c r="AF232" s="1" t="s">
        <v>51</v>
      </c>
      <c r="AG232" s="1" t="s">
        <v>51</v>
      </c>
      <c r="AH232" s="2">
        <v>1000.0</v>
      </c>
      <c r="AI232" s="2">
        <v>0.0</v>
      </c>
      <c r="AJ232" s="2">
        <v>0.0</v>
      </c>
      <c r="AK232" s="2">
        <v>0.0</v>
      </c>
      <c r="AL232" s="2">
        <v>1.0</v>
      </c>
      <c r="AM232" s="1" t="s">
        <v>51</v>
      </c>
      <c r="AN232" s="2">
        <v>6.05632909E8</v>
      </c>
      <c r="AP232" s="2">
        <v>4.9040118E8</v>
      </c>
      <c r="AQ232" s="1" t="s">
        <v>364</v>
      </c>
      <c r="AR232" s="2">
        <v>45809.42184027778</v>
      </c>
      <c r="AU232" s="1" t="s">
        <v>64</v>
      </c>
      <c r="AW232" s="1" t="s">
        <v>255</v>
      </c>
      <c r="AY232" s="2">
        <v>226.0</v>
      </c>
    </row>
    <row r="233">
      <c r="A233" s="1" t="s">
        <v>51</v>
      </c>
      <c r="C233" s="1" t="s">
        <v>131</v>
      </c>
      <c r="E233" s="1" t="s">
        <v>53</v>
      </c>
      <c r="F233" s="1" t="s">
        <v>54</v>
      </c>
      <c r="G233" s="2">
        <v>25.0</v>
      </c>
      <c r="H233" s="1" t="s">
        <v>55</v>
      </c>
      <c r="I233" s="1" t="s">
        <v>100</v>
      </c>
      <c r="J233" s="1" t="s">
        <v>56</v>
      </c>
      <c r="K233" s="1" t="s">
        <v>74</v>
      </c>
      <c r="M233" s="1" t="s">
        <v>58</v>
      </c>
      <c r="N233" s="1" t="s">
        <v>58</v>
      </c>
      <c r="O233" s="1" t="s">
        <v>58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58</v>
      </c>
      <c r="X233" s="1" t="s">
        <v>81</v>
      </c>
      <c r="Y233" s="1" t="s">
        <v>60</v>
      </c>
      <c r="Z233" s="1" t="s">
        <v>108</v>
      </c>
      <c r="AA233" s="2">
        <v>50.0</v>
      </c>
      <c r="AB233" s="1" t="s">
        <v>28</v>
      </c>
      <c r="AC233" s="1" t="s">
        <v>71</v>
      </c>
      <c r="AF233" s="1" t="s">
        <v>51</v>
      </c>
      <c r="AG233" s="1" t="s">
        <v>51</v>
      </c>
      <c r="AH233" s="2">
        <v>250.0</v>
      </c>
      <c r="AI233" s="2">
        <v>0.0</v>
      </c>
      <c r="AJ233" s="2">
        <v>0.0</v>
      </c>
      <c r="AK233" s="2">
        <v>0.0</v>
      </c>
      <c r="AL233" s="2">
        <v>1.0</v>
      </c>
      <c r="AM233" s="1" t="s">
        <v>51</v>
      </c>
      <c r="AN233" s="2">
        <v>6.74566012E8</v>
      </c>
      <c r="AP233" s="2">
        <v>4.90402922E8</v>
      </c>
      <c r="AQ233" s="1" t="s">
        <v>365</v>
      </c>
      <c r="AR233" s="2">
        <v>45809.4252662037</v>
      </c>
      <c r="AU233" s="1" t="s">
        <v>64</v>
      </c>
      <c r="AW233" s="1" t="s">
        <v>255</v>
      </c>
      <c r="AY233" s="2">
        <v>227.0</v>
      </c>
    </row>
    <row r="234">
      <c r="A234" s="1" t="s">
        <v>51</v>
      </c>
      <c r="C234" s="1" t="s">
        <v>131</v>
      </c>
      <c r="E234" s="1" t="s">
        <v>53</v>
      </c>
      <c r="F234" s="1" t="s">
        <v>54</v>
      </c>
      <c r="G234" s="2">
        <v>39.0</v>
      </c>
      <c r="H234" s="1" t="s">
        <v>55</v>
      </c>
      <c r="I234" s="1" t="s">
        <v>67</v>
      </c>
      <c r="J234" s="1" t="s">
        <v>68</v>
      </c>
      <c r="K234" s="1" t="s">
        <v>74</v>
      </c>
      <c r="M234" s="1" t="s">
        <v>58</v>
      </c>
      <c r="N234" s="1" t="s">
        <v>58</v>
      </c>
      <c r="O234" s="1" t="s">
        <v>69</v>
      </c>
      <c r="Q234" s="1" t="s">
        <v>58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81</v>
      </c>
      <c r="Y234" s="1" t="s">
        <v>172</v>
      </c>
      <c r="Z234" s="1" t="s">
        <v>127</v>
      </c>
      <c r="AA234" s="2">
        <v>100.0</v>
      </c>
      <c r="AB234" s="1" t="s">
        <v>79</v>
      </c>
      <c r="AC234" s="1" t="s">
        <v>71</v>
      </c>
      <c r="AF234" s="1" t="s">
        <v>51</v>
      </c>
      <c r="AG234" s="1" t="s">
        <v>51</v>
      </c>
      <c r="AH234" s="2">
        <v>200.0</v>
      </c>
      <c r="AI234" s="2">
        <v>0.0</v>
      </c>
      <c r="AJ234" s="2">
        <v>0.0</v>
      </c>
      <c r="AK234" s="2">
        <v>0.0</v>
      </c>
      <c r="AL234" s="2">
        <v>1.0</v>
      </c>
      <c r="AM234" s="1" t="s">
        <v>51</v>
      </c>
      <c r="AN234" s="2">
        <v>7.86258839E8</v>
      </c>
      <c r="AP234" s="2">
        <v>4.90403501E8</v>
      </c>
      <c r="AQ234" s="1" t="s">
        <v>366</v>
      </c>
      <c r="AR234" s="2">
        <v>45809.42668981481</v>
      </c>
      <c r="AU234" s="1" t="s">
        <v>64</v>
      </c>
      <c r="AW234" s="1" t="s">
        <v>255</v>
      </c>
      <c r="AY234" s="2">
        <v>228.0</v>
      </c>
    </row>
    <row r="235">
      <c r="A235" s="1" t="s">
        <v>51</v>
      </c>
      <c r="C235" s="1" t="s">
        <v>151</v>
      </c>
      <c r="E235" s="1" t="s">
        <v>53</v>
      </c>
      <c r="F235" s="1" t="s">
        <v>102</v>
      </c>
      <c r="G235" s="2">
        <v>27.0</v>
      </c>
      <c r="H235" s="1" t="s">
        <v>55</v>
      </c>
      <c r="I235" s="1" t="s">
        <v>100</v>
      </c>
      <c r="J235" s="1" t="s">
        <v>56</v>
      </c>
      <c r="M235" s="1" t="s">
        <v>58</v>
      </c>
      <c r="N235" s="1" t="s">
        <v>58</v>
      </c>
      <c r="O235" s="1" t="s">
        <v>69</v>
      </c>
      <c r="Q235" s="1" t="s">
        <v>69</v>
      </c>
      <c r="R235" s="1" t="s">
        <v>69</v>
      </c>
      <c r="S235" s="1" t="s">
        <v>69</v>
      </c>
      <c r="T235" s="1" t="s">
        <v>69</v>
      </c>
      <c r="U235" s="1" t="s">
        <v>70</v>
      </c>
      <c r="V235" s="1" t="s">
        <v>58</v>
      </c>
      <c r="W235" s="1" t="s">
        <v>69</v>
      </c>
      <c r="X235" s="1" t="s">
        <v>81</v>
      </c>
      <c r="Y235" s="1" t="s">
        <v>82</v>
      </c>
      <c r="Z235" s="1" t="s">
        <v>61</v>
      </c>
      <c r="AA235" s="2">
        <v>50.0</v>
      </c>
      <c r="AB235" s="1" t="s">
        <v>79</v>
      </c>
      <c r="AC235" s="1" t="s">
        <v>71</v>
      </c>
      <c r="AF235" s="1" t="s">
        <v>51</v>
      </c>
      <c r="AG235" s="1" t="s">
        <v>51</v>
      </c>
      <c r="AH235" s="2">
        <v>500.0</v>
      </c>
      <c r="AI235" s="2">
        <v>1.0</v>
      </c>
      <c r="AJ235" s="2">
        <v>1.0</v>
      </c>
      <c r="AK235" s="2">
        <v>1.0</v>
      </c>
      <c r="AL235" s="2">
        <v>1.0</v>
      </c>
      <c r="AM235" s="1" t="s">
        <v>51</v>
      </c>
      <c r="AN235" s="2">
        <v>7.52289743E8</v>
      </c>
      <c r="AP235" s="2">
        <v>4.9040369E8</v>
      </c>
      <c r="AQ235" s="1" t="s">
        <v>367</v>
      </c>
      <c r="AR235" s="2">
        <v>45809.42711805556</v>
      </c>
      <c r="AU235" s="1" t="s">
        <v>64</v>
      </c>
      <c r="AW235" s="1" t="s">
        <v>255</v>
      </c>
      <c r="AY235" s="2">
        <v>229.0</v>
      </c>
    </row>
    <row r="236">
      <c r="A236" s="1" t="s">
        <v>51</v>
      </c>
      <c r="C236" s="1" t="s">
        <v>131</v>
      </c>
      <c r="E236" s="1" t="s">
        <v>53</v>
      </c>
      <c r="F236" s="1" t="s">
        <v>54</v>
      </c>
      <c r="G236" s="2">
        <v>31.0</v>
      </c>
      <c r="H236" s="1" t="s">
        <v>55</v>
      </c>
      <c r="I236" s="1" t="s">
        <v>100</v>
      </c>
      <c r="J236" s="1" t="s">
        <v>111</v>
      </c>
      <c r="K236" s="1" t="s">
        <v>74</v>
      </c>
      <c r="M236" s="1" t="s">
        <v>58</v>
      </c>
      <c r="N236" s="1" t="s">
        <v>58</v>
      </c>
      <c r="O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81</v>
      </c>
      <c r="Y236" s="1" t="s">
        <v>172</v>
      </c>
      <c r="Z236" s="1" t="s">
        <v>89</v>
      </c>
      <c r="AA236" s="2">
        <v>30.0</v>
      </c>
      <c r="AB236" s="1" t="s">
        <v>79</v>
      </c>
      <c r="AC236" s="1" t="s">
        <v>71</v>
      </c>
      <c r="AF236" s="1" t="s">
        <v>51</v>
      </c>
      <c r="AG236" s="1" t="s">
        <v>51</v>
      </c>
      <c r="AH236" s="2">
        <v>300.0</v>
      </c>
      <c r="AI236" s="2">
        <v>0.0</v>
      </c>
      <c r="AJ236" s="2">
        <v>0.0</v>
      </c>
      <c r="AK236" s="2">
        <v>0.0</v>
      </c>
      <c r="AL236" s="2">
        <v>1.0</v>
      </c>
      <c r="AM236" s="1" t="s">
        <v>51</v>
      </c>
      <c r="AN236" s="2">
        <v>6.99109406E8</v>
      </c>
      <c r="AP236" s="2">
        <v>4.90404323E8</v>
      </c>
      <c r="AQ236" s="1" t="s">
        <v>368</v>
      </c>
      <c r="AR236" s="2">
        <v>45809.42836805555</v>
      </c>
      <c r="AU236" s="1" t="s">
        <v>64</v>
      </c>
      <c r="AW236" s="1" t="s">
        <v>255</v>
      </c>
      <c r="AY236" s="2">
        <v>230.0</v>
      </c>
    </row>
    <row r="237">
      <c r="A237" s="1" t="s">
        <v>51</v>
      </c>
      <c r="C237" s="1" t="s">
        <v>131</v>
      </c>
      <c r="E237" s="1" t="s">
        <v>53</v>
      </c>
      <c r="F237" s="1" t="s">
        <v>54</v>
      </c>
      <c r="G237" s="2">
        <v>29.0</v>
      </c>
      <c r="H237" s="1" t="s">
        <v>66</v>
      </c>
      <c r="I237" s="1" t="s">
        <v>100</v>
      </c>
      <c r="J237" s="1" t="s">
        <v>111</v>
      </c>
      <c r="K237" s="1" t="s">
        <v>74</v>
      </c>
      <c r="M237" s="1" t="s">
        <v>58</v>
      </c>
      <c r="N237" s="1" t="s">
        <v>58</v>
      </c>
      <c r="O237" s="1" t="s">
        <v>58</v>
      </c>
      <c r="Q237" s="1" t="s">
        <v>58</v>
      </c>
      <c r="R237" s="1" t="s">
        <v>58</v>
      </c>
      <c r="S237" s="1" t="s">
        <v>58</v>
      </c>
      <c r="T237" s="1" t="s">
        <v>58</v>
      </c>
      <c r="U237" s="1" t="s">
        <v>58</v>
      </c>
      <c r="V237" s="1" t="s">
        <v>58</v>
      </c>
      <c r="W237" s="1" t="s">
        <v>58</v>
      </c>
      <c r="X237" s="1" t="s">
        <v>81</v>
      </c>
      <c r="Y237" s="1" t="s">
        <v>172</v>
      </c>
      <c r="Z237" s="1" t="s">
        <v>108</v>
      </c>
      <c r="AA237" s="2">
        <v>50.0</v>
      </c>
      <c r="AB237" s="1" t="s">
        <v>79</v>
      </c>
      <c r="AC237" s="1" t="s">
        <v>71</v>
      </c>
      <c r="AF237" s="1" t="s">
        <v>51</v>
      </c>
      <c r="AG237" s="1" t="s">
        <v>51</v>
      </c>
      <c r="AH237" s="2">
        <v>400.0</v>
      </c>
      <c r="AI237" s="2">
        <v>0.0</v>
      </c>
      <c r="AJ237" s="2">
        <v>1.0</v>
      </c>
      <c r="AK237" s="2">
        <v>0.0</v>
      </c>
      <c r="AL237" s="2">
        <v>0.0</v>
      </c>
      <c r="AM237" s="1" t="s">
        <v>51</v>
      </c>
      <c r="AN237" s="2">
        <v>7.16268779E8</v>
      </c>
      <c r="AP237" s="2">
        <v>4.90404925E8</v>
      </c>
      <c r="AQ237" s="1" t="s">
        <v>369</v>
      </c>
      <c r="AR237" s="2">
        <v>45809.429618055554</v>
      </c>
      <c r="AU237" s="1" t="s">
        <v>64</v>
      </c>
      <c r="AW237" s="1" t="s">
        <v>255</v>
      </c>
      <c r="AY237" s="2">
        <v>231.0</v>
      </c>
    </row>
    <row r="238">
      <c r="A238" s="1" t="s">
        <v>51</v>
      </c>
      <c r="C238" s="1" t="s">
        <v>131</v>
      </c>
      <c r="E238" s="1" t="s">
        <v>53</v>
      </c>
      <c r="F238" s="1" t="s">
        <v>54</v>
      </c>
      <c r="G238" s="2">
        <v>36.0</v>
      </c>
      <c r="H238" s="1" t="s">
        <v>55</v>
      </c>
      <c r="I238" s="1" t="s">
        <v>100</v>
      </c>
      <c r="J238" s="1" t="s">
        <v>111</v>
      </c>
      <c r="K238" s="1" t="s">
        <v>74</v>
      </c>
      <c r="M238" s="1" t="s">
        <v>58</v>
      </c>
      <c r="N238" s="1" t="s">
        <v>58</v>
      </c>
      <c r="O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81</v>
      </c>
      <c r="Y238" s="1" t="s">
        <v>60</v>
      </c>
      <c r="Z238" s="1" t="s">
        <v>89</v>
      </c>
      <c r="AA238" s="2">
        <v>50.0</v>
      </c>
      <c r="AB238" s="1" t="s">
        <v>79</v>
      </c>
      <c r="AC238" s="1" t="s">
        <v>51</v>
      </c>
      <c r="AD238" s="1" t="s">
        <v>81</v>
      </c>
      <c r="AE238" s="1" t="s">
        <v>51</v>
      </c>
      <c r="AF238" s="1" t="s">
        <v>51</v>
      </c>
      <c r="AG238" s="1" t="s">
        <v>51</v>
      </c>
      <c r="AH238" s="2">
        <v>500.0</v>
      </c>
      <c r="AI238" s="2">
        <v>1.0</v>
      </c>
      <c r="AJ238" s="2">
        <v>0.0</v>
      </c>
      <c r="AK238" s="2">
        <v>0.0</v>
      </c>
      <c r="AL238" s="2">
        <v>0.0</v>
      </c>
      <c r="AM238" s="1" t="s">
        <v>51</v>
      </c>
      <c r="AN238" s="2">
        <v>6.93327725E8</v>
      </c>
      <c r="AP238" s="2">
        <v>4.90405777E8</v>
      </c>
      <c r="AQ238" s="1" t="s">
        <v>370</v>
      </c>
      <c r="AR238" s="2">
        <v>45809.43125</v>
      </c>
      <c r="AU238" s="1" t="s">
        <v>64</v>
      </c>
      <c r="AW238" s="1" t="s">
        <v>255</v>
      </c>
      <c r="AY238" s="2">
        <v>232.0</v>
      </c>
    </row>
    <row r="239">
      <c r="A239" s="1" t="s">
        <v>51</v>
      </c>
      <c r="C239" s="1" t="s">
        <v>131</v>
      </c>
      <c r="E239" s="1" t="s">
        <v>53</v>
      </c>
      <c r="F239" s="1" t="s">
        <v>54</v>
      </c>
      <c r="G239" s="2">
        <v>23.0</v>
      </c>
      <c r="H239" s="1" t="s">
        <v>55</v>
      </c>
      <c r="I239" s="1" t="s">
        <v>100</v>
      </c>
      <c r="J239" s="1" t="s">
        <v>68</v>
      </c>
      <c r="K239" s="1" t="s">
        <v>57</v>
      </c>
      <c r="M239" s="1" t="s">
        <v>58</v>
      </c>
      <c r="N239" s="1" t="s">
        <v>58</v>
      </c>
      <c r="O239" s="1" t="s">
        <v>70</v>
      </c>
      <c r="Q239" s="1" t="s">
        <v>58</v>
      </c>
      <c r="R239" s="1" t="s">
        <v>58</v>
      </c>
      <c r="S239" s="1" t="s">
        <v>70</v>
      </c>
      <c r="T239" s="1" t="s">
        <v>70</v>
      </c>
      <c r="U239" s="1" t="s">
        <v>58</v>
      </c>
      <c r="V239" s="1" t="s">
        <v>58</v>
      </c>
      <c r="W239" s="1" t="s">
        <v>58</v>
      </c>
      <c r="X239" s="1" t="s">
        <v>81</v>
      </c>
      <c r="Y239" s="1" t="s">
        <v>60</v>
      </c>
      <c r="Z239" s="1" t="s">
        <v>96</v>
      </c>
      <c r="AA239" s="2">
        <v>100.0</v>
      </c>
      <c r="AB239" s="1" t="s">
        <v>79</v>
      </c>
      <c r="AC239" s="1" t="s">
        <v>71</v>
      </c>
      <c r="AF239" s="1" t="s">
        <v>51</v>
      </c>
      <c r="AG239" s="1" t="s">
        <v>51</v>
      </c>
      <c r="AH239" s="2">
        <v>400.0</v>
      </c>
      <c r="AI239" s="2">
        <v>0.0</v>
      </c>
      <c r="AJ239" s="2">
        <v>0.0</v>
      </c>
      <c r="AK239" s="2">
        <v>0.0</v>
      </c>
      <c r="AL239" s="2">
        <v>1.0</v>
      </c>
      <c r="AM239" s="1" t="s">
        <v>51</v>
      </c>
      <c r="AN239" s="2">
        <v>8.33399373E8</v>
      </c>
      <c r="AP239" s="2">
        <v>4.90406456E8</v>
      </c>
      <c r="AQ239" s="1" t="s">
        <v>371</v>
      </c>
      <c r="AR239" s="2">
        <v>45809.432604166665</v>
      </c>
      <c r="AU239" s="1" t="s">
        <v>64</v>
      </c>
      <c r="AW239" s="1" t="s">
        <v>255</v>
      </c>
      <c r="AY239" s="2">
        <v>233.0</v>
      </c>
    </row>
    <row r="240">
      <c r="A240" s="1" t="s">
        <v>51</v>
      </c>
      <c r="C240" s="1" t="s">
        <v>131</v>
      </c>
      <c r="E240" s="1" t="s">
        <v>53</v>
      </c>
      <c r="F240" s="1" t="s">
        <v>54</v>
      </c>
      <c r="G240" s="2">
        <v>32.0</v>
      </c>
      <c r="H240" s="1" t="s">
        <v>55</v>
      </c>
      <c r="I240" s="1" t="s">
        <v>100</v>
      </c>
      <c r="J240" s="1" t="s">
        <v>68</v>
      </c>
      <c r="K240" s="1" t="s">
        <v>74</v>
      </c>
      <c r="M240" s="1" t="s">
        <v>58</v>
      </c>
      <c r="N240" s="1" t="s">
        <v>58</v>
      </c>
      <c r="O240" s="1" t="s">
        <v>69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  <c r="W240" s="1" t="s">
        <v>58</v>
      </c>
      <c r="X240" s="1" t="s">
        <v>81</v>
      </c>
      <c r="Y240" s="1" t="s">
        <v>172</v>
      </c>
      <c r="Z240" s="1" t="s">
        <v>96</v>
      </c>
      <c r="AA240" s="2">
        <v>50.0</v>
      </c>
      <c r="AB240" s="1" t="s">
        <v>79</v>
      </c>
      <c r="AC240" s="1" t="s">
        <v>71</v>
      </c>
      <c r="AF240" s="1" t="s">
        <v>51</v>
      </c>
      <c r="AG240" s="1" t="s">
        <v>51</v>
      </c>
      <c r="AH240" s="2">
        <v>300.0</v>
      </c>
      <c r="AI240" s="2">
        <v>1.0</v>
      </c>
      <c r="AJ240" s="2">
        <v>0.0</v>
      </c>
      <c r="AK240" s="2">
        <v>0.0</v>
      </c>
      <c r="AL240" s="2">
        <v>0.0</v>
      </c>
      <c r="AM240" s="1" t="s">
        <v>51</v>
      </c>
      <c r="AN240" s="2">
        <v>6.65478753E8</v>
      </c>
      <c r="AP240" s="2">
        <v>4.90407148E8</v>
      </c>
      <c r="AQ240" s="1" t="s">
        <v>372</v>
      </c>
      <c r="AR240" s="2">
        <v>45809.43402777778</v>
      </c>
      <c r="AU240" s="1" t="s">
        <v>64</v>
      </c>
      <c r="AW240" s="1" t="s">
        <v>255</v>
      </c>
      <c r="AY240" s="2">
        <v>234.0</v>
      </c>
    </row>
    <row r="241">
      <c r="A241" s="1" t="s">
        <v>51</v>
      </c>
      <c r="C241" s="1" t="s">
        <v>131</v>
      </c>
      <c r="E241" s="1" t="s">
        <v>53</v>
      </c>
      <c r="F241" s="1" t="s">
        <v>54</v>
      </c>
      <c r="G241" s="2">
        <v>33.0</v>
      </c>
      <c r="H241" s="1" t="s">
        <v>66</v>
      </c>
      <c r="I241" s="1" t="s">
        <v>100</v>
      </c>
      <c r="J241" s="1" t="s">
        <v>111</v>
      </c>
      <c r="K241" s="1" t="s">
        <v>74</v>
      </c>
      <c r="M241" s="1" t="s">
        <v>58</v>
      </c>
      <c r="N241" s="1" t="s">
        <v>58</v>
      </c>
      <c r="O241" s="1" t="s">
        <v>70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81</v>
      </c>
      <c r="Y241" s="1" t="s">
        <v>172</v>
      </c>
      <c r="Z241" s="1" t="s">
        <v>108</v>
      </c>
      <c r="AA241" s="2">
        <v>50.0</v>
      </c>
      <c r="AB241" s="1" t="s">
        <v>28</v>
      </c>
      <c r="AC241" s="1" t="s">
        <v>71</v>
      </c>
      <c r="AF241" s="1" t="s">
        <v>51</v>
      </c>
      <c r="AG241" s="1" t="s">
        <v>72</v>
      </c>
      <c r="AI241" s="2">
        <v>0.0</v>
      </c>
      <c r="AJ241" s="2">
        <v>0.0</v>
      </c>
      <c r="AK241" s="2">
        <v>0.0</v>
      </c>
      <c r="AL241" s="2">
        <v>1.0</v>
      </c>
      <c r="AM241" s="1" t="s">
        <v>51</v>
      </c>
      <c r="AN241" s="2">
        <v>7.96732437E8</v>
      </c>
      <c r="AP241" s="2">
        <v>4.90407718E8</v>
      </c>
      <c r="AQ241" s="1" t="s">
        <v>373</v>
      </c>
      <c r="AR241" s="2">
        <v>45809.435219907406</v>
      </c>
      <c r="AU241" s="1" t="s">
        <v>64</v>
      </c>
      <c r="AW241" s="1" t="s">
        <v>255</v>
      </c>
      <c r="AY241" s="2">
        <v>235.0</v>
      </c>
    </row>
    <row r="242">
      <c r="A242" s="1" t="s">
        <v>51</v>
      </c>
      <c r="C242" s="1" t="s">
        <v>131</v>
      </c>
      <c r="E242" s="1" t="s">
        <v>53</v>
      </c>
      <c r="F242" s="1" t="s">
        <v>54</v>
      </c>
      <c r="G242" s="2">
        <v>32.0</v>
      </c>
      <c r="H242" s="1" t="s">
        <v>55</v>
      </c>
      <c r="I242" s="1" t="s">
        <v>100</v>
      </c>
      <c r="J242" s="1" t="s">
        <v>68</v>
      </c>
      <c r="K242" s="1" t="s">
        <v>57</v>
      </c>
      <c r="M242" s="1" t="s">
        <v>58</v>
      </c>
      <c r="N242" s="1" t="s">
        <v>58</v>
      </c>
      <c r="O242" s="1" t="s">
        <v>70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81</v>
      </c>
      <c r="Y242" s="1" t="s">
        <v>172</v>
      </c>
      <c r="Z242" s="1" t="s">
        <v>108</v>
      </c>
      <c r="AA242" s="2">
        <v>30.0</v>
      </c>
      <c r="AB242" s="1" t="s">
        <v>28</v>
      </c>
      <c r="AC242" s="1" t="s">
        <v>71</v>
      </c>
      <c r="AF242" s="1" t="s">
        <v>51</v>
      </c>
      <c r="AG242" s="1" t="s">
        <v>72</v>
      </c>
      <c r="AI242" s="2">
        <v>0.0</v>
      </c>
      <c r="AJ242" s="2">
        <v>0.0</v>
      </c>
      <c r="AK242" s="2">
        <v>0.0</v>
      </c>
      <c r="AL242" s="2">
        <v>1.0</v>
      </c>
      <c r="AM242" s="1" t="s">
        <v>51</v>
      </c>
      <c r="AN242" s="2">
        <v>7.12023238E8</v>
      </c>
      <c r="AP242" s="2">
        <v>4.90409053E8</v>
      </c>
      <c r="AQ242" s="1" t="s">
        <v>374</v>
      </c>
      <c r="AR242" s="2">
        <v>45809.43813657408</v>
      </c>
      <c r="AU242" s="1" t="s">
        <v>64</v>
      </c>
      <c r="AW242" s="1" t="s">
        <v>255</v>
      </c>
      <c r="AY242" s="2">
        <v>236.0</v>
      </c>
    </row>
    <row r="243">
      <c r="A243" s="1" t="s">
        <v>51</v>
      </c>
      <c r="C243" s="1" t="s">
        <v>131</v>
      </c>
      <c r="E243" s="1" t="s">
        <v>53</v>
      </c>
      <c r="F243" s="1" t="s">
        <v>54</v>
      </c>
      <c r="G243" s="2">
        <v>29.0</v>
      </c>
      <c r="H243" s="1" t="s">
        <v>55</v>
      </c>
      <c r="I243" s="1" t="s">
        <v>100</v>
      </c>
      <c r="J243" s="1" t="s">
        <v>68</v>
      </c>
      <c r="K243" s="1" t="s">
        <v>74</v>
      </c>
      <c r="M243" s="1" t="s">
        <v>58</v>
      </c>
      <c r="N243" s="1" t="s">
        <v>58</v>
      </c>
      <c r="O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81</v>
      </c>
      <c r="Y243" s="1" t="s">
        <v>172</v>
      </c>
      <c r="Z243" s="1" t="s">
        <v>108</v>
      </c>
      <c r="AA243" s="2">
        <v>100.0</v>
      </c>
      <c r="AB243" s="1" t="s">
        <v>28</v>
      </c>
      <c r="AC243" s="1" t="s">
        <v>71</v>
      </c>
      <c r="AF243" s="1" t="s">
        <v>51</v>
      </c>
      <c r="AG243" s="1" t="s">
        <v>51</v>
      </c>
      <c r="AI243" s="2">
        <v>0.0</v>
      </c>
      <c r="AJ243" s="2">
        <v>0.0</v>
      </c>
      <c r="AK243" s="2">
        <v>0.0</v>
      </c>
      <c r="AL243" s="2">
        <v>1.0</v>
      </c>
      <c r="AM243" s="1" t="s">
        <v>51</v>
      </c>
      <c r="AN243" s="2">
        <v>6.55254617E8</v>
      </c>
      <c r="AP243" s="2">
        <v>4.90409857E8</v>
      </c>
      <c r="AQ243" s="1" t="s">
        <v>375</v>
      </c>
      <c r="AR243" s="2">
        <v>45809.43989583333</v>
      </c>
      <c r="AU243" s="1" t="s">
        <v>64</v>
      </c>
      <c r="AW243" s="1" t="s">
        <v>255</v>
      </c>
      <c r="AY243" s="2">
        <v>237.0</v>
      </c>
    </row>
    <row r="244">
      <c r="A244" s="1" t="s">
        <v>51</v>
      </c>
      <c r="C244" s="1" t="s">
        <v>131</v>
      </c>
      <c r="E244" s="1" t="s">
        <v>53</v>
      </c>
      <c r="F244" s="1" t="s">
        <v>54</v>
      </c>
      <c r="G244" s="2">
        <v>32.0</v>
      </c>
      <c r="H244" s="1" t="s">
        <v>55</v>
      </c>
      <c r="I244" s="1" t="s">
        <v>67</v>
      </c>
      <c r="J244" s="1" t="s">
        <v>68</v>
      </c>
      <c r="K244" s="1" t="s">
        <v>74</v>
      </c>
      <c r="M244" s="1" t="s">
        <v>58</v>
      </c>
      <c r="N244" s="1" t="s">
        <v>58</v>
      </c>
      <c r="O244" s="1" t="s">
        <v>58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58</v>
      </c>
      <c r="V244" s="1" t="s">
        <v>58</v>
      </c>
      <c r="W244" s="1" t="s">
        <v>58</v>
      </c>
      <c r="X244" s="1" t="s">
        <v>81</v>
      </c>
      <c r="Y244" s="1" t="s">
        <v>60</v>
      </c>
      <c r="Z244" s="1" t="s">
        <v>89</v>
      </c>
      <c r="AA244" s="2">
        <v>50.0</v>
      </c>
      <c r="AB244" s="1" t="s">
        <v>28</v>
      </c>
      <c r="AC244" s="1" t="s">
        <v>71</v>
      </c>
      <c r="AF244" s="1" t="s">
        <v>51</v>
      </c>
      <c r="AG244" s="1" t="s">
        <v>51</v>
      </c>
      <c r="AI244" s="2">
        <v>0.0</v>
      </c>
      <c r="AJ244" s="2">
        <v>0.0</v>
      </c>
      <c r="AK244" s="2">
        <v>0.0</v>
      </c>
      <c r="AL244" s="2">
        <v>1.0</v>
      </c>
      <c r="AM244" s="1" t="s">
        <v>51</v>
      </c>
      <c r="AN244" s="2">
        <v>6.01406742E8</v>
      </c>
      <c r="AP244" s="2">
        <v>4.90410637E8</v>
      </c>
      <c r="AQ244" s="1" t="s">
        <v>376</v>
      </c>
      <c r="AR244" s="2">
        <v>45809.441666666666</v>
      </c>
      <c r="AU244" s="1" t="s">
        <v>64</v>
      </c>
      <c r="AW244" s="1" t="s">
        <v>255</v>
      </c>
      <c r="AY244" s="2">
        <v>238.0</v>
      </c>
    </row>
    <row r="245">
      <c r="A245" s="1" t="s">
        <v>51</v>
      </c>
      <c r="C245" s="1" t="s">
        <v>131</v>
      </c>
      <c r="E245" s="1" t="s">
        <v>53</v>
      </c>
      <c r="F245" s="1" t="s">
        <v>54</v>
      </c>
      <c r="G245" s="2">
        <v>43.0</v>
      </c>
      <c r="H245" s="1" t="s">
        <v>55</v>
      </c>
      <c r="J245" s="1" t="s">
        <v>111</v>
      </c>
      <c r="K245" s="1" t="s">
        <v>57</v>
      </c>
      <c r="M245" s="1" t="s">
        <v>58</v>
      </c>
      <c r="N245" s="1" t="s">
        <v>58</v>
      </c>
      <c r="O245" s="1" t="s">
        <v>70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81</v>
      </c>
      <c r="Y245" s="1" t="s">
        <v>172</v>
      </c>
      <c r="Z245" s="1" t="s">
        <v>96</v>
      </c>
      <c r="AA245" s="2">
        <v>50.0</v>
      </c>
      <c r="AB245" s="1" t="s">
        <v>28</v>
      </c>
      <c r="AC245" s="1" t="s">
        <v>71</v>
      </c>
      <c r="AF245" s="1" t="s">
        <v>51</v>
      </c>
      <c r="AG245" s="1" t="s">
        <v>51</v>
      </c>
      <c r="AH245" s="2">
        <v>400.0</v>
      </c>
      <c r="AI245" s="2">
        <v>0.0</v>
      </c>
      <c r="AJ245" s="2">
        <v>0.0</v>
      </c>
      <c r="AK245" s="2">
        <v>0.0</v>
      </c>
      <c r="AL245" s="2">
        <v>1.0</v>
      </c>
      <c r="AP245" s="2">
        <v>4.9041142E8</v>
      </c>
      <c r="AQ245" s="1" t="s">
        <v>377</v>
      </c>
      <c r="AR245" s="2">
        <v>45809.443032407406</v>
      </c>
      <c r="AU245" s="1" t="s">
        <v>64</v>
      </c>
      <c r="AW245" s="1" t="s">
        <v>255</v>
      </c>
      <c r="AY245" s="2">
        <v>239.0</v>
      </c>
    </row>
    <row r="246">
      <c r="A246" s="1" t="s">
        <v>51</v>
      </c>
      <c r="C246" s="1" t="s">
        <v>131</v>
      </c>
      <c r="E246" s="1" t="s">
        <v>53</v>
      </c>
      <c r="F246" s="1" t="s">
        <v>54</v>
      </c>
      <c r="G246" s="2">
        <v>26.0</v>
      </c>
      <c r="H246" s="1" t="s">
        <v>55</v>
      </c>
      <c r="I246" s="1" t="s">
        <v>100</v>
      </c>
      <c r="J246" s="1" t="s">
        <v>111</v>
      </c>
      <c r="K246" s="1" t="s">
        <v>74</v>
      </c>
      <c r="M246" s="1" t="s">
        <v>58</v>
      </c>
      <c r="N246" s="1" t="s">
        <v>58</v>
      </c>
      <c r="O246" s="1" t="s">
        <v>69</v>
      </c>
      <c r="Q246" s="1" t="s">
        <v>58</v>
      </c>
      <c r="R246" s="1" t="s">
        <v>58</v>
      </c>
      <c r="S246" s="1" t="s">
        <v>58</v>
      </c>
      <c r="T246" s="1" t="s">
        <v>58</v>
      </c>
      <c r="U246" s="1" t="s">
        <v>58</v>
      </c>
      <c r="V246" s="1" t="s">
        <v>58</v>
      </c>
      <c r="W246" s="1" t="s">
        <v>58</v>
      </c>
      <c r="X246" s="1" t="s">
        <v>81</v>
      </c>
      <c r="Y246" s="1" t="s">
        <v>60</v>
      </c>
      <c r="Z246" s="1" t="s">
        <v>108</v>
      </c>
      <c r="AA246" s="2">
        <v>100.0</v>
      </c>
      <c r="AB246" s="1" t="s">
        <v>28</v>
      </c>
      <c r="AC246" s="1" t="s">
        <v>71</v>
      </c>
      <c r="AG246" s="1" t="s">
        <v>51</v>
      </c>
      <c r="AH246" s="2">
        <v>500.0</v>
      </c>
      <c r="AI246" s="2">
        <v>0.0</v>
      </c>
      <c r="AJ246" s="2">
        <v>0.0</v>
      </c>
      <c r="AK246" s="2">
        <v>0.0</v>
      </c>
      <c r="AL246" s="2">
        <v>1.0</v>
      </c>
      <c r="AM246" s="1" t="s">
        <v>51</v>
      </c>
      <c r="AN246" s="2">
        <v>6.99134499E8</v>
      </c>
      <c r="AP246" s="2">
        <v>4.90412359E8</v>
      </c>
      <c r="AQ246" s="1" t="s">
        <v>378</v>
      </c>
      <c r="AR246" s="2">
        <v>45809.445335648146</v>
      </c>
      <c r="AU246" s="1" t="s">
        <v>64</v>
      </c>
      <c r="AW246" s="1" t="s">
        <v>255</v>
      </c>
      <c r="AY246" s="2">
        <v>240.0</v>
      </c>
    </row>
    <row r="247">
      <c r="A247" s="1" t="s">
        <v>51</v>
      </c>
      <c r="C247" s="1" t="s">
        <v>53</v>
      </c>
      <c r="E247" s="1" t="s">
        <v>53</v>
      </c>
      <c r="F247" s="1" t="s">
        <v>54</v>
      </c>
      <c r="G247" s="2">
        <v>41.0</v>
      </c>
      <c r="H247" s="1" t="s">
        <v>55</v>
      </c>
      <c r="I247" s="1" t="s">
        <v>121</v>
      </c>
      <c r="J247" s="1" t="s">
        <v>56</v>
      </c>
      <c r="K247" s="1" t="s">
        <v>87</v>
      </c>
      <c r="M247" s="1" t="s">
        <v>58</v>
      </c>
      <c r="N247" s="1" t="s">
        <v>58</v>
      </c>
      <c r="O247" s="1" t="s">
        <v>58</v>
      </c>
      <c r="Q247" s="1" t="s">
        <v>69</v>
      </c>
      <c r="R247" s="1" t="s">
        <v>69</v>
      </c>
      <c r="S247" s="1" t="s">
        <v>69</v>
      </c>
      <c r="T247" s="1" t="s">
        <v>69</v>
      </c>
      <c r="U247" s="1" t="s">
        <v>58</v>
      </c>
      <c r="V247" s="1" t="s">
        <v>58</v>
      </c>
      <c r="W247" s="1" t="s">
        <v>69</v>
      </c>
      <c r="X247" s="1" t="s">
        <v>81</v>
      </c>
      <c r="Y247" s="1" t="s">
        <v>227</v>
      </c>
      <c r="Z247" s="1" t="s">
        <v>89</v>
      </c>
      <c r="AA247" s="2">
        <v>100.0</v>
      </c>
      <c r="AB247" s="1" t="s">
        <v>62</v>
      </c>
      <c r="AC247" s="1" t="s">
        <v>71</v>
      </c>
      <c r="AF247" s="1" t="s">
        <v>51</v>
      </c>
      <c r="AG247" s="1" t="s">
        <v>51</v>
      </c>
      <c r="AH247" s="2">
        <v>50.0</v>
      </c>
      <c r="AI247" s="2">
        <v>0.0</v>
      </c>
      <c r="AJ247" s="2">
        <v>0.0</v>
      </c>
      <c r="AK247" s="2">
        <v>0.0</v>
      </c>
      <c r="AL247" s="2">
        <v>1.0</v>
      </c>
      <c r="AM247" s="1" t="s">
        <v>51</v>
      </c>
      <c r="AP247" s="2">
        <v>4.90413733E8</v>
      </c>
      <c r="AQ247" s="1" t="s">
        <v>379</v>
      </c>
      <c r="AR247" s="2">
        <v>45809.44829861111</v>
      </c>
      <c r="AU247" s="1" t="s">
        <v>64</v>
      </c>
      <c r="AW247" s="1" t="s">
        <v>255</v>
      </c>
      <c r="AY247" s="2">
        <v>241.0</v>
      </c>
    </row>
    <row r="248">
      <c r="A248" s="1" t="s">
        <v>51</v>
      </c>
      <c r="C248" s="1" t="s">
        <v>151</v>
      </c>
      <c r="E248" s="1" t="s">
        <v>53</v>
      </c>
      <c r="F248" s="1" t="s">
        <v>232</v>
      </c>
      <c r="G248" s="2">
        <v>31.0</v>
      </c>
      <c r="H248" s="1" t="s">
        <v>66</v>
      </c>
      <c r="I248" s="1" t="s">
        <v>100</v>
      </c>
      <c r="J248" s="1" t="s">
        <v>68</v>
      </c>
      <c r="K248" s="1" t="s">
        <v>74</v>
      </c>
      <c r="M248" s="1" t="s">
        <v>58</v>
      </c>
      <c r="N248" s="1" t="s">
        <v>58</v>
      </c>
      <c r="O248" s="1" t="s">
        <v>69</v>
      </c>
      <c r="Q248" s="1" t="s">
        <v>69</v>
      </c>
      <c r="R248" s="1" t="s">
        <v>69</v>
      </c>
      <c r="S248" s="1" t="s">
        <v>58</v>
      </c>
      <c r="T248" s="1" t="s">
        <v>58</v>
      </c>
      <c r="U248" s="1" t="s">
        <v>70</v>
      </c>
      <c r="V248" s="1" t="s">
        <v>58</v>
      </c>
      <c r="W248" s="1" t="s">
        <v>69</v>
      </c>
      <c r="X248" s="1" t="s">
        <v>81</v>
      </c>
      <c r="Y248" s="1" t="s">
        <v>82</v>
      </c>
      <c r="Z248" s="1" t="s">
        <v>61</v>
      </c>
      <c r="AA248" s="2">
        <v>10.0</v>
      </c>
      <c r="AB248" s="1" t="s">
        <v>79</v>
      </c>
      <c r="AC248" s="1" t="s">
        <v>71</v>
      </c>
      <c r="AF248" s="1" t="s">
        <v>51</v>
      </c>
      <c r="AG248" s="1" t="s">
        <v>72</v>
      </c>
      <c r="AI248" s="2">
        <v>1.0</v>
      </c>
      <c r="AJ248" s="2">
        <v>1.0</v>
      </c>
      <c r="AK248" s="2">
        <v>1.0</v>
      </c>
      <c r="AL248" s="2">
        <v>1.0</v>
      </c>
      <c r="AM248" s="1" t="s">
        <v>72</v>
      </c>
      <c r="AP248" s="2">
        <v>4.90413758E8</v>
      </c>
      <c r="AQ248" s="1" t="s">
        <v>380</v>
      </c>
      <c r="AR248" s="2">
        <v>45809.448379629626</v>
      </c>
      <c r="AU248" s="1" t="s">
        <v>64</v>
      </c>
      <c r="AW248" s="1" t="s">
        <v>255</v>
      </c>
      <c r="AY248" s="2">
        <v>242.0</v>
      </c>
    </row>
    <row r="249">
      <c r="A249" s="1" t="s">
        <v>51</v>
      </c>
      <c r="C249" s="1" t="s">
        <v>131</v>
      </c>
      <c r="E249" s="1" t="s">
        <v>53</v>
      </c>
      <c r="F249" s="1" t="s">
        <v>54</v>
      </c>
      <c r="G249" s="2">
        <v>33.0</v>
      </c>
      <c r="H249" s="1" t="s">
        <v>66</v>
      </c>
      <c r="I249" s="1" t="s">
        <v>67</v>
      </c>
      <c r="J249" s="1" t="s">
        <v>111</v>
      </c>
      <c r="K249" s="1" t="s">
        <v>74</v>
      </c>
      <c r="M249" s="1" t="s">
        <v>58</v>
      </c>
      <c r="N249" s="1" t="s">
        <v>58</v>
      </c>
      <c r="O249" s="1" t="s">
        <v>69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81</v>
      </c>
      <c r="Y249" s="1" t="s">
        <v>172</v>
      </c>
      <c r="Z249" s="1" t="s">
        <v>96</v>
      </c>
      <c r="AA249" s="2">
        <v>100.0</v>
      </c>
      <c r="AB249" s="1" t="s">
        <v>79</v>
      </c>
      <c r="AC249" s="1" t="s">
        <v>71</v>
      </c>
      <c r="AF249" s="1" t="s">
        <v>51</v>
      </c>
      <c r="AG249" s="1" t="s">
        <v>51</v>
      </c>
      <c r="AH249" s="2">
        <v>500.0</v>
      </c>
      <c r="AI249" s="2">
        <v>0.0</v>
      </c>
      <c r="AJ249" s="2">
        <v>0.0</v>
      </c>
      <c r="AK249" s="2">
        <v>0.0</v>
      </c>
      <c r="AL249" s="2">
        <v>1.0</v>
      </c>
      <c r="AM249" s="1" t="s">
        <v>51</v>
      </c>
      <c r="AN249" s="2">
        <v>7.27923016E8</v>
      </c>
      <c r="AP249" s="2">
        <v>4.90414212E8</v>
      </c>
      <c r="AQ249" s="1" t="s">
        <v>381</v>
      </c>
      <c r="AR249" s="2">
        <v>45809.44950231481</v>
      </c>
      <c r="AU249" s="1" t="s">
        <v>64</v>
      </c>
      <c r="AW249" s="1" t="s">
        <v>255</v>
      </c>
      <c r="AY249" s="2">
        <v>243.0</v>
      </c>
    </row>
    <row r="250">
      <c r="A250" s="1" t="s">
        <v>51</v>
      </c>
      <c r="C250" s="1" t="s">
        <v>131</v>
      </c>
      <c r="E250" s="1" t="s">
        <v>53</v>
      </c>
      <c r="F250" s="1" t="s">
        <v>54</v>
      </c>
      <c r="G250" s="2">
        <v>29.0</v>
      </c>
      <c r="H250" s="1" t="s">
        <v>55</v>
      </c>
      <c r="I250" s="1" t="s">
        <v>100</v>
      </c>
      <c r="J250" s="1" t="s">
        <v>68</v>
      </c>
      <c r="K250" s="1" t="s">
        <v>57</v>
      </c>
      <c r="M250" s="1" t="s">
        <v>58</v>
      </c>
      <c r="N250" s="1" t="s">
        <v>58</v>
      </c>
      <c r="O250" s="1" t="s">
        <v>70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81</v>
      </c>
      <c r="Y250" s="1" t="s">
        <v>172</v>
      </c>
      <c r="Z250" s="1" t="s">
        <v>127</v>
      </c>
      <c r="AA250" s="2">
        <v>50.0</v>
      </c>
      <c r="AB250" s="1" t="s">
        <v>28</v>
      </c>
      <c r="AF250" s="1" t="s">
        <v>51</v>
      </c>
      <c r="AG250" s="1" t="s">
        <v>72</v>
      </c>
      <c r="AI250" s="2">
        <v>0.0</v>
      </c>
      <c r="AJ250" s="2">
        <v>0.0</v>
      </c>
      <c r="AK250" s="2">
        <v>0.0</v>
      </c>
      <c r="AL250" s="2">
        <v>1.0</v>
      </c>
      <c r="AM250" s="1" t="s">
        <v>51</v>
      </c>
      <c r="AN250" s="2">
        <v>7.38978684E8</v>
      </c>
      <c r="AP250" s="2">
        <v>4.9041502E8</v>
      </c>
      <c r="AQ250" s="1" t="s">
        <v>382</v>
      </c>
      <c r="AR250" s="2">
        <v>45809.45144675926</v>
      </c>
      <c r="AU250" s="1" t="s">
        <v>64</v>
      </c>
      <c r="AW250" s="1" t="s">
        <v>255</v>
      </c>
      <c r="AY250" s="2">
        <v>244.0</v>
      </c>
    </row>
    <row r="251">
      <c r="A251" s="1" t="s">
        <v>51</v>
      </c>
      <c r="C251" s="1" t="s">
        <v>131</v>
      </c>
      <c r="E251" s="1" t="s">
        <v>53</v>
      </c>
      <c r="F251" s="1" t="s">
        <v>54</v>
      </c>
      <c r="G251" s="2">
        <v>38.0</v>
      </c>
      <c r="H251" s="1" t="s">
        <v>55</v>
      </c>
      <c r="I251" s="1" t="s">
        <v>67</v>
      </c>
      <c r="J251" s="1" t="s">
        <v>111</v>
      </c>
      <c r="K251" s="1" t="s">
        <v>74</v>
      </c>
      <c r="M251" s="1" t="s">
        <v>58</v>
      </c>
      <c r="N251" s="1" t="s">
        <v>58</v>
      </c>
      <c r="O251" s="1" t="s">
        <v>69</v>
      </c>
      <c r="Q251" s="1" t="s">
        <v>69</v>
      </c>
      <c r="R251" s="1" t="s">
        <v>69</v>
      </c>
      <c r="S251" s="1" t="s">
        <v>58</v>
      </c>
      <c r="T251" s="1" t="s">
        <v>69</v>
      </c>
      <c r="U251" s="1" t="s">
        <v>69</v>
      </c>
      <c r="V251" s="1" t="s">
        <v>69</v>
      </c>
      <c r="W251" s="1" t="s">
        <v>69</v>
      </c>
      <c r="X251" s="1" t="s">
        <v>59</v>
      </c>
      <c r="Y251" s="1" t="s">
        <v>82</v>
      </c>
      <c r="Z251" s="1" t="s">
        <v>96</v>
      </c>
      <c r="AA251" s="2">
        <v>100.0</v>
      </c>
      <c r="AB251" s="1" t="s">
        <v>62</v>
      </c>
      <c r="AC251" s="1" t="s">
        <v>51</v>
      </c>
      <c r="AD251" s="1" t="s">
        <v>81</v>
      </c>
      <c r="AE251" s="1" t="s">
        <v>51</v>
      </c>
      <c r="AF251" s="1" t="s">
        <v>51</v>
      </c>
      <c r="AG251" s="1" t="s">
        <v>51</v>
      </c>
      <c r="AH251" s="2">
        <v>10.0</v>
      </c>
      <c r="AI251" s="2">
        <v>1.0</v>
      </c>
      <c r="AJ251" s="2">
        <v>0.0</v>
      </c>
      <c r="AK251" s="2">
        <v>0.0</v>
      </c>
      <c r="AL251" s="2">
        <v>0.0</v>
      </c>
      <c r="AM251" s="1" t="s">
        <v>51</v>
      </c>
      <c r="AN251" s="2">
        <v>6.04436785E8</v>
      </c>
      <c r="AP251" s="2">
        <v>4.90415423E8</v>
      </c>
      <c r="AQ251" s="1" t="s">
        <v>383</v>
      </c>
      <c r="AR251" s="2">
        <v>45809.452048611114</v>
      </c>
      <c r="AU251" s="1" t="s">
        <v>64</v>
      </c>
      <c r="AW251" s="1" t="s">
        <v>255</v>
      </c>
      <c r="AY251" s="2">
        <v>245.0</v>
      </c>
    </row>
    <row r="252">
      <c r="A252" s="1" t="s">
        <v>51</v>
      </c>
      <c r="C252" s="1" t="s">
        <v>52</v>
      </c>
      <c r="E252" s="1" t="s">
        <v>53</v>
      </c>
      <c r="F252" s="1" t="s">
        <v>54</v>
      </c>
      <c r="G252" s="2">
        <v>43.0</v>
      </c>
      <c r="H252" s="1" t="s">
        <v>55</v>
      </c>
      <c r="I252" s="1" t="s">
        <v>67</v>
      </c>
      <c r="J252" s="1" t="s">
        <v>56</v>
      </c>
      <c r="K252" s="1" t="s">
        <v>57</v>
      </c>
      <c r="M252" s="1" t="s">
        <v>58</v>
      </c>
      <c r="N252" s="1" t="s">
        <v>58</v>
      </c>
      <c r="O252" s="1" t="s">
        <v>69</v>
      </c>
      <c r="Q252" s="1" t="s">
        <v>58</v>
      </c>
      <c r="R252" s="1" t="s">
        <v>58</v>
      </c>
      <c r="S252" s="1" t="s">
        <v>70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81</v>
      </c>
      <c r="Y252" s="1" t="s">
        <v>172</v>
      </c>
      <c r="Z252" s="1" t="s">
        <v>96</v>
      </c>
      <c r="AA252" s="2">
        <v>50.0</v>
      </c>
      <c r="AB252" s="1" t="s">
        <v>28</v>
      </c>
      <c r="AC252" s="1" t="s">
        <v>71</v>
      </c>
      <c r="AF252" s="1" t="s">
        <v>51</v>
      </c>
      <c r="AG252" s="1" t="s">
        <v>51</v>
      </c>
      <c r="AH252" s="2">
        <v>500.0</v>
      </c>
      <c r="AI252" s="2">
        <v>0.0</v>
      </c>
      <c r="AJ252" s="2">
        <v>0.0</v>
      </c>
      <c r="AK252" s="2">
        <v>0.0</v>
      </c>
      <c r="AL252" s="2">
        <v>1.0</v>
      </c>
      <c r="AM252" s="1" t="s">
        <v>51</v>
      </c>
      <c r="AN252" s="2">
        <v>7.12667257E8</v>
      </c>
      <c r="AP252" s="2">
        <v>4.90415882E8</v>
      </c>
      <c r="AQ252" s="1" t="s">
        <v>384</v>
      </c>
      <c r="AR252" s="2">
        <v>45809.45297453704</v>
      </c>
      <c r="AU252" s="1" t="s">
        <v>64</v>
      </c>
      <c r="AW252" s="1" t="s">
        <v>255</v>
      </c>
      <c r="AY252" s="2">
        <v>246.0</v>
      </c>
    </row>
    <row r="253">
      <c r="A253" s="1" t="s">
        <v>51</v>
      </c>
      <c r="C253" s="1" t="s">
        <v>52</v>
      </c>
      <c r="E253" s="1" t="s">
        <v>53</v>
      </c>
      <c r="F253" s="1" t="s">
        <v>54</v>
      </c>
      <c r="G253" s="2">
        <v>36.0</v>
      </c>
      <c r="H253" s="1" t="s">
        <v>66</v>
      </c>
      <c r="I253" s="1" t="s">
        <v>67</v>
      </c>
      <c r="J253" s="1" t="s">
        <v>111</v>
      </c>
      <c r="K253" s="1" t="s">
        <v>57</v>
      </c>
      <c r="M253" s="1" t="s">
        <v>58</v>
      </c>
      <c r="N253" s="1" t="s">
        <v>58</v>
      </c>
      <c r="O253" s="1" t="s">
        <v>69</v>
      </c>
      <c r="Q253" s="1" t="s">
        <v>58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81</v>
      </c>
      <c r="Y253" s="1" t="s">
        <v>82</v>
      </c>
      <c r="Z253" s="1" t="s">
        <v>127</v>
      </c>
      <c r="AA253" s="2">
        <v>100.0</v>
      </c>
      <c r="AB253" s="1" t="s">
        <v>28</v>
      </c>
      <c r="AC253" s="1" t="s">
        <v>71</v>
      </c>
      <c r="AF253" s="1" t="s">
        <v>51</v>
      </c>
      <c r="AG253" s="1" t="s">
        <v>72</v>
      </c>
      <c r="AI253" s="2">
        <v>1.0</v>
      </c>
      <c r="AJ253" s="2">
        <v>0.0</v>
      </c>
      <c r="AK253" s="2">
        <v>0.0</v>
      </c>
      <c r="AL253" s="2">
        <v>0.0</v>
      </c>
      <c r="AM253" s="1" t="s">
        <v>51</v>
      </c>
      <c r="AN253" s="2">
        <v>8.37472508E8</v>
      </c>
      <c r="AP253" s="2">
        <v>4.90416674E8</v>
      </c>
      <c r="AQ253" s="1" t="s">
        <v>385</v>
      </c>
      <c r="AR253" s="2">
        <v>45809.45445601852</v>
      </c>
      <c r="AU253" s="1" t="s">
        <v>64</v>
      </c>
      <c r="AW253" s="1" t="s">
        <v>255</v>
      </c>
      <c r="AY253" s="2">
        <v>247.0</v>
      </c>
    </row>
    <row r="254">
      <c r="A254" s="1" t="s">
        <v>51</v>
      </c>
      <c r="C254" s="1" t="s">
        <v>52</v>
      </c>
      <c r="E254" s="1" t="s">
        <v>53</v>
      </c>
      <c r="F254" s="1" t="s">
        <v>54</v>
      </c>
      <c r="G254" s="2">
        <v>33.0</v>
      </c>
      <c r="H254" s="1" t="s">
        <v>55</v>
      </c>
      <c r="I254" s="1" t="s">
        <v>100</v>
      </c>
      <c r="J254" s="1" t="s">
        <v>111</v>
      </c>
      <c r="K254" s="1" t="s">
        <v>57</v>
      </c>
      <c r="M254" s="1" t="s">
        <v>58</v>
      </c>
      <c r="N254" s="1" t="s">
        <v>58</v>
      </c>
      <c r="O254" s="1" t="s">
        <v>70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81</v>
      </c>
      <c r="Y254" s="1" t="s">
        <v>172</v>
      </c>
      <c r="AA254" s="2">
        <v>50.0</v>
      </c>
      <c r="AB254" s="1" t="s">
        <v>28</v>
      </c>
      <c r="AC254" s="1" t="s">
        <v>71</v>
      </c>
      <c r="AF254" s="1" t="s">
        <v>51</v>
      </c>
      <c r="AG254" s="1" t="s">
        <v>72</v>
      </c>
      <c r="AI254" s="2">
        <v>0.0</v>
      </c>
      <c r="AJ254" s="2">
        <v>0.0</v>
      </c>
      <c r="AK254" s="2">
        <v>0.0</v>
      </c>
      <c r="AL254" s="2">
        <v>1.0</v>
      </c>
      <c r="AM254" s="1" t="s">
        <v>51</v>
      </c>
      <c r="AN254" s="2">
        <v>7.87472508E8</v>
      </c>
      <c r="AP254" s="2">
        <v>4.90417179E8</v>
      </c>
      <c r="AQ254" s="1" t="s">
        <v>386</v>
      </c>
      <c r="AR254" s="2">
        <v>45809.455555555556</v>
      </c>
      <c r="AU254" s="1" t="s">
        <v>64</v>
      </c>
      <c r="AW254" s="1" t="s">
        <v>255</v>
      </c>
      <c r="AY254" s="2">
        <v>248.0</v>
      </c>
    </row>
    <row r="255">
      <c r="A255" s="1" t="s">
        <v>51</v>
      </c>
      <c r="C255" s="1" t="s">
        <v>52</v>
      </c>
      <c r="E255" s="1" t="s">
        <v>53</v>
      </c>
      <c r="F255" s="1" t="s">
        <v>54</v>
      </c>
      <c r="G255" s="2">
        <v>45.0</v>
      </c>
      <c r="H255" s="1" t="s">
        <v>66</v>
      </c>
      <c r="I255" s="1" t="s">
        <v>100</v>
      </c>
      <c r="J255" s="1" t="s">
        <v>111</v>
      </c>
      <c r="K255" s="1" t="s">
        <v>74</v>
      </c>
      <c r="M255" s="1" t="s">
        <v>58</v>
      </c>
      <c r="N255" s="1" t="s">
        <v>58</v>
      </c>
      <c r="O255" s="1" t="s">
        <v>69</v>
      </c>
      <c r="Q255" s="1" t="s">
        <v>58</v>
      </c>
      <c r="R255" s="1" t="s">
        <v>58</v>
      </c>
      <c r="S255" s="1" t="s">
        <v>58</v>
      </c>
      <c r="T255" s="1" t="s">
        <v>58</v>
      </c>
      <c r="U255" s="1" t="s">
        <v>58</v>
      </c>
      <c r="V255" s="1" t="s">
        <v>58</v>
      </c>
      <c r="W255" s="1" t="s">
        <v>58</v>
      </c>
      <c r="X255" s="1" t="s">
        <v>81</v>
      </c>
      <c r="Y255" s="1" t="s">
        <v>60</v>
      </c>
      <c r="Z255" s="1" t="s">
        <v>96</v>
      </c>
      <c r="AA255" s="2">
        <v>100.0</v>
      </c>
      <c r="AB255" s="1" t="s">
        <v>79</v>
      </c>
      <c r="AC255" s="1" t="s">
        <v>71</v>
      </c>
      <c r="AF255" s="1" t="s">
        <v>51</v>
      </c>
      <c r="AG255" s="1" t="s">
        <v>72</v>
      </c>
      <c r="AI255" s="2">
        <v>0.0</v>
      </c>
      <c r="AJ255" s="2">
        <v>0.0</v>
      </c>
      <c r="AK255" s="2">
        <v>0.0</v>
      </c>
      <c r="AL255" s="2">
        <v>1.0</v>
      </c>
      <c r="AM255" s="1" t="s">
        <v>51</v>
      </c>
      <c r="AN255" s="2">
        <v>7.19438817E8</v>
      </c>
      <c r="AP255" s="2">
        <v>4.90417778E8</v>
      </c>
      <c r="AQ255" s="1" t="s">
        <v>387</v>
      </c>
      <c r="AR255" s="2">
        <v>45809.457094907404</v>
      </c>
      <c r="AU255" s="1" t="s">
        <v>64</v>
      </c>
      <c r="AW255" s="1" t="s">
        <v>255</v>
      </c>
      <c r="AY255" s="2">
        <v>249.0</v>
      </c>
    </row>
    <row r="256">
      <c r="A256" s="1" t="s">
        <v>51</v>
      </c>
      <c r="C256" s="1" t="s">
        <v>52</v>
      </c>
      <c r="E256" s="1" t="s">
        <v>53</v>
      </c>
      <c r="F256" s="1" t="s">
        <v>54</v>
      </c>
      <c r="G256" s="2">
        <v>44.0</v>
      </c>
      <c r="H256" s="1" t="s">
        <v>66</v>
      </c>
      <c r="I256" s="1" t="s">
        <v>67</v>
      </c>
      <c r="J256" s="1" t="s">
        <v>68</v>
      </c>
      <c r="K256" s="1" t="s">
        <v>74</v>
      </c>
      <c r="M256" s="1" t="s">
        <v>58</v>
      </c>
      <c r="N256" s="1" t="s">
        <v>58</v>
      </c>
      <c r="O256" s="1" t="s">
        <v>69</v>
      </c>
      <c r="Q256" s="1" t="s">
        <v>58</v>
      </c>
      <c r="R256" s="1" t="s">
        <v>58</v>
      </c>
      <c r="S256" s="1" t="s">
        <v>69</v>
      </c>
      <c r="T256" s="1" t="s">
        <v>69</v>
      </c>
      <c r="U256" s="1" t="s">
        <v>58</v>
      </c>
      <c r="V256" s="1" t="s">
        <v>58</v>
      </c>
      <c r="W256" s="1" t="s">
        <v>69</v>
      </c>
      <c r="Y256" s="1" t="s">
        <v>82</v>
      </c>
      <c r="Z256" s="1" t="s">
        <v>96</v>
      </c>
      <c r="AA256" s="2">
        <v>100.0</v>
      </c>
      <c r="AB256" s="1" t="s">
        <v>28</v>
      </c>
      <c r="AC256" s="1" t="s">
        <v>71</v>
      </c>
      <c r="AF256" s="1" t="s">
        <v>51</v>
      </c>
      <c r="AG256" s="1" t="s">
        <v>72</v>
      </c>
      <c r="AI256" s="2">
        <v>0.0</v>
      </c>
      <c r="AJ256" s="2">
        <v>0.0</v>
      </c>
      <c r="AK256" s="2">
        <v>0.0</v>
      </c>
      <c r="AL256" s="2">
        <v>1.0</v>
      </c>
      <c r="AM256" s="1" t="s">
        <v>51</v>
      </c>
      <c r="AN256" s="2">
        <v>6.56267166E8</v>
      </c>
      <c r="AP256" s="2">
        <v>4.90418598E8</v>
      </c>
      <c r="AQ256" s="1" t="s">
        <v>388</v>
      </c>
      <c r="AR256" s="2">
        <v>45809.45890046296</v>
      </c>
      <c r="AU256" s="1" t="s">
        <v>64</v>
      </c>
      <c r="AW256" s="1" t="s">
        <v>255</v>
      </c>
      <c r="AY256" s="2">
        <v>250.0</v>
      </c>
    </row>
    <row r="257">
      <c r="A257" s="1" t="s">
        <v>51</v>
      </c>
      <c r="C257" s="1" t="s">
        <v>52</v>
      </c>
      <c r="E257" s="1" t="s">
        <v>53</v>
      </c>
      <c r="F257" s="1" t="s">
        <v>54</v>
      </c>
      <c r="G257" s="2">
        <v>29.0</v>
      </c>
      <c r="H257" s="1" t="s">
        <v>66</v>
      </c>
      <c r="I257" s="1" t="s">
        <v>67</v>
      </c>
      <c r="J257" s="1" t="s">
        <v>111</v>
      </c>
      <c r="K257" s="1" t="s">
        <v>74</v>
      </c>
      <c r="M257" s="1" t="s">
        <v>58</v>
      </c>
      <c r="N257" s="1" t="s">
        <v>58</v>
      </c>
      <c r="O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81</v>
      </c>
      <c r="Y257" s="1" t="s">
        <v>172</v>
      </c>
      <c r="Z257" s="1" t="s">
        <v>127</v>
      </c>
      <c r="AA257" s="2">
        <v>100.0</v>
      </c>
      <c r="AB257" s="1" t="s">
        <v>28</v>
      </c>
      <c r="AC257" s="1" t="s">
        <v>71</v>
      </c>
      <c r="AF257" s="1" t="s">
        <v>51</v>
      </c>
      <c r="AI257" s="2">
        <v>0.0</v>
      </c>
      <c r="AJ257" s="2">
        <v>0.0</v>
      </c>
      <c r="AK257" s="2">
        <v>0.0</v>
      </c>
      <c r="AL257" s="2">
        <v>1.0</v>
      </c>
      <c r="AM257" s="1" t="s">
        <v>51</v>
      </c>
      <c r="AN257" s="2">
        <v>7.38839923E8</v>
      </c>
      <c r="AP257" s="2">
        <v>4.904193E8</v>
      </c>
      <c r="AQ257" s="1" t="s">
        <v>389</v>
      </c>
      <c r="AR257" s="2">
        <v>45809.46008101852</v>
      </c>
      <c r="AU257" s="1" t="s">
        <v>64</v>
      </c>
      <c r="AW257" s="1" t="s">
        <v>255</v>
      </c>
      <c r="AY257" s="2">
        <v>251.0</v>
      </c>
    </row>
    <row r="258">
      <c r="A258" s="1" t="s">
        <v>51</v>
      </c>
      <c r="C258" s="1" t="s">
        <v>52</v>
      </c>
      <c r="E258" s="1" t="s">
        <v>53</v>
      </c>
      <c r="F258" s="1" t="s">
        <v>54</v>
      </c>
      <c r="G258" s="2">
        <v>40.0</v>
      </c>
      <c r="H258" s="1" t="s">
        <v>55</v>
      </c>
      <c r="I258" s="1" t="s">
        <v>67</v>
      </c>
      <c r="J258" s="1" t="s">
        <v>111</v>
      </c>
      <c r="K258" s="1" t="s">
        <v>74</v>
      </c>
      <c r="M258" s="1" t="s">
        <v>58</v>
      </c>
      <c r="N258" s="1" t="s">
        <v>58</v>
      </c>
      <c r="O258" s="1" t="s">
        <v>69</v>
      </c>
      <c r="Q258" s="1" t="s">
        <v>58</v>
      </c>
      <c r="R258" s="1" t="s">
        <v>58</v>
      </c>
      <c r="S258" s="1" t="s">
        <v>69</v>
      </c>
      <c r="T258" s="1" t="s">
        <v>58</v>
      </c>
      <c r="U258" s="1" t="s">
        <v>70</v>
      </c>
      <c r="V258" s="1" t="s">
        <v>58</v>
      </c>
      <c r="W258" s="1" t="s">
        <v>69</v>
      </c>
      <c r="X258" s="1" t="s">
        <v>59</v>
      </c>
      <c r="Z258" s="1" t="s">
        <v>89</v>
      </c>
      <c r="AA258" s="2">
        <v>50.0</v>
      </c>
      <c r="AB258" s="1" t="s">
        <v>62</v>
      </c>
      <c r="AC258" s="1" t="s">
        <v>51</v>
      </c>
      <c r="AD258" s="1" t="s">
        <v>81</v>
      </c>
      <c r="AE258" s="1" t="s">
        <v>51</v>
      </c>
      <c r="AF258" s="1" t="s">
        <v>51</v>
      </c>
      <c r="AG258" s="1" t="s">
        <v>51</v>
      </c>
      <c r="AH258" s="2">
        <v>20.0</v>
      </c>
      <c r="AI258" s="2">
        <v>1.0</v>
      </c>
      <c r="AJ258" s="2">
        <v>0.0</v>
      </c>
      <c r="AK258" s="2">
        <v>0.0</v>
      </c>
      <c r="AL258" s="2">
        <v>0.0</v>
      </c>
      <c r="AM258" s="1" t="s">
        <v>51</v>
      </c>
      <c r="AN258" s="2">
        <v>6.2639941E8</v>
      </c>
      <c r="AP258" s="2">
        <v>4.90422919E8</v>
      </c>
      <c r="AQ258" s="1" t="s">
        <v>390</v>
      </c>
      <c r="AR258" s="2">
        <v>45809.46800925926</v>
      </c>
      <c r="AU258" s="1" t="s">
        <v>64</v>
      </c>
      <c r="AW258" s="1" t="s">
        <v>255</v>
      </c>
      <c r="AY258" s="2">
        <v>252.0</v>
      </c>
    </row>
    <row r="259">
      <c r="A259" s="1" t="s">
        <v>51</v>
      </c>
      <c r="C259" s="1" t="s">
        <v>52</v>
      </c>
      <c r="E259" s="1" t="s">
        <v>53</v>
      </c>
      <c r="F259" s="1" t="s">
        <v>54</v>
      </c>
      <c r="G259" s="2">
        <v>29.0</v>
      </c>
      <c r="H259" s="1" t="s">
        <v>55</v>
      </c>
      <c r="I259" s="1" t="s">
        <v>100</v>
      </c>
      <c r="J259" s="1" t="s">
        <v>68</v>
      </c>
      <c r="K259" s="1" t="s">
        <v>57</v>
      </c>
      <c r="M259" s="1" t="s">
        <v>58</v>
      </c>
      <c r="N259" s="1" t="s">
        <v>58</v>
      </c>
      <c r="O259" s="1" t="s">
        <v>69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81</v>
      </c>
      <c r="Y259" s="1" t="s">
        <v>172</v>
      </c>
      <c r="Z259" s="1" t="s">
        <v>96</v>
      </c>
      <c r="AA259" s="2">
        <v>100.0</v>
      </c>
      <c r="AB259" s="1" t="s">
        <v>28</v>
      </c>
      <c r="AC259" s="1" t="s">
        <v>71</v>
      </c>
      <c r="AF259" s="1" t="s">
        <v>51</v>
      </c>
      <c r="AG259" s="1" t="s">
        <v>72</v>
      </c>
      <c r="AI259" s="2">
        <v>0.0</v>
      </c>
      <c r="AJ259" s="2">
        <v>0.0</v>
      </c>
      <c r="AK259" s="2">
        <v>0.0</v>
      </c>
      <c r="AL259" s="2">
        <v>1.0</v>
      </c>
      <c r="AM259" s="1" t="s">
        <v>51</v>
      </c>
      <c r="AN259" s="2">
        <v>6.7069764E8</v>
      </c>
      <c r="AP259" s="2">
        <v>4.90424099E8</v>
      </c>
      <c r="AQ259" s="1" t="s">
        <v>391</v>
      </c>
      <c r="AR259" s="2">
        <v>45809.47068287037</v>
      </c>
      <c r="AU259" s="1" t="s">
        <v>64</v>
      </c>
      <c r="AW259" s="1" t="s">
        <v>255</v>
      </c>
      <c r="AY259" s="2">
        <v>253.0</v>
      </c>
    </row>
    <row r="260">
      <c r="A260" s="1" t="s">
        <v>51</v>
      </c>
      <c r="C260" s="1" t="s">
        <v>52</v>
      </c>
      <c r="E260" s="1" t="s">
        <v>53</v>
      </c>
      <c r="F260" s="1" t="s">
        <v>54</v>
      </c>
      <c r="G260" s="2">
        <v>30.0</v>
      </c>
      <c r="H260" s="1" t="s">
        <v>55</v>
      </c>
      <c r="I260" s="1" t="s">
        <v>100</v>
      </c>
      <c r="J260" s="1" t="s">
        <v>68</v>
      </c>
      <c r="K260" s="1" t="s">
        <v>74</v>
      </c>
      <c r="M260" s="1" t="s">
        <v>58</v>
      </c>
      <c r="N260" s="1" t="s">
        <v>58</v>
      </c>
      <c r="O260" s="1" t="s">
        <v>69</v>
      </c>
      <c r="Q260" s="1" t="s">
        <v>69</v>
      </c>
      <c r="R260" s="1" t="s">
        <v>58</v>
      </c>
      <c r="S260" s="1" t="s">
        <v>58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81</v>
      </c>
      <c r="Y260" s="1" t="s">
        <v>172</v>
      </c>
      <c r="Z260" s="1" t="s">
        <v>96</v>
      </c>
      <c r="AA260" s="2">
        <v>100.0</v>
      </c>
      <c r="AB260" s="1" t="s">
        <v>79</v>
      </c>
      <c r="AC260" s="1" t="s">
        <v>71</v>
      </c>
      <c r="AF260" s="1" t="s">
        <v>51</v>
      </c>
      <c r="AI260" s="2">
        <v>0.0</v>
      </c>
      <c r="AJ260" s="2">
        <v>0.0</v>
      </c>
      <c r="AK260" s="2">
        <v>0.0</v>
      </c>
      <c r="AL260" s="2">
        <v>1.0</v>
      </c>
      <c r="AM260" s="1" t="s">
        <v>51</v>
      </c>
      <c r="AN260" s="2">
        <v>8.18158267E8</v>
      </c>
      <c r="AP260" s="2">
        <v>4.90424695E8</v>
      </c>
      <c r="AQ260" s="1" t="s">
        <v>392</v>
      </c>
      <c r="AR260" s="2">
        <v>45809.47248842593</v>
      </c>
      <c r="AU260" s="1" t="s">
        <v>64</v>
      </c>
      <c r="AW260" s="1" t="s">
        <v>255</v>
      </c>
      <c r="AY260" s="2">
        <v>254.0</v>
      </c>
    </row>
    <row r="261">
      <c r="A261" s="1" t="s">
        <v>51</v>
      </c>
      <c r="C261" s="1" t="s">
        <v>52</v>
      </c>
      <c r="E261" s="1" t="s">
        <v>53</v>
      </c>
      <c r="F261" s="1" t="s">
        <v>54</v>
      </c>
      <c r="G261" s="2">
        <v>27.0</v>
      </c>
      <c r="H261" s="1" t="s">
        <v>55</v>
      </c>
      <c r="I261" s="1" t="s">
        <v>100</v>
      </c>
      <c r="J261" s="1" t="s">
        <v>68</v>
      </c>
      <c r="K261" s="1" t="s">
        <v>74</v>
      </c>
      <c r="M261" s="1" t="s">
        <v>58</v>
      </c>
      <c r="N261" s="1" t="s">
        <v>58</v>
      </c>
      <c r="O261" s="1" t="s">
        <v>69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81</v>
      </c>
      <c r="Y261" s="1" t="s">
        <v>172</v>
      </c>
      <c r="Z261" s="1" t="s">
        <v>96</v>
      </c>
      <c r="AA261" s="2">
        <v>50.0</v>
      </c>
      <c r="AB261" s="1" t="s">
        <v>79</v>
      </c>
      <c r="AC261" s="1" t="s">
        <v>71</v>
      </c>
      <c r="AF261" s="1" t="s">
        <v>51</v>
      </c>
      <c r="AG261" s="1" t="s">
        <v>51</v>
      </c>
      <c r="AH261" s="2">
        <v>300.0</v>
      </c>
      <c r="AI261" s="2">
        <v>0.0</v>
      </c>
      <c r="AJ261" s="2">
        <v>0.0</v>
      </c>
      <c r="AK261" s="2">
        <v>0.0</v>
      </c>
      <c r="AL261" s="2">
        <v>1.0</v>
      </c>
      <c r="AM261" s="1" t="s">
        <v>51</v>
      </c>
      <c r="AN261" s="2">
        <v>7.29861635E8</v>
      </c>
      <c r="AP261" s="2">
        <v>4.90425587E8</v>
      </c>
      <c r="AQ261" s="1" t="s">
        <v>393</v>
      </c>
      <c r="AR261" s="2">
        <v>45809.474270833336</v>
      </c>
      <c r="AU261" s="1" t="s">
        <v>64</v>
      </c>
      <c r="AW261" s="1" t="s">
        <v>255</v>
      </c>
      <c r="AY261" s="2">
        <v>255.0</v>
      </c>
    </row>
    <row r="262">
      <c r="A262" s="1" t="s">
        <v>51</v>
      </c>
      <c r="C262" s="1" t="s">
        <v>170</v>
      </c>
      <c r="E262" s="1" t="s">
        <v>53</v>
      </c>
      <c r="F262" s="1" t="s">
        <v>102</v>
      </c>
      <c r="G262" s="2">
        <v>37.0</v>
      </c>
      <c r="H262" s="1" t="s">
        <v>55</v>
      </c>
      <c r="I262" s="1" t="s">
        <v>100</v>
      </c>
      <c r="J262" s="1" t="s">
        <v>68</v>
      </c>
      <c r="K262" s="1" t="s">
        <v>78</v>
      </c>
      <c r="M262" s="1" t="s">
        <v>70</v>
      </c>
      <c r="N262" s="1" t="s">
        <v>70</v>
      </c>
      <c r="O262" s="1" t="s">
        <v>69</v>
      </c>
      <c r="Q262" s="1" t="s">
        <v>58</v>
      </c>
      <c r="R262" s="1" t="s">
        <v>58</v>
      </c>
      <c r="S262" s="1" t="s">
        <v>58</v>
      </c>
      <c r="T262" s="1" t="s">
        <v>69</v>
      </c>
      <c r="U262" s="1" t="s">
        <v>69</v>
      </c>
      <c r="V262" s="1" t="s">
        <v>69</v>
      </c>
      <c r="W262" s="1" t="s">
        <v>69</v>
      </c>
      <c r="X262" s="1" t="s">
        <v>81</v>
      </c>
      <c r="Y262" s="1" t="s">
        <v>60</v>
      </c>
      <c r="Z262" s="1" t="s">
        <v>61</v>
      </c>
      <c r="AA262" s="2">
        <v>10.0</v>
      </c>
      <c r="AB262" s="1" t="s">
        <v>79</v>
      </c>
      <c r="AC262" s="1" t="s">
        <v>71</v>
      </c>
      <c r="AF262" s="1" t="s">
        <v>51</v>
      </c>
      <c r="AG262" s="1" t="s">
        <v>72</v>
      </c>
      <c r="AI262" s="2">
        <v>0.0</v>
      </c>
      <c r="AJ262" s="2">
        <v>0.0</v>
      </c>
      <c r="AK262" s="2">
        <v>0.0</v>
      </c>
      <c r="AL262" s="2">
        <v>1.0</v>
      </c>
      <c r="AM262" s="1" t="s">
        <v>72</v>
      </c>
      <c r="AP262" s="2">
        <v>4.90425591E8</v>
      </c>
      <c r="AQ262" s="1" t="s">
        <v>394</v>
      </c>
      <c r="AR262" s="2">
        <v>45809.474270833336</v>
      </c>
      <c r="AU262" s="1" t="s">
        <v>64</v>
      </c>
      <c r="AW262" s="1" t="s">
        <v>255</v>
      </c>
      <c r="AY262" s="2">
        <v>256.0</v>
      </c>
    </row>
    <row r="263">
      <c r="A263" s="1" t="s">
        <v>51</v>
      </c>
      <c r="C263" s="1" t="s">
        <v>52</v>
      </c>
      <c r="E263" s="1" t="s">
        <v>53</v>
      </c>
      <c r="F263" s="1" t="s">
        <v>54</v>
      </c>
      <c r="G263" s="2">
        <v>36.0</v>
      </c>
      <c r="H263" s="1" t="s">
        <v>55</v>
      </c>
      <c r="I263" s="1" t="s">
        <v>100</v>
      </c>
      <c r="J263" s="1" t="s">
        <v>111</v>
      </c>
      <c r="K263" s="1" t="s">
        <v>74</v>
      </c>
      <c r="M263" s="1" t="s">
        <v>58</v>
      </c>
      <c r="N263" s="1" t="s">
        <v>58</v>
      </c>
      <c r="O263" s="1" t="s">
        <v>69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69</v>
      </c>
      <c r="V263" s="1" t="s">
        <v>69</v>
      </c>
      <c r="W263" s="1" t="s">
        <v>69</v>
      </c>
      <c r="X263" s="1" t="s">
        <v>59</v>
      </c>
      <c r="Y263" s="1" t="s">
        <v>172</v>
      </c>
      <c r="Z263" s="1" t="s">
        <v>96</v>
      </c>
      <c r="AA263" s="2">
        <v>50.0</v>
      </c>
      <c r="AB263" s="1" t="s">
        <v>28</v>
      </c>
      <c r="AC263" s="1" t="s">
        <v>71</v>
      </c>
      <c r="AF263" s="1" t="s">
        <v>51</v>
      </c>
      <c r="AG263" s="1" t="s">
        <v>51</v>
      </c>
      <c r="AH263" s="2">
        <v>400.0</v>
      </c>
      <c r="AI263" s="2">
        <v>0.0</v>
      </c>
      <c r="AJ263" s="2">
        <v>0.0</v>
      </c>
      <c r="AK263" s="2">
        <v>0.0</v>
      </c>
      <c r="AL263" s="2">
        <v>1.0</v>
      </c>
      <c r="AM263" s="1" t="s">
        <v>51</v>
      </c>
      <c r="AN263" s="2">
        <v>8.43748237E8</v>
      </c>
      <c r="AP263" s="2">
        <v>4.9042629E8</v>
      </c>
      <c r="AQ263" s="1" t="s">
        <v>395</v>
      </c>
      <c r="AR263" s="2">
        <v>45809.47556712963</v>
      </c>
      <c r="AU263" s="1" t="s">
        <v>64</v>
      </c>
      <c r="AW263" s="1" t="s">
        <v>255</v>
      </c>
      <c r="AY263" s="2">
        <v>257.0</v>
      </c>
    </row>
    <row r="264">
      <c r="A264" s="1" t="s">
        <v>51</v>
      </c>
      <c r="C264" s="1" t="s">
        <v>52</v>
      </c>
      <c r="E264" s="1" t="s">
        <v>53</v>
      </c>
      <c r="F264" s="1" t="s">
        <v>54</v>
      </c>
      <c r="G264" s="2">
        <v>33.0</v>
      </c>
      <c r="H264" s="1" t="s">
        <v>55</v>
      </c>
      <c r="I264" s="1" t="s">
        <v>67</v>
      </c>
      <c r="J264" s="1" t="s">
        <v>56</v>
      </c>
      <c r="K264" s="1" t="s">
        <v>74</v>
      </c>
      <c r="M264" s="1" t="s">
        <v>58</v>
      </c>
      <c r="N264" s="1" t="s">
        <v>58</v>
      </c>
      <c r="O264" s="1" t="s">
        <v>58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81</v>
      </c>
      <c r="Y264" s="1" t="s">
        <v>82</v>
      </c>
      <c r="Z264" s="1" t="s">
        <v>96</v>
      </c>
      <c r="AA264" s="2">
        <v>50.0</v>
      </c>
      <c r="AB264" s="1" t="s">
        <v>79</v>
      </c>
      <c r="AC264" s="1" t="s">
        <v>71</v>
      </c>
      <c r="AF264" s="1" t="s">
        <v>51</v>
      </c>
      <c r="AI264" s="2">
        <v>0.0</v>
      </c>
      <c r="AJ264" s="2">
        <v>1.0</v>
      </c>
      <c r="AK264" s="2">
        <v>0.0</v>
      </c>
      <c r="AL264" s="2">
        <v>0.0</v>
      </c>
      <c r="AM264" s="1" t="s">
        <v>51</v>
      </c>
      <c r="AN264" s="2">
        <v>7.42414746E8</v>
      </c>
      <c r="AP264" s="2">
        <v>4.90426878E8</v>
      </c>
      <c r="AQ264" s="1" t="s">
        <v>396</v>
      </c>
      <c r="AR264" s="2">
        <v>45809.476689814815</v>
      </c>
      <c r="AU264" s="1" t="s">
        <v>64</v>
      </c>
      <c r="AW264" s="1" t="s">
        <v>255</v>
      </c>
      <c r="AY264" s="2">
        <v>258.0</v>
      </c>
    </row>
    <row r="265">
      <c r="A265" s="1" t="s">
        <v>51</v>
      </c>
      <c r="C265" s="1" t="s">
        <v>52</v>
      </c>
      <c r="E265" s="1" t="s">
        <v>53</v>
      </c>
      <c r="G265" s="2">
        <v>26.0</v>
      </c>
      <c r="H265" s="1" t="s">
        <v>66</v>
      </c>
      <c r="I265" s="1" t="s">
        <v>67</v>
      </c>
      <c r="J265" s="1" t="s">
        <v>56</v>
      </c>
      <c r="K265" s="1" t="s">
        <v>74</v>
      </c>
      <c r="M265" s="1" t="s">
        <v>58</v>
      </c>
      <c r="N265" s="1" t="s">
        <v>58</v>
      </c>
      <c r="O265" s="1" t="s">
        <v>58</v>
      </c>
      <c r="Q265" s="1" t="s">
        <v>58</v>
      </c>
      <c r="R265" s="1" t="s">
        <v>58</v>
      </c>
      <c r="S265" s="1" t="s">
        <v>58</v>
      </c>
      <c r="T265" s="1" t="s">
        <v>58</v>
      </c>
      <c r="U265" s="1" t="s">
        <v>58</v>
      </c>
      <c r="V265" s="1" t="s">
        <v>58</v>
      </c>
      <c r="W265" s="1" t="s">
        <v>58</v>
      </c>
      <c r="X265" s="1" t="s">
        <v>81</v>
      </c>
      <c r="Y265" s="1" t="s">
        <v>172</v>
      </c>
      <c r="Z265" s="1" t="s">
        <v>96</v>
      </c>
      <c r="AA265" s="2">
        <v>50.0</v>
      </c>
      <c r="AB265" s="1" t="s">
        <v>79</v>
      </c>
      <c r="AC265" s="1" t="s">
        <v>71</v>
      </c>
      <c r="AF265" s="1" t="s">
        <v>51</v>
      </c>
      <c r="AI265" s="2">
        <v>0.0</v>
      </c>
      <c r="AJ265" s="2">
        <v>0.0</v>
      </c>
      <c r="AK265" s="2">
        <v>0.0</v>
      </c>
      <c r="AL265" s="2">
        <v>1.0</v>
      </c>
      <c r="AM265" s="1" t="s">
        <v>51</v>
      </c>
      <c r="AN265" s="2">
        <v>7.43074844E8</v>
      </c>
      <c r="AP265" s="2">
        <v>4.90427639E8</v>
      </c>
      <c r="AQ265" s="1" t="s">
        <v>397</v>
      </c>
      <c r="AR265" s="2">
        <v>45809.477858796294</v>
      </c>
      <c r="AU265" s="1" t="s">
        <v>64</v>
      </c>
      <c r="AW265" s="1" t="s">
        <v>255</v>
      </c>
      <c r="AY265" s="2">
        <v>259.0</v>
      </c>
    </row>
    <row r="266">
      <c r="A266" s="1" t="s">
        <v>51</v>
      </c>
      <c r="C266" s="1" t="s">
        <v>52</v>
      </c>
      <c r="E266" s="1" t="s">
        <v>53</v>
      </c>
      <c r="F266" s="1" t="s">
        <v>54</v>
      </c>
      <c r="G266" s="2">
        <v>30.0</v>
      </c>
      <c r="H266" s="1" t="s">
        <v>66</v>
      </c>
      <c r="I266" s="1" t="s">
        <v>67</v>
      </c>
      <c r="J266" s="1" t="s">
        <v>56</v>
      </c>
      <c r="K266" s="1" t="s">
        <v>74</v>
      </c>
      <c r="M266" s="1" t="s">
        <v>58</v>
      </c>
      <c r="N266" s="1" t="s">
        <v>58</v>
      </c>
      <c r="O266" s="1" t="s">
        <v>58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58</v>
      </c>
      <c r="V266" s="1" t="s">
        <v>58</v>
      </c>
      <c r="W266" s="1" t="s">
        <v>58</v>
      </c>
      <c r="X266" s="1" t="s">
        <v>81</v>
      </c>
      <c r="Y266" s="1" t="s">
        <v>60</v>
      </c>
      <c r="Z266" s="1" t="s">
        <v>96</v>
      </c>
      <c r="AA266" s="2">
        <v>50.0</v>
      </c>
      <c r="AB266" s="1" t="s">
        <v>79</v>
      </c>
      <c r="AC266" s="1" t="s">
        <v>71</v>
      </c>
      <c r="AF266" s="1" t="s">
        <v>51</v>
      </c>
      <c r="AI266" s="2">
        <v>0.0</v>
      </c>
      <c r="AJ266" s="2">
        <v>0.0</v>
      </c>
      <c r="AK266" s="2">
        <v>0.0</v>
      </c>
      <c r="AL266" s="2">
        <v>1.0</v>
      </c>
      <c r="AM266" s="1" t="s">
        <v>51</v>
      </c>
      <c r="AN266" s="2">
        <v>6.44607283E8</v>
      </c>
      <c r="AP266" s="2">
        <v>4.90428229E8</v>
      </c>
      <c r="AQ266" s="1" t="s">
        <v>398</v>
      </c>
      <c r="AR266" s="2">
        <v>45809.47893518519</v>
      </c>
      <c r="AU266" s="1" t="s">
        <v>64</v>
      </c>
      <c r="AW266" s="1" t="s">
        <v>255</v>
      </c>
      <c r="AY266" s="2">
        <v>260.0</v>
      </c>
    </row>
    <row r="267">
      <c r="A267" s="1" t="s">
        <v>51</v>
      </c>
      <c r="C267" s="1" t="s">
        <v>52</v>
      </c>
      <c r="E267" s="1" t="s">
        <v>53</v>
      </c>
      <c r="F267" s="1" t="s">
        <v>54</v>
      </c>
      <c r="G267" s="2">
        <v>39.0</v>
      </c>
      <c r="H267" s="1" t="s">
        <v>55</v>
      </c>
      <c r="I267" s="1" t="s">
        <v>67</v>
      </c>
      <c r="J267" s="1" t="s">
        <v>68</v>
      </c>
      <c r="K267" s="1" t="s">
        <v>74</v>
      </c>
      <c r="M267" s="1" t="s">
        <v>58</v>
      </c>
      <c r="N267" s="1" t="s">
        <v>58</v>
      </c>
      <c r="O267" s="1" t="s">
        <v>58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81</v>
      </c>
      <c r="Y267" s="1" t="s">
        <v>172</v>
      </c>
      <c r="Z267" s="1" t="s">
        <v>96</v>
      </c>
      <c r="AA267" s="2">
        <v>50.0</v>
      </c>
      <c r="AB267" s="1" t="s">
        <v>28</v>
      </c>
      <c r="AC267" s="1" t="s">
        <v>71</v>
      </c>
      <c r="AF267" s="1" t="s">
        <v>51</v>
      </c>
      <c r="AI267" s="2">
        <v>0.0</v>
      </c>
      <c r="AJ267" s="2">
        <v>0.0</v>
      </c>
      <c r="AK267" s="2">
        <v>0.0</v>
      </c>
      <c r="AL267" s="2">
        <v>1.0</v>
      </c>
      <c r="AM267" s="1" t="s">
        <v>51</v>
      </c>
      <c r="AN267" s="2">
        <v>6.1803172E8</v>
      </c>
      <c r="AP267" s="2">
        <v>4.9042889E8</v>
      </c>
      <c r="AQ267" s="1" t="s">
        <v>399</v>
      </c>
      <c r="AR267" s="2">
        <v>45809.48024305556</v>
      </c>
      <c r="AU267" s="1" t="s">
        <v>64</v>
      </c>
      <c r="AW267" s="1" t="s">
        <v>255</v>
      </c>
      <c r="AY267" s="2">
        <v>261.0</v>
      </c>
    </row>
    <row r="268">
      <c r="A268" s="1" t="s">
        <v>51</v>
      </c>
      <c r="C268" s="1" t="s">
        <v>52</v>
      </c>
      <c r="E268" s="1" t="s">
        <v>53</v>
      </c>
      <c r="F268" s="1" t="s">
        <v>54</v>
      </c>
      <c r="G268" s="2">
        <v>32.0</v>
      </c>
      <c r="H268" s="1" t="s">
        <v>66</v>
      </c>
      <c r="I268" s="1" t="s">
        <v>67</v>
      </c>
      <c r="J268" s="1" t="s">
        <v>68</v>
      </c>
      <c r="K268" s="1" t="s">
        <v>74</v>
      </c>
      <c r="M268" s="1" t="s">
        <v>58</v>
      </c>
      <c r="N268" s="1" t="s">
        <v>58</v>
      </c>
      <c r="O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81</v>
      </c>
      <c r="Y268" s="1" t="s">
        <v>60</v>
      </c>
      <c r="Z268" s="1" t="s">
        <v>108</v>
      </c>
      <c r="AA268" s="2">
        <v>100.0</v>
      </c>
      <c r="AB268" s="1" t="s">
        <v>62</v>
      </c>
      <c r="AC268" s="1" t="s">
        <v>71</v>
      </c>
      <c r="AF268" s="1" t="s">
        <v>51</v>
      </c>
      <c r="AI268" s="2">
        <v>0.0</v>
      </c>
      <c r="AJ268" s="2">
        <v>0.0</v>
      </c>
      <c r="AK268" s="2">
        <v>0.0</v>
      </c>
      <c r="AL268" s="2">
        <v>1.0</v>
      </c>
      <c r="AM268" s="1" t="s">
        <v>51</v>
      </c>
      <c r="AN268" s="2">
        <v>6.56507643E8</v>
      </c>
      <c r="AP268" s="2">
        <v>4.90429346E8</v>
      </c>
      <c r="AQ268" s="1" t="s">
        <v>400</v>
      </c>
      <c r="AR268" s="2">
        <v>45809.48138888889</v>
      </c>
      <c r="AU268" s="1" t="s">
        <v>64</v>
      </c>
      <c r="AW268" s="1" t="s">
        <v>255</v>
      </c>
      <c r="AY268" s="2">
        <v>262.0</v>
      </c>
    </row>
    <row r="269">
      <c r="A269" s="1" t="s">
        <v>51</v>
      </c>
      <c r="C269" s="1" t="s">
        <v>52</v>
      </c>
      <c r="E269" s="1" t="s">
        <v>53</v>
      </c>
      <c r="F269" s="1" t="s">
        <v>54</v>
      </c>
      <c r="G269" s="2">
        <v>38.0</v>
      </c>
      <c r="H269" s="1" t="s">
        <v>55</v>
      </c>
      <c r="I269" s="1" t="s">
        <v>67</v>
      </c>
      <c r="J269" s="1" t="s">
        <v>111</v>
      </c>
      <c r="K269" s="1" t="s">
        <v>74</v>
      </c>
      <c r="M269" s="1" t="s">
        <v>58</v>
      </c>
      <c r="N269" s="1" t="s">
        <v>58</v>
      </c>
      <c r="O269" s="1" t="s">
        <v>69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81</v>
      </c>
      <c r="Y269" s="1" t="s">
        <v>60</v>
      </c>
      <c r="Z269" s="1" t="s">
        <v>127</v>
      </c>
      <c r="AA269" s="2">
        <v>100.0</v>
      </c>
      <c r="AB269" s="1" t="s">
        <v>62</v>
      </c>
      <c r="AC269" s="1" t="s">
        <v>71</v>
      </c>
      <c r="AF269" s="1" t="s">
        <v>51</v>
      </c>
      <c r="AI269" s="2">
        <v>0.0</v>
      </c>
      <c r="AJ269" s="2">
        <v>0.0</v>
      </c>
      <c r="AK269" s="2">
        <v>0.0</v>
      </c>
      <c r="AL269" s="2">
        <v>1.0</v>
      </c>
      <c r="AM269" s="1" t="s">
        <v>51</v>
      </c>
      <c r="AN269" s="2">
        <v>6.56507643E8</v>
      </c>
      <c r="AP269" s="2">
        <v>4.90429896E8</v>
      </c>
      <c r="AQ269" s="1" t="s">
        <v>401</v>
      </c>
      <c r="AR269" s="2">
        <v>45809.48266203704</v>
      </c>
      <c r="AU269" s="1" t="s">
        <v>64</v>
      </c>
      <c r="AW269" s="1" t="s">
        <v>255</v>
      </c>
      <c r="AY269" s="2">
        <v>263.0</v>
      </c>
    </row>
    <row r="270">
      <c r="A270" s="1" t="s">
        <v>51</v>
      </c>
      <c r="C270" s="1" t="s">
        <v>52</v>
      </c>
      <c r="E270" s="1" t="s">
        <v>53</v>
      </c>
      <c r="F270" s="1" t="s">
        <v>54</v>
      </c>
      <c r="G270" s="2">
        <v>26.0</v>
      </c>
      <c r="H270" s="1" t="s">
        <v>55</v>
      </c>
      <c r="I270" s="1" t="s">
        <v>100</v>
      </c>
      <c r="J270" s="1" t="s">
        <v>68</v>
      </c>
      <c r="K270" s="1" t="s">
        <v>74</v>
      </c>
      <c r="M270" s="1" t="s">
        <v>58</v>
      </c>
      <c r="N270" s="1" t="s">
        <v>58</v>
      </c>
      <c r="O270" s="1" t="s">
        <v>58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81</v>
      </c>
      <c r="Y270" s="1" t="s">
        <v>60</v>
      </c>
      <c r="Z270" s="1" t="s">
        <v>127</v>
      </c>
      <c r="AA270" s="2">
        <v>50.0</v>
      </c>
      <c r="AB270" s="1" t="s">
        <v>62</v>
      </c>
      <c r="AC270" s="1" t="s">
        <v>71</v>
      </c>
      <c r="AF270" s="1" t="s">
        <v>51</v>
      </c>
      <c r="AI270" s="2">
        <v>0.0</v>
      </c>
      <c r="AJ270" s="2">
        <v>0.0</v>
      </c>
      <c r="AK270" s="2">
        <v>0.0</v>
      </c>
      <c r="AL270" s="2">
        <v>1.0</v>
      </c>
      <c r="AM270" s="1" t="s">
        <v>51</v>
      </c>
      <c r="AN270" s="2">
        <v>8.45540475E8</v>
      </c>
      <c r="AP270" s="2">
        <v>4.90430332E8</v>
      </c>
      <c r="AQ270" s="1" t="s">
        <v>402</v>
      </c>
      <c r="AR270" s="2">
        <v>45809.48391203704</v>
      </c>
      <c r="AU270" s="1" t="s">
        <v>64</v>
      </c>
      <c r="AW270" s="1" t="s">
        <v>255</v>
      </c>
      <c r="AY270" s="2">
        <v>264.0</v>
      </c>
    </row>
    <row r="271">
      <c r="A271" s="1" t="s">
        <v>51</v>
      </c>
      <c r="C271" s="1" t="s">
        <v>52</v>
      </c>
      <c r="E271" s="1" t="s">
        <v>53</v>
      </c>
      <c r="F271" s="1" t="s">
        <v>54</v>
      </c>
      <c r="G271" s="2">
        <v>35.0</v>
      </c>
      <c r="H271" s="1" t="s">
        <v>55</v>
      </c>
      <c r="I271" s="1" t="s">
        <v>67</v>
      </c>
      <c r="J271" s="1" t="s">
        <v>68</v>
      </c>
      <c r="K271" s="1" t="s">
        <v>74</v>
      </c>
      <c r="M271" s="1" t="s">
        <v>58</v>
      </c>
      <c r="N271" s="1" t="s">
        <v>58</v>
      </c>
      <c r="O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Y271" s="1" t="s">
        <v>82</v>
      </c>
      <c r="Z271" s="1" t="s">
        <v>61</v>
      </c>
      <c r="AA271" s="2">
        <v>20.0</v>
      </c>
      <c r="AB271" s="1" t="s">
        <v>79</v>
      </c>
      <c r="AC271" s="1" t="s">
        <v>51</v>
      </c>
      <c r="AD271" s="1" t="s">
        <v>59</v>
      </c>
      <c r="AF271" s="1" t="s">
        <v>51</v>
      </c>
      <c r="AG271" s="1" t="s">
        <v>51</v>
      </c>
      <c r="AI271" s="2">
        <v>0.0</v>
      </c>
      <c r="AJ271" s="2">
        <v>1.0</v>
      </c>
      <c r="AK271" s="2">
        <v>0.0</v>
      </c>
      <c r="AL271" s="2">
        <v>0.0</v>
      </c>
      <c r="AM271" s="1" t="s">
        <v>51</v>
      </c>
      <c r="AP271" s="2">
        <v>4.90430818E8</v>
      </c>
      <c r="AQ271" s="1" t="s">
        <v>403</v>
      </c>
      <c r="AR271" s="2">
        <v>45809.484872685185</v>
      </c>
      <c r="AU271" s="1" t="s">
        <v>64</v>
      </c>
      <c r="AW271" s="1" t="s">
        <v>255</v>
      </c>
      <c r="AY271" s="2">
        <v>265.0</v>
      </c>
    </row>
    <row r="272">
      <c r="A272" s="1" t="s">
        <v>51</v>
      </c>
      <c r="C272" s="1" t="s">
        <v>52</v>
      </c>
      <c r="E272" s="1" t="s">
        <v>53</v>
      </c>
      <c r="F272" s="1" t="s">
        <v>54</v>
      </c>
      <c r="G272" s="2">
        <v>30.0</v>
      </c>
      <c r="H272" s="1" t="s">
        <v>55</v>
      </c>
      <c r="I272" s="1" t="s">
        <v>100</v>
      </c>
      <c r="J272" s="1" t="s">
        <v>68</v>
      </c>
      <c r="K272" s="1" t="s">
        <v>74</v>
      </c>
      <c r="M272" s="1" t="s">
        <v>58</v>
      </c>
      <c r="N272" s="1" t="s">
        <v>58</v>
      </c>
      <c r="O272" s="1" t="s">
        <v>69</v>
      </c>
      <c r="Q272" s="1" t="s">
        <v>58</v>
      </c>
      <c r="R272" s="1" t="s">
        <v>58</v>
      </c>
      <c r="S272" s="1" t="s">
        <v>69</v>
      </c>
      <c r="T272" s="1" t="s">
        <v>69</v>
      </c>
      <c r="U272" s="1" t="s">
        <v>69</v>
      </c>
      <c r="V272" s="1" t="s">
        <v>58</v>
      </c>
      <c r="W272" s="1" t="s">
        <v>58</v>
      </c>
      <c r="X272" s="1" t="s">
        <v>81</v>
      </c>
      <c r="Y272" s="1" t="s">
        <v>172</v>
      </c>
      <c r="Z272" s="1" t="s">
        <v>96</v>
      </c>
      <c r="AA272" s="2">
        <v>100.0</v>
      </c>
      <c r="AB272" s="1" t="s">
        <v>62</v>
      </c>
      <c r="AC272" s="1" t="s">
        <v>71</v>
      </c>
      <c r="AF272" s="1" t="s">
        <v>51</v>
      </c>
      <c r="AG272" s="1" t="s">
        <v>72</v>
      </c>
      <c r="AI272" s="2">
        <v>0.0</v>
      </c>
      <c r="AJ272" s="2">
        <v>0.0</v>
      </c>
      <c r="AK272" s="2">
        <v>0.0</v>
      </c>
      <c r="AL272" s="2">
        <v>1.0</v>
      </c>
      <c r="AP272" s="2">
        <v>4.90431866E8</v>
      </c>
      <c r="AQ272" s="1" t="s">
        <v>404</v>
      </c>
      <c r="AR272" s="2">
        <v>45809.487546296295</v>
      </c>
      <c r="AU272" s="1" t="s">
        <v>64</v>
      </c>
      <c r="AW272" s="1" t="s">
        <v>255</v>
      </c>
      <c r="AY272" s="2">
        <v>266.0</v>
      </c>
    </row>
    <row r="273">
      <c r="A273" s="1" t="s">
        <v>51</v>
      </c>
      <c r="C273" s="1" t="s">
        <v>52</v>
      </c>
      <c r="E273" s="1" t="s">
        <v>53</v>
      </c>
      <c r="F273" s="1" t="s">
        <v>54</v>
      </c>
      <c r="G273" s="2">
        <v>34.0</v>
      </c>
      <c r="H273" s="1" t="s">
        <v>55</v>
      </c>
      <c r="I273" s="1" t="s">
        <v>67</v>
      </c>
      <c r="J273" s="1" t="s">
        <v>68</v>
      </c>
      <c r="K273" s="1" t="s">
        <v>74</v>
      </c>
      <c r="M273" s="1" t="s">
        <v>58</v>
      </c>
      <c r="N273" s="1" t="s">
        <v>58</v>
      </c>
      <c r="O273" s="1" t="s">
        <v>69</v>
      </c>
      <c r="Q273" s="1" t="s">
        <v>58</v>
      </c>
      <c r="R273" s="1" t="s">
        <v>58</v>
      </c>
      <c r="S273" s="1" t="s">
        <v>69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81</v>
      </c>
      <c r="Y273" s="1" t="s">
        <v>60</v>
      </c>
      <c r="Z273" s="1" t="s">
        <v>96</v>
      </c>
      <c r="AA273" s="2">
        <v>100.0</v>
      </c>
      <c r="AB273" s="1" t="s">
        <v>62</v>
      </c>
      <c r="AC273" s="1" t="s">
        <v>71</v>
      </c>
      <c r="AF273" s="1" t="s">
        <v>51</v>
      </c>
      <c r="AI273" s="2">
        <v>0.0</v>
      </c>
      <c r="AJ273" s="2">
        <v>0.0</v>
      </c>
      <c r="AK273" s="2">
        <v>0.0</v>
      </c>
      <c r="AL273" s="2">
        <v>1.0</v>
      </c>
      <c r="AM273" s="1" t="s">
        <v>51</v>
      </c>
      <c r="AN273" s="2">
        <v>8.43131062E8</v>
      </c>
      <c r="AP273" s="2">
        <v>4.904325E8</v>
      </c>
      <c r="AQ273" s="1" t="s">
        <v>405</v>
      </c>
      <c r="AR273" s="2">
        <v>45809.48903935185</v>
      </c>
      <c r="AU273" s="1" t="s">
        <v>64</v>
      </c>
      <c r="AW273" s="1" t="s">
        <v>255</v>
      </c>
      <c r="AY273" s="2">
        <v>267.0</v>
      </c>
    </row>
    <row r="274">
      <c r="A274" s="1" t="s">
        <v>51</v>
      </c>
      <c r="C274" s="1" t="s">
        <v>52</v>
      </c>
      <c r="E274" s="1" t="s">
        <v>53</v>
      </c>
      <c r="F274" s="1" t="s">
        <v>54</v>
      </c>
      <c r="G274" s="2">
        <v>29.0</v>
      </c>
      <c r="H274" s="1" t="s">
        <v>55</v>
      </c>
      <c r="I274" s="1" t="s">
        <v>67</v>
      </c>
      <c r="J274" s="1" t="s">
        <v>56</v>
      </c>
      <c r="K274" s="1" t="s">
        <v>74</v>
      </c>
      <c r="M274" s="1" t="s">
        <v>58</v>
      </c>
      <c r="N274" s="1" t="s">
        <v>58</v>
      </c>
      <c r="O274" s="1" t="s">
        <v>58</v>
      </c>
      <c r="Q274" s="1" t="s">
        <v>58</v>
      </c>
      <c r="R274" s="1" t="s">
        <v>58</v>
      </c>
      <c r="S274" s="1" t="s">
        <v>58</v>
      </c>
      <c r="T274" s="1" t="s">
        <v>58</v>
      </c>
      <c r="U274" s="1" t="s">
        <v>70</v>
      </c>
      <c r="V274" s="1" t="s">
        <v>58</v>
      </c>
      <c r="W274" s="1" t="s">
        <v>58</v>
      </c>
      <c r="X274" s="1" t="s">
        <v>59</v>
      </c>
      <c r="Y274" s="1" t="s">
        <v>60</v>
      </c>
      <c r="Z274" s="1" t="s">
        <v>108</v>
      </c>
      <c r="AA274" s="2">
        <v>100.0</v>
      </c>
      <c r="AB274" s="1" t="s">
        <v>62</v>
      </c>
      <c r="AC274" s="1" t="s">
        <v>71</v>
      </c>
      <c r="AF274" s="1" t="s">
        <v>51</v>
      </c>
      <c r="AG274" s="1" t="s">
        <v>51</v>
      </c>
      <c r="AH274" s="2">
        <v>200.0</v>
      </c>
      <c r="AI274" s="2">
        <v>0.0</v>
      </c>
      <c r="AJ274" s="2">
        <v>0.0</v>
      </c>
      <c r="AK274" s="2">
        <v>1.0</v>
      </c>
      <c r="AL274" s="2">
        <v>0.0</v>
      </c>
      <c r="AM274" s="1" t="s">
        <v>51</v>
      </c>
      <c r="AN274" s="2">
        <v>6.38118772E8</v>
      </c>
      <c r="AP274" s="2">
        <v>4.9043351E8</v>
      </c>
      <c r="AQ274" s="1" t="s">
        <v>406</v>
      </c>
      <c r="AR274" s="2">
        <v>45809.490694444445</v>
      </c>
      <c r="AU274" s="1" t="s">
        <v>64</v>
      </c>
      <c r="AW274" s="1" t="s">
        <v>255</v>
      </c>
      <c r="AY274" s="2">
        <v>268.0</v>
      </c>
    </row>
    <row r="275">
      <c r="A275" s="1" t="s">
        <v>51</v>
      </c>
      <c r="C275" s="1" t="s">
        <v>52</v>
      </c>
      <c r="E275" s="1" t="s">
        <v>53</v>
      </c>
      <c r="F275" s="1" t="s">
        <v>54</v>
      </c>
      <c r="G275" s="2">
        <v>32.0</v>
      </c>
      <c r="H275" s="1" t="s">
        <v>55</v>
      </c>
      <c r="I275" s="1" t="s">
        <v>67</v>
      </c>
      <c r="J275" s="1" t="s">
        <v>111</v>
      </c>
      <c r="K275" s="1" t="s">
        <v>74</v>
      </c>
      <c r="M275" s="1" t="s">
        <v>58</v>
      </c>
      <c r="N275" s="1" t="s">
        <v>58</v>
      </c>
      <c r="O275" s="1" t="s">
        <v>70</v>
      </c>
      <c r="Q275" s="1" t="s">
        <v>58</v>
      </c>
      <c r="R275" s="1" t="s">
        <v>58</v>
      </c>
      <c r="S275" s="1" t="s">
        <v>58</v>
      </c>
      <c r="T275" s="1" t="s">
        <v>69</v>
      </c>
      <c r="U275" s="1" t="s">
        <v>58</v>
      </c>
      <c r="V275" s="1" t="s">
        <v>58</v>
      </c>
      <c r="W275" s="1" t="s">
        <v>69</v>
      </c>
      <c r="X275" s="1" t="s">
        <v>59</v>
      </c>
      <c r="Y275" s="1" t="s">
        <v>60</v>
      </c>
      <c r="Z275" s="1" t="s">
        <v>127</v>
      </c>
      <c r="AA275" s="2">
        <v>50.0</v>
      </c>
      <c r="AB275" s="1" t="s">
        <v>62</v>
      </c>
      <c r="AC275" s="1" t="s">
        <v>71</v>
      </c>
      <c r="AF275" s="1" t="s">
        <v>51</v>
      </c>
      <c r="AG275" s="1" t="s">
        <v>51</v>
      </c>
      <c r="AH275" s="2">
        <v>350.0</v>
      </c>
      <c r="AI275" s="2">
        <v>0.0</v>
      </c>
      <c r="AJ275" s="2">
        <v>1.0</v>
      </c>
      <c r="AK275" s="2">
        <v>0.0</v>
      </c>
      <c r="AL275" s="2">
        <v>0.0</v>
      </c>
      <c r="AM275" s="1" t="s">
        <v>51</v>
      </c>
      <c r="AN275" s="2">
        <v>6.9334195E8</v>
      </c>
      <c r="AP275" s="2">
        <v>4.90434382E8</v>
      </c>
      <c r="AQ275" s="1" t="s">
        <v>407</v>
      </c>
      <c r="AR275" s="2">
        <v>45809.4921875</v>
      </c>
      <c r="AU275" s="1" t="s">
        <v>64</v>
      </c>
      <c r="AW275" s="1" t="s">
        <v>255</v>
      </c>
      <c r="AY275" s="2">
        <v>269.0</v>
      </c>
    </row>
    <row r="276">
      <c r="A276" s="1" t="s">
        <v>51</v>
      </c>
      <c r="C276" s="1" t="s">
        <v>52</v>
      </c>
      <c r="E276" s="1" t="s">
        <v>53</v>
      </c>
      <c r="F276" s="1" t="s">
        <v>54</v>
      </c>
      <c r="G276" s="2">
        <v>28.0</v>
      </c>
      <c r="H276" s="1" t="s">
        <v>55</v>
      </c>
      <c r="I276" s="1" t="s">
        <v>100</v>
      </c>
      <c r="J276" s="1" t="s">
        <v>68</v>
      </c>
      <c r="K276" s="1" t="s">
        <v>74</v>
      </c>
      <c r="M276" s="1" t="s">
        <v>58</v>
      </c>
      <c r="N276" s="1" t="s">
        <v>58</v>
      </c>
      <c r="O276" s="1" t="s">
        <v>69</v>
      </c>
      <c r="Q276" s="1" t="s">
        <v>69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69</v>
      </c>
      <c r="X276" s="1" t="s">
        <v>59</v>
      </c>
      <c r="Y276" s="1" t="s">
        <v>60</v>
      </c>
      <c r="Z276" s="1" t="s">
        <v>108</v>
      </c>
      <c r="AA276" s="2">
        <v>100.0</v>
      </c>
      <c r="AB276" s="1" t="s">
        <v>62</v>
      </c>
      <c r="AC276" s="1" t="s">
        <v>71</v>
      </c>
      <c r="AG276" s="1" t="s">
        <v>51</v>
      </c>
      <c r="AH276" s="2">
        <v>400.0</v>
      </c>
      <c r="AI276" s="2">
        <v>0.0</v>
      </c>
      <c r="AJ276" s="2">
        <v>0.0</v>
      </c>
      <c r="AK276" s="2">
        <v>0.0</v>
      </c>
      <c r="AL276" s="2">
        <v>1.0</v>
      </c>
      <c r="AM276" s="1" t="s">
        <v>51</v>
      </c>
      <c r="AN276" s="2">
        <v>6.93913293E8</v>
      </c>
      <c r="AP276" s="2">
        <v>4.90434959E8</v>
      </c>
      <c r="AQ276" s="1" t="s">
        <v>408</v>
      </c>
      <c r="AR276" s="2">
        <v>45809.49349537037</v>
      </c>
      <c r="AU276" s="1" t="s">
        <v>64</v>
      </c>
      <c r="AW276" s="1" t="s">
        <v>255</v>
      </c>
      <c r="AY276" s="2">
        <v>270.0</v>
      </c>
    </row>
    <row r="277">
      <c r="A277" s="1" t="s">
        <v>51</v>
      </c>
      <c r="C277" s="1" t="s">
        <v>131</v>
      </c>
      <c r="E277" s="1" t="s">
        <v>53</v>
      </c>
      <c r="F277" s="1" t="s">
        <v>54</v>
      </c>
      <c r="G277" s="2">
        <v>32.0</v>
      </c>
      <c r="H277" s="1" t="s">
        <v>55</v>
      </c>
      <c r="I277" s="1" t="s">
        <v>67</v>
      </c>
      <c r="J277" s="1" t="s">
        <v>68</v>
      </c>
      <c r="K277" s="1" t="s">
        <v>57</v>
      </c>
      <c r="M277" s="1" t="s">
        <v>58</v>
      </c>
      <c r="N277" s="1" t="s">
        <v>58</v>
      </c>
      <c r="O277" s="1" t="s">
        <v>70</v>
      </c>
      <c r="Q277" s="1" t="s">
        <v>69</v>
      </c>
      <c r="R277" s="1" t="s">
        <v>58</v>
      </c>
      <c r="S277" s="1" t="s">
        <v>69</v>
      </c>
      <c r="T277" s="1" t="s">
        <v>69</v>
      </c>
      <c r="U277" s="1" t="s">
        <v>70</v>
      </c>
      <c r="V277" s="1" t="s">
        <v>69</v>
      </c>
      <c r="W277" s="1" t="s">
        <v>69</v>
      </c>
      <c r="X277" s="1" t="s">
        <v>81</v>
      </c>
      <c r="Y277" s="1" t="s">
        <v>82</v>
      </c>
      <c r="Z277" s="1" t="s">
        <v>96</v>
      </c>
      <c r="AA277" s="2">
        <v>100.0</v>
      </c>
      <c r="AB277" s="1" t="s">
        <v>79</v>
      </c>
      <c r="AC277" s="1" t="s">
        <v>72</v>
      </c>
      <c r="AF277" s="1" t="s">
        <v>51</v>
      </c>
      <c r="AG277" s="1" t="s">
        <v>51</v>
      </c>
      <c r="AH277" s="2">
        <v>10.0</v>
      </c>
      <c r="AI277" s="2">
        <v>0.0</v>
      </c>
      <c r="AJ277" s="2">
        <v>0.0</v>
      </c>
      <c r="AK277" s="2">
        <v>0.0</v>
      </c>
      <c r="AL277" s="2">
        <v>1.0</v>
      </c>
      <c r="AM277" s="1" t="s">
        <v>51</v>
      </c>
      <c r="AN277" s="2">
        <v>6.37219103E8</v>
      </c>
      <c r="AP277" s="2">
        <v>4.90437016E8</v>
      </c>
      <c r="AQ277" s="1" t="s">
        <v>409</v>
      </c>
      <c r="AR277" s="2">
        <v>45809.498460648145</v>
      </c>
      <c r="AU277" s="1" t="s">
        <v>64</v>
      </c>
      <c r="AW277" s="1" t="s">
        <v>255</v>
      </c>
      <c r="AY277" s="2">
        <v>271.0</v>
      </c>
    </row>
    <row r="278">
      <c r="A278" s="1" t="s">
        <v>51</v>
      </c>
      <c r="C278" s="1" t="s">
        <v>151</v>
      </c>
      <c r="E278" s="1" t="s">
        <v>151</v>
      </c>
      <c r="G278" s="2">
        <v>33.0</v>
      </c>
      <c r="H278" s="1" t="s">
        <v>55</v>
      </c>
      <c r="J278" s="1" t="s">
        <v>86</v>
      </c>
      <c r="K278" s="1" t="s">
        <v>74</v>
      </c>
      <c r="M278" s="1" t="s">
        <v>58</v>
      </c>
      <c r="N278" s="1" t="s">
        <v>58</v>
      </c>
      <c r="O278" s="1" t="s">
        <v>69</v>
      </c>
      <c r="Q278" s="1" t="s">
        <v>69</v>
      </c>
      <c r="R278" s="1" t="s">
        <v>58</v>
      </c>
      <c r="S278" s="1" t="s">
        <v>69</v>
      </c>
      <c r="T278" s="1" t="s">
        <v>69</v>
      </c>
      <c r="U278" s="1" t="s">
        <v>58</v>
      </c>
      <c r="V278" s="1" t="s">
        <v>58</v>
      </c>
      <c r="W278" s="1" t="s">
        <v>69</v>
      </c>
      <c r="X278" s="1" t="s">
        <v>81</v>
      </c>
      <c r="Y278" s="1" t="s">
        <v>82</v>
      </c>
      <c r="Z278" s="1" t="s">
        <v>89</v>
      </c>
      <c r="AA278" s="2">
        <v>20.0</v>
      </c>
      <c r="AB278" s="1" t="s">
        <v>62</v>
      </c>
      <c r="AC278" s="1" t="s">
        <v>71</v>
      </c>
      <c r="AF278" s="1" t="s">
        <v>51</v>
      </c>
      <c r="AG278" s="1" t="s">
        <v>72</v>
      </c>
      <c r="AI278" s="2">
        <v>1.0</v>
      </c>
      <c r="AJ278" s="2">
        <v>1.0</v>
      </c>
      <c r="AK278" s="2">
        <v>1.0</v>
      </c>
      <c r="AL278" s="2">
        <v>0.0</v>
      </c>
      <c r="AP278" s="2">
        <v>4.90437613E8</v>
      </c>
      <c r="AQ278" s="1" t="s">
        <v>410</v>
      </c>
      <c r="AR278" s="2">
        <v>45809.500081018516</v>
      </c>
      <c r="AU278" s="1" t="s">
        <v>64</v>
      </c>
      <c r="AW278" s="1" t="s">
        <v>255</v>
      </c>
      <c r="AY278" s="2">
        <v>272.0</v>
      </c>
    </row>
    <row r="279">
      <c r="A279" s="1" t="s">
        <v>51</v>
      </c>
      <c r="C279" s="1" t="s">
        <v>151</v>
      </c>
      <c r="E279" s="1" t="s">
        <v>53</v>
      </c>
      <c r="F279" s="1" t="s">
        <v>102</v>
      </c>
      <c r="G279" s="2">
        <v>19.0</v>
      </c>
      <c r="H279" s="1" t="s">
        <v>55</v>
      </c>
      <c r="I279" s="1" t="s">
        <v>100</v>
      </c>
      <c r="J279" s="1" t="s">
        <v>56</v>
      </c>
      <c r="K279" s="1" t="s">
        <v>57</v>
      </c>
      <c r="M279" s="1" t="s">
        <v>70</v>
      </c>
      <c r="N279" s="1" t="s">
        <v>70</v>
      </c>
      <c r="O279" s="1" t="s">
        <v>69</v>
      </c>
      <c r="Q279" s="1" t="s">
        <v>70</v>
      </c>
      <c r="R279" s="1" t="s">
        <v>70</v>
      </c>
      <c r="S279" s="1" t="s">
        <v>58</v>
      </c>
      <c r="T279" s="1" t="s">
        <v>58</v>
      </c>
      <c r="U279" s="1" t="s">
        <v>70</v>
      </c>
      <c r="V279" s="1" t="s">
        <v>58</v>
      </c>
      <c r="W279" s="1" t="s">
        <v>58</v>
      </c>
      <c r="X279" s="1" t="s">
        <v>59</v>
      </c>
      <c r="Y279" s="1" t="s">
        <v>60</v>
      </c>
      <c r="Z279" s="1" t="s">
        <v>89</v>
      </c>
      <c r="AA279" s="2">
        <v>50.0</v>
      </c>
      <c r="AB279" s="1" t="s">
        <v>79</v>
      </c>
      <c r="AC279" s="1" t="s">
        <v>72</v>
      </c>
      <c r="AF279" s="1" t="s">
        <v>51</v>
      </c>
      <c r="AG279" s="1" t="s">
        <v>51</v>
      </c>
      <c r="AH279" s="2">
        <v>100.0</v>
      </c>
      <c r="AI279" s="2">
        <v>0.0</v>
      </c>
      <c r="AJ279" s="2">
        <v>1.0</v>
      </c>
      <c r="AK279" s="2">
        <v>0.0</v>
      </c>
      <c r="AL279" s="2">
        <v>0.0</v>
      </c>
      <c r="AM279" s="1" t="s">
        <v>72</v>
      </c>
      <c r="AP279" s="2">
        <v>4.90438774E8</v>
      </c>
      <c r="AQ279" s="1" t="s">
        <v>411</v>
      </c>
      <c r="AR279" s="2">
        <v>45809.50295138889</v>
      </c>
      <c r="AU279" s="1" t="s">
        <v>64</v>
      </c>
      <c r="AW279" s="1" t="s">
        <v>255</v>
      </c>
      <c r="AY279" s="2">
        <v>273.0</v>
      </c>
    </row>
    <row r="280">
      <c r="A280" s="1" t="s">
        <v>51</v>
      </c>
      <c r="C280" s="1" t="s">
        <v>151</v>
      </c>
      <c r="E280" s="1" t="s">
        <v>53</v>
      </c>
      <c r="F280" s="1" t="s">
        <v>232</v>
      </c>
      <c r="G280" s="2">
        <v>29.0</v>
      </c>
      <c r="H280" s="1" t="s">
        <v>66</v>
      </c>
      <c r="I280" s="1" t="s">
        <v>67</v>
      </c>
      <c r="J280" s="1" t="s">
        <v>68</v>
      </c>
      <c r="K280" s="1" t="s">
        <v>92</v>
      </c>
      <c r="M280" s="1" t="s">
        <v>58</v>
      </c>
      <c r="N280" s="1" t="s">
        <v>58</v>
      </c>
      <c r="O280" s="1" t="s">
        <v>69</v>
      </c>
      <c r="Q280" s="1" t="s">
        <v>58</v>
      </c>
      <c r="R280" s="1" t="s">
        <v>58</v>
      </c>
      <c r="S280" s="1" t="s">
        <v>69</v>
      </c>
      <c r="T280" s="1" t="s">
        <v>69</v>
      </c>
      <c r="U280" s="1" t="s">
        <v>70</v>
      </c>
      <c r="V280" s="1" t="s">
        <v>58</v>
      </c>
      <c r="W280" s="1" t="s">
        <v>69</v>
      </c>
      <c r="X280" s="1" t="s">
        <v>81</v>
      </c>
      <c r="Y280" s="1" t="s">
        <v>82</v>
      </c>
      <c r="Z280" s="1" t="s">
        <v>61</v>
      </c>
      <c r="AA280" s="2">
        <v>20.0</v>
      </c>
      <c r="AB280" s="1" t="s">
        <v>79</v>
      </c>
      <c r="AC280" s="1" t="s">
        <v>71</v>
      </c>
      <c r="AF280" s="1" t="s">
        <v>51</v>
      </c>
      <c r="AG280" s="1" t="s">
        <v>51</v>
      </c>
      <c r="AH280" s="2">
        <v>250.0</v>
      </c>
      <c r="AI280" s="2">
        <v>1.0</v>
      </c>
      <c r="AJ280" s="2">
        <v>1.0</v>
      </c>
      <c r="AK280" s="2">
        <v>1.0</v>
      </c>
      <c r="AL280" s="2">
        <v>1.0</v>
      </c>
      <c r="AM280" s="1" t="s">
        <v>72</v>
      </c>
      <c r="AP280" s="2">
        <v>4.90440004E8</v>
      </c>
      <c r="AQ280" s="1" t="s">
        <v>412</v>
      </c>
      <c r="AR280" s="2">
        <v>45809.505162037036</v>
      </c>
      <c r="AU280" s="1" t="s">
        <v>64</v>
      </c>
      <c r="AW280" s="1" t="s">
        <v>255</v>
      </c>
      <c r="AY280" s="2">
        <v>274.0</v>
      </c>
    </row>
    <row r="281">
      <c r="A281" s="1" t="s">
        <v>51</v>
      </c>
      <c r="C281" s="1" t="s">
        <v>151</v>
      </c>
      <c r="E281" s="1" t="s">
        <v>53</v>
      </c>
      <c r="F281" s="1" t="s">
        <v>102</v>
      </c>
      <c r="G281" s="2">
        <v>25.0</v>
      </c>
      <c r="H281" s="1" t="s">
        <v>55</v>
      </c>
      <c r="I281" s="1" t="s">
        <v>76</v>
      </c>
      <c r="J281" s="1" t="s">
        <v>68</v>
      </c>
      <c r="K281" s="1" t="s">
        <v>74</v>
      </c>
      <c r="M281" s="1" t="s">
        <v>58</v>
      </c>
      <c r="N281" s="1" t="s">
        <v>58</v>
      </c>
      <c r="O281" s="1" t="s">
        <v>69</v>
      </c>
      <c r="Q281" s="1" t="s">
        <v>69</v>
      </c>
      <c r="R281" s="1" t="s">
        <v>58</v>
      </c>
      <c r="S281" s="1" t="s">
        <v>58</v>
      </c>
      <c r="T281" s="1" t="s">
        <v>58</v>
      </c>
      <c r="U281" s="1" t="s">
        <v>70</v>
      </c>
      <c r="V281" s="1" t="s">
        <v>58</v>
      </c>
      <c r="W281" s="1" t="s">
        <v>58</v>
      </c>
      <c r="X281" s="1" t="s">
        <v>81</v>
      </c>
      <c r="Y281" s="1" t="s">
        <v>82</v>
      </c>
      <c r="Z281" s="1" t="s">
        <v>61</v>
      </c>
      <c r="AA281" s="2">
        <v>10.0</v>
      </c>
      <c r="AB281" s="1" t="s">
        <v>62</v>
      </c>
      <c r="AC281" s="1" t="s">
        <v>71</v>
      </c>
      <c r="AF281" s="1" t="s">
        <v>51</v>
      </c>
      <c r="AG281" s="1" t="s">
        <v>72</v>
      </c>
      <c r="AI281" s="2">
        <v>0.0</v>
      </c>
      <c r="AJ281" s="2">
        <v>0.0</v>
      </c>
      <c r="AK281" s="2">
        <v>0.0</v>
      </c>
      <c r="AL281" s="2">
        <v>1.0</v>
      </c>
      <c r="AM281" s="1" t="s">
        <v>72</v>
      </c>
      <c r="AP281" s="2">
        <v>4.90442696E8</v>
      </c>
      <c r="AQ281" s="1" t="s">
        <v>413</v>
      </c>
      <c r="AR281" s="2">
        <v>45809.510833333334</v>
      </c>
      <c r="AU281" s="1" t="s">
        <v>64</v>
      </c>
      <c r="AW281" s="1" t="s">
        <v>255</v>
      </c>
      <c r="AY281" s="2">
        <v>275.0</v>
      </c>
    </row>
    <row r="282">
      <c r="A282" s="1" t="s">
        <v>51</v>
      </c>
      <c r="C282" s="1" t="s">
        <v>151</v>
      </c>
      <c r="E282" s="1" t="s">
        <v>151</v>
      </c>
      <c r="G282" s="2">
        <v>46.0</v>
      </c>
      <c r="H282" s="1" t="s">
        <v>66</v>
      </c>
      <c r="J282" s="1" t="s">
        <v>111</v>
      </c>
      <c r="K282" s="1" t="s">
        <v>87</v>
      </c>
      <c r="M282" s="1" t="s">
        <v>58</v>
      </c>
      <c r="N282" s="1" t="s">
        <v>58</v>
      </c>
      <c r="O282" s="1" t="s">
        <v>69</v>
      </c>
      <c r="Q282" s="1" t="s">
        <v>69</v>
      </c>
      <c r="R282" s="1" t="s">
        <v>69</v>
      </c>
      <c r="S282" s="1" t="s">
        <v>69</v>
      </c>
      <c r="T282" s="1" t="s">
        <v>58</v>
      </c>
      <c r="U282" s="1" t="s">
        <v>69</v>
      </c>
      <c r="V282" s="1" t="s">
        <v>58</v>
      </c>
      <c r="W282" s="1" t="s">
        <v>69</v>
      </c>
      <c r="X282" s="1" t="s">
        <v>81</v>
      </c>
      <c r="Y282" s="1" t="s">
        <v>82</v>
      </c>
      <c r="Z282" s="1" t="s">
        <v>61</v>
      </c>
      <c r="AA282" s="2">
        <v>10.0</v>
      </c>
      <c r="AB282" s="1" t="s">
        <v>79</v>
      </c>
      <c r="AC282" s="1" t="s">
        <v>71</v>
      </c>
      <c r="AF282" s="1" t="s">
        <v>51</v>
      </c>
      <c r="AG282" s="1" t="s">
        <v>72</v>
      </c>
      <c r="AI282" s="2">
        <v>1.0</v>
      </c>
      <c r="AJ282" s="2">
        <v>1.0</v>
      </c>
      <c r="AK282" s="2">
        <v>0.0</v>
      </c>
      <c r="AL282" s="2">
        <v>0.0</v>
      </c>
      <c r="AP282" s="2">
        <v>4.90445028E8</v>
      </c>
      <c r="AQ282" s="1" t="s">
        <v>414</v>
      </c>
      <c r="AR282" s="2">
        <v>45809.516122685185</v>
      </c>
      <c r="AU282" s="1" t="s">
        <v>64</v>
      </c>
      <c r="AW282" s="1" t="s">
        <v>255</v>
      </c>
      <c r="AY282" s="2">
        <v>276.0</v>
      </c>
    </row>
    <row r="283">
      <c r="A283" s="1" t="s">
        <v>51</v>
      </c>
      <c r="C283" s="1" t="s">
        <v>151</v>
      </c>
      <c r="E283" s="1" t="s">
        <v>151</v>
      </c>
      <c r="G283" s="2">
        <v>20.0</v>
      </c>
      <c r="H283" s="1" t="s">
        <v>55</v>
      </c>
      <c r="J283" s="1" t="s">
        <v>68</v>
      </c>
      <c r="K283" s="1" t="s">
        <v>74</v>
      </c>
      <c r="M283" s="1" t="s">
        <v>58</v>
      </c>
      <c r="N283" s="1" t="s">
        <v>58</v>
      </c>
      <c r="O283" s="1" t="s">
        <v>69</v>
      </c>
      <c r="Q283" s="1" t="s">
        <v>69</v>
      </c>
      <c r="R283" s="1" t="s">
        <v>58</v>
      </c>
      <c r="S283" s="1" t="s">
        <v>69</v>
      </c>
      <c r="T283" s="1" t="s">
        <v>69</v>
      </c>
      <c r="U283" s="1" t="s">
        <v>70</v>
      </c>
      <c r="V283" s="1" t="s">
        <v>58</v>
      </c>
      <c r="W283" s="1" t="s">
        <v>69</v>
      </c>
      <c r="X283" s="1" t="s">
        <v>81</v>
      </c>
      <c r="Y283" s="1" t="s">
        <v>60</v>
      </c>
      <c r="Z283" s="1" t="s">
        <v>61</v>
      </c>
      <c r="AA283" s="2">
        <v>10.0</v>
      </c>
      <c r="AB283" s="1" t="s">
        <v>79</v>
      </c>
      <c r="AC283" s="1" t="s">
        <v>71</v>
      </c>
      <c r="AF283" s="1" t="s">
        <v>51</v>
      </c>
      <c r="AG283" s="1" t="s">
        <v>72</v>
      </c>
      <c r="AI283" s="2">
        <v>1.0</v>
      </c>
      <c r="AJ283" s="2">
        <v>1.0</v>
      </c>
      <c r="AK283" s="2">
        <v>1.0</v>
      </c>
      <c r="AL283" s="2">
        <v>1.0</v>
      </c>
      <c r="AP283" s="2">
        <v>4.9044811E8</v>
      </c>
      <c r="AQ283" s="1" t="s">
        <v>415</v>
      </c>
      <c r="AR283" s="2">
        <v>45809.52318287037</v>
      </c>
      <c r="AU283" s="1" t="s">
        <v>64</v>
      </c>
      <c r="AW283" s="1" t="s">
        <v>255</v>
      </c>
      <c r="AY283" s="2">
        <v>277.0</v>
      </c>
    </row>
    <row r="284">
      <c r="A284" s="1" t="s">
        <v>51</v>
      </c>
      <c r="C284" s="1" t="s">
        <v>151</v>
      </c>
      <c r="E284" s="1" t="s">
        <v>53</v>
      </c>
      <c r="G284" s="2">
        <v>25.0</v>
      </c>
      <c r="H284" s="1" t="s">
        <v>55</v>
      </c>
      <c r="J284" s="1" t="s">
        <v>56</v>
      </c>
      <c r="K284" s="1" t="s">
        <v>87</v>
      </c>
      <c r="M284" s="1" t="s">
        <v>58</v>
      </c>
      <c r="N284" s="1" t="s">
        <v>58</v>
      </c>
      <c r="O284" s="1" t="s">
        <v>58</v>
      </c>
      <c r="Q284" s="1" t="s">
        <v>58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81</v>
      </c>
      <c r="Y284" s="1" t="s">
        <v>95</v>
      </c>
      <c r="Z284" s="1" t="s">
        <v>89</v>
      </c>
      <c r="AA284" s="2">
        <v>10.0</v>
      </c>
      <c r="AB284" s="1" t="s">
        <v>79</v>
      </c>
      <c r="AC284" s="1" t="s">
        <v>51</v>
      </c>
      <c r="AD284" s="1" t="s">
        <v>81</v>
      </c>
      <c r="AE284" s="1" t="s">
        <v>51</v>
      </c>
      <c r="AF284" s="1" t="s">
        <v>51</v>
      </c>
      <c r="AG284" s="1" t="s">
        <v>72</v>
      </c>
      <c r="AI284" s="2">
        <v>1.0</v>
      </c>
      <c r="AJ284" s="2">
        <v>0.0</v>
      </c>
      <c r="AK284" s="2">
        <v>0.0</v>
      </c>
      <c r="AL284" s="2">
        <v>0.0</v>
      </c>
      <c r="AM284" s="1" t="s">
        <v>51</v>
      </c>
      <c r="AN284" s="2">
        <v>6.32773846E8</v>
      </c>
      <c r="AP284" s="2">
        <v>4.90506285E8</v>
      </c>
      <c r="AQ284" s="1" t="s">
        <v>416</v>
      </c>
      <c r="AR284" s="2">
        <v>45809.63078703704</v>
      </c>
      <c r="AU284" s="1" t="s">
        <v>64</v>
      </c>
      <c r="AW284" s="1" t="s">
        <v>255</v>
      </c>
      <c r="AY284" s="2">
        <v>278.0</v>
      </c>
    </row>
    <row r="285">
      <c r="A285" s="1" t="s">
        <v>51</v>
      </c>
      <c r="C285" s="1" t="s">
        <v>131</v>
      </c>
      <c r="E285" s="1" t="s">
        <v>53</v>
      </c>
      <c r="F285" s="1" t="s">
        <v>85</v>
      </c>
      <c r="G285" s="2">
        <v>20.0</v>
      </c>
      <c r="H285" s="1" t="s">
        <v>55</v>
      </c>
      <c r="I285" s="1" t="s">
        <v>100</v>
      </c>
      <c r="J285" s="1" t="s">
        <v>111</v>
      </c>
      <c r="K285" s="1" t="s">
        <v>57</v>
      </c>
      <c r="M285" s="1" t="s">
        <v>58</v>
      </c>
      <c r="N285" s="1" t="s">
        <v>58</v>
      </c>
      <c r="O285" s="1" t="s">
        <v>58</v>
      </c>
      <c r="Q285" s="1" t="s">
        <v>58</v>
      </c>
      <c r="R285" s="1" t="s">
        <v>58</v>
      </c>
      <c r="S285" s="1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1" t="s">
        <v>59</v>
      </c>
      <c r="Y285" s="1" t="s">
        <v>60</v>
      </c>
      <c r="Z285" s="1" t="s">
        <v>89</v>
      </c>
      <c r="AA285" s="2">
        <v>30.0</v>
      </c>
      <c r="AB285" s="1" t="s">
        <v>62</v>
      </c>
      <c r="AC285" s="1" t="s">
        <v>51</v>
      </c>
      <c r="AD285" s="1" t="s">
        <v>59</v>
      </c>
      <c r="AE285" s="1" t="s">
        <v>51</v>
      </c>
      <c r="AF285" s="1" t="s">
        <v>51</v>
      </c>
      <c r="AG285" s="1" t="s">
        <v>51</v>
      </c>
      <c r="AH285" s="2">
        <v>5.0</v>
      </c>
      <c r="AI285" s="2">
        <v>0.0</v>
      </c>
      <c r="AJ285" s="2">
        <v>1.0</v>
      </c>
      <c r="AK285" s="2">
        <v>0.0</v>
      </c>
      <c r="AL285" s="2">
        <v>0.0</v>
      </c>
      <c r="AM285" s="1" t="s">
        <v>51</v>
      </c>
      <c r="AN285" s="2">
        <v>6.5515584E8</v>
      </c>
      <c r="AP285" s="2">
        <v>4.90507921E8</v>
      </c>
      <c r="AQ285" s="1" t="s">
        <v>417</v>
      </c>
      <c r="AR285" s="2">
        <v>45809.633368055554</v>
      </c>
      <c r="AU285" s="1" t="s">
        <v>64</v>
      </c>
      <c r="AW285" s="1" t="s">
        <v>255</v>
      </c>
      <c r="AY285" s="2">
        <v>279.0</v>
      </c>
    </row>
    <row r="286">
      <c r="A286" s="1" t="s">
        <v>51</v>
      </c>
      <c r="C286" s="1" t="s">
        <v>131</v>
      </c>
      <c r="E286" s="1" t="s">
        <v>53</v>
      </c>
      <c r="F286" s="1" t="s">
        <v>291</v>
      </c>
      <c r="G286" s="2">
        <v>22.0</v>
      </c>
      <c r="H286" s="1" t="s">
        <v>66</v>
      </c>
      <c r="I286" s="1" t="s">
        <v>76</v>
      </c>
      <c r="J286" s="1" t="s">
        <v>68</v>
      </c>
      <c r="K286" s="1" t="s">
        <v>74</v>
      </c>
      <c r="M286" s="1" t="s">
        <v>58</v>
      </c>
      <c r="N286" s="1" t="s">
        <v>58</v>
      </c>
      <c r="O286" s="1" t="s">
        <v>58</v>
      </c>
      <c r="Q286" s="1" t="s">
        <v>58</v>
      </c>
      <c r="R286" s="1" t="s">
        <v>58</v>
      </c>
      <c r="S286" s="1" t="s">
        <v>58</v>
      </c>
      <c r="T286" s="1" t="s">
        <v>58</v>
      </c>
      <c r="U286" s="1" t="s">
        <v>58</v>
      </c>
      <c r="V286" s="1" t="s">
        <v>58</v>
      </c>
      <c r="W286" s="1" t="s">
        <v>58</v>
      </c>
      <c r="X286" s="1" t="s">
        <v>81</v>
      </c>
      <c r="Y286" s="1" t="s">
        <v>82</v>
      </c>
      <c r="Z286" s="1" t="s">
        <v>108</v>
      </c>
      <c r="AA286" s="2">
        <v>50.0</v>
      </c>
      <c r="AB286" s="1" t="s">
        <v>79</v>
      </c>
      <c r="AC286" s="1" t="s">
        <v>51</v>
      </c>
      <c r="AD286" s="1" t="s">
        <v>59</v>
      </c>
      <c r="AE286" s="1" t="s">
        <v>51</v>
      </c>
      <c r="AF286" s="1" t="s">
        <v>51</v>
      </c>
      <c r="AG286" s="1" t="s">
        <v>51</v>
      </c>
      <c r="AH286" s="2">
        <v>3.0</v>
      </c>
      <c r="AI286" s="2">
        <v>1.0</v>
      </c>
      <c r="AJ286" s="2">
        <v>0.0</v>
      </c>
      <c r="AK286" s="2">
        <v>0.0</v>
      </c>
      <c r="AL286" s="2">
        <v>0.0</v>
      </c>
      <c r="AM286" s="1" t="s">
        <v>51</v>
      </c>
      <c r="AN286" s="2">
        <v>6.311026E8</v>
      </c>
      <c r="AP286" s="2">
        <v>4.90509604E8</v>
      </c>
      <c r="AQ286" s="1" t="s">
        <v>418</v>
      </c>
      <c r="AR286" s="2">
        <v>45809.636712962965</v>
      </c>
      <c r="AU286" s="1" t="s">
        <v>64</v>
      </c>
      <c r="AW286" s="1" t="s">
        <v>255</v>
      </c>
      <c r="AY286" s="2">
        <v>280.0</v>
      </c>
    </row>
    <row r="287">
      <c r="A287" s="1" t="s">
        <v>51</v>
      </c>
      <c r="C287" s="1" t="s">
        <v>131</v>
      </c>
      <c r="E287" s="1" t="s">
        <v>53</v>
      </c>
      <c r="F287" s="1" t="s">
        <v>291</v>
      </c>
      <c r="G287" s="2">
        <v>25.0</v>
      </c>
      <c r="H287" s="1" t="s">
        <v>55</v>
      </c>
      <c r="I287" s="1" t="s">
        <v>419</v>
      </c>
      <c r="J287" s="1" t="s">
        <v>86</v>
      </c>
      <c r="K287" s="1" t="s">
        <v>78</v>
      </c>
      <c r="M287" s="1" t="s">
        <v>70</v>
      </c>
      <c r="N287" s="1" t="s">
        <v>58</v>
      </c>
      <c r="O287" s="1" t="s">
        <v>58</v>
      </c>
      <c r="Q287" s="1" t="s">
        <v>58</v>
      </c>
      <c r="R287" s="1" t="s">
        <v>58</v>
      </c>
      <c r="S287" s="1" t="s">
        <v>58</v>
      </c>
      <c r="T287" s="1" t="s">
        <v>58</v>
      </c>
      <c r="U287" s="1" t="s">
        <v>58</v>
      </c>
      <c r="V287" s="1" t="s">
        <v>58</v>
      </c>
      <c r="W287" s="1" t="s">
        <v>58</v>
      </c>
      <c r="X287" s="1" t="s">
        <v>88</v>
      </c>
      <c r="Y287" s="1" t="s">
        <v>60</v>
      </c>
      <c r="Z287" s="1" t="s">
        <v>127</v>
      </c>
      <c r="AA287" s="2">
        <v>20.0</v>
      </c>
      <c r="AB287" s="1" t="s">
        <v>79</v>
      </c>
      <c r="AC287" s="1" t="s">
        <v>51</v>
      </c>
      <c r="AD287" s="1" t="s">
        <v>59</v>
      </c>
      <c r="AE287" s="1" t="s">
        <v>51</v>
      </c>
      <c r="AF287" s="1" t="s">
        <v>51</v>
      </c>
      <c r="AG287" s="1" t="s">
        <v>51</v>
      </c>
      <c r="AH287" s="2">
        <v>2.0</v>
      </c>
      <c r="AI287" s="2">
        <v>1.0</v>
      </c>
      <c r="AJ287" s="2">
        <v>0.0</v>
      </c>
      <c r="AK287" s="2">
        <v>0.0</v>
      </c>
      <c r="AL287" s="2">
        <v>0.0</v>
      </c>
      <c r="AM287" s="1" t="s">
        <v>51</v>
      </c>
      <c r="AN287" s="2">
        <v>8.15732989E8</v>
      </c>
      <c r="AP287" s="2">
        <v>4.90509749E8</v>
      </c>
      <c r="AQ287" s="1" t="s">
        <v>420</v>
      </c>
      <c r="AR287" s="2">
        <v>45809.63701388889</v>
      </c>
      <c r="AU287" s="1" t="s">
        <v>64</v>
      </c>
      <c r="AW287" s="1" t="s">
        <v>255</v>
      </c>
      <c r="AY287" s="2">
        <v>281.0</v>
      </c>
    </row>
    <row r="288">
      <c r="A288" s="1" t="s">
        <v>51</v>
      </c>
      <c r="C288" s="1" t="s">
        <v>131</v>
      </c>
      <c r="E288" s="1" t="s">
        <v>53</v>
      </c>
      <c r="F288" s="1" t="s">
        <v>85</v>
      </c>
      <c r="G288" s="2">
        <v>23.0</v>
      </c>
      <c r="H288" s="1" t="s">
        <v>55</v>
      </c>
      <c r="I288" s="1" t="s">
        <v>67</v>
      </c>
      <c r="J288" s="1" t="s">
        <v>111</v>
      </c>
      <c r="K288" s="1" t="s">
        <v>78</v>
      </c>
      <c r="M288" s="1" t="s">
        <v>58</v>
      </c>
      <c r="N288" s="1" t="s">
        <v>58</v>
      </c>
      <c r="O288" s="1" t="s">
        <v>58</v>
      </c>
      <c r="Q288" s="1" t="s">
        <v>58</v>
      </c>
      <c r="R288" s="1" t="s">
        <v>70</v>
      </c>
      <c r="T288" s="1" t="s">
        <v>58</v>
      </c>
      <c r="U288" s="1" t="s">
        <v>70</v>
      </c>
      <c r="V288" s="1" t="s">
        <v>58</v>
      </c>
      <c r="W288" s="1" t="s">
        <v>58</v>
      </c>
      <c r="X288" s="1" t="s">
        <v>81</v>
      </c>
      <c r="Y288" s="1" t="s">
        <v>172</v>
      </c>
      <c r="Z288" s="1" t="s">
        <v>127</v>
      </c>
      <c r="AA288" s="2">
        <v>10.0</v>
      </c>
      <c r="AB288" s="1" t="s">
        <v>79</v>
      </c>
      <c r="AC288" s="1" t="s">
        <v>51</v>
      </c>
      <c r="AD288" s="1" t="s">
        <v>81</v>
      </c>
      <c r="AE288" s="1" t="s">
        <v>51</v>
      </c>
      <c r="AF288" s="1" t="s">
        <v>51</v>
      </c>
      <c r="AG288" s="1" t="s">
        <v>51</v>
      </c>
      <c r="AH288" s="2">
        <v>6.0</v>
      </c>
      <c r="AI288" s="2">
        <v>0.0</v>
      </c>
      <c r="AJ288" s="2">
        <v>1.0</v>
      </c>
      <c r="AK288" s="2">
        <v>0.0</v>
      </c>
      <c r="AL288" s="2">
        <v>0.0</v>
      </c>
      <c r="AM288" s="1" t="s">
        <v>51</v>
      </c>
      <c r="AN288" s="2">
        <v>6.1713361E8</v>
      </c>
      <c r="AP288" s="2">
        <v>4.90511459E8</v>
      </c>
      <c r="AQ288" s="1" t="s">
        <v>421</v>
      </c>
      <c r="AR288" s="2">
        <v>45809.63978009259</v>
      </c>
      <c r="AU288" s="1" t="s">
        <v>64</v>
      </c>
      <c r="AW288" s="1" t="s">
        <v>255</v>
      </c>
      <c r="AY288" s="2">
        <v>282.0</v>
      </c>
    </row>
    <row r="289">
      <c r="A289" s="1" t="s">
        <v>51</v>
      </c>
      <c r="C289" s="1" t="s">
        <v>131</v>
      </c>
      <c r="E289" s="1" t="s">
        <v>53</v>
      </c>
      <c r="F289" s="1" t="s">
        <v>85</v>
      </c>
      <c r="G289" s="2">
        <v>29.0</v>
      </c>
      <c r="H289" s="1" t="s">
        <v>66</v>
      </c>
      <c r="I289" s="1" t="s">
        <v>67</v>
      </c>
      <c r="J289" s="1" t="s">
        <v>111</v>
      </c>
      <c r="K289" s="1" t="s">
        <v>78</v>
      </c>
      <c r="M289" s="1" t="s">
        <v>70</v>
      </c>
      <c r="N289" s="1" t="s">
        <v>58</v>
      </c>
      <c r="O289" s="1" t="s">
        <v>58</v>
      </c>
      <c r="Q289" s="1" t="s">
        <v>70</v>
      </c>
      <c r="R289" s="1" t="s">
        <v>58</v>
      </c>
      <c r="S289" s="1" t="s">
        <v>58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59</v>
      </c>
      <c r="Y289" s="1" t="s">
        <v>82</v>
      </c>
      <c r="Z289" s="1" t="s">
        <v>89</v>
      </c>
      <c r="AA289" s="2">
        <v>30.0</v>
      </c>
      <c r="AB289" s="1" t="s">
        <v>62</v>
      </c>
      <c r="AC289" s="1" t="s">
        <v>51</v>
      </c>
      <c r="AD289" s="1" t="s">
        <v>59</v>
      </c>
      <c r="AE289" s="1" t="s">
        <v>51</v>
      </c>
      <c r="AF289" s="1" t="s">
        <v>51</v>
      </c>
      <c r="AG289" s="1" t="s">
        <v>51</v>
      </c>
      <c r="AH289" s="2">
        <v>4.0</v>
      </c>
      <c r="AI289" s="2">
        <v>0.0</v>
      </c>
      <c r="AJ289" s="2">
        <v>1.0</v>
      </c>
      <c r="AK289" s="2">
        <v>0.0</v>
      </c>
      <c r="AL289" s="2">
        <v>0.0</v>
      </c>
      <c r="AM289" s="1" t="s">
        <v>51</v>
      </c>
      <c r="AN289" s="2">
        <v>7.83879656E8</v>
      </c>
      <c r="AP289" s="2">
        <v>4.90511932E8</v>
      </c>
      <c r="AQ289" s="1" t="s">
        <v>422</v>
      </c>
      <c r="AR289" s="2">
        <v>45809.640648148146</v>
      </c>
      <c r="AU289" s="1" t="s">
        <v>64</v>
      </c>
      <c r="AW289" s="1" t="s">
        <v>255</v>
      </c>
      <c r="AY289" s="2">
        <v>283.0</v>
      </c>
    </row>
    <row r="290">
      <c r="A290" s="1" t="s">
        <v>51</v>
      </c>
      <c r="C290" s="1" t="s">
        <v>131</v>
      </c>
      <c r="E290" s="1" t="s">
        <v>53</v>
      </c>
      <c r="F290" s="1" t="s">
        <v>350</v>
      </c>
      <c r="G290" s="2">
        <v>27.0</v>
      </c>
      <c r="H290" s="1" t="s">
        <v>55</v>
      </c>
      <c r="I290" s="1" t="s">
        <v>67</v>
      </c>
      <c r="J290" s="1" t="s">
        <v>111</v>
      </c>
      <c r="K290" s="1" t="s">
        <v>57</v>
      </c>
      <c r="M290" s="1" t="s">
        <v>58</v>
      </c>
      <c r="N290" s="1" t="s">
        <v>58</v>
      </c>
      <c r="O290" s="1" t="s">
        <v>58</v>
      </c>
      <c r="Q290" s="1" t="s">
        <v>70</v>
      </c>
      <c r="R290" s="1" t="s">
        <v>58</v>
      </c>
      <c r="S290" s="1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59</v>
      </c>
      <c r="Y290" s="1" t="s">
        <v>82</v>
      </c>
      <c r="Z290" s="1" t="s">
        <v>89</v>
      </c>
      <c r="AA290" s="2">
        <v>10.0</v>
      </c>
      <c r="AB290" s="1" t="s">
        <v>79</v>
      </c>
      <c r="AC290" s="1" t="s">
        <v>51</v>
      </c>
      <c r="AD290" s="1" t="s">
        <v>59</v>
      </c>
      <c r="AE290" s="1" t="s">
        <v>51</v>
      </c>
      <c r="AF290" s="1" t="s">
        <v>51</v>
      </c>
      <c r="AG290" s="1" t="s">
        <v>51</v>
      </c>
      <c r="AH290" s="2">
        <v>8.0</v>
      </c>
      <c r="AI290" s="2">
        <v>0.0</v>
      </c>
      <c r="AJ290" s="2">
        <v>1.0</v>
      </c>
      <c r="AK290" s="2">
        <v>0.0</v>
      </c>
      <c r="AL290" s="2">
        <v>0.0</v>
      </c>
      <c r="AM290" s="1" t="s">
        <v>51</v>
      </c>
      <c r="AN290" s="2">
        <v>7.83106168E8</v>
      </c>
      <c r="AP290" s="2">
        <v>4.90512955E8</v>
      </c>
      <c r="AQ290" s="1" t="s">
        <v>423</v>
      </c>
      <c r="AR290" s="2">
        <v>45809.64240740741</v>
      </c>
      <c r="AU290" s="1" t="s">
        <v>64</v>
      </c>
      <c r="AW290" s="1" t="s">
        <v>255</v>
      </c>
      <c r="AY290" s="2">
        <v>284.0</v>
      </c>
    </row>
    <row r="291">
      <c r="A291" s="1" t="s">
        <v>51</v>
      </c>
      <c r="C291" s="1" t="s">
        <v>131</v>
      </c>
      <c r="E291" s="1" t="s">
        <v>53</v>
      </c>
      <c r="F291" s="1" t="s">
        <v>85</v>
      </c>
      <c r="G291" s="2">
        <v>21.0</v>
      </c>
      <c r="H291" s="1" t="s">
        <v>55</v>
      </c>
      <c r="I291" s="1" t="s">
        <v>419</v>
      </c>
      <c r="J291" s="1" t="s">
        <v>111</v>
      </c>
      <c r="K291" s="1" t="s">
        <v>78</v>
      </c>
      <c r="M291" s="1" t="s">
        <v>58</v>
      </c>
      <c r="N291" s="1" t="s">
        <v>58</v>
      </c>
      <c r="O291" s="1" t="s">
        <v>58</v>
      </c>
      <c r="Q291" s="1" t="s">
        <v>58</v>
      </c>
      <c r="R291" s="1" t="s">
        <v>58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59</v>
      </c>
      <c r="Y291" s="1" t="s">
        <v>60</v>
      </c>
      <c r="Z291" s="1" t="s">
        <v>89</v>
      </c>
      <c r="AA291" s="2">
        <v>10.0</v>
      </c>
      <c r="AB291" s="1" t="s">
        <v>79</v>
      </c>
      <c r="AC291" s="1" t="s">
        <v>51</v>
      </c>
      <c r="AD291" s="1" t="s">
        <v>81</v>
      </c>
      <c r="AE291" s="1" t="s">
        <v>51</v>
      </c>
      <c r="AF291" s="1" t="s">
        <v>51</v>
      </c>
      <c r="AG291" s="1" t="s">
        <v>51</v>
      </c>
      <c r="AH291" s="2">
        <v>2.0</v>
      </c>
      <c r="AI291" s="2">
        <v>1.0</v>
      </c>
      <c r="AJ291" s="2">
        <v>0.0</v>
      </c>
      <c r="AK291" s="2">
        <v>0.0</v>
      </c>
      <c r="AL291" s="2">
        <v>0.0</v>
      </c>
      <c r="AM291" s="1" t="s">
        <v>51</v>
      </c>
      <c r="AN291" s="2">
        <v>6.33869547E8</v>
      </c>
      <c r="AP291" s="2">
        <v>4.90513881E8</v>
      </c>
      <c r="AQ291" s="1" t="s">
        <v>424</v>
      </c>
      <c r="AR291" s="2">
        <v>45809.64402777778</v>
      </c>
      <c r="AU291" s="1" t="s">
        <v>64</v>
      </c>
      <c r="AW291" s="1" t="s">
        <v>255</v>
      </c>
      <c r="AY291" s="2">
        <v>285.0</v>
      </c>
    </row>
    <row r="292">
      <c r="A292" s="1" t="s">
        <v>51</v>
      </c>
      <c r="C292" s="1" t="s">
        <v>131</v>
      </c>
      <c r="E292" s="1" t="s">
        <v>53</v>
      </c>
      <c r="F292" s="1" t="s">
        <v>291</v>
      </c>
      <c r="G292" s="2">
        <v>23.0</v>
      </c>
      <c r="H292" s="1" t="s">
        <v>66</v>
      </c>
      <c r="I292" s="1" t="s">
        <v>67</v>
      </c>
      <c r="J292" s="1" t="s">
        <v>111</v>
      </c>
      <c r="K292" s="1" t="s">
        <v>57</v>
      </c>
      <c r="M292" s="1" t="s">
        <v>58</v>
      </c>
      <c r="N292" s="1" t="s">
        <v>58</v>
      </c>
      <c r="O292" s="1" t="s">
        <v>58</v>
      </c>
      <c r="Q292" s="1" t="s">
        <v>58</v>
      </c>
      <c r="R292" s="1" t="s">
        <v>58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81</v>
      </c>
      <c r="Y292" s="1" t="s">
        <v>82</v>
      </c>
      <c r="Z292" s="1" t="s">
        <v>89</v>
      </c>
      <c r="AA292" s="2">
        <v>20.0</v>
      </c>
      <c r="AB292" s="1" t="s">
        <v>62</v>
      </c>
      <c r="AC292" s="1" t="s">
        <v>51</v>
      </c>
      <c r="AD292" s="1" t="s">
        <v>81</v>
      </c>
      <c r="AE292" s="1" t="s">
        <v>51</v>
      </c>
      <c r="AF292" s="1" t="s">
        <v>51</v>
      </c>
      <c r="AG292" s="1" t="s">
        <v>51</v>
      </c>
      <c r="AH292" s="2">
        <v>4.0</v>
      </c>
      <c r="AI292" s="2">
        <v>1.0</v>
      </c>
      <c r="AJ292" s="2">
        <v>0.0</v>
      </c>
      <c r="AK292" s="2">
        <v>0.0</v>
      </c>
      <c r="AL292" s="2">
        <v>0.0</v>
      </c>
      <c r="AM292" s="1" t="s">
        <v>51</v>
      </c>
      <c r="AN292" s="2">
        <v>6.04141344E8</v>
      </c>
      <c r="AP292" s="2">
        <v>4.90516923E8</v>
      </c>
      <c r="AQ292" s="1" t="s">
        <v>425</v>
      </c>
      <c r="AR292" s="2">
        <v>45809.64916666667</v>
      </c>
      <c r="AU292" s="1" t="s">
        <v>64</v>
      </c>
      <c r="AW292" s="1" t="s">
        <v>255</v>
      </c>
      <c r="AY292" s="2">
        <v>286.0</v>
      </c>
    </row>
    <row r="293">
      <c r="A293" s="1" t="s">
        <v>51</v>
      </c>
      <c r="C293" s="1" t="s">
        <v>52</v>
      </c>
      <c r="E293" s="1" t="s">
        <v>53</v>
      </c>
      <c r="F293" s="1" t="s">
        <v>54</v>
      </c>
      <c r="G293" s="2">
        <v>32.0</v>
      </c>
      <c r="H293" s="1" t="s">
        <v>55</v>
      </c>
      <c r="I293" s="1" t="s">
        <v>100</v>
      </c>
      <c r="J293" s="1" t="s">
        <v>86</v>
      </c>
      <c r="K293" s="1" t="s">
        <v>87</v>
      </c>
      <c r="M293" s="1" t="s">
        <v>58</v>
      </c>
      <c r="N293" s="1" t="s">
        <v>58</v>
      </c>
      <c r="O293" s="1" t="s">
        <v>69</v>
      </c>
      <c r="Q293" s="1" t="s">
        <v>69</v>
      </c>
      <c r="R293" s="1" t="s">
        <v>58</v>
      </c>
      <c r="S293" s="1" t="s">
        <v>69</v>
      </c>
      <c r="T293" s="1" t="s">
        <v>69</v>
      </c>
      <c r="U293" s="1" t="s">
        <v>58</v>
      </c>
      <c r="V293" s="1" t="s">
        <v>58</v>
      </c>
      <c r="W293" s="1" t="s">
        <v>69</v>
      </c>
      <c r="X293" s="1" t="s">
        <v>88</v>
      </c>
      <c r="Y293" s="1" t="s">
        <v>95</v>
      </c>
      <c r="Z293" s="1" t="s">
        <v>108</v>
      </c>
      <c r="AA293" s="2">
        <v>100.0</v>
      </c>
      <c r="AB293" s="1" t="s">
        <v>62</v>
      </c>
      <c r="AC293" s="1" t="s">
        <v>51</v>
      </c>
      <c r="AD293" s="1" t="s">
        <v>88</v>
      </c>
      <c r="AE293" s="1" t="s">
        <v>51</v>
      </c>
      <c r="AF293" s="1" t="s">
        <v>72</v>
      </c>
      <c r="AG293" s="1" t="s">
        <v>72</v>
      </c>
      <c r="AI293" s="2">
        <v>0.0</v>
      </c>
      <c r="AJ293" s="2">
        <v>0.0</v>
      </c>
      <c r="AK293" s="2">
        <v>0.0</v>
      </c>
      <c r="AL293" s="2">
        <v>1.0</v>
      </c>
      <c r="AM293" s="1" t="s">
        <v>72</v>
      </c>
      <c r="AP293" s="2">
        <v>4.90575027E8</v>
      </c>
      <c r="AQ293" s="1" t="s">
        <v>426</v>
      </c>
      <c r="AR293" s="2">
        <v>45809.75487268518</v>
      </c>
      <c r="AU293" s="1" t="s">
        <v>64</v>
      </c>
      <c r="AW293" s="1" t="s">
        <v>255</v>
      </c>
      <c r="AY293" s="2">
        <v>287.0</v>
      </c>
    </row>
    <row r="294">
      <c r="A294" s="1" t="s">
        <v>51</v>
      </c>
      <c r="C294" s="1" t="s">
        <v>427</v>
      </c>
      <c r="E294" s="1" t="s">
        <v>53</v>
      </c>
      <c r="F294" s="1" t="s">
        <v>102</v>
      </c>
      <c r="G294" s="2">
        <v>31.0</v>
      </c>
      <c r="H294" s="1" t="s">
        <v>66</v>
      </c>
      <c r="I294" s="1" t="s">
        <v>100</v>
      </c>
      <c r="J294" s="1" t="s">
        <v>68</v>
      </c>
      <c r="K294" s="1" t="s">
        <v>57</v>
      </c>
      <c r="M294" s="1" t="s">
        <v>58</v>
      </c>
      <c r="N294" s="1" t="s">
        <v>58</v>
      </c>
      <c r="O294" s="1" t="s">
        <v>69</v>
      </c>
      <c r="Q294" s="1" t="s">
        <v>58</v>
      </c>
      <c r="R294" s="1" t="s">
        <v>58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81</v>
      </c>
      <c r="Y294" s="1" t="s">
        <v>82</v>
      </c>
      <c r="Z294" s="1" t="s">
        <v>61</v>
      </c>
      <c r="AB294" s="1" t="s">
        <v>79</v>
      </c>
      <c r="AC294" s="1" t="s">
        <v>71</v>
      </c>
      <c r="AF294" s="1" t="s">
        <v>51</v>
      </c>
      <c r="AG294" s="1" t="s">
        <v>72</v>
      </c>
      <c r="AI294" s="2">
        <v>0.0</v>
      </c>
      <c r="AJ294" s="2">
        <v>0.0</v>
      </c>
      <c r="AK294" s="2">
        <v>0.0</v>
      </c>
      <c r="AL294" s="2">
        <v>1.0</v>
      </c>
      <c r="AM294" s="1" t="s">
        <v>72</v>
      </c>
      <c r="AP294" s="2">
        <v>4.90758061E8</v>
      </c>
      <c r="AQ294" s="1" t="s">
        <v>428</v>
      </c>
      <c r="AR294" s="2">
        <v>45810.32388888889</v>
      </c>
      <c r="AU294" s="1" t="s">
        <v>64</v>
      </c>
      <c r="AW294" s="1" t="s">
        <v>255</v>
      </c>
      <c r="AY294" s="2">
        <v>288.0</v>
      </c>
    </row>
    <row r="295">
      <c r="A295" s="1" t="s">
        <v>51</v>
      </c>
      <c r="C295" s="1" t="s">
        <v>427</v>
      </c>
      <c r="E295" s="1" t="s">
        <v>53</v>
      </c>
      <c r="F295" s="1" t="s">
        <v>102</v>
      </c>
      <c r="G295" s="2">
        <v>50.0</v>
      </c>
      <c r="H295" s="1" t="s">
        <v>66</v>
      </c>
      <c r="I295" s="1" t="s">
        <v>100</v>
      </c>
      <c r="J295" s="1" t="s">
        <v>68</v>
      </c>
      <c r="K295" s="1" t="s">
        <v>78</v>
      </c>
      <c r="M295" s="1" t="s">
        <v>58</v>
      </c>
      <c r="N295" s="1" t="s">
        <v>58</v>
      </c>
      <c r="O295" s="1" t="s">
        <v>69</v>
      </c>
      <c r="Q295" s="1" t="s">
        <v>58</v>
      </c>
      <c r="R295" s="1" t="s">
        <v>58</v>
      </c>
      <c r="S295" s="1" t="s">
        <v>58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81</v>
      </c>
      <c r="Y295" s="1" t="s">
        <v>60</v>
      </c>
      <c r="Z295" s="1" t="s">
        <v>89</v>
      </c>
      <c r="AA295" s="2">
        <v>10.0</v>
      </c>
      <c r="AB295" s="1" t="s">
        <v>79</v>
      </c>
      <c r="AC295" s="1" t="s">
        <v>71</v>
      </c>
      <c r="AF295" s="1" t="s">
        <v>51</v>
      </c>
      <c r="AG295" s="1" t="s">
        <v>72</v>
      </c>
      <c r="AI295" s="2">
        <v>0.0</v>
      </c>
      <c r="AJ295" s="2">
        <v>0.0</v>
      </c>
      <c r="AK295" s="2">
        <v>0.0</v>
      </c>
      <c r="AL295" s="2">
        <v>1.0</v>
      </c>
      <c r="AM295" s="1" t="s">
        <v>72</v>
      </c>
      <c r="AP295" s="2">
        <v>4.90763616E8</v>
      </c>
      <c r="AQ295" s="1" t="s">
        <v>429</v>
      </c>
      <c r="AR295" s="2">
        <v>45810.33143518519</v>
      </c>
      <c r="AU295" s="1" t="s">
        <v>64</v>
      </c>
      <c r="AW295" s="1" t="s">
        <v>255</v>
      </c>
      <c r="AY295" s="2">
        <v>289.0</v>
      </c>
    </row>
    <row r="296">
      <c r="A296" s="1" t="s">
        <v>51</v>
      </c>
      <c r="C296" s="1" t="s">
        <v>52</v>
      </c>
      <c r="E296" s="1" t="s">
        <v>53</v>
      </c>
      <c r="F296" s="1" t="s">
        <v>54</v>
      </c>
      <c r="G296" s="2">
        <v>25.0</v>
      </c>
      <c r="H296" s="1" t="s">
        <v>66</v>
      </c>
      <c r="I296" s="1" t="s">
        <v>100</v>
      </c>
      <c r="J296" s="1" t="s">
        <v>68</v>
      </c>
      <c r="K296" s="1" t="s">
        <v>74</v>
      </c>
      <c r="M296" s="1" t="s">
        <v>58</v>
      </c>
      <c r="N296" s="1" t="s">
        <v>58</v>
      </c>
      <c r="O296" s="1" t="s">
        <v>69</v>
      </c>
      <c r="Q296" s="1" t="s">
        <v>58</v>
      </c>
      <c r="R296" s="1" t="s">
        <v>58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81</v>
      </c>
      <c r="Y296" s="1" t="s">
        <v>82</v>
      </c>
      <c r="Z296" s="1" t="s">
        <v>89</v>
      </c>
      <c r="AA296" s="2">
        <v>10.0</v>
      </c>
      <c r="AB296" s="1" t="s">
        <v>79</v>
      </c>
      <c r="AC296" s="1" t="s">
        <v>72</v>
      </c>
      <c r="AF296" s="1" t="s">
        <v>51</v>
      </c>
      <c r="AG296" s="1" t="s">
        <v>51</v>
      </c>
      <c r="AH296" s="2">
        <v>5.0</v>
      </c>
      <c r="AI296" s="2">
        <v>0.0</v>
      </c>
      <c r="AJ296" s="2">
        <v>0.0</v>
      </c>
      <c r="AK296" s="2">
        <v>0.0</v>
      </c>
      <c r="AL296" s="2">
        <v>1.0</v>
      </c>
      <c r="AM296" s="1" t="s">
        <v>72</v>
      </c>
      <c r="AP296" s="2">
        <v>4.90763804E8</v>
      </c>
      <c r="AQ296" s="1" t="s">
        <v>430</v>
      </c>
      <c r="AR296" s="2">
        <v>45810.331666666665</v>
      </c>
      <c r="AU296" s="1" t="s">
        <v>64</v>
      </c>
      <c r="AW296" s="1" t="s">
        <v>255</v>
      </c>
      <c r="AY296" s="2">
        <v>290.0</v>
      </c>
    </row>
    <row r="297">
      <c r="A297" s="1" t="s">
        <v>51</v>
      </c>
      <c r="C297" s="1" t="s">
        <v>52</v>
      </c>
      <c r="E297" s="1" t="s">
        <v>53</v>
      </c>
      <c r="F297" s="1" t="s">
        <v>54</v>
      </c>
      <c r="G297" s="2">
        <v>32.0</v>
      </c>
      <c r="H297" s="1" t="s">
        <v>66</v>
      </c>
      <c r="I297" s="1" t="s">
        <v>67</v>
      </c>
      <c r="J297" s="1" t="s">
        <v>68</v>
      </c>
      <c r="K297" s="1" t="s">
        <v>74</v>
      </c>
      <c r="M297" s="1" t="s">
        <v>58</v>
      </c>
      <c r="N297" s="1" t="s">
        <v>58</v>
      </c>
      <c r="O297" s="1" t="s">
        <v>69</v>
      </c>
      <c r="Q297" s="1" t="s">
        <v>58</v>
      </c>
      <c r="R297" s="1" t="s">
        <v>58</v>
      </c>
      <c r="S297" s="1" t="s">
        <v>69</v>
      </c>
      <c r="T297" s="1" t="s">
        <v>69</v>
      </c>
      <c r="U297" s="1" t="s">
        <v>70</v>
      </c>
      <c r="V297" s="1" t="s">
        <v>69</v>
      </c>
      <c r="W297" s="1" t="s">
        <v>69</v>
      </c>
      <c r="X297" s="1" t="s">
        <v>81</v>
      </c>
      <c r="Y297" s="1" t="s">
        <v>82</v>
      </c>
      <c r="Z297" s="1" t="s">
        <v>89</v>
      </c>
      <c r="AA297" s="2">
        <v>20.0</v>
      </c>
      <c r="AB297" s="1" t="s">
        <v>79</v>
      </c>
      <c r="AC297" s="1" t="s">
        <v>72</v>
      </c>
      <c r="AF297" s="1" t="s">
        <v>51</v>
      </c>
      <c r="AG297" s="1" t="s">
        <v>51</v>
      </c>
      <c r="AH297" s="2">
        <v>10.0</v>
      </c>
      <c r="AI297" s="2">
        <v>0.0</v>
      </c>
      <c r="AJ297" s="2">
        <v>0.0</v>
      </c>
      <c r="AK297" s="2">
        <v>0.0</v>
      </c>
      <c r="AL297" s="2">
        <v>1.0</v>
      </c>
      <c r="AM297" s="1" t="s">
        <v>72</v>
      </c>
      <c r="AP297" s="2">
        <v>4.9076591E8</v>
      </c>
      <c r="AQ297" s="1" t="s">
        <v>431</v>
      </c>
      <c r="AR297" s="2">
        <v>45810.33409722222</v>
      </c>
      <c r="AU297" s="1" t="s">
        <v>64</v>
      </c>
      <c r="AW297" s="1" t="s">
        <v>255</v>
      </c>
      <c r="AY297" s="2">
        <v>291.0</v>
      </c>
    </row>
    <row r="298">
      <c r="A298" s="1" t="s">
        <v>51</v>
      </c>
      <c r="C298" s="1" t="s">
        <v>170</v>
      </c>
      <c r="E298" s="1" t="s">
        <v>53</v>
      </c>
      <c r="F298" s="1" t="s">
        <v>54</v>
      </c>
      <c r="G298" s="2">
        <v>33.0</v>
      </c>
      <c r="H298" s="1" t="s">
        <v>66</v>
      </c>
      <c r="I298" s="1" t="s">
        <v>67</v>
      </c>
      <c r="J298" s="1" t="s">
        <v>68</v>
      </c>
      <c r="K298" s="1" t="s">
        <v>57</v>
      </c>
      <c r="M298" s="1" t="s">
        <v>58</v>
      </c>
      <c r="N298" s="1" t="s">
        <v>58</v>
      </c>
      <c r="O298" s="1" t="s">
        <v>69</v>
      </c>
      <c r="Q298" s="1" t="s">
        <v>58</v>
      </c>
      <c r="R298" s="1" t="s">
        <v>58</v>
      </c>
      <c r="S298" s="1" t="s">
        <v>69</v>
      </c>
      <c r="T298" s="1" t="s">
        <v>69</v>
      </c>
      <c r="U298" s="1" t="s">
        <v>70</v>
      </c>
      <c r="V298" s="1" t="s">
        <v>69</v>
      </c>
      <c r="W298" s="1" t="s">
        <v>58</v>
      </c>
      <c r="X298" s="1" t="s">
        <v>81</v>
      </c>
      <c r="Y298" s="1" t="s">
        <v>82</v>
      </c>
      <c r="Z298" s="1" t="s">
        <v>89</v>
      </c>
      <c r="AA298" s="2">
        <v>30.0</v>
      </c>
      <c r="AB298" s="1" t="s">
        <v>79</v>
      </c>
      <c r="AC298" s="1" t="s">
        <v>72</v>
      </c>
      <c r="AF298" s="1" t="s">
        <v>51</v>
      </c>
      <c r="AG298" s="1" t="s">
        <v>51</v>
      </c>
      <c r="AH298" s="2">
        <v>10.0</v>
      </c>
      <c r="AI298" s="2">
        <v>0.0</v>
      </c>
      <c r="AJ298" s="2">
        <v>0.0</v>
      </c>
      <c r="AK298" s="2">
        <v>0.0</v>
      </c>
      <c r="AL298" s="2">
        <v>1.0</v>
      </c>
      <c r="AM298" s="1" t="s">
        <v>72</v>
      </c>
      <c r="AP298" s="2">
        <v>4.90776313E8</v>
      </c>
      <c r="AQ298" s="1" t="s">
        <v>432</v>
      </c>
      <c r="AR298" s="2">
        <v>45810.34570601852</v>
      </c>
      <c r="AU298" s="1" t="s">
        <v>64</v>
      </c>
      <c r="AW298" s="1" t="s">
        <v>255</v>
      </c>
      <c r="AY298" s="2">
        <v>292.0</v>
      </c>
    </row>
    <row r="299">
      <c r="A299" s="1" t="s">
        <v>51</v>
      </c>
      <c r="C299" s="1" t="s">
        <v>52</v>
      </c>
      <c r="E299" s="1" t="s">
        <v>53</v>
      </c>
      <c r="F299" s="1" t="s">
        <v>54</v>
      </c>
      <c r="G299" s="2">
        <v>53.0</v>
      </c>
      <c r="H299" s="1" t="s">
        <v>66</v>
      </c>
      <c r="I299" s="1" t="s">
        <v>67</v>
      </c>
      <c r="J299" s="1" t="s">
        <v>68</v>
      </c>
      <c r="K299" s="1" t="s">
        <v>74</v>
      </c>
      <c r="M299" s="1" t="s">
        <v>58</v>
      </c>
      <c r="N299" s="1" t="s">
        <v>58</v>
      </c>
      <c r="O299" s="1" t="s">
        <v>69</v>
      </c>
      <c r="Q299" s="1" t="s">
        <v>58</v>
      </c>
      <c r="R299" s="1" t="s">
        <v>69</v>
      </c>
      <c r="S299" s="1" t="s">
        <v>69</v>
      </c>
      <c r="T299" s="1" t="s">
        <v>70</v>
      </c>
      <c r="U299" s="1" t="s">
        <v>58</v>
      </c>
      <c r="V299" s="1" t="s">
        <v>70</v>
      </c>
      <c r="W299" s="1" t="s">
        <v>69</v>
      </c>
      <c r="Y299" s="1" t="s">
        <v>227</v>
      </c>
      <c r="AA299" s="2">
        <v>50.0</v>
      </c>
      <c r="AB299" s="1" t="s">
        <v>79</v>
      </c>
      <c r="AC299" s="1" t="s">
        <v>51</v>
      </c>
      <c r="AD299" s="1" t="s">
        <v>81</v>
      </c>
      <c r="AE299" s="1" t="s">
        <v>51</v>
      </c>
      <c r="AF299" s="1" t="s">
        <v>51</v>
      </c>
      <c r="AG299" s="1" t="s">
        <v>51</v>
      </c>
      <c r="AH299" s="2">
        <v>15.0</v>
      </c>
      <c r="AI299" s="2">
        <v>0.0</v>
      </c>
      <c r="AJ299" s="2">
        <v>0.0</v>
      </c>
      <c r="AK299" s="2">
        <v>0.0</v>
      </c>
      <c r="AL299" s="2">
        <v>1.0</v>
      </c>
      <c r="AM299" s="1" t="s">
        <v>51</v>
      </c>
      <c r="AN299" s="3" t="str">
        <v>#ERROR!</v>
      </c>
      <c r="AP299" s="2">
        <v>4.90787809E8</v>
      </c>
      <c r="AQ299" s="1" t="s">
        <v>433</v>
      </c>
      <c r="AR299" s="2">
        <v>45810.3628125</v>
      </c>
      <c r="AU299" s="1" t="s">
        <v>64</v>
      </c>
      <c r="AW299" s="1" t="s">
        <v>255</v>
      </c>
      <c r="AY299" s="2">
        <v>293.0</v>
      </c>
    </row>
    <row r="300">
      <c r="A300" s="1" t="s">
        <v>51</v>
      </c>
      <c r="C300" s="1" t="s">
        <v>52</v>
      </c>
      <c r="E300" s="1" t="s">
        <v>53</v>
      </c>
      <c r="F300" s="1" t="s">
        <v>94</v>
      </c>
      <c r="G300" s="2">
        <v>42.0</v>
      </c>
      <c r="H300" s="1" t="s">
        <v>66</v>
      </c>
      <c r="I300" s="1" t="s">
        <v>67</v>
      </c>
      <c r="J300" s="1" t="s">
        <v>56</v>
      </c>
      <c r="K300" s="1" t="s">
        <v>74</v>
      </c>
      <c r="M300" s="1" t="s">
        <v>58</v>
      </c>
      <c r="N300" s="1" t="s">
        <v>58</v>
      </c>
      <c r="O300" s="1" t="s">
        <v>70</v>
      </c>
      <c r="Q300" s="1" t="s">
        <v>58</v>
      </c>
      <c r="R300" s="1" t="s">
        <v>58</v>
      </c>
      <c r="S300" s="1" t="s">
        <v>69</v>
      </c>
      <c r="T300" s="1" t="s">
        <v>58</v>
      </c>
      <c r="U300" s="1" t="s">
        <v>69</v>
      </c>
      <c r="V300" s="1" t="s">
        <v>58</v>
      </c>
      <c r="W300" s="1" t="s">
        <v>58</v>
      </c>
      <c r="X300" s="1" t="s">
        <v>81</v>
      </c>
      <c r="Y300" s="1" t="s">
        <v>82</v>
      </c>
      <c r="Z300" s="1" t="s">
        <v>108</v>
      </c>
      <c r="AA300" s="2">
        <v>10.0</v>
      </c>
      <c r="AB300" s="1" t="s">
        <v>79</v>
      </c>
      <c r="AC300" s="1" t="s">
        <v>71</v>
      </c>
      <c r="AF300" s="1" t="s">
        <v>51</v>
      </c>
      <c r="AG300" s="1" t="s">
        <v>51</v>
      </c>
      <c r="AH300" s="2">
        <v>4000.0</v>
      </c>
      <c r="AI300" s="2">
        <v>0.0</v>
      </c>
      <c r="AJ300" s="2">
        <v>0.0</v>
      </c>
      <c r="AK300" s="2">
        <v>0.0</v>
      </c>
      <c r="AL300" s="2">
        <v>1.0</v>
      </c>
      <c r="AM300" s="1" t="s">
        <v>51</v>
      </c>
      <c r="AN300" s="2">
        <v>8.44491333E8</v>
      </c>
      <c r="AP300" s="2">
        <v>4.9078864E8</v>
      </c>
      <c r="AQ300" s="1" t="s">
        <v>434</v>
      </c>
      <c r="AR300" s="2">
        <v>45810.36376157407</v>
      </c>
      <c r="AU300" s="1" t="s">
        <v>64</v>
      </c>
      <c r="AW300" s="1" t="s">
        <v>255</v>
      </c>
      <c r="AY300" s="2">
        <v>294.0</v>
      </c>
    </row>
    <row r="301">
      <c r="A301" s="1" t="s">
        <v>51</v>
      </c>
      <c r="C301" s="1" t="s">
        <v>52</v>
      </c>
      <c r="E301" s="1" t="s">
        <v>53</v>
      </c>
      <c r="F301" s="1" t="s">
        <v>54</v>
      </c>
      <c r="G301" s="2">
        <v>47.0</v>
      </c>
      <c r="H301" s="1" t="s">
        <v>66</v>
      </c>
      <c r="I301" s="1" t="s">
        <v>100</v>
      </c>
      <c r="J301" s="1" t="s">
        <v>56</v>
      </c>
      <c r="K301" s="1" t="s">
        <v>74</v>
      </c>
      <c r="M301" s="1" t="s">
        <v>58</v>
      </c>
      <c r="N301" s="1" t="s">
        <v>58</v>
      </c>
      <c r="O301" s="1" t="s">
        <v>58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81</v>
      </c>
      <c r="Y301" s="1" t="s">
        <v>82</v>
      </c>
      <c r="Z301" s="1" t="s">
        <v>61</v>
      </c>
      <c r="AA301" s="2">
        <v>20.0</v>
      </c>
      <c r="AB301" s="1" t="s">
        <v>79</v>
      </c>
      <c r="AC301" s="1" t="s">
        <v>51</v>
      </c>
      <c r="AD301" s="1" t="s">
        <v>81</v>
      </c>
      <c r="AE301" s="1" t="s">
        <v>51</v>
      </c>
      <c r="AF301" s="1" t="s">
        <v>51</v>
      </c>
      <c r="AG301" s="1" t="s">
        <v>51</v>
      </c>
      <c r="AH301" s="2">
        <v>10.0</v>
      </c>
      <c r="AI301" s="2">
        <v>0.0</v>
      </c>
      <c r="AJ301" s="2">
        <v>0.0</v>
      </c>
      <c r="AK301" s="2">
        <v>0.0</v>
      </c>
      <c r="AL301" s="2">
        <v>1.0</v>
      </c>
      <c r="AM301" s="1" t="s">
        <v>72</v>
      </c>
      <c r="AP301" s="2">
        <v>4.90791151E8</v>
      </c>
      <c r="AQ301" s="1" t="s">
        <v>435</v>
      </c>
      <c r="AR301" s="2">
        <v>45810.36685185185</v>
      </c>
      <c r="AU301" s="1" t="s">
        <v>64</v>
      </c>
      <c r="AW301" s="1" t="s">
        <v>255</v>
      </c>
      <c r="AY301" s="2">
        <v>295.0</v>
      </c>
    </row>
    <row r="302">
      <c r="A302" s="1" t="s">
        <v>51</v>
      </c>
      <c r="C302" s="1" t="s">
        <v>52</v>
      </c>
      <c r="E302" s="1" t="s">
        <v>53</v>
      </c>
      <c r="F302" s="1" t="s">
        <v>54</v>
      </c>
      <c r="G302" s="2">
        <v>45.0</v>
      </c>
      <c r="H302" s="1" t="s">
        <v>66</v>
      </c>
      <c r="I302" s="1" t="s">
        <v>100</v>
      </c>
      <c r="J302" s="1" t="s">
        <v>56</v>
      </c>
      <c r="K302" s="1" t="s">
        <v>74</v>
      </c>
      <c r="M302" s="1" t="s">
        <v>58</v>
      </c>
      <c r="N302" s="1" t="s">
        <v>58</v>
      </c>
      <c r="O302" s="1" t="s">
        <v>58</v>
      </c>
      <c r="Q302" s="1" t="s">
        <v>58</v>
      </c>
      <c r="R302" s="1" t="s">
        <v>58</v>
      </c>
      <c r="S302" s="1" t="s">
        <v>69</v>
      </c>
      <c r="T302" s="1" t="s">
        <v>69</v>
      </c>
      <c r="U302" s="1" t="s">
        <v>58</v>
      </c>
      <c r="V302" s="1" t="s">
        <v>58</v>
      </c>
      <c r="W302" s="1" t="s">
        <v>58</v>
      </c>
      <c r="X302" s="1" t="s">
        <v>81</v>
      </c>
      <c r="Y302" s="1" t="s">
        <v>82</v>
      </c>
      <c r="Z302" s="1" t="s">
        <v>89</v>
      </c>
      <c r="AA302" s="2">
        <v>30.0</v>
      </c>
      <c r="AB302" s="1" t="s">
        <v>28</v>
      </c>
      <c r="AC302" s="1" t="s">
        <v>71</v>
      </c>
      <c r="AF302" s="1" t="s">
        <v>51</v>
      </c>
      <c r="AG302" s="1" t="s">
        <v>72</v>
      </c>
      <c r="AI302" s="2">
        <v>0.0</v>
      </c>
      <c r="AJ302" s="2">
        <v>0.0</v>
      </c>
      <c r="AK302" s="2">
        <v>0.0</v>
      </c>
      <c r="AL302" s="2">
        <v>1.0</v>
      </c>
      <c r="AM302" s="1" t="s">
        <v>72</v>
      </c>
      <c r="AP302" s="2">
        <v>4.90795964E8</v>
      </c>
      <c r="AQ302" s="1" t="s">
        <v>436</v>
      </c>
      <c r="AR302" s="2">
        <v>45810.37263888889</v>
      </c>
      <c r="AU302" s="1" t="s">
        <v>64</v>
      </c>
      <c r="AW302" s="1" t="s">
        <v>255</v>
      </c>
      <c r="AY302" s="2">
        <v>296.0</v>
      </c>
    </row>
    <row r="303">
      <c r="A303" s="1" t="s">
        <v>51</v>
      </c>
      <c r="C303" s="1" t="s">
        <v>52</v>
      </c>
      <c r="E303" s="1" t="s">
        <v>53</v>
      </c>
      <c r="F303" s="1" t="s">
        <v>54</v>
      </c>
      <c r="G303" s="2">
        <v>36.0</v>
      </c>
      <c r="H303" s="1" t="s">
        <v>55</v>
      </c>
      <c r="I303" s="1" t="s">
        <v>67</v>
      </c>
      <c r="J303" s="1" t="s">
        <v>68</v>
      </c>
      <c r="K303" s="1" t="s">
        <v>74</v>
      </c>
      <c r="M303" s="1" t="s">
        <v>58</v>
      </c>
      <c r="N303" s="1" t="s">
        <v>58</v>
      </c>
      <c r="O303" s="1" t="s">
        <v>58</v>
      </c>
      <c r="Q303" s="1" t="s">
        <v>58</v>
      </c>
      <c r="R303" s="1" t="s">
        <v>58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81</v>
      </c>
      <c r="Y303" s="1" t="s">
        <v>82</v>
      </c>
      <c r="Z303" s="1" t="s">
        <v>89</v>
      </c>
      <c r="AA303" s="2">
        <v>10.0</v>
      </c>
      <c r="AB303" s="1" t="s">
        <v>28</v>
      </c>
      <c r="AC303" s="1" t="s">
        <v>51</v>
      </c>
      <c r="AD303" s="1" t="s">
        <v>81</v>
      </c>
      <c r="AE303" s="1" t="s">
        <v>51</v>
      </c>
      <c r="AF303" s="1" t="s">
        <v>51</v>
      </c>
      <c r="AG303" s="1" t="s">
        <v>72</v>
      </c>
      <c r="AI303" s="2">
        <v>0.0</v>
      </c>
      <c r="AJ303" s="2">
        <v>0.0</v>
      </c>
      <c r="AK303" s="2">
        <v>0.0</v>
      </c>
      <c r="AL303" s="2">
        <v>1.0</v>
      </c>
      <c r="AM303" s="1" t="s">
        <v>72</v>
      </c>
      <c r="AP303" s="2">
        <v>4.9080085E8</v>
      </c>
      <c r="AQ303" s="1" t="s">
        <v>437</v>
      </c>
      <c r="AR303" s="2">
        <v>45810.378842592596</v>
      </c>
      <c r="AU303" s="1" t="s">
        <v>64</v>
      </c>
      <c r="AW303" s="1" t="s">
        <v>255</v>
      </c>
      <c r="AY303" s="2">
        <v>297.0</v>
      </c>
    </row>
    <row r="304">
      <c r="A304" s="1" t="s">
        <v>51</v>
      </c>
      <c r="C304" s="1" t="s">
        <v>170</v>
      </c>
      <c r="E304" s="1" t="s">
        <v>53</v>
      </c>
      <c r="F304" s="1" t="s">
        <v>54</v>
      </c>
      <c r="G304" s="2">
        <v>33.0</v>
      </c>
      <c r="H304" s="1" t="s">
        <v>66</v>
      </c>
      <c r="I304" s="1" t="s">
        <v>67</v>
      </c>
      <c r="J304" s="1" t="s">
        <v>68</v>
      </c>
      <c r="K304" s="1" t="s">
        <v>74</v>
      </c>
      <c r="M304" s="1" t="s">
        <v>58</v>
      </c>
      <c r="N304" s="1" t="s">
        <v>58</v>
      </c>
      <c r="O304" s="1" t="s">
        <v>58</v>
      </c>
      <c r="Q304" s="1" t="s">
        <v>58</v>
      </c>
      <c r="R304" s="1" t="s">
        <v>69</v>
      </c>
      <c r="S304" s="1" t="s">
        <v>69</v>
      </c>
      <c r="T304" s="1" t="s">
        <v>69</v>
      </c>
      <c r="U304" s="1" t="s">
        <v>69</v>
      </c>
      <c r="V304" s="1" t="s">
        <v>69</v>
      </c>
      <c r="W304" s="1" t="s">
        <v>58</v>
      </c>
      <c r="X304" s="1" t="s">
        <v>81</v>
      </c>
      <c r="Y304" s="1" t="s">
        <v>82</v>
      </c>
      <c r="Z304" s="1" t="s">
        <v>61</v>
      </c>
      <c r="AA304" s="2">
        <v>30.0</v>
      </c>
      <c r="AB304" s="1" t="s">
        <v>79</v>
      </c>
      <c r="AC304" s="1" t="s">
        <v>71</v>
      </c>
      <c r="AF304" s="1" t="s">
        <v>51</v>
      </c>
      <c r="AG304" s="1" t="s">
        <v>72</v>
      </c>
      <c r="AI304" s="2">
        <v>0.0</v>
      </c>
      <c r="AJ304" s="2">
        <v>0.0</v>
      </c>
      <c r="AK304" s="2">
        <v>0.0</v>
      </c>
      <c r="AL304" s="2">
        <v>1.0</v>
      </c>
      <c r="AM304" s="1" t="s">
        <v>72</v>
      </c>
      <c r="AP304" s="2">
        <v>4.90804401E8</v>
      </c>
      <c r="AQ304" s="1" t="s">
        <v>438</v>
      </c>
      <c r="AR304" s="2">
        <v>45810.38334490741</v>
      </c>
      <c r="AU304" s="1" t="s">
        <v>64</v>
      </c>
      <c r="AW304" s="1" t="s">
        <v>255</v>
      </c>
      <c r="AY304" s="2">
        <v>298.0</v>
      </c>
    </row>
    <row r="305">
      <c r="A305" s="1" t="s">
        <v>51</v>
      </c>
      <c r="C305" s="1" t="s">
        <v>170</v>
      </c>
      <c r="E305" s="1" t="s">
        <v>53</v>
      </c>
      <c r="F305" s="1" t="s">
        <v>54</v>
      </c>
      <c r="G305" s="2">
        <v>30.0</v>
      </c>
      <c r="H305" s="1" t="s">
        <v>66</v>
      </c>
      <c r="I305" s="1" t="s">
        <v>76</v>
      </c>
      <c r="J305" s="1" t="s">
        <v>68</v>
      </c>
      <c r="K305" s="1" t="s">
        <v>57</v>
      </c>
      <c r="M305" s="1" t="s">
        <v>58</v>
      </c>
      <c r="N305" s="1" t="s">
        <v>58</v>
      </c>
      <c r="O305" s="1" t="s">
        <v>58</v>
      </c>
      <c r="Q305" s="1" t="s">
        <v>58</v>
      </c>
      <c r="R305" s="1" t="s">
        <v>58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81</v>
      </c>
      <c r="Y305" s="1" t="s">
        <v>82</v>
      </c>
      <c r="Z305" s="1" t="s">
        <v>89</v>
      </c>
      <c r="AA305" s="2">
        <v>50.0</v>
      </c>
      <c r="AB305" s="1" t="s">
        <v>28</v>
      </c>
      <c r="AC305" s="1" t="s">
        <v>51</v>
      </c>
      <c r="AD305" s="1" t="s">
        <v>81</v>
      </c>
      <c r="AE305" s="1" t="s">
        <v>51</v>
      </c>
      <c r="AF305" s="1" t="s">
        <v>51</v>
      </c>
      <c r="AG305" s="1" t="s">
        <v>72</v>
      </c>
      <c r="AI305" s="2">
        <v>0.0</v>
      </c>
      <c r="AJ305" s="2">
        <v>0.0</v>
      </c>
      <c r="AK305" s="2">
        <v>0.0</v>
      </c>
      <c r="AL305" s="2">
        <v>1.0</v>
      </c>
      <c r="AM305" s="1" t="s">
        <v>72</v>
      </c>
      <c r="AP305" s="2">
        <v>4.90810533E8</v>
      </c>
      <c r="AQ305" s="1" t="s">
        <v>439</v>
      </c>
      <c r="AR305" s="2">
        <v>45810.39111111111</v>
      </c>
      <c r="AU305" s="1" t="s">
        <v>64</v>
      </c>
      <c r="AW305" s="1" t="s">
        <v>255</v>
      </c>
      <c r="AY305" s="2">
        <v>299.0</v>
      </c>
    </row>
    <row r="306">
      <c r="A306" s="1" t="s">
        <v>51</v>
      </c>
      <c r="C306" s="1" t="s">
        <v>170</v>
      </c>
      <c r="E306" s="1" t="s">
        <v>53</v>
      </c>
      <c r="F306" s="1" t="s">
        <v>54</v>
      </c>
      <c r="G306" s="2">
        <v>37.0</v>
      </c>
      <c r="H306" s="1" t="s">
        <v>55</v>
      </c>
      <c r="I306" s="1" t="s">
        <v>100</v>
      </c>
      <c r="J306" s="1" t="s">
        <v>68</v>
      </c>
      <c r="K306" s="1" t="s">
        <v>74</v>
      </c>
      <c r="M306" s="1" t="s">
        <v>58</v>
      </c>
      <c r="N306" s="1" t="s">
        <v>58</v>
      </c>
      <c r="O306" s="1" t="s">
        <v>58</v>
      </c>
      <c r="Q306" s="1" t="s">
        <v>58</v>
      </c>
      <c r="R306" s="1" t="s">
        <v>58</v>
      </c>
      <c r="S306" s="1" t="s">
        <v>58</v>
      </c>
      <c r="T306" s="1" t="s">
        <v>58</v>
      </c>
      <c r="U306" s="1" t="s">
        <v>58</v>
      </c>
      <c r="V306" s="1" t="s">
        <v>58</v>
      </c>
      <c r="W306" s="1" t="s">
        <v>69</v>
      </c>
      <c r="X306" s="1" t="s">
        <v>81</v>
      </c>
      <c r="Y306" s="1" t="s">
        <v>82</v>
      </c>
      <c r="Z306" s="1" t="s">
        <v>61</v>
      </c>
      <c r="AB306" s="1" t="s">
        <v>79</v>
      </c>
      <c r="AC306" s="1" t="s">
        <v>71</v>
      </c>
      <c r="AF306" s="1" t="s">
        <v>51</v>
      </c>
      <c r="AG306" s="1" t="s">
        <v>72</v>
      </c>
      <c r="AI306" s="2">
        <v>0.0</v>
      </c>
      <c r="AJ306" s="2">
        <v>0.0</v>
      </c>
      <c r="AK306" s="2">
        <v>0.0</v>
      </c>
      <c r="AL306" s="2">
        <v>1.0</v>
      </c>
      <c r="AM306" s="1" t="s">
        <v>72</v>
      </c>
      <c r="AP306" s="2">
        <v>4.9081434E8</v>
      </c>
      <c r="AQ306" s="1" t="s">
        <v>440</v>
      </c>
      <c r="AR306" s="2">
        <v>45810.39599537037</v>
      </c>
      <c r="AU306" s="1" t="s">
        <v>64</v>
      </c>
      <c r="AW306" s="1" t="s">
        <v>255</v>
      </c>
      <c r="AY306" s="2">
        <v>300.0</v>
      </c>
    </row>
    <row r="307">
      <c r="A307" s="1" t="s">
        <v>51</v>
      </c>
      <c r="C307" s="1" t="s">
        <v>131</v>
      </c>
      <c r="E307" s="1" t="s">
        <v>441</v>
      </c>
      <c r="G307" s="2">
        <v>19.0</v>
      </c>
      <c r="H307" s="1" t="s">
        <v>66</v>
      </c>
      <c r="J307" s="1" t="s">
        <v>56</v>
      </c>
      <c r="K307" s="1" t="s">
        <v>57</v>
      </c>
      <c r="M307" s="1" t="s">
        <v>58</v>
      </c>
      <c r="N307" s="1" t="s">
        <v>58</v>
      </c>
      <c r="O307" s="1" t="s">
        <v>58</v>
      </c>
      <c r="Q307" s="1" t="s">
        <v>58</v>
      </c>
      <c r="R307" s="1" t="s">
        <v>58</v>
      </c>
      <c r="S307" s="1" t="s">
        <v>69</v>
      </c>
      <c r="T307" s="1" t="s">
        <v>69</v>
      </c>
      <c r="U307" s="1" t="s">
        <v>58</v>
      </c>
      <c r="V307" s="1" t="s">
        <v>69</v>
      </c>
      <c r="W307" s="1" t="s">
        <v>69</v>
      </c>
      <c r="X307" s="1" t="s">
        <v>81</v>
      </c>
      <c r="Y307" s="1" t="s">
        <v>60</v>
      </c>
      <c r="Z307" s="1" t="s">
        <v>61</v>
      </c>
      <c r="AA307" s="2">
        <v>20.0</v>
      </c>
      <c r="AB307" s="1" t="s">
        <v>28</v>
      </c>
      <c r="AC307" s="1" t="s">
        <v>71</v>
      </c>
      <c r="AF307" s="1" t="s">
        <v>51</v>
      </c>
      <c r="AG307" s="1" t="s">
        <v>72</v>
      </c>
      <c r="AI307" s="2">
        <v>0.0</v>
      </c>
      <c r="AJ307" s="2">
        <v>0.0</v>
      </c>
      <c r="AK307" s="2">
        <v>0.0</v>
      </c>
      <c r="AL307" s="2">
        <v>1.0</v>
      </c>
      <c r="AP307" s="2">
        <v>4.90817146E8</v>
      </c>
      <c r="AQ307" s="1" t="s">
        <v>442</v>
      </c>
      <c r="AR307" s="2">
        <v>45810.39975694445</v>
      </c>
      <c r="AU307" s="1" t="s">
        <v>64</v>
      </c>
      <c r="AW307" s="1" t="s">
        <v>255</v>
      </c>
      <c r="AY307" s="2">
        <v>301.0</v>
      </c>
    </row>
    <row r="308">
      <c r="A308" s="1" t="s">
        <v>51</v>
      </c>
      <c r="C308" s="1" t="s">
        <v>131</v>
      </c>
      <c r="E308" s="1" t="s">
        <v>53</v>
      </c>
      <c r="F308" s="1" t="s">
        <v>54</v>
      </c>
      <c r="G308" s="2">
        <v>42.0</v>
      </c>
      <c r="H308" s="1" t="s">
        <v>66</v>
      </c>
      <c r="I308" s="1" t="s">
        <v>67</v>
      </c>
      <c r="J308" s="1" t="s">
        <v>68</v>
      </c>
      <c r="K308" s="1" t="s">
        <v>78</v>
      </c>
      <c r="M308" s="1" t="s">
        <v>58</v>
      </c>
      <c r="N308" s="1" t="s">
        <v>58</v>
      </c>
      <c r="O308" s="1" t="s">
        <v>58</v>
      </c>
      <c r="Q308" s="1" t="s">
        <v>58</v>
      </c>
      <c r="R308" s="1" t="s">
        <v>58</v>
      </c>
      <c r="S308" s="1" t="s">
        <v>69</v>
      </c>
      <c r="T308" s="1" t="s">
        <v>69</v>
      </c>
      <c r="U308" s="1" t="s">
        <v>69</v>
      </c>
      <c r="V308" s="1" t="s">
        <v>58</v>
      </c>
      <c r="W308" s="1" t="s">
        <v>58</v>
      </c>
      <c r="X308" s="1" t="s">
        <v>81</v>
      </c>
      <c r="Y308" s="1" t="s">
        <v>60</v>
      </c>
      <c r="Z308" s="1" t="s">
        <v>61</v>
      </c>
      <c r="AA308" s="2">
        <v>30.0</v>
      </c>
      <c r="AB308" s="1" t="s">
        <v>28</v>
      </c>
      <c r="AC308" s="1" t="s">
        <v>51</v>
      </c>
      <c r="AD308" s="1" t="s">
        <v>81</v>
      </c>
      <c r="AE308" s="1" t="s">
        <v>51</v>
      </c>
      <c r="AF308" s="1" t="s">
        <v>51</v>
      </c>
      <c r="AG308" s="1" t="s">
        <v>72</v>
      </c>
      <c r="AI308" s="2">
        <v>0.0</v>
      </c>
      <c r="AJ308" s="2">
        <v>0.0</v>
      </c>
      <c r="AK308" s="2">
        <v>0.0</v>
      </c>
      <c r="AL308" s="2">
        <v>1.0</v>
      </c>
      <c r="AM308" s="1" t="s">
        <v>72</v>
      </c>
      <c r="AP308" s="2">
        <v>4.90820555E8</v>
      </c>
      <c r="AQ308" s="1" t="s">
        <v>443</v>
      </c>
      <c r="AR308" s="2">
        <v>45810.403391203705</v>
      </c>
      <c r="AU308" s="1" t="s">
        <v>64</v>
      </c>
      <c r="AW308" s="1" t="s">
        <v>255</v>
      </c>
      <c r="AY308" s="2">
        <v>302.0</v>
      </c>
    </row>
    <row r="309">
      <c r="A309" s="1" t="s">
        <v>51</v>
      </c>
      <c r="C309" s="1" t="s">
        <v>131</v>
      </c>
      <c r="E309" s="1" t="s">
        <v>131</v>
      </c>
      <c r="G309" s="2">
        <v>50.0</v>
      </c>
      <c r="H309" s="1" t="s">
        <v>55</v>
      </c>
      <c r="J309" s="1" t="s">
        <v>68</v>
      </c>
      <c r="K309" s="1" t="s">
        <v>78</v>
      </c>
      <c r="M309" s="1" t="s">
        <v>58</v>
      </c>
      <c r="N309" s="1" t="s">
        <v>58</v>
      </c>
      <c r="O309" s="1" t="s">
        <v>58</v>
      </c>
      <c r="Q309" s="1" t="s">
        <v>58</v>
      </c>
      <c r="R309" s="1" t="s">
        <v>69</v>
      </c>
      <c r="S309" s="1" t="s">
        <v>69</v>
      </c>
      <c r="T309" s="1" t="s">
        <v>58</v>
      </c>
      <c r="U309" s="1" t="s">
        <v>58</v>
      </c>
      <c r="V309" s="1" t="s">
        <v>69</v>
      </c>
      <c r="W309" s="1" t="s">
        <v>58</v>
      </c>
      <c r="X309" s="1" t="s">
        <v>81</v>
      </c>
      <c r="Y309" s="1" t="s">
        <v>82</v>
      </c>
      <c r="Z309" s="1" t="s">
        <v>89</v>
      </c>
      <c r="AA309" s="2">
        <v>30.0</v>
      </c>
      <c r="AB309" s="1" t="s">
        <v>28</v>
      </c>
      <c r="AC309" s="1" t="s">
        <v>51</v>
      </c>
      <c r="AD309" s="1" t="s">
        <v>81</v>
      </c>
      <c r="AE309" s="1" t="s">
        <v>51</v>
      </c>
      <c r="AF309" s="1" t="s">
        <v>51</v>
      </c>
      <c r="AI309" s="2">
        <v>0.0</v>
      </c>
      <c r="AJ309" s="2">
        <v>0.0</v>
      </c>
      <c r="AK309" s="2">
        <v>0.0</v>
      </c>
      <c r="AL309" s="2">
        <v>1.0</v>
      </c>
      <c r="AP309" s="2">
        <v>4.90822988E8</v>
      </c>
      <c r="AQ309" s="1" t="s">
        <v>444</v>
      </c>
      <c r="AR309" s="2">
        <v>45810.40594907408</v>
      </c>
      <c r="AU309" s="1" t="s">
        <v>64</v>
      </c>
      <c r="AW309" s="1" t="s">
        <v>255</v>
      </c>
      <c r="AY309" s="2">
        <v>303.0</v>
      </c>
    </row>
    <row r="310">
      <c r="A310" s="1" t="s">
        <v>51</v>
      </c>
      <c r="C310" s="1" t="s">
        <v>52</v>
      </c>
      <c r="E310" s="1" t="s">
        <v>53</v>
      </c>
      <c r="F310" s="1" t="s">
        <v>54</v>
      </c>
      <c r="G310" s="2">
        <v>43.0</v>
      </c>
      <c r="H310" s="1" t="s">
        <v>55</v>
      </c>
      <c r="I310" s="1" t="s">
        <v>100</v>
      </c>
      <c r="J310" s="1" t="s">
        <v>68</v>
      </c>
      <c r="K310" s="1" t="s">
        <v>92</v>
      </c>
      <c r="M310" s="1" t="s">
        <v>58</v>
      </c>
      <c r="N310" s="1" t="s">
        <v>58</v>
      </c>
      <c r="O310" s="1" t="s">
        <v>58</v>
      </c>
      <c r="Q310" s="1" t="s">
        <v>58</v>
      </c>
      <c r="R310" s="1" t="s">
        <v>58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81</v>
      </c>
      <c r="Z310" s="1" t="s">
        <v>61</v>
      </c>
      <c r="AA310" s="2">
        <v>50.0</v>
      </c>
      <c r="AB310" s="1" t="s">
        <v>28</v>
      </c>
      <c r="AC310" s="1" t="s">
        <v>51</v>
      </c>
      <c r="AD310" s="1" t="s">
        <v>81</v>
      </c>
      <c r="AE310" s="1" t="s">
        <v>51</v>
      </c>
      <c r="AF310" s="1" t="s">
        <v>51</v>
      </c>
      <c r="AG310" s="1" t="s">
        <v>72</v>
      </c>
      <c r="AI310" s="2">
        <v>0.0</v>
      </c>
      <c r="AJ310" s="2">
        <v>0.0</v>
      </c>
      <c r="AK310" s="2">
        <v>0.0</v>
      </c>
      <c r="AL310" s="2">
        <v>1.0</v>
      </c>
      <c r="AM310" s="1" t="s">
        <v>72</v>
      </c>
      <c r="AP310" s="2">
        <v>4.9082519E8</v>
      </c>
      <c r="AQ310" s="1" t="s">
        <v>445</v>
      </c>
      <c r="AR310" s="2">
        <v>45810.40837962963</v>
      </c>
      <c r="AU310" s="1" t="s">
        <v>64</v>
      </c>
      <c r="AW310" s="1" t="s">
        <v>255</v>
      </c>
      <c r="AY310" s="2">
        <v>304.0</v>
      </c>
    </row>
    <row r="311">
      <c r="A311" s="1" t="s">
        <v>51</v>
      </c>
      <c r="C311" s="1" t="s">
        <v>170</v>
      </c>
      <c r="E311" s="1" t="s">
        <v>170</v>
      </c>
      <c r="G311" s="2">
        <v>27.0</v>
      </c>
      <c r="H311" s="1" t="s">
        <v>66</v>
      </c>
      <c r="J311" s="1" t="s">
        <v>68</v>
      </c>
      <c r="K311" s="1" t="s">
        <v>74</v>
      </c>
      <c r="M311" s="1" t="s">
        <v>58</v>
      </c>
      <c r="N311" s="1" t="s">
        <v>58</v>
      </c>
      <c r="O311" s="1" t="s">
        <v>58</v>
      </c>
      <c r="Q311" s="1" t="s">
        <v>58</v>
      </c>
      <c r="R311" s="1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  <c r="W311" s="1" t="s">
        <v>58</v>
      </c>
      <c r="X311" s="1" t="s">
        <v>81</v>
      </c>
      <c r="Y311" s="1" t="s">
        <v>82</v>
      </c>
      <c r="Z311" s="1" t="s">
        <v>89</v>
      </c>
      <c r="AA311" s="2">
        <v>30.0</v>
      </c>
      <c r="AB311" s="1" t="s">
        <v>79</v>
      </c>
      <c r="AC311" s="1" t="s">
        <v>51</v>
      </c>
      <c r="AD311" s="1" t="s">
        <v>81</v>
      </c>
      <c r="AE311" s="1" t="s">
        <v>51</v>
      </c>
      <c r="AF311" s="1" t="s">
        <v>51</v>
      </c>
      <c r="AG311" s="1" t="s">
        <v>72</v>
      </c>
      <c r="AI311" s="2">
        <v>0.0</v>
      </c>
      <c r="AJ311" s="2">
        <v>0.0</v>
      </c>
      <c r="AK311" s="2">
        <v>0.0</v>
      </c>
      <c r="AL311" s="2">
        <v>1.0</v>
      </c>
      <c r="AP311" s="2">
        <v>4.90827975E8</v>
      </c>
      <c r="AQ311" s="1" t="s">
        <v>446</v>
      </c>
      <c r="AR311" s="2">
        <v>45810.41122685185</v>
      </c>
      <c r="AU311" s="1" t="s">
        <v>64</v>
      </c>
      <c r="AW311" s="1" t="s">
        <v>255</v>
      </c>
      <c r="AY311" s="2">
        <v>305.0</v>
      </c>
    </row>
    <row r="312">
      <c r="A312" s="1" t="s">
        <v>51</v>
      </c>
      <c r="C312" s="1" t="s">
        <v>170</v>
      </c>
      <c r="E312" s="1" t="s">
        <v>53</v>
      </c>
      <c r="F312" s="1" t="s">
        <v>54</v>
      </c>
      <c r="G312" s="2">
        <v>35.0</v>
      </c>
      <c r="H312" s="1" t="s">
        <v>55</v>
      </c>
      <c r="I312" s="1" t="s">
        <v>419</v>
      </c>
      <c r="J312" s="1" t="s">
        <v>68</v>
      </c>
      <c r="K312" s="1" t="s">
        <v>78</v>
      </c>
      <c r="M312" s="1" t="s">
        <v>58</v>
      </c>
      <c r="N312" s="1" t="s">
        <v>58</v>
      </c>
      <c r="O312" s="1" t="s">
        <v>58</v>
      </c>
      <c r="Q312" s="1" t="s">
        <v>58</v>
      </c>
      <c r="R312" s="1" t="s">
        <v>58</v>
      </c>
      <c r="S312" s="1" t="s">
        <v>58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81</v>
      </c>
      <c r="Y312" s="1" t="s">
        <v>82</v>
      </c>
      <c r="Z312" s="1" t="s">
        <v>89</v>
      </c>
      <c r="AA312" s="2">
        <v>20.0</v>
      </c>
      <c r="AB312" s="1" t="s">
        <v>28</v>
      </c>
      <c r="AC312" s="1" t="s">
        <v>71</v>
      </c>
      <c r="AF312" s="1" t="s">
        <v>51</v>
      </c>
      <c r="AG312" s="1" t="s">
        <v>72</v>
      </c>
      <c r="AI312" s="2">
        <v>0.0</v>
      </c>
      <c r="AJ312" s="2">
        <v>0.0</v>
      </c>
      <c r="AK312" s="2">
        <v>0.0</v>
      </c>
      <c r="AL312" s="2">
        <v>1.0</v>
      </c>
      <c r="AM312" s="1" t="s">
        <v>72</v>
      </c>
      <c r="AP312" s="2">
        <v>4.90830437E8</v>
      </c>
      <c r="AQ312" s="1" t="s">
        <v>447</v>
      </c>
      <c r="AR312" s="2">
        <v>45810.413819444446</v>
      </c>
      <c r="AU312" s="1" t="s">
        <v>64</v>
      </c>
      <c r="AW312" s="1" t="s">
        <v>255</v>
      </c>
      <c r="AY312" s="2">
        <v>306.0</v>
      </c>
    </row>
    <row r="313">
      <c r="A313" s="1" t="s">
        <v>51</v>
      </c>
      <c r="C313" s="1" t="s">
        <v>170</v>
      </c>
      <c r="E313" s="1" t="s">
        <v>53</v>
      </c>
      <c r="F313" s="1" t="s">
        <v>54</v>
      </c>
      <c r="G313" s="2">
        <v>42.0</v>
      </c>
      <c r="H313" s="1" t="s">
        <v>55</v>
      </c>
      <c r="I313" s="1" t="s">
        <v>67</v>
      </c>
      <c r="J313" s="1" t="s">
        <v>68</v>
      </c>
      <c r="K313" s="1" t="s">
        <v>57</v>
      </c>
      <c r="M313" s="1" t="s">
        <v>58</v>
      </c>
      <c r="N313" s="1" t="s">
        <v>58</v>
      </c>
      <c r="O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69</v>
      </c>
      <c r="X313" s="1" t="s">
        <v>81</v>
      </c>
      <c r="Y313" s="1" t="s">
        <v>82</v>
      </c>
      <c r="Z313" s="1" t="s">
        <v>61</v>
      </c>
      <c r="AA313" s="2">
        <v>10.0</v>
      </c>
      <c r="AB313" s="1" t="s">
        <v>79</v>
      </c>
      <c r="AC313" s="1" t="s">
        <v>51</v>
      </c>
      <c r="AD313" s="1" t="s">
        <v>81</v>
      </c>
      <c r="AE313" s="1" t="s">
        <v>51</v>
      </c>
      <c r="AF313" s="1" t="s">
        <v>51</v>
      </c>
      <c r="AG313" s="1" t="s">
        <v>72</v>
      </c>
      <c r="AI313" s="2">
        <v>0.0</v>
      </c>
      <c r="AJ313" s="2">
        <v>0.0</v>
      </c>
      <c r="AK313" s="2">
        <v>0.0</v>
      </c>
      <c r="AL313" s="2">
        <v>1.0</v>
      </c>
      <c r="AP313" s="2">
        <v>4.90833006E8</v>
      </c>
      <c r="AQ313" s="1" t="s">
        <v>448</v>
      </c>
      <c r="AR313" s="2">
        <v>45810.41619212963</v>
      </c>
      <c r="AU313" s="1" t="s">
        <v>64</v>
      </c>
      <c r="AW313" s="1" t="s">
        <v>255</v>
      </c>
      <c r="AY313" s="2">
        <v>307.0</v>
      </c>
    </row>
    <row r="314">
      <c r="A314" s="1" t="s">
        <v>51</v>
      </c>
      <c r="C314" s="1" t="s">
        <v>52</v>
      </c>
      <c r="E314" s="1" t="s">
        <v>53</v>
      </c>
      <c r="F314" s="1" t="s">
        <v>54</v>
      </c>
      <c r="G314" s="2">
        <v>47.0</v>
      </c>
      <c r="H314" s="1" t="s">
        <v>66</v>
      </c>
      <c r="I314" s="1" t="s">
        <v>67</v>
      </c>
      <c r="J314" s="1" t="s">
        <v>56</v>
      </c>
      <c r="K314" s="1" t="s">
        <v>78</v>
      </c>
      <c r="M314" s="1" t="s">
        <v>58</v>
      </c>
      <c r="N314" s="1" t="s">
        <v>58</v>
      </c>
      <c r="O314" s="1" t="s">
        <v>58</v>
      </c>
      <c r="Q314" s="1" t="s">
        <v>58</v>
      </c>
      <c r="R314" s="1" t="s">
        <v>69</v>
      </c>
      <c r="S314" s="1" t="s">
        <v>69</v>
      </c>
      <c r="T314" s="1" t="s">
        <v>58</v>
      </c>
      <c r="U314" s="1" t="s">
        <v>58</v>
      </c>
      <c r="V314" s="1" t="s">
        <v>69</v>
      </c>
      <c r="W314" s="1" t="s">
        <v>69</v>
      </c>
      <c r="X314" s="1" t="s">
        <v>81</v>
      </c>
      <c r="Y314" s="1" t="s">
        <v>82</v>
      </c>
      <c r="Z314" s="1" t="s">
        <v>89</v>
      </c>
      <c r="AA314" s="2">
        <v>20.0</v>
      </c>
      <c r="AB314" s="1" t="s">
        <v>28</v>
      </c>
      <c r="AC314" s="1" t="s">
        <v>71</v>
      </c>
      <c r="AF314" s="1" t="s">
        <v>51</v>
      </c>
      <c r="AG314" s="1" t="s">
        <v>72</v>
      </c>
      <c r="AI314" s="2">
        <v>0.0</v>
      </c>
      <c r="AJ314" s="2">
        <v>0.0</v>
      </c>
      <c r="AK314" s="2">
        <v>0.0</v>
      </c>
      <c r="AL314" s="2">
        <v>1.0</v>
      </c>
      <c r="AM314" s="1" t="s">
        <v>72</v>
      </c>
      <c r="AP314" s="2">
        <v>4.90835855E8</v>
      </c>
      <c r="AQ314" s="1" t="s">
        <v>449</v>
      </c>
      <c r="AR314" s="2">
        <v>45810.41915509259</v>
      </c>
      <c r="AU314" s="1" t="s">
        <v>64</v>
      </c>
      <c r="AW314" s="1" t="s">
        <v>255</v>
      </c>
      <c r="AY314" s="2">
        <v>308.0</v>
      </c>
    </row>
    <row r="315">
      <c r="A315" s="1" t="s">
        <v>51</v>
      </c>
      <c r="C315" s="1" t="s">
        <v>52</v>
      </c>
      <c r="E315" s="1" t="s">
        <v>53</v>
      </c>
      <c r="F315" s="1" t="s">
        <v>54</v>
      </c>
      <c r="G315" s="2">
        <v>33.0</v>
      </c>
      <c r="H315" s="1" t="s">
        <v>66</v>
      </c>
      <c r="I315" s="1" t="s">
        <v>76</v>
      </c>
      <c r="J315" s="1" t="s">
        <v>56</v>
      </c>
      <c r="K315" s="1" t="s">
        <v>74</v>
      </c>
      <c r="M315" s="1" t="s">
        <v>58</v>
      </c>
      <c r="N315" s="1" t="s">
        <v>58</v>
      </c>
      <c r="O315" s="1" t="s">
        <v>58</v>
      </c>
      <c r="Q315" s="1" t="s">
        <v>58</v>
      </c>
      <c r="R315" s="1" t="s">
        <v>58</v>
      </c>
      <c r="S315" s="1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81</v>
      </c>
      <c r="Y315" s="1" t="s">
        <v>82</v>
      </c>
      <c r="Z315" s="1" t="s">
        <v>61</v>
      </c>
      <c r="AA315" s="2">
        <v>20.0</v>
      </c>
      <c r="AB315" s="1" t="s">
        <v>28</v>
      </c>
      <c r="AC315" s="1" t="s">
        <v>71</v>
      </c>
      <c r="AF315" s="1" t="s">
        <v>51</v>
      </c>
      <c r="AG315" s="1" t="s">
        <v>51</v>
      </c>
      <c r="AH315" s="2">
        <v>10.0</v>
      </c>
      <c r="AI315" s="2">
        <v>0.0</v>
      </c>
      <c r="AJ315" s="2">
        <v>0.0</v>
      </c>
      <c r="AK315" s="2">
        <v>0.0</v>
      </c>
      <c r="AL315" s="2">
        <v>1.0</v>
      </c>
      <c r="AM315" s="1" t="s">
        <v>51</v>
      </c>
      <c r="AN315" s="2">
        <v>6.43962307E8</v>
      </c>
      <c r="AP315" s="2">
        <v>4.90838553E8</v>
      </c>
      <c r="AQ315" s="1" t="s">
        <v>450</v>
      </c>
      <c r="AR315" s="2">
        <v>45810.42173611111</v>
      </c>
      <c r="AU315" s="1" t="s">
        <v>64</v>
      </c>
      <c r="AW315" s="1" t="s">
        <v>255</v>
      </c>
      <c r="AY315" s="2">
        <v>309.0</v>
      </c>
    </row>
    <row r="316">
      <c r="A316" s="1" t="s">
        <v>51</v>
      </c>
      <c r="C316" s="1" t="s">
        <v>52</v>
      </c>
      <c r="E316" s="1" t="s">
        <v>53</v>
      </c>
      <c r="F316" s="1" t="s">
        <v>54</v>
      </c>
      <c r="G316" s="2">
        <v>23.0</v>
      </c>
      <c r="H316" s="1" t="s">
        <v>66</v>
      </c>
      <c r="I316" s="1" t="s">
        <v>67</v>
      </c>
      <c r="J316" s="1" t="s">
        <v>56</v>
      </c>
      <c r="K316" s="1" t="s">
        <v>92</v>
      </c>
      <c r="M316" s="1" t="s">
        <v>58</v>
      </c>
      <c r="N316" s="1" t="s">
        <v>58</v>
      </c>
      <c r="O316" s="1" t="s">
        <v>58</v>
      </c>
      <c r="Q316" s="1" t="s">
        <v>58</v>
      </c>
      <c r="R316" s="1" t="s">
        <v>58</v>
      </c>
      <c r="S316" s="1" t="s">
        <v>58</v>
      </c>
      <c r="U316" s="1" t="s">
        <v>58</v>
      </c>
      <c r="V316" s="1" t="s">
        <v>58</v>
      </c>
      <c r="W316" s="1" t="s">
        <v>58</v>
      </c>
      <c r="X316" s="1" t="s">
        <v>81</v>
      </c>
      <c r="Y316" s="1" t="s">
        <v>82</v>
      </c>
      <c r="Z316" s="1" t="s">
        <v>61</v>
      </c>
      <c r="AA316" s="2">
        <v>30.0</v>
      </c>
      <c r="AC316" s="1" t="s">
        <v>51</v>
      </c>
      <c r="AD316" s="1" t="s">
        <v>81</v>
      </c>
      <c r="AE316" s="1" t="s">
        <v>51</v>
      </c>
      <c r="AF316" s="1" t="s">
        <v>51</v>
      </c>
      <c r="AG316" s="1" t="s">
        <v>72</v>
      </c>
      <c r="AI316" s="2">
        <v>0.0</v>
      </c>
      <c r="AJ316" s="2">
        <v>0.0</v>
      </c>
      <c r="AK316" s="2">
        <v>0.0</v>
      </c>
      <c r="AL316" s="2">
        <v>1.0</v>
      </c>
      <c r="AM316" s="1" t="s">
        <v>72</v>
      </c>
      <c r="AP316" s="2">
        <v>4.90840812E8</v>
      </c>
      <c r="AQ316" s="1" t="s">
        <v>451</v>
      </c>
      <c r="AR316" s="2">
        <v>45810.423796296294</v>
      </c>
      <c r="AU316" s="1" t="s">
        <v>64</v>
      </c>
      <c r="AW316" s="1" t="s">
        <v>255</v>
      </c>
      <c r="AY316" s="2">
        <v>310.0</v>
      </c>
    </row>
    <row r="317">
      <c r="A317" s="1" t="s">
        <v>51</v>
      </c>
      <c r="C317" s="1" t="s">
        <v>170</v>
      </c>
      <c r="E317" s="1" t="s">
        <v>53</v>
      </c>
      <c r="F317" s="1" t="s">
        <v>54</v>
      </c>
      <c r="G317" s="2">
        <v>26.0</v>
      </c>
      <c r="H317" s="1" t="s">
        <v>66</v>
      </c>
      <c r="I317" s="1" t="s">
        <v>419</v>
      </c>
      <c r="J317" s="1" t="s">
        <v>68</v>
      </c>
      <c r="K317" s="1" t="s">
        <v>57</v>
      </c>
      <c r="M317" s="1" t="s">
        <v>58</v>
      </c>
      <c r="N317" s="1" t="s">
        <v>58</v>
      </c>
      <c r="O317" s="1" t="s">
        <v>58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81</v>
      </c>
      <c r="Y317" s="1" t="s">
        <v>60</v>
      </c>
      <c r="Z317" s="1" t="s">
        <v>61</v>
      </c>
      <c r="AA317" s="2">
        <v>10.0</v>
      </c>
      <c r="AB317" s="1" t="s">
        <v>28</v>
      </c>
      <c r="AC317" s="1" t="s">
        <v>71</v>
      </c>
      <c r="AF317" s="1" t="s">
        <v>51</v>
      </c>
      <c r="AG317" s="1" t="s">
        <v>72</v>
      </c>
      <c r="AI317" s="2">
        <v>0.0</v>
      </c>
      <c r="AJ317" s="2">
        <v>0.0</v>
      </c>
      <c r="AK317" s="2">
        <v>0.0</v>
      </c>
      <c r="AL317" s="2">
        <v>1.0</v>
      </c>
      <c r="AM317" s="1" t="s">
        <v>72</v>
      </c>
      <c r="AP317" s="2">
        <v>4.9084287E8</v>
      </c>
      <c r="AQ317" s="1" t="s">
        <v>452</v>
      </c>
      <c r="AR317" s="2">
        <v>45810.42579861111</v>
      </c>
      <c r="AU317" s="1" t="s">
        <v>64</v>
      </c>
      <c r="AW317" s="1" t="s">
        <v>255</v>
      </c>
      <c r="AY317" s="2">
        <v>311.0</v>
      </c>
    </row>
    <row r="318">
      <c r="A318" s="1" t="s">
        <v>51</v>
      </c>
      <c r="C318" s="1" t="s">
        <v>52</v>
      </c>
      <c r="E318" s="1" t="s">
        <v>53</v>
      </c>
      <c r="F318" s="1" t="s">
        <v>54</v>
      </c>
      <c r="G318" s="2">
        <v>26.0</v>
      </c>
      <c r="H318" s="1" t="s">
        <v>66</v>
      </c>
      <c r="I318" s="1" t="s">
        <v>76</v>
      </c>
      <c r="J318" s="1" t="s">
        <v>56</v>
      </c>
      <c r="K318" s="1" t="s">
        <v>78</v>
      </c>
      <c r="M318" s="1" t="s">
        <v>58</v>
      </c>
      <c r="N318" s="1" t="s">
        <v>58</v>
      </c>
      <c r="O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81</v>
      </c>
      <c r="Y318" s="1" t="s">
        <v>82</v>
      </c>
      <c r="Z318" s="1" t="s">
        <v>89</v>
      </c>
      <c r="AA318" s="2">
        <v>40.0</v>
      </c>
      <c r="AB318" s="1" t="s">
        <v>62</v>
      </c>
      <c r="AC318" s="1" t="s">
        <v>51</v>
      </c>
      <c r="AD318" s="1" t="s">
        <v>81</v>
      </c>
      <c r="AE318" s="1" t="s">
        <v>51</v>
      </c>
      <c r="AF318" s="1" t="s">
        <v>51</v>
      </c>
      <c r="AG318" s="1" t="s">
        <v>51</v>
      </c>
      <c r="AI318" s="2">
        <v>1.0</v>
      </c>
      <c r="AJ318" s="2">
        <v>0.0</v>
      </c>
      <c r="AK318" s="2">
        <v>0.0</v>
      </c>
      <c r="AL318" s="2">
        <v>0.0</v>
      </c>
      <c r="AM318" s="1" t="s">
        <v>51</v>
      </c>
      <c r="AP318" s="2">
        <v>4.90846701E8</v>
      </c>
      <c r="AQ318" s="1" t="s">
        <v>453</v>
      </c>
      <c r="AR318" s="2">
        <v>45810.42947916667</v>
      </c>
      <c r="AU318" s="1" t="s">
        <v>64</v>
      </c>
      <c r="AW318" s="1" t="s">
        <v>255</v>
      </c>
      <c r="AY318" s="2">
        <v>312.0</v>
      </c>
    </row>
    <row r="319">
      <c r="A319" s="1" t="s">
        <v>51</v>
      </c>
      <c r="C319" s="1" t="s">
        <v>52</v>
      </c>
      <c r="E319" s="1" t="s">
        <v>53</v>
      </c>
      <c r="F319" s="1" t="s">
        <v>54</v>
      </c>
      <c r="G319" s="2">
        <v>23.0</v>
      </c>
      <c r="H319" s="1" t="s">
        <v>55</v>
      </c>
      <c r="I319" s="1" t="s">
        <v>76</v>
      </c>
      <c r="J319" s="1" t="s">
        <v>68</v>
      </c>
      <c r="K319" s="1" t="s">
        <v>57</v>
      </c>
      <c r="M319" s="1" t="s">
        <v>58</v>
      </c>
      <c r="N319" s="1" t="s">
        <v>58</v>
      </c>
      <c r="O319" s="1" t="s">
        <v>58</v>
      </c>
      <c r="Q319" s="1" t="s">
        <v>58</v>
      </c>
      <c r="R319" s="1" t="s">
        <v>58</v>
      </c>
      <c r="S319" s="1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81</v>
      </c>
      <c r="Y319" s="1" t="s">
        <v>82</v>
      </c>
      <c r="Z319" s="1" t="s">
        <v>89</v>
      </c>
      <c r="AA319" s="2">
        <v>50.0</v>
      </c>
      <c r="AB319" s="1" t="s">
        <v>62</v>
      </c>
      <c r="AC319" s="1" t="s">
        <v>51</v>
      </c>
      <c r="AD319" s="1" t="s">
        <v>81</v>
      </c>
      <c r="AE319" s="1" t="s">
        <v>51</v>
      </c>
      <c r="AF319" s="1" t="s">
        <v>51</v>
      </c>
      <c r="AG319" s="1" t="s">
        <v>51</v>
      </c>
      <c r="AI319" s="2">
        <v>1.0</v>
      </c>
      <c r="AJ319" s="2">
        <v>0.0</v>
      </c>
      <c r="AK319" s="2">
        <v>0.0</v>
      </c>
      <c r="AL319" s="2">
        <v>0.0</v>
      </c>
      <c r="AM319" s="1" t="s">
        <v>51</v>
      </c>
      <c r="AP319" s="2">
        <v>4.90849509E8</v>
      </c>
      <c r="AQ319" s="1" t="s">
        <v>454</v>
      </c>
      <c r="AR319" s="2">
        <v>45810.43204861111</v>
      </c>
      <c r="AU319" s="1" t="s">
        <v>64</v>
      </c>
      <c r="AW319" s="1" t="s">
        <v>255</v>
      </c>
      <c r="AY319" s="2">
        <v>313.0</v>
      </c>
    </row>
    <row r="320">
      <c r="A320" s="1" t="s">
        <v>51</v>
      </c>
      <c r="C320" s="1" t="s">
        <v>52</v>
      </c>
      <c r="E320" s="1" t="s">
        <v>53</v>
      </c>
      <c r="F320" s="1" t="s">
        <v>54</v>
      </c>
      <c r="G320" s="2">
        <v>30.0</v>
      </c>
      <c r="H320" s="1" t="s">
        <v>66</v>
      </c>
      <c r="I320" s="1" t="s">
        <v>67</v>
      </c>
      <c r="J320" s="1" t="s">
        <v>68</v>
      </c>
      <c r="K320" s="1" t="s">
        <v>78</v>
      </c>
      <c r="M320" s="1" t="s">
        <v>58</v>
      </c>
      <c r="N320" s="1" t="s">
        <v>58</v>
      </c>
      <c r="O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81</v>
      </c>
      <c r="Y320" s="1" t="s">
        <v>82</v>
      </c>
      <c r="Z320" s="1" t="s">
        <v>89</v>
      </c>
      <c r="AA320" s="2">
        <v>30.0</v>
      </c>
      <c r="AB320" s="1" t="s">
        <v>79</v>
      </c>
      <c r="AC320" s="1" t="s">
        <v>51</v>
      </c>
      <c r="AE320" s="1" t="s">
        <v>51</v>
      </c>
      <c r="AF320" s="1" t="s">
        <v>51</v>
      </c>
      <c r="AG320" s="1" t="s">
        <v>51</v>
      </c>
      <c r="AI320" s="2">
        <v>1.0</v>
      </c>
      <c r="AJ320" s="2">
        <v>0.0</v>
      </c>
      <c r="AK320" s="2">
        <v>0.0</v>
      </c>
      <c r="AL320" s="2">
        <v>0.0</v>
      </c>
      <c r="AM320" s="1" t="s">
        <v>51</v>
      </c>
      <c r="AP320" s="2">
        <v>4.90851429E8</v>
      </c>
      <c r="AQ320" s="1" t="s">
        <v>455</v>
      </c>
      <c r="AR320" s="2">
        <v>45810.433657407404</v>
      </c>
      <c r="AU320" s="1" t="s">
        <v>64</v>
      </c>
      <c r="AW320" s="1" t="s">
        <v>255</v>
      </c>
      <c r="AY320" s="2">
        <v>314.0</v>
      </c>
    </row>
    <row r="321">
      <c r="A321" s="1" t="s">
        <v>51</v>
      </c>
      <c r="C321" s="1" t="s">
        <v>170</v>
      </c>
      <c r="E321" s="1" t="s">
        <v>53</v>
      </c>
      <c r="F321" s="1" t="s">
        <v>54</v>
      </c>
      <c r="G321" s="2">
        <v>22.0</v>
      </c>
      <c r="H321" s="1" t="s">
        <v>66</v>
      </c>
      <c r="I321" s="1" t="s">
        <v>100</v>
      </c>
      <c r="J321" s="1" t="s">
        <v>68</v>
      </c>
      <c r="K321" s="1" t="s">
        <v>78</v>
      </c>
      <c r="M321" s="1" t="s">
        <v>58</v>
      </c>
      <c r="N321" s="1" t="s">
        <v>58</v>
      </c>
      <c r="O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81</v>
      </c>
      <c r="Y321" s="1" t="s">
        <v>82</v>
      </c>
      <c r="Z321" s="1" t="s">
        <v>89</v>
      </c>
      <c r="AA321" s="2">
        <v>20.0</v>
      </c>
      <c r="AB321" s="1" t="s">
        <v>79</v>
      </c>
      <c r="AC321" s="1" t="s">
        <v>51</v>
      </c>
      <c r="AD321" s="1" t="s">
        <v>81</v>
      </c>
      <c r="AE321" s="1" t="s">
        <v>51</v>
      </c>
      <c r="AF321" s="1" t="s">
        <v>51</v>
      </c>
      <c r="AG321" s="1" t="s">
        <v>51</v>
      </c>
      <c r="AI321" s="2">
        <v>1.0</v>
      </c>
      <c r="AJ321" s="2">
        <v>0.0</v>
      </c>
      <c r="AK321" s="2">
        <v>0.0</v>
      </c>
      <c r="AL321" s="2">
        <v>0.0</v>
      </c>
      <c r="AM321" s="1" t="s">
        <v>51</v>
      </c>
      <c r="AP321" s="2">
        <v>4.90854649E8</v>
      </c>
      <c r="AQ321" s="1" t="s">
        <v>456</v>
      </c>
      <c r="AR321" s="2">
        <v>45810.43644675926</v>
      </c>
      <c r="AU321" s="1" t="s">
        <v>64</v>
      </c>
      <c r="AW321" s="1" t="s">
        <v>255</v>
      </c>
      <c r="AY321" s="2">
        <v>315.0</v>
      </c>
    </row>
    <row r="322">
      <c r="A322" s="1" t="s">
        <v>51</v>
      </c>
      <c r="C322" s="1" t="s">
        <v>170</v>
      </c>
      <c r="E322" s="1" t="s">
        <v>53</v>
      </c>
      <c r="F322" s="1" t="s">
        <v>54</v>
      </c>
      <c r="G322" s="2">
        <v>24.0</v>
      </c>
      <c r="H322" s="1" t="s">
        <v>55</v>
      </c>
      <c r="I322" s="1" t="s">
        <v>100</v>
      </c>
      <c r="J322" s="1" t="s">
        <v>68</v>
      </c>
      <c r="K322" s="1" t="s">
        <v>78</v>
      </c>
      <c r="M322" s="1" t="s">
        <v>58</v>
      </c>
      <c r="N322" s="1" t="s">
        <v>58</v>
      </c>
      <c r="O322" s="1" t="s">
        <v>58</v>
      </c>
      <c r="Q322" s="1" t="s">
        <v>58</v>
      </c>
      <c r="R322" s="1" t="s">
        <v>58</v>
      </c>
      <c r="S322" s="1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81</v>
      </c>
      <c r="Y322" s="1" t="s">
        <v>82</v>
      </c>
      <c r="Z322" s="1" t="s">
        <v>89</v>
      </c>
      <c r="AA322" s="2">
        <v>10.0</v>
      </c>
      <c r="AB322" s="1" t="s">
        <v>79</v>
      </c>
      <c r="AC322" s="1" t="s">
        <v>51</v>
      </c>
      <c r="AD322" s="1" t="s">
        <v>81</v>
      </c>
      <c r="AE322" s="1" t="s">
        <v>51</v>
      </c>
      <c r="AF322" s="1" t="s">
        <v>51</v>
      </c>
      <c r="AG322" s="1" t="s">
        <v>51</v>
      </c>
      <c r="AI322" s="2">
        <v>1.0</v>
      </c>
      <c r="AJ322" s="2">
        <v>0.0</v>
      </c>
      <c r="AK322" s="2">
        <v>0.0</v>
      </c>
      <c r="AL322" s="2">
        <v>0.0</v>
      </c>
      <c r="AM322" s="1" t="s">
        <v>51</v>
      </c>
      <c r="AP322" s="2">
        <v>4.908566E8</v>
      </c>
      <c r="AQ322" s="1" t="s">
        <v>457</v>
      </c>
      <c r="AR322" s="2">
        <v>45810.43871527778</v>
      </c>
      <c r="AU322" s="1" t="s">
        <v>64</v>
      </c>
      <c r="AW322" s="1" t="s">
        <v>255</v>
      </c>
      <c r="AY322" s="2">
        <v>316.0</v>
      </c>
    </row>
    <row r="323">
      <c r="A323" s="1" t="s">
        <v>51</v>
      </c>
      <c r="C323" s="1" t="s">
        <v>52</v>
      </c>
      <c r="E323" s="1" t="s">
        <v>53</v>
      </c>
      <c r="F323" s="1" t="s">
        <v>54</v>
      </c>
      <c r="G323" s="2">
        <v>37.0</v>
      </c>
      <c r="H323" s="1" t="s">
        <v>55</v>
      </c>
      <c r="I323" s="1" t="s">
        <v>100</v>
      </c>
      <c r="J323" s="1" t="s">
        <v>68</v>
      </c>
      <c r="K323" s="1" t="s">
        <v>74</v>
      </c>
      <c r="M323" s="1" t="s">
        <v>58</v>
      </c>
      <c r="N323" s="1" t="s">
        <v>58</v>
      </c>
      <c r="O323" s="1" t="s">
        <v>58</v>
      </c>
      <c r="Q323" s="1" t="s">
        <v>58</v>
      </c>
      <c r="R323" s="1" t="s">
        <v>58</v>
      </c>
      <c r="S323" s="1" t="s">
        <v>58</v>
      </c>
      <c r="T323" s="1" t="s">
        <v>58</v>
      </c>
      <c r="U323" s="1" t="s">
        <v>58</v>
      </c>
      <c r="V323" s="1" t="s">
        <v>58</v>
      </c>
      <c r="W323" s="1" t="s">
        <v>58</v>
      </c>
      <c r="X323" s="1" t="s">
        <v>81</v>
      </c>
      <c r="Y323" s="1" t="s">
        <v>82</v>
      </c>
      <c r="Z323" s="1" t="s">
        <v>89</v>
      </c>
      <c r="AA323" s="2">
        <v>100.0</v>
      </c>
      <c r="AB323" s="1" t="s">
        <v>62</v>
      </c>
      <c r="AC323" s="1" t="s">
        <v>51</v>
      </c>
      <c r="AD323" s="1" t="s">
        <v>81</v>
      </c>
      <c r="AE323" s="1" t="s">
        <v>51</v>
      </c>
      <c r="AF323" s="1" t="s">
        <v>51</v>
      </c>
      <c r="AG323" s="1" t="s">
        <v>51</v>
      </c>
      <c r="AI323" s="2">
        <v>1.0</v>
      </c>
      <c r="AJ323" s="2">
        <v>0.0</v>
      </c>
      <c r="AK323" s="2">
        <v>0.0</v>
      </c>
      <c r="AL323" s="2">
        <v>0.0</v>
      </c>
      <c r="AM323" s="1" t="s">
        <v>51</v>
      </c>
      <c r="AP323" s="2">
        <v>4.90858686E8</v>
      </c>
      <c r="AQ323" s="1" t="s">
        <v>458</v>
      </c>
      <c r="AR323" s="2">
        <v>45810.44086805556</v>
      </c>
      <c r="AU323" s="1" t="s">
        <v>64</v>
      </c>
      <c r="AW323" s="1" t="s">
        <v>255</v>
      </c>
      <c r="AY323" s="2">
        <v>317.0</v>
      </c>
    </row>
    <row r="324">
      <c r="A324" s="1" t="s">
        <v>51</v>
      </c>
      <c r="C324" s="1" t="s">
        <v>52</v>
      </c>
      <c r="E324" s="1" t="s">
        <v>53</v>
      </c>
      <c r="F324" s="1" t="s">
        <v>54</v>
      </c>
      <c r="G324" s="2">
        <v>27.0</v>
      </c>
      <c r="H324" s="1" t="s">
        <v>66</v>
      </c>
      <c r="I324" s="1" t="s">
        <v>67</v>
      </c>
      <c r="J324" s="1" t="s">
        <v>68</v>
      </c>
      <c r="K324" s="1" t="s">
        <v>78</v>
      </c>
      <c r="M324" s="1" t="s">
        <v>58</v>
      </c>
      <c r="N324" s="1" t="s">
        <v>58</v>
      </c>
      <c r="O324" s="1" t="s">
        <v>58</v>
      </c>
      <c r="Q324" s="1" t="s">
        <v>58</v>
      </c>
      <c r="R324" s="1" t="s">
        <v>58</v>
      </c>
      <c r="S324" s="1" t="s">
        <v>58</v>
      </c>
      <c r="T324" s="1" t="s">
        <v>58</v>
      </c>
      <c r="U324" s="1" t="s">
        <v>58</v>
      </c>
      <c r="V324" s="1" t="s">
        <v>58</v>
      </c>
      <c r="W324" s="1" t="s">
        <v>58</v>
      </c>
      <c r="X324" s="1" t="s">
        <v>81</v>
      </c>
      <c r="Y324" s="1" t="s">
        <v>82</v>
      </c>
      <c r="Z324" s="1" t="s">
        <v>89</v>
      </c>
      <c r="AA324" s="2">
        <v>10.0</v>
      </c>
      <c r="AB324" s="1" t="s">
        <v>79</v>
      </c>
      <c r="AC324" s="1" t="s">
        <v>51</v>
      </c>
      <c r="AD324" s="1" t="s">
        <v>81</v>
      </c>
      <c r="AE324" s="1" t="s">
        <v>51</v>
      </c>
      <c r="AF324" s="1" t="s">
        <v>51</v>
      </c>
      <c r="AG324" s="1" t="s">
        <v>51</v>
      </c>
      <c r="AI324" s="2">
        <v>1.0</v>
      </c>
      <c r="AJ324" s="2">
        <v>0.0</v>
      </c>
      <c r="AK324" s="2">
        <v>0.0</v>
      </c>
      <c r="AL324" s="2">
        <v>0.0</v>
      </c>
      <c r="AM324" s="1" t="s">
        <v>51</v>
      </c>
      <c r="AP324" s="2">
        <v>4.90860435E8</v>
      </c>
      <c r="AQ324" s="1" t="s">
        <v>459</v>
      </c>
      <c r="AR324" s="2">
        <v>45810.442719907405</v>
      </c>
      <c r="AU324" s="1" t="s">
        <v>64</v>
      </c>
      <c r="AW324" s="1" t="s">
        <v>255</v>
      </c>
      <c r="AY324" s="2">
        <v>318.0</v>
      </c>
    </row>
    <row r="325">
      <c r="A325" s="1" t="s">
        <v>51</v>
      </c>
      <c r="C325" s="1" t="s">
        <v>170</v>
      </c>
      <c r="E325" s="1" t="s">
        <v>53</v>
      </c>
      <c r="F325" s="1" t="s">
        <v>54</v>
      </c>
      <c r="G325" s="2">
        <v>37.0</v>
      </c>
      <c r="H325" s="1" t="s">
        <v>55</v>
      </c>
      <c r="I325" s="1" t="s">
        <v>100</v>
      </c>
      <c r="J325" s="1" t="s">
        <v>68</v>
      </c>
      <c r="K325" s="1" t="s">
        <v>57</v>
      </c>
      <c r="M325" s="1" t="s">
        <v>58</v>
      </c>
      <c r="N325" s="1" t="s">
        <v>58</v>
      </c>
      <c r="O325" s="1" t="s">
        <v>58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58</v>
      </c>
      <c r="V325" s="1" t="s">
        <v>58</v>
      </c>
      <c r="W325" s="1" t="s">
        <v>58</v>
      </c>
      <c r="X325" s="1" t="s">
        <v>81</v>
      </c>
      <c r="Y325" s="1" t="s">
        <v>82</v>
      </c>
      <c r="Z325" s="1" t="s">
        <v>89</v>
      </c>
      <c r="AA325" s="2">
        <v>100.0</v>
      </c>
      <c r="AB325" s="1" t="s">
        <v>79</v>
      </c>
      <c r="AC325" s="1" t="s">
        <v>51</v>
      </c>
      <c r="AD325" s="1" t="s">
        <v>81</v>
      </c>
      <c r="AE325" s="1" t="s">
        <v>51</v>
      </c>
      <c r="AF325" s="1" t="s">
        <v>51</v>
      </c>
      <c r="AG325" s="1" t="s">
        <v>51</v>
      </c>
      <c r="AI325" s="2">
        <v>1.0</v>
      </c>
      <c r="AJ325" s="2">
        <v>0.0</v>
      </c>
      <c r="AK325" s="2">
        <v>0.0</v>
      </c>
      <c r="AL325" s="2">
        <v>0.0</v>
      </c>
      <c r="AM325" s="1" t="s">
        <v>51</v>
      </c>
      <c r="AP325" s="2">
        <v>4.90861901E8</v>
      </c>
      <c r="AQ325" s="1" t="s">
        <v>460</v>
      </c>
      <c r="AR325" s="2">
        <v>45810.44420138889</v>
      </c>
      <c r="AU325" s="1" t="s">
        <v>64</v>
      </c>
      <c r="AW325" s="1" t="s">
        <v>255</v>
      </c>
      <c r="AY325" s="2">
        <v>319.0</v>
      </c>
    </row>
    <row r="326">
      <c r="A326" s="1" t="s">
        <v>51</v>
      </c>
      <c r="C326" s="1" t="s">
        <v>52</v>
      </c>
      <c r="E326" s="1" t="s">
        <v>53</v>
      </c>
      <c r="F326" s="1" t="s">
        <v>54</v>
      </c>
      <c r="G326" s="2">
        <v>38.0</v>
      </c>
      <c r="H326" s="1" t="s">
        <v>66</v>
      </c>
      <c r="I326" s="1" t="s">
        <v>100</v>
      </c>
      <c r="J326" s="1" t="s">
        <v>68</v>
      </c>
      <c r="K326" s="1" t="s">
        <v>74</v>
      </c>
      <c r="M326" s="1" t="s">
        <v>58</v>
      </c>
      <c r="N326" s="1" t="s">
        <v>58</v>
      </c>
      <c r="O326" s="1" t="s">
        <v>58</v>
      </c>
      <c r="Q326" s="1" t="s">
        <v>58</v>
      </c>
      <c r="R326" s="1" t="s">
        <v>58</v>
      </c>
      <c r="S326" s="1" t="s">
        <v>58</v>
      </c>
      <c r="T326" s="1" t="s">
        <v>58</v>
      </c>
      <c r="U326" s="1" t="s">
        <v>58</v>
      </c>
      <c r="V326" s="1" t="s">
        <v>58</v>
      </c>
      <c r="W326" s="1" t="s">
        <v>58</v>
      </c>
      <c r="X326" s="1" t="s">
        <v>81</v>
      </c>
      <c r="Y326" s="1" t="s">
        <v>82</v>
      </c>
      <c r="Z326" s="1" t="s">
        <v>89</v>
      </c>
      <c r="AA326" s="2">
        <v>100.0</v>
      </c>
      <c r="AB326" s="1" t="s">
        <v>79</v>
      </c>
      <c r="AC326" s="1" t="s">
        <v>51</v>
      </c>
      <c r="AD326" s="1" t="s">
        <v>81</v>
      </c>
      <c r="AE326" s="1" t="s">
        <v>51</v>
      </c>
      <c r="AF326" s="1" t="s">
        <v>51</v>
      </c>
      <c r="AG326" s="1" t="s">
        <v>51</v>
      </c>
      <c r="AI326" s="2">
        <v>1.0</v>
      </c>
      <c r="AJ326" s="2">
        <v>0.0</v>
      </c>
      <c r="AK326" s="2">
        <v>0.0</v>
      </c>
      <c r="AL326" s="2">
        <v>0.0</v>
      </c>
      <c r="AM326" s="1" t="s">
        <v>51</v>
      </c>
      <c r="AP326" s="2">
        <v>4.9086362E8</v>
      </c>
      <c r="AQ326" s="1" t="s">
        <v>461</v>
      </c>
      <c r="AR326" s="2">
        <v>45810.445868055554</v>
      </c>
      <c r="AU326" s="1" t="s">
        <v>64</v>
      </c>
      <c r="AW326" s="1" t="s">
        <v>255</v>
      </c>
      <c r="AY326" s="2">
        <v>320.0</v>
      </c>
    </row>
    <row r="327">
      <c r="A327" s="1" t="s">
        <v>51</v>
      </c>
      <c r="C327" s="1" t="s">
        <v>170</v>
      </c>
      <c r="E327" s="1" t="s">
        <v>53</v>
      </c>
      <c r="F327" s="1" t="s">
        <v>54</v>
      </c>
      <c r="G327" s="2">
        <v>45.0</v>
      </c>
      <c r="H327" s="1" t="s">
        <v>55</v>
      </c>
      <c r="I327" s="1" t="s">
        <v>67</v>
      </c>
      <c r="J327" s="1" t="s">
        <v>68</v>
      </c>
      <c r="K327" s="1" t="s">
        <v>74</v>
      </c>
      <c r="M327" s="1" t="s">
        <v>58</v>
      </c>
      <c r="N327" s="1" t="s">
        <v>58</v>
      </c>
      <c r="O327" s="1" t="s">
        <v>58</v>
      </c>
      <c r="Q327" s="1" t="s">
        <v>58</v>
      </c>
      <c r="R327" s="1" t="s">
        <v>58</v>
      </c>
      <c r="S327" s="1" t="s">
        <v>58</v>
      </c>
      <c r="T327" s="1" t="s">
        <v>58</v>
      </c>
      <c r="U327" s="1" t="s">
        <v>58</v>
      </c>
      <c r="V327" s="1" t="s">
        <v>58</v>
      </c>
      <c r="W327" s="1" t="s">
        <v>58</v>
      </c>
      <c r="X327" s="1" t="s">
        <v>81</v>
      </c>
      <c r="Y327" s="1" t="s">
        <v>82</v>
      </c>
      <c r="Z327" s="1" t="s">
        <v>89</v>
      </c>
      <c r="AA327" s="2">
        <v>50.0</v>
      </c>
      <c r="AB327" s="1" t="s">
        <v>79</v>
      </c>
      <c r="AC327" s="1" t="s">
        <v>51</v>
      </c>
      <c r="AD327" s="1" t="s">
        <v>81</v>
      </c>
      <c r="AE327" s="1" t="s">
        <v>51</v>
      </c>
      <c r="AF327" s="1" t="s">
        <v>51</v>
      </c>
      <c r="AG327" s="1" t="s">
        <v>51</v>
      </c>
      <c r="AI327" s="2">
        <v>1.0</v>
      </c>
      <c r="AJ327" s="2">
        <v>0.0</v>
      </c>
      <c r="AK327" s="2">
        <v>0.0</v>
      </c>
      <c r="AL327" s="2">
        <v>0.0</v>
      </c>
      <c r="AM327" s="1" t="s">
        <v>51</v>
      </c>
      <c r="AP327" s="2">
        <v>4.90865124E8</v>
      </c>
      <c r="AQ327" s="1" t="s">
        <v>462</v>
      </c>
      <c r="AR327" s="2">
        <v>45810.44726851852</v>
      </c>
      <c r="AU327" s="1" t="s">
        <v>64</v>
      </c>
      <c r="AW327" s="1" t="s">
        <v>255</v>
      </c>
      <c r="AY327" s="2">
        <v>321.0</v>
      </c>
    </row>
    <row r="328">
      <c r="A328" s="1" t="s">
        <v>51</v>
      </c>
      <c r="C328" s="1" t="s">
        <v>170</v>
      </c>
      <c r="E328" s="1" t="s">
        <v>53</v>
      </c>
      <c r="F328" s="1" t="s">
        <v>54</v>
      </c>
      <c r="G328" s="2">
        <v>22.0</v>
      </c>
      <c r="H328" s="1" t="s">
        <v>55</v>
      </c>
      <c r="I328" s="1" t="s">
        <v>100</v>
      </c>
      <c r="J328" s="1" t="s">
        <v>68</v>
      </c>
      <c r="K328" s="1" t="s">
        <v>78</v>
      </c>
      <c r="M328" s="1" t="s">
        <v>58</v>
      </c>
      <c r="N328" s="1" t="s">
        <v>58</v>
      </c>
      <c r="O328" s="1" t="s">
        <v>58</v>
      </c>
      <c r="Q328" s="1" t="s">
        <v>58</v>
      </c>
      <c r="R328" s="1" t="s">
        <v>58</v>
      </c>
      <c r="S328" s="1" t="s">
        <v>58</v>
      </c>
      <c r="T328" s="1" t="s">
        <v>58</v>
      </c>
      <c r="U328" s="1" t="s">
        <v>58</v>
      </c>
      <c r="V328" s="1" t="s">
        <v>58</v>
      </c>
      <c r="W328" s="1" t="s">
        <v>58</v>
      </c>
      <c r="X328" s="1" t="s">
        <v>81</v>
      </c>
      <c r="Y328" s="1" t="s">
        <v>82</v>
      </c>
      <c r="Z328" s="1" t="s">
        <v>89</v>
      </c>
      <c r="AA328" s="2">
        <v>30.0</v>
      </c>
      <c r="AB328" s="1" t="s">
        <v>79</v>
      </c>
      <c r="AC328" s="1" t="s">
        <v>51</v>
      </c>
      <c r="AD328" s="1" t="s">
        <v>81</v>
      </c>
      <c r="AE328" s="1" t="s">
        <v>51</v>
      </c>
      <c r="AF328" s="1" t="s">
        <v>51</v>
      </c>
      <c r="AG328" s="1" t="s">
        <v>51</v>
      </c>
      <c r="AI328" s="2">
        <v>1.0</v>
      </c>
      <c r="AJ328" s="2">
        <v>0.0</v>
      </c>
      <c r="AK328" s="2">
        <v>0.0</v>
      </c>
      <c r="AL328" s="2">
        <v>0.0</v>
      </c>
      <c r="AM328" s="1" t="s">
        <v>51</v>
      </c>
      <c r="AP328" s="2">
        <v>4.90866858E8</v>
      </c>
      <c r="AQ328" s="1" t="s">
        <v>463</v>
      </c>
      <c r="AR328" s="2">
        <v>45810.44868055556</v>
      </c>
      <c r="AU328" s="1" t="s">
        <v>64</v>
      </c>
      <c r="AW328" s="1" t="s">
        <v>255</v>
      </c>
      <c r="AY328" s="2">
        <v>322.0</v>
      </c>
    </row>
    <row r="329">
      <c r="A329" s="1" t="s">
        <v>51</v>
      </c>
      <c r="C329" s="1" t="s">
        <v>52</v>
      </c>
      <c r="E329" s="1" t="s">
        <v>53</v>
      </c>
      <c r="F329" s="1" t="s">
        <v>54</v>
      </c>
      <c r="G329" s="2">
        <v>37.0</v>
      </c>
      <c r="H329" s="1" t="s">
        <v>66</v>
      </c>
      <c r="I329" s="1" t="s">
        <v>76</v>
      </c>
      <c r="J329" s="1" t="s">
        <v>68</v>
      </c>
      <c r="K329" s="1" t="s">
        <v>74</v>
      </c>
      <c r="M329" s="1" t="s">
        <v>58</v>
      </c>
      <c r="N329" s="1" t="s">
        <v>58</v>
      </c>
      <c r="O329" s="1" t="s">
        <v>58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81</v>
      </c>
      <c r="Y329" s="1" t="s">
        <v>82</v>
      </c>
      <c r="Z329" s="1" t="s">
        <v>89</v>
      </c>
      <c r="AA329" s="2">
        <v>40.0</v>
      </c>
      <c r="AB329" s="1" t="s">
        <v>79</v>
      </c>
      <c r="AC329" s="1" t="s">
        <v>51</v>
      </c>
      <c r="AD329" s="1" t="s">
        <v>81</v>
      </c>
      <c r="AE329" s="1" t="s">
        <v>51</v>
      </c>
      <c r="AF329" s="1" t="s">
        <v>51</v>
      </c>
      <c r="AG329" s="1" t="s">
        <v>51</v>
      </c>
      <c r="AI329" s="2">
        <v>1.0</v>
      </c>
      <c r="AJ329" s="2">
        <v>0.0</v>
      </c>
      <c r="AK329" s="2">
        <v>0.0</v>
      </c>
      <c r="AL329" s="2">
        <v>0.0</v>
      </c>
      <c r="AM329" s="1" t="s">
        <v>51</v>
      </c>
      <c r="AP329" s="2">
        <v>4.90868361E8</v>
      </c>
      <c r="AQ329" s="1" t="s">
        <v>464</v>
      </c>
      <c r="AR329" s="2">
        <v>45810.45009259259</v>
      </c>
      <c r="AU329" s="1" t="s">
        <v>64</v>
      </c>
      <c r="AW329" s="1" t="s">
        <v>255</v>
      </c>
      <c r="AY329" s="2">
        <v>323.0</v>
      </c>
    </row>
    <row r="330">
      <c r="A330" s="1" t="s">
        <v>51</v>
      </c>
      <c r="C330" s="1" t="s">
        <v>52</v>
      </c>
      <c r="E330" s="1" t="s">
        <v>53</v>
      </c>
      <c r="F330" s="1" t="s">
        <v>54</v>
      </c>
      <c r="G330" s="2">
        <v>25.0</v>
      </c>
      <c r="H330" s="1" t="s">
        <v>66</v>
      </c>
      <c r="I330" s="1" t="s">
        <v>76</v>
      </c>
      <c r="J330" s="1" t="s">
        <v>68</v>
      </c>
      <c r="K330" s="1" t="s">
        <v>74</v>
      </c>
      <c r="M330" s="1" t="s">
        <v>58</v>
      </c>
      <c r="N330" s="1" t="s">
        <v>58</v>
      </c>
      <c r="O330" s="1" t="s">
        <v>58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1" t="s">
        <v>81</v>
      </c>
      <c r="Y330" s="1" t="s">
        <v>82</v>
      </c>
      <c r="Z330" s="1" t="s">
        <v>89</v>
      </c>
      <c r="AA330" s="2">
        <v>100.0</v>
      </c>
      <c r="AB330" s="1" t="s">
        <v>79</v>
      </c>
      <c r="AC330" s="1" t="s">
        <v>51</v>
      </c>
      <c r="AD330" s="1" t="s">
        <v>81</v>
      </c>
      <c r="AE330" s="1" t="s">
        <v>51</v>
      </c>
      <c r="AF330" s="1" t="s">
        <v>51</v>
      </c>
      <c r="AG330" s="1" t="s">
        <v>72</v>
      </c>
      <c r="AI330" s="2">
        <v>1.0</v>
      </c>
      <c r="AJ330" s="2">
        <v>0.0</v>
      </c>
      <c r="AK330" s="2">
        <v>0.0</v>
      </c>
      <c r="AL330" s="2">
        <v>0.0</v>
      </c>
      <c r="AM330" s="1" t="s">
        <v>51</v>
      </c>
      <c r="AP330" s="2">
        <v>4.90870025E8</v>
      </c>
      <c r="AQ330" s="1" t="s">
        <v>465</v>
      </c>
      <c r="AR330" s="2">
        <v>45810.451516203706</v>
      </c>
      <c r="AU330" s="1" t="s">
        <v>64</v>
      </c>
      <c r="AW330" s="1" t="s">
        <v>255</v>
      </c>
      <c r="AY330" s="2">
        <v>324.0</v>
      </c>
    </row>
    <row r="331">
      <c r="A331" s="1" t="s">
        <v>51</v>
      </c>
      <c r="C331" s="1" t="s">
        <v>131</v>
      </c>
      <c r="E331" s="1" t="s">
        <v>53</v>
      </c>
      <c r="F331" s="1" t="s">
        <v>54</v>
      </c>
      <c r="G331" s="2">
        <v>25.0</v>
      </c>
      <c r="H331" s="1" t="s">
        <v>55</v>
      </c>
      <c r="I331" s="1" t="s">
        <v>100</v>
      </c>
      <c r="J331" s="1" t="s">
        <v>68</v>
      </c>
      <c r="K331" s="1" t="s">
        <v>57</v>
      </c>
      <c r="M331" s="1" t="s">
        <v>58</v>
      </c>
      <c r="N331" s="1" t="s">
        <v>58</v>
      </c>
      <c r="O331" s="1" t="s">
        <v>58</v>
      </c>
      <c r="Q331" s="1" t="s">
        <v>58</v>
      </c>
      <c r="R331" s="1" t="s">
        <v>58</v>
      </c>
      <c r="S331" s="1" t="s">
        <v>58</v>
      </c>
      <c r="T331" s="1" t="s">
        <v>58</v>
      </c>
      <c r="U331" s="1" t="s">
        <v>58</v>
      </c>
      <c r="V331" s="1" t="s">
        <v>58</v>
      </c>
      <c r="W331" s="1" t="s">
        <v>58</v>
      </c>
      <c r="X331" s="1" t="s">
        <v>81</v>
      </c>
      <c r="Y331" s="1" t="s">
        <v>82</v>
      </c>
      <c r="Z331" s="1" t="s">
        <v>61</v>
      </c>
      <c r="AA331" s="2">
        <v>20.0</v>
      </c>
      <c r="AB331" s="1" t="s">
        <v>28</v>
      </c>
      <c r="AC331" s="1" t="s">
        <v>71</v>
      </c>
      <c r="AF331" s="1" t="s">
        <v>51</v>
      </c>
      <c r="AG331" s="1" t="s">
        <v>51</v>
      </c>
      <c r="AI331" s="2">
        <v>0.0</v>
      </c>
      <c r="AJ331" s="2">
        <v>0.0</v>
      </c>
      <c r="AK331" s="2">
        <v>0.0</v>
      </c>
      <c r="AL331" s="2">
        <v>1.0</v>
      </c>
      <c r="AM331" s="1" t="s">
        <v>72</v>
      </c>
      <c r="AP331" s="2">
        <v>4.90872118E8</v>
      </c>
      <c r="AQ331" s="1" t="s">
        <v>466</v>
      </c>
      <c r="AR331" s="2">
        <v>45810.4540625</v>
      </c>
      <c r="AU331" s="1" t="s">
        <v>64</v>
      </c>
      <c r="AW331" s="1" t="s">
        <v>255</v>
      </c>
      <c r="AY331" s="2">
        <v>325.0</v>
      </c>
    </row>
    <row r="332">
      <c r="A332" s="1" t="s">
        <v>51</v>
      </c>
      <c r="C332" s="1" t="s">
        <v>170</v>
      </c>
      <c r="E332" s="1" t="s">
        <v>53</v>
      </c>
      <c r="F332" s="1" t="s">
        <v>54</v>
      </c>
      <c r="G332" s="2">
        <v>28.0</v>
      </c>
      <c r="H332" s="1" t="s">
        <v>233</v>
      </c>
      <c r="I332" s="1" t="s">
        <v>76</v>
      </c>
      <c r="J332" s="1" t="s">
        <v>56</v>
      </c>
      <c r="K332" s="1" t="s">
        <v>74</v>
      </c>
      <c r="M332" s="1" t="s">
        <v>58</v>
      </c>
      <c r="O332" s="1" t="s">
        <v>58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81</v>
      </c>
      <c r="Y332" s="1" t="s">
        <v>82</v>
      </c>
      <c r="Z332" s="1" t="s">
        <v>61</v>
      </c>
      <c r="AA332" s="2">
        <v>10.0</v>
      </c>
      <c r="AB332" s="1" t="s">
        <v>28</v>
      </c>
      <c r="AC332" s="1" t="s">
        <v>51</v>
      </c>
      <c r="AD332" s="1" t="s">
        <v>81</v>
      </c>
      <c r="AE332" s="1" t="s">
        <v>51</v>
      </c>
      <c r="AF332" s="1" t="s">
        <v>51</v>
      </c>
      <c r="AG332" s="1" t="s">
        <v>72</v>
      </c>
      <c r="AM332" s="1" t="s">
        <v>72</v>
      </c>
      <c r="AP332" s="2">
        <v>4.90874202E8</v>
      </c>
      <c r="AQ332" s="1" t="s">
        <v>467</v>
      </c>
      <c r="AR332" s="2">
        <v>45810.456724537034</v>
      </c>
      <c r="AU332" s="1" t="s">
        <v>64</v>
      </c>
      <c r="AW332" s="1" t="s">
        <v>255</v>
      </c>
      <c r="AY332" s="2">
        <v>326.0</v>
      </c>
    </row>
    <row r="333">
      <c r="A333" s="1" t="s">
        <v>51</v>
      </c>
      <c r="C333" s="1" t="s">
        <v>52</v>
      </c>
      <c r="E333" s="1" t="s">
        <v>53</v>
      </c>
      <c r="F333" s="1" t="s">
        <v>54</v>
      </c>
      <c r="G333" s="2">
        <v>30.0</v>
      </c>
      <c r="H333" s="1" t="s">
        <v>66</v>
      </c>
      <c r="I333" s="1" t="s">
        <v>67</v>
      </c>
      <c r="J333" s="1" t="s">
        <v>68</v>
      </c>
      <c r="K333" s="1" t="s">
        <v>57</v>
      </c>
      <c r="M333" s="1" t="s">
        <v>58</v>
      </c>
      <c r="N333" s="1" t="s">
        <v>58</v>
      </c>
      <c r="O333" s="1" t="s">
        <v>58</v>
      </c>
      <c r="Q333" s="1" t="s">
        <v>58</v>
      </c>
      <c r="R333" s="1" t="s">
        <v>58</v>
      </c>
      <c r="S333" s="1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1" t="s">
        <v>81</v>
      </c>
      <c r="Y333" s="1" t="s">
        <v>82</v>
      </c>
      <c r="Z333" s="1" t="s">
        <v>61</v>
      </c>
      <c r="AA333" s="2">
        <v>10.0</v>
      </c>
      <c r="AB333" s="1" t="s">
        <v>28</v>
      </c>
      <c r="AC333" s="1" t="s">
        <v>72</v>
      </c>
      <c r="AF333" s="1" t="s">
        <v>51</v>
      </c>
      <c r="AG333" s="1" t="s">
        <v>72</v>
      </c>
      <c r="AI333" s="2">
        <v>0.0</v>
      </c>
      <c r="AJ333" s="2">
        <v>0.0</v>
      </c>
      <c r="AK333" s="2">
        <v>0.0</v>
      </c>
      <c r="AL333" s="2">
        <v>1.0</v>
      </c>
      <c r="AM333" s="1" t="s">
        <v>72</v>
      </c>
      <c r="AP333" s="2">
        <v>4.90875834E8</v>
      </c>
      <c r="AQ333" s="1" t="s">
        <v>468</v>
      </c>
      <c r="AR333" s="2">
        <v>45810.45853009259</v>
      </c>
      <c r="AU333" s="1" t="s">
        <v>64</v>
      </c>
      <c r="AW333" s="1" t="s">
        <v>255</v>
      </c>
      <c r="AY333" s="2">
        <v>327.0</v>
      </c>
    </row>
    <row r="334">
      <c r="A334" s="1" t="s">
        <v>51</v>
      </c>
      <c r="C334" s="1" t="s">
        <v>52</v>
      </c>
      <c r="E334" s="1" t="s">
        <v>53</v>
      </c>
      <c r="F334" s="1" t="s">
        <v>54</v>
      </c>
      <c r="G334" s="2">
        <v>33.0</v>
      </c>
      <c r="H334" s="1" t="s">
        <v>66</v>
      </c>
      <c r="I334" s="1" t="s">
        <v>67</v>
      </c>
      <c r="J334" s="1" t="s">
        <v>68</v>
      </c>
      <c r="K334" s="1" t="s">
        <v>57</v>
      </c>
      <c r="M334" s="1" t="s">
        <v>58</v>
      </c>
      <c r="N334" s="1" t="s">
        <v>58</v>
      </c>
      <c r="O334" s="1" t="s">
        <v>58</v>
      </c>
      <c r="Q334" s="1" t="s">
        <v>58</v>
      </c>
      <c r="R334" s="1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81</v>
      </c>
      <c r="Y334" s="1" t="s">
        <v>82</v>
      </c>
      <c r="Z334" s="1" t="s">
        <v>89</v>
      </c>
      <c r="AA334" s="2">
        <v>10.0</v>
      </c>
      <c r="AB334" s="1" t="s">
        <v>28</v>
      </c>
      <c r="AC334" s="1" t="s">
        <v>72</v>
      </c>
      <c r="AF334" s="1" t="s">
        <v>51</v>
      </c>
      <c r="AG334" s="1" t="s">
        <v>72</v>
      </c>
      <c r="AI334" s="2">
        <v>0.0</v>
      </c>
      <c r="AJ334" s="2">
        <v>0.0</v>
      </c>
      <c r="AK334" s="2">
        <v>0.0</v>
      </c>
      <c r="AL334" s="2">
        <v>1.0</v>
      </c>
      <c r="AM334" s="1" t="s">
        <v>72</v>
      </c>
      <c r="AP334" s="2">
        <v>4.90877324E8</v>
      </c>
      <c r="AQ334" s="1" t="s">
        <v>469</v>
      </c>
      <c r="AR334" s="2">
        <v>45810.46016203704</v>
      </c>
      <c r="AU334" s="1" t="s">
        <v>64</v>
      </c>
      <c r="AW334" s="1" t="s">
        <v>255</v>
      </c>
      <c r="AY334" s="2">
        <v>328.0</v>
      </c>
    </row>
    <row r="335">
      <c r="A335" s="1" t="s">
        <v>51</v>
      </c>
      <c r="C335" s="1" t="s">
        <v>52</v>
      </c>
      <c r="E335" s="1" t="s">
        <v>53</v>
      </c>
      <c r="F335" s="1" t="s">
        <v>54</v>
      </c>
      <c r="G335" s="2">
        <v>41.0</v>
      </c>
      <c r="H335" s="1" t="s">
        <v>66</v>
      </c>
      <c r="I335" s="1" t="s">
        <v>419</v>
      </c>
      <c r="J335" s="1" t="s">
        <v>68</v>
      </c>
      <c r="K335" s="1" t="s">
        <v>74</v>
      </c>
      <c r="M335" s="1" t="s">
        <v>58</v>
      </c>
      <c r="N335" s="1" t="s">
        <v>58</v>
      </c>
      <c r="O335" s="1" t="s">
        <v>58</v>
      </c>
      <c r="Q335" s="1" t="s">
        <v>58</v>
      </c>
      <c r="R335" s="1" t="s">
        <v>58</v>
      </c>
      <c r="S335" s="1" t="s">
        <v>58</v>
      </c>
      <c r="T335" s="1" t="s">
        <v>58</v>
      </c>
      <c r="U335" s="1" t="s">
        <v>58</v>
      </c>
      <c r="V335" s="1" t="s">
        <v>58</v>
      </c>
      <c r="W335" s="1" t="s">
        <v>58</v>
      </c>
      <c r="X335" s="1" t="s">
        <v>81</v>
      </c>
      <c r="Y335" s="1" t="s">
        <v>82</v>
      </c>
      <c r="Z335" s="1" t="s">
        <v>61</v>
      </c>
      <c r="AA335" s="2">
        <v>20.0</v>
      </c>
      <c r="AB335" s="1" t="s">
        <v>28</v>
      </c>
      <c r="AC335" s="1" t="s">
        <v>51</v>
      </c>
      <c r="AD335" s="1" t="s">
        <v>81</v>
      </c>
      <c r="AE335" s="1" t="s">
        <v>51</v>
      </c>
      <c r="AF335" s="1" t="s">
        <v>51</v>
      </c>
      <c r="AG335" s="1" t="s">
        <v>72</v>
      </c>
      <c r="AI335" s="2">
        <v>0.0</v>
      </c>
      <c r="AJ335" s="2">
        <v>0.0</v>
      </c>
      <c r="AK335" s="2">
        <v>0.0</v>
      </c>
      <c r="AL335" s="2">
        <v>1.0</v>
      </c>
      <c r="AM335" s="1" t="s">
        <v>72</v>
      </c>
      <c r="AP335" s="2">
        <v>4.90878732E8</v>
      </c>
      <c r="AQ335" s="1" t="s">
        <v>470</v>
      </c>
      <c r="AR335" s="2">
        <v>45810.46167824074</v>
      </c>
      <c r="AU335" s="1" t="s">
        <v>64</v>
      </c>
      <c r="AW335" s="1" t="s">
        <v>255</v>
      </c>
      <c r="AY335" s="2">
        <v>329.0</v>
      </c>
    </row>
    <row r="336">
      <c r="A336" s="1" t="s">
        <v>51</v>
      </c>
      <c r="C336" s="1" t="s">
        <v>131</v>
      </c>
      <c r="E336" s="1" t="s">
        <v>53</v>
      </c>
      <c r="F336" s="1" t="s">
        <v>54</v>
      </c>
      <c r="G336" s="2">
        <v>29.0</v>
      </c>
      <c r="H336" s="1" t="s">
        <v>66</v>
      </c>
      <c r="I336" s="1" t="s">
        <v>76</v>
      </c>
      <c r="J336" s="1" t="s">
        <v>68</v>
      </c>
      <c r="K336" s="1" t="s">
        <v>74</v>
      </c>
      <c r="M336" s="1" t="s">
        <v>58</v>
      </c>
      <c r="N336" s="1" t="s">
        <v>58</v>
      </c>
      <c r="O336" s="1" t="s">
        <v>58</v>
      </c>
      <c r="Q336" s="1" t="s">
        <v>58</v>
      </c>
      <c r="R336" s="1" t="s">
        <v>58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81</v>
      </c>
      <c r="Y336" s="1" t="s">
        <v>60</v>
      </c>
      <c r="Z336" s="1" t="s">
        <v>61</v>
      </c>
      <c r="AA336" s="2">
        <v>30.0</v>
      </c>
      <c r="AB336" s="1" t="s">
        <v>28</v>
      </c>
      <c r="AC336" s="1" t="s">
        <v>51</v>
      </c>
      <c r="AD336" s="1" t="s">
        <v>81</v>
      </c>
      <c r="AE336" s="1" t="s">
        <v>51</v>
      </c>
      <c r="AF336" s="1" t="s">
        <v>51</v>
      </c>
      <c r="AG336" s="1" t="s">
        <v>72</v>
      </c>
      <c r="AI336" s="2">
        <v>0.0</v>
      </c>
      <c r="AJ336" s="2">
        <v>0.0</v>
      </c>
      <c r="AK336" s="2">
        <v>0.0</v>
      </c>
      <c r="AL336" s="2">
        <v>1.0</v>
      </c>
      <c r="AM336" s="1" t="s">
        <v>72</v>
      </c>
      <c r="AP336" s="2">
        <v>4.90880482E8</v>
      </c>
      <c r="AQ336" s="1" t="s">
        <v>471</v>
      </c>
      <c r="AR336" s="2">
        <v>45810.463530092595</v>
      </c>
      <c r="AU336" s="1" t="s">
        <v>64</v>
      </c>
      <c r="AW336" s="1" t="s">
        <v>255</v>
      </c>
      <c r="AY336" s="2">
        <v>330.0</v>
      </c>
    </row>
    <row r="337">
      <c r="A337" s="1" t="s">
        <v>51</v>
      </c>
      <c r="C337" s="1" t="s">
        <v>52</v>
      </c>
      <c r="E337" s="1" t="s">
        <v>53</v>
      </c>
      <c r="F337" s="1" t="s">
        <v>54</v>
      </c>
      <c r="G337" s="2">
        <v>40.0</v>
      </c>
      <c r="H337" s="1" t="s">
        <v>66</v>
      </c>
      <c r="I337" s="1" t="s">
        <v>100</v>
      </c>
      <c r="J337" s="1" t="s">
        <v>68</v>
      </c>
      <c r="K337" s="1" t="s">
        <v>74</v>
      </c>
      <c r="M337" s="1" t="s">
        <v>58</v>
      </c>
      <c r="N337" s="1" t="s">
        <v>58</v>
      </c>
      <c r="O337" s="1" t="s">
        <v>58</v>
      </c>
      <c r="Q337" s="1" t="s">
        <v>58</v>
      </c>
      <c r="R337" s="1" t="s">
        <v>58</v>
      </c>
      <c r="S337" s="1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81</v>
      </c>
      <c r="Y337" s="1" t="s">
        <v>82</v>
      </c>
      <c r="Z337" s="1" t="s">
        <v>61</v>
      </c>
      <c r="AA337" s="2">
        <v>10.0</v>
      </c>
      <c r="AB337" s="1" t="s">
        <v>28</v>
      </c>
      <c r="AC337" s="1" t="s">
        <v>51</v>
      </c>
      <c r="AD337" s="1" t="s">
        <v>81</v>
      </c>
      <c r="AE337" s="1" t="s">
        <v>51</v>
      </c>
      <c r="AF337" s="1" t="s">
        <v>51</v>
      </c>
      <c r="AG337" s="1" t="s">
        <v>72</v>
      </c>
      <c r="AI337" s="2">
        <v>0.0</v>
      </c>
      <c r="AJ337" s="2">
        <v>0.0</v>
      </c>
      <c r="AK337" s="2">
        <v>0.0</v>
      </c>
      <c r="AL337" s="2">
        <v>1.0</v>
      </c>
      <c r="AM337" s="1" t="s">
        <v>72</v>
      </c>
      <c r="AP337" s="2">
        <v>4.90881694E8</v>
      </c>
      <c r="AQ337" s="1" t="s">
        <v>472</v>
      </c>
      <c r="AR337" s="2">
        <v>45810.46502314815</v>
      </c>
      <c r="AU337" s="1" t="s">
        <v>64</v>
      </c>
      <c r="AW337" s="1" t="s">
        <v>255</v>
      </c>
      <c r="AY337" s="2">
        <v>331.0</v>
      </c>
    </row>
    <row r="338">
      <c r="A338" s="1" t="s">
        <v>51</v>
      </c>
      <c r="C338" s="1" t="s">
        <v>170</v>
      </c>
      <c r="E338" s="1" t="s">
        <v>53</v>
      </c>
      <c r="F338" s="1" t="s">
        <v>54</v>
      </c>
      <c r="G338" s="2">
        <v>45.0</v>
      </c>
      <c r="H338" s="1" t="s">
        <v>66</v>
      </c>
      <c r="I338" s="1" t="s">
        <v>100</v>
      </c>
      <c r="J338" s="1" t="s">
        <v>68</v>
      </c>
      <c r="K338" s="1" t="s">
        <v>57</v>
      </c>
      <c r="M338" s="1" t="s">
        <v>58</v>
      </c>
      <c r="N338" s="1" t="s">
        <v>58</v>
      </c>
      <c r="O338" s="1" t="s">
        <v>58</v>
      </c>
      <c r="Q338" s="1" t="s">
        <v>58</v>
      </c>
      <c r="R338" s="1" t="s">
        <v>58</v>
      </c>
      <c r="S338" s="1" t="s">
        <v>58</v>
      </c>
      <c r="T338" s="1" t="s">
        <v>58</v>
      </c>
      <c r="U338" s="1" t="s">
        <v>58</v>
      </c>
      <c r="W338" s="1" t="s">
        <v>58</v>
      </c>
      <c r="X338" s="1" t="s">
        <v>81</v>
      </c>
      <c r="Y338" s="1" t="s">
        <v>82</v>
      </c>
      <c r="Z338" s="1" t="s">
        <v>61</v>
      </c>
      <c r="AA338" s="2">
        <v>10.0</v>
      </c>
      <c r="AB338" s="1" t="s">
        <v>28</v>
      </c>
      <c r="AC338" s="1" t="s">
        <v>51</v>
      </c>
      <c r="AD338" s="1" t="s">
        <v>81</v>
      </c>
      <c r="AE338" s="1" t="s">
        <v>51</v>
      </c>
      <c r="AF338" s="1" t="s">
        <v>51</v>
      </c>
      <c r="AG338" s="1" t="s">
        <v>72</v>
      </c>
      <c r="AI338" s="2">
        <v>0.0</v>
      </c>
      <c r="AJ338" s="2">
        <v>0.0</v>
      </c>
      <c r="AK338" s="2">
        <v>0.0</v>
      </c>
      <c r="AL338" s="2">
        <v>1.0</v>
      </c>
      <c r="AM338" s="1" t="s">
        <v>72</v>
      </c>
      <c r="AP338" s="2">
        <v>4.90883057E8</v>
      </c>
      <c r="AQ338" s="1" t="s">
        <v>473</v>
      </c>
      <c r="AR338" s="2">
        <v>45810.46697916667</v>
      </c>
      <c r="AU338" s="1" t="s">
        <v>64</v>
      </c>
      <c r="AW338" s="1" t="s">
        <v>255</v>
      </c>
      <c r="AY338" s="2">
        <v>332.0</v>
      </c>
    </row>
    <row r="339">
      <c r="A339" s="1" t="s">
        <v>51</v>
      </c>
      <c r="C339" s="1" t="s">
        <v>52</v>
      </c>
      <c r="E339" s="1" t="s">
        <v>53</v>
      </c>
      <c r="F339" s="1" t="s">
        <v>54</v>
      </c>
      <c r="G339" s="2">
        <v>36.0</v>
      </c>
      <c r="H339" s="1" t="s">
        <v>66</v>
      </c>
      <c r="I339" s="1" t="s">
        <v>76</v>
      </c>
      <c r="J339" s="1" t="s">
        <v>68</v>
      </c>
      <c r="K339" s="1" t="s">
        <v>74</v>
      </c>
      <c r="M339" s="1" t="s">
        <v>58</v>
      </c>
      <c r="N339" s="1" t="s">
        <v>58</v>
      </c>
      <c r="O339" s="1" t="s">
        <v>58</v>
      </c>
      <c r="Q339" s="1" t="s">
        <v>58</v>
      </c>
      <c r="R339" s="1" t="s">
        <v>58</v>
      </c>
      <c r="S339" s="1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81</v>
      </c>
      <c r="Z339" s="1" t="s">
        <v>61</v>
      </c>
      <c r="AA339" s="2">
        <v>20.0</v>
      </c>
      <c r="AC339" s="1" t="s">
        <v>51</v>
      </c>
      <c r="AD339" s="1" t="s">
        <v>81</v>
      </c>
      <c r="AE339" s="1" t="s">
        <v>51</v>
      </c>
      <c r="AF339" s="1" t="s">
        <v>51</v>
      </c>
      <c r="AG339" s="1" t="s">
        <v>72</v>
      </c>
      <c r="AI339" s="2">
        <v>0.0</v>
      </c>
      <c r="AJ339" s="2">
        <v>0.0</v>
      </c>
      <c r="AK339" s="2">
        <v>0.0</v>
      </c>
      <c r="AL339" s="2">
        <v>1.0</v>
      </c>
      <c r="AM339" s="1" t="s">
        <v>72</v>
      </c>
      <c r="AP339" s="2">
        <v>4.90884263E8</v>
      </c>
      <c r="AQ339" s="1" t="s">
        <v>474</v>
      </c>
      <c r="AR339" s="2">
        <v>45810.46826388889</v>
      </c>
      <c r="AU339" s="1" t="s">
        <v>64</v>
      </c>
      <c r="AW339" s="1" t="s">
        <v>255</v>
      </c>
      <c r="AY339" s="2">
        <v>333.0</v>
      </c>
    </row>
    <row r="340">
      <c r="A340" s="1" t="s">
        <v>51</v>
      </c>
      <c r="C340" s="1" t="s">
        <v>52</v>
      </c>
      <c r="E340" s="1" t="s">
        <v>53</v>
      </c>
      <c r="F340" s="1" t="s">
        <v>54</v>
      </c>
      <c r="G340" s="2">
        <v>31.0</v>
      </c>
      <c r="H340" s="1" t="s">
        <v>66</v>
      </c>
      <c r="I340" s="1" t="s">
        <v>419</v>
      </c>
      <c r="J340" s="1" t="s">
        <v>68</v>
      </c>
      <c r="K340" s="1" t="s">
        <v>74</v>
      </c>
      <c r="M340" s="1" t="s">
        <v>58</v>
      </c>
      <c r="N340" s="1" t="s">
        <v>58</v>
      </c>
      <c r="O340" s="1" t="s">
        <v>58</v>
      </c>
      <c r="Q340" s="1" t="s">
        <v>58</v>
      </c>
      <c r="R340" s="1" t="s">
        <v>58</v>
      </c>
      <c r="S340" s="1" t="s">
        <v>58</v>
      </c>
      <c r="T340" s="1" t="s">
        <v>58</v>
      </c>
      <c r="U340" s="1" t="s">
        <v>58</v>
      </c>
      <c r="V340" s="1" t="s">
        <v>58</v>
      </c>
      <c r="W340" s="1" t="s">
        <v>58</v>
      </c>
      <c r="X340" s="1" t="s">
        <v>81</v>
      </c>
      <c r="Y340" s="1" t="s">
        <v>82</v>
      </c>
      <c r="Z340" s="1" t="s">
        <v>61</v>
      </c>
      <c r="AA340" s="2">
        <v>10.0</v>
      </c>
      <c r="AB340" s="1" t="s">
        <v>28</v>
      </c>
      <c r="AC340" s="1" t="s">
        <v>71</v>
      </c>
      <c r="AF340" s="1" t="s">
        <v>51</v>
      </c>
      <c r="AG340" s="1" t="s">
        <v>72</v>
      </c>
      <c r="AI340" s="2">
        <v>0.0</v>
      </c>
      <c r="AJ340" s="2">
        <v>0.0</v>
      </c>
      <c r="AK340" s="2">
        <v>0.0</v>
      </c>
      <c r="AL340" s="2">
        <v>1.0</v>
      </c>
      <c r="AM340" s="1" t="s">
        <v>72</v>
      </c>
      <c r="AP340" s="2">
        <v>4.90885688E8</v>
      </c>
      <c r="AQ340" s="1" t="s">
        <v>475</v>
      </c>
      <c r="AR340" s="2">
        <v>45810.469976851855</v>
      </c>
      <c r="AU340" s="1" t="s">
        <v>64</v>
      </c>
      <c r="AW340" s="1" t="s">
        <v>255</v>
      </c>
      <c r="AY340" s="2">
        <v>334.0</v>
      </c>
    </row>
    <row r="341">
      <c r="A341" s="1" t="s">
        <v>51</v>
      </c>
      <c r="C341" s="1" t="s">
        <v>52</v>
      </c>
      <c r="E341" s="1" t="s">
        <v>53</v>
      </c>
      <c r="F341" s="1" t="s">
        <v>54</v>
      </c>
      <c r="G341" s="2">
        <v>22.0</v>
      </c>
      <c r="H341" s="1" t="s">
        <v>66</v>
      </c>
      <c r="I341" s="1" t="s">
        <v>100</v>
      </c>
      <c r="J341" s="1" t="s">
        <v>68</v>
      </c>
      <c r="K341" s="1" t="s">
        <v>78</v>
      </c>
      <c r="M341" s="1" t="s">
        <v>58</v>
      </c>
      <c r="N341" s="1" t="s">
        <v>58</v>
      </c>
      <c r="O341" s="1" t="s">
        <v>58</v>
      </c>
      <c r="Q341" s="1" t="s">
        <v>58</v>
      </c>
      <c r="R341" s="1" t="s">
        <v>58</v>
      </c>
      <c r="S341" s="1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81</v>
      </c>
      <c r="Y341" s="1" t="s">
        <v>82</v>
      </c>
      <c r="Z341" s="1" t="s">
        <v>89</v>
      </c>
      <c r="AA341" s="2">
        <v>30.0</v>
      </c>
      <c r="AB341" s="1" t="s">
        <v>79</v>
      </c>
      <c r="AC341" s="1" t="s">
        <v>51</v>
      </c>
      <c r="AD341" s="1" t="s">
        <v>81</v>
      </c>
      <c r="AE341" s="1" t="s">
        <v>51</v>
      </c>
      <c r="AF341" s="1" t="s">
        <v>51</v>
      </c>
      <c r="AG341" s="1" t="s">
        <v>51</v>
      </c>
      <c r="AI341" s="2">
        <v>1.0</v>
      </c>
      <c r="AJ341" s="2">
        <v>0.0</v>
      </c>
      <c r="AK341" s="2">
        <v>0.0</v>
      </c>
      <c r="AL341" s="2">
        <v>0.0</v>
      </c>
      <c r="AM341" s="1" t="s">
        <v>51</v>
      </c>
      <c r="AP341" s="2">
        <v>4.90906177E8</v>
      </c>
      <c r="AQ341" s="1" t="s">
        <v>476</v>
      </c>
      <c r="AR341" s="2">
        <v>45810.49365740741</v>
      </c>
      <c r="AU341" s="1" t="s">
        <v>64</v>
      </c>
      <c r="AW341" s="1" t="s">
        <v>255</v>
      </c>
      <c r="AY341" s="2">
        <v>335.0</v>
      </c>
    </row>
    <row r="342">
      <c r="A342" s="1" t="s">
        <v>51</v>
      </c>
      <c r="C342" s="1" t="s">
        <v>52</v>
      </c>
      <c r="E342" s="1" t="s">
        <v>53</v>
      </c>
      <c r="F342" s="1" t="s">
        <v>54</v>
      </c>
      <c r="G342" s="2">
        <v>22.0</v>
      </c>
      <c r="H342" s="1" t="s">
        <v>66</v>
      </c>
      <c r="I342" s="1" t="s">
        <v>100</v>
      </c>
      <c r="J342" s="1" t="s">
        <v>68</v>
      </c>
      <c r="K342" s="1" t="s">
        <v>57</v>
      </c>
      <c r="M342" s="1" t="s">
        <v>58</v>
      </c>
      <c r="N342" s="1" t="s">
        <v>58</v>
      </c>
      <c r="O342" s="1" t="s">
        <v>58</v>
      </c>
      <c r="Q342" s="1" t="s">
        <v>58</v>
      </c>
      <c r="R342" s="1" t="s">
        <v>58</v>
      </c>
      <c r="S342" s="1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81</v>
      </c>
      <c r="Y342" s="1" t="s">
        <v>82</v>
      </c>
      <c r="Z342" s="1" t="s">
        <v>89</v>
      </c>
      <c r="AA342" s="2">
        <v>20.0</v>
      </c>
      <c r="AB342" s="1" t="s">
        <v>79</v>
      </c>
      <c r="AC342" s="1" t="s">
        <v>51</v>
      </c>
      <c r="AD342" s="1" t="s">
        <v>81</v>
      </c>
      <c r="AE342" s="1" t="s">
        <v>51</v>
      </c>
      <c r="AF342" s="1" t="s">
        <v>51</v>
      </c>
      <c r="AG342" s="1" t="s">
        <v>51</v>
      </c>
      <c r="AI342" s="2">
        <v>1.0</v>
      </c>
      <c r="AJ342" s="2">
        <v>0.0</v>
      </c>
      <c r="AK342" s="2">
        <v>0.0</v>
      </c>
      <c r="AL342" s="2">
        <v>0.0</v>
      </c>
      <c r="AM342" s="1" t="s">
        <v>51</v>
      </c>
      <c r="AP342" s="2">
        <v>4.9090619E8</v>
      </c>
      <c r="AQ342" s="1" t="s">
        <v>477</v>
      </c>
      <c r="AR342" s="2">
        <v>45810.49366898148</v>
      </c>
      <c r="AU342" s="1" t="s">
        <v>64</v>
      </c>
      <c r="AW342" s="1" t="s">
        <v>255</v>
      </c>
      <c r="AY342" s="2">
        <v>336.0</v>
      </c>
    </row>
    <row r="343">
      <c r="A343" s="1" t="s">
        <v>51</v>
      </c>
      <c r="C343" s="1" t="s">
        <v>52</v>
      </c>
      <c r="E343" s="1" t="s">
        <v>53</v>
      </c>
      <c r="F343" s="1" t="s">
        <v>54</v>
      </c>
      <c r="G343" s="2">
        <v>35.0</v>
      </c>
      <c r="H343" s="1" t="s">
        <v>66</v>
      </c>
      <c r="I343" s="1" t="s">
        <v>67</v>
      </c>
      <c r="J343" s="1" t="s">
        <v>68</v>
      </c>
      <c r="K343" s="1" t="s">
        <v>74</v>
      </c>
      <c r="M343" s="1" t="s">
        <v>58</v>
      </c>
      <c r="N343" s="1" t="s">
        <v>58</v>
      </c>
      <c r="O343" s="1" t="s">
        <v>58</v>
      </c>
      <c r="Q343" s="1" t="s">
        <v>58</v>
      </c>
      <c r="R343" s="1" t="s">
        <v>58</v>
      </c>
      <c r="S343" s="1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81</v>
      </c>
      <c r="Y343" s="1" t="s">
        <v>82</v>
      </c>
      <c r="Z343" s="1" t="s">
        <v>61</v>
      </c>
      <c r="AA343" s="2">
        <v>10.0</v>
      </c>
      <c r="AB343" s="1" t="s">
        <v>28</v>
      </c>
      <c r="AC343" s="1" t="s">
        <v>51</v>
      </c>
      <c r="AD343" s="1" t="s">
        <v>81</v>
      </c>
      <c r="AE343" s="1" t="s">
        <v>51</v>
      </c>
      <c r="AF343" s="1" t="s">
        <v>51</v>
      </c>
      <c r="AG343" s="1" t="s">
        <v>72</v>
      </c>
      <c r="AI343" s="2">
        <v>0.0</v>
      </c>
      <c r="AJ343" s="2">
        <v>0.0</v>
      </c>
      <c r="AK343" s="2">
        <v>0.0</v>
      </c>
      <c r="AL343" s="2">
        <v>1.0</v>
      </c>
      <c r="AM343" s="1" t="s">
        <v>72</v>
      </c>
      <c r="AP343" s="2">
        <v>4.90906204E8</v>
      </c>
      <c r="AQ343" s="1" t="s">
        <v>478</v>
      </c>
      <c r="AR343" s="2">
        <v>45810.493680555555</v>
      </c>
      <c r="AU343" s="1" t="s">
        <v>64</v>
      </c>
      <c r="AW343" s="1" t="s">
        <v>255</v>
      </c>
      <c r="AY343" s="2">
        <v>337.0</v>
      </c>
    </row>
    <row r="344">
      <c r="A344" s="1" t="s">
        <v>72</v>
      </c>
      <c r="AP344" s="2">
        <v>4.90906217E8</v>
      </c>
      <c r="AQ344" s="1" t="s">
        <v>479</v>
      </c>
      <c r="AR344" s="2">
        <v>45810.493680555555</v>
      </c>
      <c r="AU344" s="1" t="s">
        <v>64</v>
      </c>
      <c r="AW344" s="1" t="s">
        <v>255</v>
      </c>
      <c r="AY344" s="2">
        <v>338.0</v>
      </c>
    </row>
    <row r="345">
      <c r="A345" s="1" t="s">
        <v>51</v>
      </c>
      <c r="C345" s="1" t="s">
        <v>52</v>
      </c>
      <c r="E345" s="1" t="s">
        <v>53</v>
      </c>
      <c r="F345" s="1" t="s">
        <v>54</v>
      </c>
      <c r="G345" s="2">
        <v>42.0</v>
      </c>
      <c r="H345" s="1" t="s">
        <v>66</v>
      </c>
      <c r="I345" s="1" t="s">
        <v>76</v>
      </c>
      <c r="J345" s="1" t="s">
        <v>68</v>
      </c>
      <c r="K345" s="1" t="s">
        <v>57</v>
      </c>
      <c r="M345" s="1" t="s">
        <v>58</v>
      </c>
      <c r="N345" s="1" t="s">
        <v>58</v>
      </c>
      <c r="O345" s="1" t="s">
        <v>58</v>
      </c>
      <c r="Q345" s="1" t="s">
        <v>58</v>
      </c>
      <c r="R345" s="1" t="s">
        <v>58</v>
      </c>
      <c r="S345" s="1" t="s">
        <v>58</v>
      </c>
      <c r="T345" s="1" t="s">
        <v>58</v>
      </c>
      <c r="U345" s="1" t="s">
        <v>58</v>
      </c>
      <c r="V345" s="1" t="s">
        <v>58</v>
      </c>
      <c r="W345" s="1" t="s">
        <v>58</v>
      </c>
      <c r="X345" s="1" t="s">
        <v>81</v>
      </c>
      <c r="Y345" s="1" t="s">
        <v>82</v>
      </c>
      <c r="Z345" s="1" t="s">
        <v>89</v>
      </c>
      <c r="AA345" s="2">
        <v>20.0</v>
      </c>
      <c r="AB345" s="1" t="s">
        <v>28</v>
      </c>
      <c r="AC345" s="1" t="s">
        <v>51</v>
      </c>
      <c r="AD345" s="1" t="s">
        <v>81</v>
      </c>
      <c r="AE345" s="1" t="s">
        <v>51</v>
      </c>
      <c r="AF345" s="1" t="s">
        <v>51</v>
      </c>
      <c r="AG345" s="1" t="s">
        <v>72</v>
      </c>
      <c r="AI345" s="2">
        <v>0.0</v>
      </c>
      <c r="AJ345" s="2">
        <v>0.0</v>
      </c>
      <c r="AK345" s="2">
        <v>0.0</v>
      </c>
      <c r="AL345" s="2">
        <v>1.0</v>
      </c>
      <c r="AM345" s="1" t="s">
        <v>72</v>
      </c>
      <c r="AP345" s="2">
        <v>4.90907267E8</v>
      </c>
      <c r="AQ345" s="1" t="s">
        <v>480</v>
      </c>
      <c r="AR345" s="2">
        <v>45810.49484953703</v>
      </c>
      <c r="AU345" s="1" t="s">
        <v>64</v>
      </c>
      <c r="AW345" s="1" t="s">
        <v>255</v>
      </c>
      <c r="AY345" s="2">
        <v>339.0</v>
      </c>
    </row>
    <row r="346">
      <c r="A346" s="1" t="s">
        <v>51</v>
      </c>
      <c r="C346" s="1" t="s">
        <v>52</v>
      </c>
      <c r="E346" s="1" t="s">
        <v>53</v>
      </c>
      <c r="F346" s="1" t="s">
        <v>54</v>
      </c>
      <c r="G346" s="2">
        <v>21.0</v>
      </c>
      <c r="H346" s="1" t="s">
        <v>66</v>
      </c>
      <c r="I346" s="1" t="s">
        <v>100</v>
      </c>
      <c r="J346" s="1" t="s">
        <v>68</v>
      </c>
      <c r="K346" s="1" t="s">
        <v>74</v>
      </c>
      <c r="M346" s="1" t="s">
        <v>58</v>
      </c>
      <c r="N346" s="1" t="s">
        <v>58</v>
      </c>
      <c r="O346" s="1" t="s">
        <v>58</v>
      </c>
      <c r="Q346" s="1" t="s">
        <v>58</v>
      </c>
      <c r="R346" s="1" t="s">
        <v>58</v>
      </c>
      <c r="S346" s="1" t="s">
        <v>58</v>
      </c>
      <c r="T346" s="1" t="s">
        <v>58</v>
      </c>
      <c r="U346" s="1" t="s">
        <v>58</v>
      </c>
      <c r="V346" s="1" t="s">
        <v>58</v>
      </c>
      <c r="W346" s="1" t="s">
        <v>58</v>
      </c>
      <c r="X346" s="1" t="s">
        <v>81</v>
      </c>
      <c r="Y346" s="1" t="s">
        <v>60</v>
      </c>
      <c r="Z346" s="1" t="s">
        <v>89</v>
      </c>
      <c r="AA346" s="2">
        <v>20.0</v>
      </c>
      <c r="AB346" s="1" t="s">
        <v>28</v>
      </c>
      <c r="AC346" s="1" t="s">
        <v>71</v>
      </c>
      <c r="AF346" s="1" t="s">
        <v>51</v>
      </c>
      <c r="AG346" s="1" t="s">
        <v>51</v>
      </c>
      <c r="AH346" s="2">
        <v>10.0</v>
      </c>
      <c r="AI346" s="2">
        <v>0.0</v>
      </c>
      <c r="AJ346" s="2">
        <v>0.0</v>
      </c>
      <c r="AK346" s="2">
        <v>0.0</v>
      </c>
      <c r="AL346" s="2">
        <v>1.0</v>
      </c>
      <c r="AM346" s="1" t="s">
        <v>72</v>
      </c>
      <c r="AP346" s="2">
        <v>4.90962388E8</v>
      </c>
      <c r="AQ346" s="1" t="s">
        <v>481</v>
      </c>
      <c r="AR346" s="2">
        <v>45810.551157407404</v>
      </c>
      <c r="AU346" s="1" t="s">
        <v>64</v>
      </c>
      <c r="AW346" s="1" t="s">
        <v>255</v>
      </c>
      <c r="AY346" s="2">
        <v>340.0</v>
      </c>
    </row>
    <row r="347">
      <c r="A347" s="1" t="s">
        <v>51</v>
      </c>
      <c r="C347" s="1" t="s">
        <v>170</v>
      </c>
      <c r="E347" s="1" t="s">
        <v>53</v>
      </c>
      <c r="F347" s="1" t="s">
        <v>54</v>
      </c>
      <c r="G347" s="2">
        <v>29.0</v>
      </c>
      <c r="H347" s="1" t="s">
        <v>66</v>
      </c>
      <c r="I347" s="1" t="s">
        <v>419</v>
      </c>
      <c r="J347" s="1" t="s">
        <v>56</v>
      </c>
      <c r="K347" s="1" t="s">
        <v>74</v>
      </c>
      <c r="M347" s="1" t="s">
        <v>58</v>
      </c>
      <c r="N347" s="1" t="s">
        <v>58</v>
      </c>
      <c r="O347" s="1" t="s">
        <v>58</v>
      </c>
      <c r="Q347" s="1" t="s">
        <v>58</v>
      </c>
      <c r="R347" s="1" t="s">
        <v>58</v>
      </c>
      <c r="S347" s="1" t="s">
        <v>58</v>
      </c>
      <c r="T347" s="1" t="s">
        <v>58</v>
      </c>
      <c r="U347" s="1" t="s">
        <v>69</v>
      </c>
      <c r="V347" s="1" t="s">
        <v>58</v>
      </c>
      <c r="W347" s="1" t="s">
        <v>58</v>
      </c>
      <c r="X347" s="1" t="s">
        <v>81</v>
      </c>
      <c r="Y347" s="1" t="s">
        <v>60</v>
      </c>
      <c r="Z347" s="1" t="s">
        <v>61</v>
      </c>
      <c r="AA347" s="2">
        <v>30.0</v>
      </c>
      <c r="AB347" s="1" t="s">
        <v>28</v>
      </c>
      <c r="AC347" s="1" t="s">
        <v>51</v>
      </c>
      <c r="AD347" s="1" t="s">
        <v>81</v>
      </c>
      <c r="AE347" s="1" t="s">
        <v>51</v>
      </c>
      <c r="AF347" s="1" t="s">
        <v>51</v>
      </c>
      <c r="AG347" s="1" t="s">
        <v>72</v>
      </c>
      <c r="AI347" s="2">
        <v>0.0</v>
      </c>
      <c r="AJ347" s="2">
        <v>0.0</v>
      </c>
      <c r="AK347" s="2">
        <v>0.0</v>
      </c>
      <c r="AL347" s="2">
        <v>1.0</v>
      </c>
      <c r="AM347" s="1" t="s">
        <v>72</v>
      </c>
      <c r="AP347" s="2">
        <v>4.90969826E8</v>
      </c>
      <c r="AQ347" s="1" t="s">
        <v>482</v>
      </c>
      <c r="AR347" s="2">
        <v>45810.55866898148</v>
      </c>
      <c r="AU347" s="1" t="s">
        <v>64</v>
      </c>
      <c r="AW347" s="1" t="s">
        <v>255</v>
      </c>
      <c r="AY347" s="2">
        <v>341.0</v>
      </c>
    </row>
    <row r="348">
      <c r="A348" s="1" t="s">
        <v>51</v>
      </c>
      <c r="C348" s="1" t="s">
        <v>170</v>
      </c>
      <c r="E348" s="1" t="s">
        <v>53</v>
      </c>
      <c r="F348" s="1" t="s">
        <v>54</v>
      </c>
      <c r="G348" s="2">
        <v>40.0</v>
      </c>
      <c r="H348" s="1" t="s">
        <v>55</v>
      </c>
      <c r="I348" s="1" t="s">
        <v>67</v>
      </c>
      <c r="J348" s="1" t="s">
        <v>68</v>
      </c>
      <c r="K348" s="1" t="s">
        <v>92</v>
      </c>
      <c r="M348" s="1" t="s">
        <v>58</v>
      </c>
      <c r="N348" s="1" t="s">
        <v>58</v>
      </c>
      <c r="O348" s="1" t="s">
        <v>58</v>
      </c>
      <c r="Q348" s="1" t="s">
        <v>58</v>
      </c>
      <c r="R348" s="1" t="s">
        <v>58</v>
      </c>
      <c r="S348" s="1" t="s">
        <v>58</v>
      </c>
      <c r="T348" s="1" t="s">
        <v>58</v>
      </c>
      <c r="U348" s="1" t="s">
        <v>58</v>
      </c>
      <c r="V348" s="1" t="s">
        <v>58</v>
      </c>
      <c r="W348" s="1" t="s">
        <v>58</v>
      </c>
      <c r="X348" s="1" t="s">
        <v>81</v>
      </c>
      <c r="Y348" s="1" t="s">
        <v>60</v>
      </c>
      <c r="Z348" s="1" t="s">
        <v>89</v>
      </c>
      <c r="AA348" s="2">
        <v>20.0</v>
      </c>
      <c r="AB348" s="1" t="s">
        <v>28</v>
      </c>
      <c r="AC348" s="1" t="s">
        <v>51</v>
      </c>
      <c r="AD348" s="1" t="s">
        <v>81</v>
      </c>
      <c r="AE348" s="1" t="s">
        <v>51</v>
      </c>
      <c r="AF348" s="1" t="s">
        <v>51</v>
      </c>
      <c r="AG348" s="1" t="s">
        <v>72</v>
      </c>
      <c r="AI348" s="2">
        <v>0.0</v>
      </c>
      <c r="AJ348" s="2">
        <v>0.0</v>
      </c>
      <c r="AK348" s="2">
        <v>0.0</v>
      </c>
      <c r="AL348" s="2">
        <v>1.0</v>
      </c>
      <c r="AM348" s="1" t="s">
        <v>72</v>
      </c>
      <c r="AP348" s="2">
        <v>4.90974958E8</v>
      </c>
      <c r="AQ348" s="1" t="s">
        <v>483</v>
      </c>
      <c r="AR348" s="2">
        <v>45810.563206018516</v>
      </c>
      <c r="AU348" s="1" t="s">
        <v>64</v>
      </c>
      <c r="AW348" s="1" t="s">
        <v>255</v>
      </c>
      <c r="AY348" s="2">
        <v>342.0</v>
      </c>
    </row>
    <row r="349">
      <c r="A349" s="1" t="s">
        <v>51</v>
      </c>
      <c r="C349" s="1" t="s">
        <v>52</v>
      </c>
      <c r="E349" s="1" t="s">
        <v>53</v>
      </c>
      <c r="F349" s="1" t="s">
        <v>54</v>
      </c>
      <c r="G349" s="2">
        <v>26.0</v>
      </c>
      <c r="H349" s="1" t="s">
        <v>66</v>
      </c>
      <c r="I349" s="1" t="s">
        <v>100</v>
      </c>
      <c r="J349" s="1" t="s">
        <v>68</v>
      </c>
      <c r="K349" s="1" t="s">
        <v>92</v>
      </c>
      <c r="M349" s="1" t="s">
        <v>58</v>
      </c>
      <c r="N349" s="1" t="s">
        <v>58</v>
      </c>
      <c r="O349" s="1" t="s">
        <v>58</v>
      </c>
      <c r="Q349" s="1" t="s">
        <v>58</v>
      </c>
      <c r="R349" s="1" t="s">
        <v>58</v>
      </c>
      <c r="S349" s="1" t="s">
        <v>58</v>
      </c>
      <c r="T349" s="1" t="s">
        <v>58</v>
      </c>
      <c r="U349" s="1" t="s">
        <v>58</v>
      </c>
      <c r="V349" s="1" t="s">
        <v>58</v>
      </c>
      <c r="W349" s="1" t="s">
        <v>58</v>
      </c>
      <c r="X349" s="1" t="s">
        <v>81</v>
      </c>
      <c r="Y349" s="1" t="s">
        <v>82</v>
      </c>
      <c r="Z349" s="1" t="s">
        <v>89</v>
      </c>
      <c r="AA349" s="2">
        <v>30.0</v>
      </c>
      <c r="AB349" s="1" t="s">
        <v>28</v>
      </c>
      <c r="AC349" s="1" t="s">
        <v>71</v>
      </c>
      <c r="AF349" s="1" t="s">
        <v>51</v>
      </c>
      <c r="AG349" s="1" t="s">
        <v>72</v>
      </c>
      <c r="AI349" s="2">
        <v>0.0</v>
      </c>
      <c r="AJ349" s="2">
        <v>0.0</v>
      </c>
      <c r="AK349" s="2">
        <v>0.0</v>
      </c>
      <c r="AL349" s="2">
        <v>1.0</v>
      </c>
      <c r="AM349" s="1" t="s">
        <v>72</v>
      </c>
      <c r="AP349" s="2">
        <v>4.90977302E8</v>
      </c>
      <c r="AQ349" s="1" t="s">
        <v>484</v>
      </c>
      <c r="AR349" s="2">
        <v>45810.56553240741</v>
      </c>
      <c r="AU349" s="1" t="s">
        <v>64</v>
      </c>
      <c r="AW349" s="1" t="s">
        <v>255</v>
      </c>
      <c r="AY349" s="2">
        <v>343.0</v>
      </c>
    </row>
    <row r="350">
      <c r="A350" s="1" t="s">
        <v>51</v>
      </c>
      <c r="C350" s="1" t="s">
        <v>52</v>
      </c>
      <c r="E350" s="1" t="s">
        <v>53</v>
      </c>
      <c r="F350" s="1" t="s">
        <v>54</v>
      </c>
      <c r="G350" s="2">
        <v>47.0</v>
      </c>
      <c r="H350" s="1" t="s">
        <v>66</v>
      </c>
      <c r="I350" s="1" t="s">
        <v>419</v>
      </c>
      <c r="J350" s="1" t="s">
        <v>68</v>
      </c>
      <c r="K350" s="1" t="s">
        <v>74</v>
      </c>
      <c r="M350" s="1" t="s">
        <v>58</v>
      </c>
      <c r="N350" s="1" t="s">
        <v>58</v>
      </c>
      <c r="O350" s="1" t="s">
        <v>58</v>
      </c>
      <c r="Q350" s="1" t="s">
        <v>58</v>
      </c>
      <c r="R350" s="1" t="s">
        <v>58</v>
      </c>
      <c r="S350" s="1" t="s">
        <v>58</v>
      </c>
      <c r="T350" s="1" t="s">
        <v>58</v>
      </c>
      <c r="U350" s="1" t="s">
        <v>58</v>
      </c>
      <c r="V350" s="1" t="s">
        <v>58</v>
      </c>
      <c r="W350" s="1" t="s">
        <v>58</v>
      </c>
      <c r="X350" s="1" t="s">
        <v>81</v>
      </c>
      <c r="Y350" s="1" t="s">
        <v>82</v>
      </c>
      <c r="Z350" s="1" t="s">
        <v>61</v>
      </c>
      <c r="AA350" s="2">
        <v>40.0</v>
      </c>
      <c r="AB350" s="1" t="s">
        <v>28</v>
      </c>
      <c r="AC350" s="1" t="s">
        <v>71</v>
      </c>
      <c r="AF350" s="1" t="s">
        <v>51</v>
      </c>
      <c r="AG350" s="1" t="s">
        <v>72</v>
      </c>
      <c r="AI350" s="2">
        <v>0.0</v>
      </c>
      <c r="AJ350" s="2">
        <v>0.0</v>
      </c>
      <c r="AK350" s="2">
        <v>0.0</v>
      </c>
      <c r="AL350" s="2">
        <v>1.0</v>
      </c>
      <c r="AM350" s="1" t="s">
        <v>72</v>
      </c>
      <c r="AP350" s="2">
        <v>4.90981552E8</v>
      </c>
      <c r="AQ350" s="1" t="s">
        <v>485</v>
      </c>
      <c r="AR350" s="2">
        <v>45810.56888888889</v>
      </c>
      <c r="AU350" s="1" t="s">
        <v>64</v>
      </c>
      <c r="AW350" s="1" t="s">
        <v>255</v>
      </c>
      <c r="AY350" s="2">
        <v>344.0</v>
      </c>
    </row>
    <row r="351">
      <c r="A351" s="1" t="s">
        <v>51</v>
      </c>
      <c r="C351" s="1" t="s">
        <v>52</v>
      </c>
      <c r="E351" s="1" t="s">
        <v>53</v>
      </c>
      <c r="F351" s="1" t="s">
        <v>54</v>
      </c>
      <c r="G351" s="2">
        <v>32.0</v>
      </c>
      <c r="H351" s="1" t="s">
        <v>66</v>
      </c>
      <c r="I351" s="1" t="s">
        <v>100</v>
      </c>
      <c r="J351" s="1" t="s">
        <v>68</v>
      </c>
      <c r="K351" s="1" t="s">
        <v>57</v>
      </c>
      <c r="M351" s="1" t="s">
        <v>58</v>
      </c>
      <c r="N351" s="1" t="s">
        <v>58</v>
      </c>
      <c r="O351" s="1" t="s">
        <v>58</v>
      </c>
      <c r="Q351" s="1" t="s">
        <v>58</v>
      </c>
      <c r="R351" s="1" t="s">
        <v>58</v>
      </c>
      <c r="S351" s="1" t="s">
        <v>58</v>
      </c>
      <c r="T351" s="1" t="s">
        <v>58</v>
      </c>
      <c r="U351" s="1" t="s">
        <v>58</v>
      </c>
      <c r="V351" s="1" t="s">
        <v>58</v>
      </c>
      <c r="W351" s="1" t="s">
        <v>58</v>
      </c>
      <c r="X351" s="1" t="s">
        <v>81</v>
      </c>
      <c r="Y351" s="1" t="s">
        <v>82</v>
      </c>
      <c r="Z351" s="1" t="s">
        <v>89</v>
      </c>
      <c r="AA351" s="2">
        <v>20.0</v>
      </c>
      <c r="AB351" s="1" t="s">
        <v>79</v>
      </c>
      <c r="AC351" s="1" t="s">
        <v>51</v>
      </c>
      <c r="AD351" s="1" t="s">
        <v>81</v>
      </c>
      <c r="AE351" s="1" t="s">
        <v>51</v>
      </c>
      <c r="AF351" s="1" t="s">
        <v>51</v>
      </c>
      <c r="AG351" s="1" t="s">
        <v>51</v>
      </c>
      <c r="AI351" s="2">
        <v>1.0</v>
      </c>
      <c r="AJ351" s="2">
        <v>0.0</v>
      </c>
      <c r="AK351" s="2">
        <v>0.0</v>
      </c>
      <c r="AL351" s="2">
        <v>0.0</v>
      </c>
      <c r="AM351" s="1" t="s">
        <v>51</v>
      </c>
      <c r="AP351" s="2">
        <v>4.90983613E8</v>
      </c>
      <c r="AQ351" s="1" t="s">
        <v>486</v>
      </c>
      <c r="AR351" s="2">
        <v>45810.57034722222</v>
      </c>
      <c r="AU351" s="1" t="s">
        <v>64</v>
      </c>
      <c r="AW351" s="1" t="s">
        <v>255</v>
      </c>
      <c r="AY351" s="2">
        <v>345.0</v>
      </c>
    </row>
    <row r="352">
      <c r="A352" s="1" t="s">
        <v>51</v>
      </c>
      <c r="C352" s="1" t="s">
        <v>52</v>
      </c>
      <c r="E352" s="1" t="s">
        <v>53</v>
      </c>
      <c r="F352" s="1" t="s">
        <v>54</v>
      </c>
      <c r="G352" s="2">
        <v>27.0</v>
      </c>
      <c r="H352" s="1" t="s">
        <v>66</v>
      </c>
      <c r="I352" s="1" t="s">
        <v>76</v>
      </c>
      <c r="J352" s="1" t="s">
        <v>68</v>
      </c>
      <c r="K352" s="1" t="s">
        <v>57</v>
      </c>
      <c r="M352" s="1" t="s">
        <v>58</v>
      </c>
      <c r="N352" s="1" t="s">
        <v>58</v>
      </c>
      <c r="O352" s="1" t="s">
        <v>58</v>
      </c>
      <c r="Q352" s="1" t="s">
        <v>58</v>
      </c>
      <c r="R352" s="1" t="s">
        <v>58</v>
      </c>
      <c r="S352" s="1" t="s">
        <v>58</v>
      </c>
      <c r="T352" s="1" t="s">
        <v>58</v>
      </c>
      <c r="U352" s="1" t="s">
        <v>58</v>
      </c>
      <c r="V352" s="1" t="s">
        <v>58</v>
      </c>
      <c r="W352" s="1" t="s">
        <v>58</v>
      </c>
      <c r="X352" s="1" t="s">
        <v>81</v>
      </c>
      <c r="Y352" s="1" t="s">
        <v>82</v>
      </c>
      <c r="Z352" s="1" t="s">
        <v>89</v>
      </c>
      <c r="AA352" s="2">
        <v>50.0</v>
      </c>
      <c r="AB352" s="1" t="s">
        <v>79</v>
      </c>
      <c r="AC352" s="1" t="s">
        <v>51</v>
      </c>
      <c r="AD352" s="1" t="s">
        <v>81</v>
      </c>
      <c r="AE352" s="1" t="s">
        <v>51</v>
      </c>
      <c r="AF352" s="1" t="s">
        <v>51</v>
      </c>
      <c r="AG352" s="1" t="s">
        <v>51</v>
      </c>
      <c r="AI352" s="2">
        <v>1.0</v>
      </c>
      <c r="AJ352" s="2">
        <v>0.0</v>
      </c>
      <c r="AK352" s="2">
        <v>0.0</v>
      </c>
      <c r="AL352" s="2">
        <v>0.0</v>
      </c>
      <c r="AM352" s="1" t="s">
        <v>51</v>
      </c>
      <c r="AP352" s="2">
        <v>4.90985158E8</v>
      </c>
      <c r="AQ352" s="1" t="s">
        <v>487</v>
      </c>
      <c r="AR352" s="2">
        <v>45810.57181712963</v>
      </c>
      <c r="AU352" s="1" t="s">
        <v>64</v>
      </c>
      <c r="AW352" s="1" t="s">
        <v>255</v>
      </c>
      <c r="AY352" s="2">
        <v>346.0</v>
      </c>
    </row>
    <row r="353">
      <c r="A353" s="1" t="s">
        <v>51</v>
      </c>
      <c r="C353" s="1" t="s">
        <v>52</v>
      </c>
      <c r="E353" s="1" t="s">
        <v>441</v>
      </c>
      <c r="G353" s="2">
        <v>31.0</v>
      </c>
      <c r="H353" s="1" t="s">
        <v>66</v>
      </c>
      <c r="J353" s="1" t="s">
        <v>68</v>
      </c>
      <c r="K353" s="1" t="s">
        <v>74</v>
      </c>
      <c r="M353" s="1" t="s">
        <v>58</v>
      </c>
      <c r="N353" s="1" t="s">
        <v>58</v>
      </c>
      <c r="O353" s="1" t="s">
        <v>58</v>
      </c>
      <c r="Q353" s="1" t="s">
        <v>58</v>
      </c>
      <c r="R353" s="1" t="s">
        <v>58</v>
      </c>
      <c r="S353" s="1" t="s">
        <v>58</v>
      </c>
      <c r="T353" s="1" t="s">
        <v>58</v>
      </c>
      <c r="U353" s="1" t="s">
        <v>58</v>
      </c>
      <c r="V353" s="1" t="s">
        <v>58</v>
      </c>
      <c r="W353" s="1" t="s">
        <v>58</v>
      </c>
      <c r="X353" s="1" t="s">
        <v>81</v>
      </c>
      <c r="Y353" s="1" t="s">
        <v>82</v>
      </c>
      <c r="Z353" s="1" t="s">
        <v>89</v>
      </c>
      <c r="AA353" s="2">
        <v>50.0</v>
      </c>
      <c r="AB353" s="1" t="s">
        <v>79</v>
      </c>
      <c r="AC353" s="1" t="s">
        <v>51</v>
      </c>
      <c r="AD353" s="1" t="s">
        <v>81</v>
      </c>
      <c r="AE353" s="1" t="s">
        <v>51</v>
      </c>
      <c r="AF353" s="1" t="s">
        <v>51</v>
      </c>
      <c r="AG353" s="1" t="s">
        <v>51</v>
      </c>
      <c r="AI353" s="2">
        <v>1.0</v>
      </c>
      <c r="AJ353" s="2">
        <v>0.0</v>
      </c>
      <c r="AK353" s="2">
        <v>0.0</v>
      </c>
      <c r="AL353" s="2">
        <v>0.0</v>
      </c>
      <c r="AP353" s="2">
        <v>4.90986287E8</v>
      </c>
      <c r="AQ353" s="1" t="s">
        <v>488</v>
      </c>
      <c r="AR353" s="2">
        <v>45810.57287037037</v>
      </c>
      <c r="AU353" s="1" t="s">
        <v>64</v>
      </c>
      <c r="AW353" s="1" t="s">
        <v>255</v>
      </c>
      <c r="AY353" s="2">
        <v>347.0</v>
      </c>
    </row>
    <row r="354">
      <c r="A354" s="1" t="s">
        <v>51</v>
      </c>
      <c r="C354" s="1" t="s">
        <v>52</v>
      </c>
      <c r="E354" s="1" t="s">
        <v>53</v>
      </c>
      <c r="F354" s="1" t="s">
        <v>54</v>
      </c>
      <c r="G354" s="2">
        <v>41.0</v>
      </c>
      <c r="H354" s="1" t="s">
        <v>66</v>
      </c>
      <c r="I354" s="1" t="s">
        <v>76</v>
      </c>
      <c r="J354" s="1" t="s">
        <v>68</v>
      </c>
      <c r="K354" s="1" t="s">
        <v>74</v>
      </c>
      <c r="M354" s="1" t="s">
        <v>58</v>
      </c>
      <c r="N354" s="1" t="s">
        <v>58</v>
      </c>
      <c r="O354" s="1" t="s">
        <v>58</v>
      </c>
      <c r="Q354" s="1" t="s">
        <v>58</v>
      </c>
      <c r="R354" s="1" t="s">
        <v>58</v>
      </c>
      <c r="S354" s="1" t="s">
        <v>58</v>
      </c>
      <c r="T354" s="1" t="s">
        <v>58</v>
      </c>
      <c r="U354" s="1" t="s">
        <v>58</v>
      </c>
      <c r="V354" s="1" t="s">
        <v>58</v>
      </c>
      <c r="W354" s="1" t="s">
        <v>58</v>
      </c>
      <c r="X354" s="1" t="s">
        <v>81</v>
      </c>
      <c r="Y354" s="1" t="s">
        <v>82</v>
      </c>
      <c r="Z354" s="1" t="s">
        <v>89</v>
      </c>
      <c r="AA354" s="2">
        <v>30.0</v>
      </c>
      <c r="AB354" s="1" t="s">
        <v>79</v>
      </c>
      <c r="AC354" s="1" t="s">
        <v>51</v>
      </c>
      <c r="AD354" s="1" t="s">
        <v>81</v>
      </c>
      <c r="AE354" s="1" t="s">
        <v>51</v>
      </c>
      <c r="AF354" s="1" t="s">
        <v>51</v>
      </c>
      <c r="AG354" s="1" t="s">
        <v>51</v>
      </c>
      <c r="AI354" s="2">
        <v>1.0</v>
      </c>
      <c r="AJ354" s="2">
        <v>0.0</v>
      </c>
      <c r="AK354" s="2">
        <v>0.0</v>
      </c>
      <c r="AL354" s="2">
        <v>0.0</v>
      </c>
      <c r="AM354" s="1" t="s">
        <v>51</v>
      </c>
      <c r="AP354" s="2">
        <v>4.9098773E8</v>
      </c>
      <c r="AQ354" s="1" t="s">
        <v>489</v>
      </c>
      <c r="AR354" s="2">
        <v>45810.57418981481</v>
      </c>
      <c r="AU354" s="1" t="s">
        <v>64</v>
      </c>
      <c r="AW354" s="1" t="s">
        <v>255</v>
      </c>
      <c r="AY354" s="2">
        <v>348.0</v>
      </c>
    </row>
    <row r="355">
      <c r="A355" s="1" t="s">
        <v>51</v>
      </c>
      <c r="C355" s="1" t="s">
        <v>52</v>
      </c>
      <c r="E355" s="1" t="s">
        <v>53</v>
      </c>
      <c r="F355" s="1" t="s">
        <v>54</v>
      </c>
      <c r="G355" s="2">
        <v>28.0</v>
      </c>
      <c r="H355" s="1" t="s">
        <v>66</v>
      </c>
      <c r="I355" s="1" t="s">
        <v>76</v>
      </c>
      <c r="J355" s="1" t="s">
        <v>68</v>
      </c>
      <c r="K355" s="1" t="s">
        <v>74</v>
      </c>
      <c r="M355" s="1" t="s">
        <v>58</v>
      </c>
      <c r="N355" s="1" t="s">
        <v>58</v>
      </c>
      <c r="O355" s="1" t="s">
        <v>58</v>
      </c>
      <c r="Q355" s="1" t="s">
        <v>58</v>
      </c>
      <c r="R355" s="1" t="s">
        <v>58</v>
      </c>
      <c r="S355" s="1" t="s">
        <v>58</v>
      </c>
      <c r="T355" s="1" t="s">
        <v>58</v>
      </c>
      <c r="U355" s="1" t="s">
        <v>58</v>
      </c>
      <c r="V355" s="1" t="s">
        <v>58</v>
      </c>
      <c r="W355" s="1" t="s">
        <v>58</v>
      </c>
      <c r="X355" s="1" t="s">
        <v>81</v>
      </c>
      <c r="Y355" s="1" t="s">
        <v>82</v>
      </c>
      <c r="Z355" s="1" t="s">
        <v>89</v>
      </c>
      <c r="AA355" s="2">
        <v>10.0</v>
      </c>
      <c r="AB355" s="1" t="s">
        <v>79</v>
      </c>
      <c r="AC355" s="1" t="s">
        <v>51</v>
      </c>
      <c r="AE355" s="1" t="s">
        <v>51</v>
      </c>
      <c r="AF355" s="1" t="s">
        <v>51</v>
      </c>
      <c r="AG355" s="1" t="s">
        <v>51</v>
      </c>
      <c r="AI355" s="2">
        <v>1.0</v>
      </c>
      <c r="AJ355" s="2">
        <v>0.0</v>
      </c>
      <c r="AK355" s="2">
        <v>0.0</v>
      </c>
      <c r="AL355" s="2">
        <v>0.0</v>
      </c>
      <c r="AM355" s="1" t="s">
        <v>51</v>
      </c>
      <c r="AP355" s="2">
        <v>4.909892E8</v>
      </c>
      <c r="AQ355" s="1" t="s">
        <v>490</v>
      </c>
      <c r="AR355" s="2">
        <v>45810.57538194444</v>
      </c>
      <c r="AU355" s="1" t="s">
        <v>64</v>
      </c>
      <c r="AW355" s="1" t="s">
        <v>255</v>
      </c>
      <c r="AY355" s="2">
        <v>349.0</v>
      </c>
    </row>
    <row r="356">
      <c r="A356" s="1" t="s">
        <v>51</v>
      </c>
      <c r="C356" s="1" t="s">
        <v>52</v>
      </c>
      <c r="E356" s="1" t="s">
        <v>53</v>
      </c>
      <c r="F356" s="1" t="s">
        <v>54</v>
      </c>
      <c r="G356" s="2">
        <v>24.0</v>
      </c>
      <c r="H356" s="1" t="s">
        <v>66</v>
      </c>
      <c r="I356" s="1" t="s">
        <v>100</v>
      </c>
      <c r="J356" s="1" t="s">
        <v>68</v>
      </c>
      <c r="K356" s="1" t="s">
        <v>74</v>
      </c>
      <c r="M356" s="1" t="s">
        <v>58</v>
      </c>
      <c r="N356" s="1" t="s">
        <v>58</v>
      </c>
      <c r="O356" s="1" t="s">
        <v>58</v>
      </c>
      <c r="Q356" s="1" t="s">
        <v>58</v>
      </c>
      <c r="R356" s="1" t="s">
        <v>58</v>
      </c>
      <c r="S356" s="1" t="s">
        <v>58</v>
      </c>
      <c r="T356" s="1" t="s">
        <v>58</v>
      </c>
      <c r="U356" s="1" t="s">
        <v>58</v>
      </c>
      <c r="V356" s="1" t="s">
        <v>58</v>
      </c>
      <c r="W356" s="1" t="s">
        <v>58</v>
      </c>
      <c r="X356" s="1" t="s">
        <v>81</v>
      </c>
      <c r="Y356" s="1" t="s">
        <v>82</v>
      </c>
      <c r="Z356" s="1" t="s">
        <v>89</v>
      </c>
      <c r="AA356" s="2">
        <v>30.0</v>
      </c>
      <c r="AB356" s="1" t="s">
        <v>79</v>
      </c>
      <c r="AC356" s="1" t="s">
        <v>51</v>
      </c>
      <c r="AD356" s="1" t="s">
        <v>81</v>
      </c>
      <c r="AE356" s="1" t="s">
        <v>51</v>
      </c>
      <c r="AF356" s="1" t="s">
        <v>51</v>
      </c>
      <c r="AG356" s="1" t="s">
        <v>51</v>
      </c>
      <c r="AI356" s="2">
        <v>1.0</v>
      </c>
      <c r="AJ356" s="2">
        <v>0.0</v>
      </c>
      <c r="AK356" s="2">
        <v>0.0</v>
      </c>
      <c r="AL356" s="2">
        <v>0.0</v>
      </c>
      <c r="AM356" s="1" t="s">
        <v>51</v>
      </c>
      <c r="AP356" s="2">
        <v>4.90990809E8</v>
      </c>
      <c r="AQ356" s="1" t="s">
        <v>491</v>
      </c>
      <c r="AR356" s="2">
        <v>45810.57671296296</v>
      </c>
      <c r="AU356" s="1" t="s">
        <v>64</v>
      </c>
      <c r="AW356" s="1" t="s">
        <v>255</v>
      </c>
      <c r="AY356" s="2">
        <v>350.0</v>
      </c>
    </row>
    <row r="357">
      <c r="A357" s="1" t="s">
        <v>51</v>
      </c>
      <c r="C357" s="1" t="s">
        <v>52</v>
      </c>
      <c r="E357" s="1" t="s">
        <v>53</v>
      </c>
      <c r="F357" s="1" t="s">
        <v>54</v>
      </c>
      <c r="G357" s="2">
        <v>24.0</v>
      </c>
      <c r="H357" s="1" t="s">
        <v>66</v>
      </c>
      <c r="I357" s="1" t="s">
        <v>100</v>
      </c>
      <c r="J357" s="1" t="s">
        <v>68</v>
      </c>
      <c r="K357" s="1" t="s">
        <v>74</v>
      </c>
      <c r="M357" s="1" t="s">
        <v>58</v>
      </c>
      <c r="N357" s="1" t="s">
        <v>58</v>
      </c>
      <c r="O357" s="1" t="s">
        <v>58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58</v>
      </c>
      <c r="V357" s="1" t="s">
        <v>58</v>
      </c>
      <c r="W357" s="1" t="s">
        <v>58</v>
      </c>
      <c r="X357" s="1" t="s">
        <v>81</v>
      </c>
      <c r="Y357" s="1" t="s">
        <v>82</v>
      </c>
      <c r="Z357" s="1" t="s">
        <v>89</v>
      </c>
      <c r="AA357" s="2">
        <v>10.0</v>
      </c>
      <c r="AB357" s="1" t="s">
        <v>79</v>
      </c>
      <c r="AC357" s="1" t="s">
        <v>51</v>
      </c>
      <c r="AD357" s="1" t="s">
        <v>81</v>
      </c>
      <c r="AE357" s="1" t="s">
        <v>51</v>
      </c>
      <c r="AF357" s="1" t="s">
        <v>51</v>
      </c>
      <c r="AG357" s="1" t="s">
        <v>51</v>
      </c>
      <c r="AI357" s="2">
        <v>1.0</v>
      </c>
      <c r="AJ357" s="2">
        <v>0.0</v>
      </c>
      <c r="AK357" s="2">
        <v>0.0</v>
      </c>
      <c r="AL357" s="2">
        <v>0.0</v>
      </c>
      <c r="AM357" s="1" t="s">
        <v>51</v>
      </c>
      <c r="AP357" s="2">
        <v>4.90993117E8</v>
      </c>
      <c r="AQ357" s="1" t="s">
        <v>492</v>
      </c>
      <c r="AR357" s="2">
        <v>45810.57863425926</v>
      </c>
      <c r="AU357" s="1" t="s">
        <v>64</v>
      </c>
      <c r="AW357" s="1" t="s">
        <v>255</v>
      </c>
      <c r="AY357" s="2">
        <v>351.0</v>
      </c>
    </row>
    <row r="358">
      <c r="A358" s="1" t="s">
        <v>51</v>
      </c>
      <c r="C358" s="1" t="s">
        <v>52</v>
      </c>
      <c r="E358" s="1" t="s">
        <v>53</v>
      </c>
      <c r="F358" s="1" t="s">
        <v>54</v>
      </c>
      <c r="G358" s="2">
        <v>32.0</v>
      </c>
      <c r="H358" s="1" t="s">
        <v>66</v>
      </c>
      <c r="I358" s="1" t="s">
        <v>100</v>
      </c>
      <c r="J358" s="1" t="s">
        <v>68</v>
      </c>
      <c r="K358" s="1" t="s">
        <v>74</v>
      </c>
      <c r="M358" s="1" t="s">
        <v>58</v>
      </c>
      <c r="N358" s="1" t="s">
        <v>58</v>
      </c>
      <c r="O358" s="1" t="s">
        <v>58</v>
      </c>
      <c r="Q358" s="1" t="s">
        <v>58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81</v>
      </c>
      <c r="Y358" s="1" t="s">
        <v>82</v>
      </c>
      <c r="Z358" s="1" t="s">
        <v>89</v>
      </c>
      <c r="AA358" s="2">
        <v>30.0</v>
      </c>
      <c r="AB358" s="1" t="s">
        <v>79</v>
      </c>
      <c r="AC358" s="1" t="s">
        <v>51</v>
      </c>
      <c r="AD358" s="1" t="s">
        <v>81</v>
      </c>
      <c r="AE358" s="1" t="s">
        <v>51</v>
      </c>
      <c r="AF358" s="1" t="s">
        <v>51</v>
      </c>
      <c r="AG358" s="1" t="s">
        <v>51</v>
      </c>
      <c r="AI358" s="2">
        <v>1.0</v>
      </c>
      <c r="AJ358" s="2">
        <v>0.0</v>
      </c>
      <c r="AK358" s="2">
        <v>0.0</v>
      </c>
      <c r="AL358" s="2">
        <v>0.0</v>
      </c>
      <c r="AM358" s="1" t="s">
        <v>51</v>
      </c>
      <c r="AP358" s="2">
        <v>4.90994751E8</v>
      </c>
      <c r="AQ358" s="1" t="s">
        <v>493</v>
      </c>
      <c r="AR358" s="2">
        <v>45810.58002314815</v>
      </c>
      <c r="AU358" s="1" t="s">
        <v>64</v>
      </c>
      <c r="AW358" s="1" t="s">
        <v>255</v>
      </c>
      <c r="AY358" s="2">
        <v>352.0</v>
      </c>
    </row>
    <row r="359">
      <c r="A359" s="1" t="s">
        <v>51</v>
      </c>
      <c r="C359" s="1" t="s">
        <v>52</v>
      </c>
      <c r="E359" s="1" t="s">
        <v>53</v>
      </c>
      <c r="F359" s="1" t="s">
        <v>54</v>
      </c>
      <c r="G359" s="2">
        <v>42.0</v>
      </c>
      <c r="H359" s="1" t="s">
        <v>66</v>
      </c>
      <c r="I359" s="1" t="s">
        <v>67</v>
      </c>
      <c r="J359" s="1" t="s">
        <v>68</v>
      </c>
      <c r="K359" s="1" t="s">
        <v>57</v>
      </c>
      <c r="M359" s="1" t="s">
        <v>58</v>
      </c>
      <c r="N359" s="1" t="s">
        <v>58</v>
      </c>
      <c r="O359" s="1" t="s">
        <v>58</v>
      </c>
      <c r="Q359" s="1" t="s">
        <v>58</v>
      </c>
      <c r="R359" s="1" t="s">
        <v>58</v>
      </c>
      <c r="S359" s="1" t="s">
        <v>58</v>
      </c>
      <c r="T359" s="1" t="s">
        <v>58</v>
      </c>
      <c r="U359" s="1" t="s">
        <v>58</v>
      </c>
      <c r="V359" s="1" t="s">
        <v>58</v>
      </c>
      <c r="W359" s="1" t="s">
        <v>58</v>
      </c>
      <c r="X359" s="1" t="s">
        <v>81</v>
      </c>
      <c r="Y359" s="1" t="s">
        <v>82</v>
      </c>
      <c r="Z359" s="1" t="s">
        <v>89</v>
      </c>
      <c r="AA359" s="2">
        <v>40.0</v>
      </c>
      <c r="AB359" s="1" t="s">
        <v>79</v>
      </c>
      <c r="AC359" s="1" t="s">
        <v>51</v>
      </c>
      <c r="AD359" s="1" t="s">
        <v>81</v>
      </c>
      <c r="AE359" s="1" t="s">
        <v>51</v>
      </c>
      <c r="AF359" s="1" t="s">
        <v>51</v>
      </c>
      <c r="AG359" s="1" t="s">
        <v>51</v>
      </c>
      <c r="AI359" s="2">
        <v>1.0</v>
      </c>
      <c r="AJ359" s="2">
        <v>0.0</v>
      </c>
      <c r="AK359" s="2">
        <v>0.0</v>
      </c>
      <c r="AL359" s="2">
        <v>0.0</v>
      </c>
      <c r="AM359" s="1" t="s">
        <v>51</v>
      </c>
      <c r="AP359" s="2">
        <v>4.90996564E8</v>
      </c>
      <c r="AQ359" s="1" t="s">
        <v>494</v>
      </c>
      <c r="AR359" s="2">
        <v>45810.581354166665</v>
      </c>
      <c r="AU359" s="1" t="s">
        <v>64</v>
      </c>
      <c r="AW359" s="1" t="s">
        <v>255</v>
      </c>
      <c r="AY359" s="2">
        <v>353.0</v>
      </c>
    </row>
    <row r="360">
      <c r="A360" s="1" t="s">
        <v>51</v>
      </c>
      <c r="C360" s="1" t="s">
        <v>52</v>
      </c>
      <c r="E360" s="1" t="s">
        <v>53</v>
      </c>
      <c r="F360" s="1" t="s">
        <v>54</v>
      </c>
      <c r="G360" s="2">
        <v>26.0</v>
      </c>
      <c r="H360" s="1" t="s">
        <v>66</v>
      </c>
      <c r="I360" s="1" t="s">
        <v>76</v>
      </c>
      <c r="J360" s="1" t="s">
        <v>56</v>
      </c>
      <c r="K360" s="1" t="s">
        <v>57</v>
      </c>
      <c r="M360" s="1" t="s">
        <v>58</v>
      </c>
      <c r="N360" s="1" t="s">
        <v>58</v>
      </c>
      <c r="O360" s="1" t="s">
        <v>58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  <c r="W360" s="1" t="s">
        <v>58</v>
      </c>
      <c r="X360" s="1" t="s">
        <v>81</v>
      </c>
      <c r="Y360" s="1" t="s">
        <v>82</v>
      </c>
      <c r="Z360" s="1" t="s">
        <v>89</v>
      </c>
      <c r="AA360" s="2">
        <v>10.0</v>
      </c>
      <c r="AB360" s="1" t="s">
        <v>79</v>
      </c>
      <c r="AC360" s="1" t="s">
        <v>51</v>
      </c>
      <c r="AD360" s="1" t="s">
        <v>81</v>
      </c>
      <c r="AE360" s="1" t="s">
        <v>51</v>
      </c>
      <c r="AF360" s="1" t="s">
        <v>51</v>
      </c>
      <c r="AG360" s="1" t="s">
        <v>51</v>
      </c>
      <c r="AI360" s="2">
        <v>1.0</v>
      </c>
      <c r="AJ360" s="2">
        <v>0.0</v>
      </c>
      <c r="AK360" s="2">
        <v>0.0</v>
      </c>
      <c r="AL360" s="2">
        <v>0.0</v>
      </c>
      <c r="AM360" s="1" t="s">
        <v>51</v>
      </c>
      <c r="AP360" s="2">
        <v>4.90997907E8</v>
      </c>
      <c r="AQ360" s="1" t="s">
        <v>495</v>
      </c>
      <c r="AR360" s="2">
        <v>45810.58256944444</v>
      </c>
      <c r="AU360" s="1" t="s">
        <v>64</v>
      </c>
      <c r="AW360" s="1" t="s">
        <v>255</v>
      </c>
      <c r="AY360" s="2">
        <v>354.0</v>
      </c>
    </row>
    <row r="361">
      <c r="A361" s="1" t="s">
        <v>51</v>
      </c>
      <c r="C361" s="1" t="s">
        <v>52</v>
      </c>
      <c r="E361" s="1" t="s">
        <v>53</v>
      </c>
      <c r="F361" s="1" t="s">
        <v>54</v>
      </c>
      <c r="G361" s="2">
        <v>22.0</v>
      </c>
      <c r="H361" s="1" t="s">
        <v>66</v>
      </c>
      <c r="I361" s="1" t="s">
        <v>100</v>
      </c>
      <c r="J361" s="1" t="s">
        <v>56</v>
      </c>
      <c r="K361" s="1" t="s">
        <v>57</v>
      </c>
      <c r="M361" s="1" t="s">
        <v>58</v>
      </c>
      <c r="N361" s="1" t="s">
        <v>58</v>
      </c>
      <c r="O361" s="1" t="s">
        <v>58</v>
      </c>
      <c r="Q361" s="1" t="s">
        <v>58</v>
      </c>
      <c r="R361" s="1" t="s">
        <v>58</v>
      </c>
      <c r="S361" s="1" t="s">
        <v>58</v>
      </c>
      <c r="T361" s="1" t="s">
        <v>58</v>
      </c>
      <c r="V361" s="1" t="s">
        <v>58</v>
      </c>
      <c r="X361" s="1" t="s">
        <v>81</v>
      </c>
      <c r="Y361" s="1" t="s">
        <v>82</v>
      </c>
      <c r="Z361" s="1" t="s">
        <v>89</v>
      </c>
      <c r="AA361" s="2">
        <v>30.0</v>
      </c>
      <c r="AB361" s="1" t="s">
        <v>79</v>
      </c>
      <c r="AC361" s="1" t="s">
        <v>51</v>
      </c>
      <c r="AD361" s="1" t="s">
        <v>81</v>
      </c>
      <c r="AE361" s="1" t="s">
        <v>51</v>
      </c>
      <c r="AF361" s="1" t="s">
        <v>51</v>
      </c>
      <c r="AG361" s="1" t="s">
        <v>51</v>
      </c>
      <c r="AI361" s="2">
        <v>0.0</v>
      </c>
      <c r="AJ361" s="2">
        <v>0.0</v>
      </c>
      <c r="AK361" s="2">
        <v>0.0</v>
      </c>
      <c r="AL361" s="2">
        <v>1.0</v>
      </c>
      <c r="AM361" s="1" t="s">
        <v>51</v>
      </c>
      <c r="AP361" s="2">
        <v>4.90999516E8</v>
      </c>
      <c r="AQ361" s="1" t="s">
        <v>496</v>
      </c>
      <c r="AR361" s="2">
        <v>45810.58390046296</v>
      </c>
      <c r="AU361" s="1" t="s">
        <v>64</v>
      </c>
      <c r="AW361" s="1" t="s">
        <v>255</v>
      </c>
      <c r="AY361" s="2">
        <v>355.0</v>
      </c>
    </row>
    <row r="362">
      <c r="A362" s="1" t="s">
        <v>51</v>
      </c>
      <c r="C362" s="1" t="s">
        <v>52</v>
      </c>
      <c r="E362" s="1" t="s">
        <v>53</v>
      </c>
      <c r="F362" s="1" t="s">
        <v>54</v>
      </c>
      <c r="G362" s="2">
        <v>31.0</v>
      </c>
      <c r="H362" s="1" t="s">
        <v>66</v>
      </c>
      <c r="I362" s="1" t="s">
        <v>100</v>
      </c>
      <c r="J362" s="1" t="s">
        <v>68</v>
      </c>
      <c r="K362" s="1" t="s">
        <v>92</v>
      </c>
      <c r="M362" s="1" t="s">
        <v>58</v>
      </c>
      <c r="N362" s="1" t="s">
        <v>58</v>
      </c>
      <c r="O362" s="1" t="s">
        <v>58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  <c r="W362" s="1" t="s">
        <v>58</v>
      </c>
      <c r="X362" s="1" t="s">
        <v>81</v>
      </c>
      <c r="Y362" s="1" t="s">
        <v>82</v>
      </c>
      <c r="Z362" s="1" t="s">
        <v>89</v>
      </c>
      <c r="AA362" s="2">
        <v>10.0</v>
      </c>
      <c r="AB362" s="1" t="s">
        <v>28</v>
      </c>
      <c r="AC362" s="1" t="s">
        <v>71</v>
      </c>
      <c r="AF362" s="1" t="s">
        <v>51</v>
      </c>
      <c r="AG362" s="1" t="s">
        <v>72</v>
      </c>
      <c r="AI362" s="2">
        <v>0.0</v>
      </c>
      <c r="AJ362" s="2">
        <v>0.0</v>
      </c>
      <c r="AK362" s="2">
        <v>0.0</v>
      </c>
      <c r="AL362" s="2">
        <v>1.0</v>
      </c>
      <c r="AM362" s="1" t="s">
        <v>72</v>
      </c>
      <c r="AP362" s="2">
        <v>4.91002485E8</v>
      </c>
      <c r="AQ362" s="1" t="s">
        <v>497</v>
      </c>
      <c r="AR362" s="2">
        <v>45810.585914351854</v>
      </c>
      <c r="AU362" s="1" t="s">
        <v>64</v>
      </c>
      <c r="AW362" s="1" t="s">
        <v>255</v>
      </c>
      <c r="AY362" s="2">
        <v>356.0</v>
      </c>
    </row>
    <row r="363">
      <c r="A363" s="1" t="s">
        <v>51</v>
      </c>
      <c r="C363" s="1" t="s">
        <v>170</v>
      </c>
      <c r="E363" s="1" t="s">
        <v>53</v>
      </c>
      <c r="F363" s="1" t="s">
        <v>54</v>
      </c>
      <c r="G363" s="2">
        <v>34.0</v>
      </c>
      <c r="I363" s="1" t="s">
        <v>100</v>
      </c>
      <c r="J363" s="1" t="s">
        <v>86</v>
      </c>
      <c r="K363" s="1" t="s">
        <v>87</v>
      </c>
      <c r="M363" s="1" t="s">
        <v>58</v>
      </c>
      <c r="N363" s="1" t="s">
        <v>58</v>
      </c>
      <c r="O363" s="1" t="s">
        <v>58</v>
      </c>
      <c r="Q363" s="1" t="s">
        <v>69</v>
      </c>
      <c r="R363" s="1" t="s">
        <v>58</v>
      </c>
      <c r="S363" s="1" t="s">
        <v>69</v>
      </c>
      <c r="T363" s="1" t="s">
        <v>69</v>
      </c>
      <c r="U363" s="1" t="s">
        <v>58</v>
      </c>
      <c r="V363" s="1" t="s">
        <v>58</v>
      </c>
      <c r="W363" s="1" t="s">
        <v>69</v>
      </c>
      <c r="X363" s="1" t="s">
        <v>59</v>
      </c>
      <c r="Y363" s="1" t="s">
        <v>60</v>
      </c>
      <c r="Z363" s="1" t="s">
        <v>108</v>
      </c>
      <c r="AA363" s="2">
        <v>20.0</v>
      </c>
      <c r="AB363" s="1" t="s">
        <v>62</v>
      </c>
      <c r="AC363" s="1" t="s">
        <v>71</v>
      </c>
      <c r="AF363" s="1" t="s">
        <v>51</v>
      </c>
      <c r="AG363" s="1" t="s">
        <v>51</v>
      </c>
      <c r="AH363" s="2">
        <v>50.0</v>
      </c>
      <c r="AI363" s="2">
        <v>0.0</v>
      </c>
      <c r="AJ363" s="2">
        <v>0.0</v>
      </c>
      <c r="AK363" s="2">
        <v>0.0</v>
      </c>
      <c r="AL363" s="2">
        <v>1.0</v>
      </c>
      <c r="AM363" s="1" t="s">
        <v>72</v>
      </c>
      <c r="AP363" s="2">
        <v>4.91024236E8</v>
      </c>
      <c r="AQ363" s="1" t="s">
        <v>498</v>
      </c>
      <c r="AR363" s="2">
        <v>45810.60663194444</v>
      </c>
      <c r="AU363" s="1" t="s">
        <v>64</v>
      </c>
      <c r="AW363" s="1" t="s">
        <v>255</v>
      </c>
      <c r="AY363" s="2">
        <v>357.0</v>
      </c>
    </row>
    <row r="364">
      <c r="A364" s="1" t="s">
        <v>51</v>
      </c>
      <c r="C364" s="1" t="s">
        <v>52</v>
      </c>
      <c r="E364" s="1" t="s">
        <v>53</v>
      </c>
      <c r="F364" s="1" t="s">
        <v>102</v>
      </c>
      <c r="G364" s="2">
        <v>21.0</v>
      </c>
      <c r="H364" s="1" t="s">
        <v>55</v>
      </c>
      <c r="I364" s="1" t="s">
        <v>100</v>
      </c>
      <c r="J364" s="1" t="s">
        <v>68</v>
      </c>
      <c r="K364" s="1" t="s">
        <v>74</v>
      </c>
      <c r="M364" s="1" t="s">
        <v>58</v>
      </c>
      <c r="N364" s="1" t="s">
        <v>58</v>
      </c>
      <c r="O364" s="1" t="s">
        <v>58</v>
      </c>
      <c r="Q364" s="1" t="s">
        <v>58</v>
      </c>
      <c r="R364" s="1" t="s">
        <v>58</v>
      </c>
      <c r="S364" s="1" t="s">
        <v>58</v>
      </c>
      <c r="T364" s="1" t="s">
        <v>58</v>
      </c>
      <c r="U364" s="1" t="s">
        <v>58</v>
      </c>
      <c r="V364" s="1" t="s">
        <v>70</v>
      </c>
      <c r="W364" s="1" t="s">
        <v>69</v>
      </c>
      <c r="X364" s="1" t="s">
        <v>81</v>
      </c>
      <c r="Y364" s="1" t="s">
        <v>172</v>
      </c>
      <c r="Z364" s="1" t="s">
        <v>96</v>
      </c>
      <c r="AA364" s="2">
        <v>10.0</v>
      </c>
      <c r="AB364" s="1" t="s">
        <v>79</v>
      </c>
      <c r="AC364" s="1" t="s">
        <v>71</v>
      </c>
      <c r="AF364" s="1" t="s">
        <v>51</v>
      </c>
      <c r="AG364" s="1" t="s">
        <v>72</v>
      </c>
      <c r="AI364" s="2">
        <v>1.0</v>
      </c>
      <c r="AJ364" s="2">
        <v>0.0</v>
      </c>
      <c r="AK364" s="2">
        <v>0.0</v>
      </c>
      <c r="AL364" s="2">
        <v>0.0</v>
      </c>
      <c r="AM364" s="1" t="s">
        <v>51</v>
      </c>
      <c r="AP364" s="2">
        <v>4.91177719E8</v>
      </c>
      <c r="AQ364" s="1" t="s">
        <v>499</v>
      </c>
      <c r="AR364" s="2">
        <v>45810.805231481485</v>
      </c>
      <c r="AU364" s="1" t="s">
        <v>64</v>
      </c>
      <c r="AW364" s="1" t="s">
        <v>255</v>
      </c>
      <c r="AY364" s="2">
        <v>358.0</v>
      </c>
    </row>
    <row r="365">
      <c r="AP365" s="2">
        <v>4.91177779E8</v>
      </c>
      <c r="AQ365" s="1" t="s">
        <v>500</v>
      </c>
      <c r="AR365" s="2">
        <v>45810.80535879629</v>
      </c>
      <c r="AU365" s="1" t="s">
        <v>64</v>
      </c>
      <c r="AW365" s="1" t="s">
        <v>255</v>
      </c>
      <c r="AY365" s="2">
        <v>359.0</v>
      </c>
    </row>
    <row r="366">
      <c r="A366" s="1" t="s">
        <v>51</v>
      </c>
      <c r="C366" s="1" t="s">
        <v>154</v>
      </c>
      <c r="E366" s="1" t="s">
        <v>154</v>
      </c>
      <c r="G366" s="2">
        <v>48.0</v>
      </c>
      <c r="H366" s="1" t="s">
        <v>66</v>
      </c>
      <c r="J366" s="1" t="s">
        <v>86</v>
      </c>
      <c r="K366" s="1" t="s">
        <v>87</v>
      </c>
      <c r="M366" s="1" t="s">
        <v>58</v>
      </c>
      <c r="N366" s="1" t="s">
        <v>58</v>
      </c>
      <c r="O366" s="1" t="s">
        <v>58</v>
      </c>
      <c r="Q366" s="1" t="s">
        <v>69</v>
      </c>
      <c r="R366" s="1" t="s">
        <v>58</v>
      </c>
      <c r="S366" s="1" t="s">
        <v>69</v>
      </c>
      <c r="T366" s="1" t="s">
        <v>58</v>
      </c>
      <c r="U366" s="1" t="s">
        <v>58</v>
      </c>
      <c r="V366" s="1" t="s">
        <v>58</v>
      </c>
      <c r="W366" s="1" t="s">
        <v>69</v>
      </c>
      <c r="X366" s="1" t="s">
        <v>103</v>
      </c>
      <c r="Y366" s="1" t="s">
        <v>95</v>
      </c>
      <c r="Z366" s="1" t="s">
        <v>96</v>
      </c>
      <c r="AA366" s="2">
        <v>100.0</v>
      </c>
      <c r="AB366" s="1" t="s">
        <v>28</v>
      </c>
      <c r="AC366" s="1" t="s">
        <v>51</v>
      </c>
      <c r="AD366" s="1" t="s">
        <v>103</v>
      </c>
      <c r="AE366" s="1" t="s">
        <v>72</v>
      </c>
      <c r="AF366" s="1" t="s">
        <v>51</v>
      </c>
      <c r="AG366" s="1" t="s">
        <v>51</v>
      </c>
      <c r="AH366" s="2">
        <v>500.0</v>
      </c>
      <c r="AI366" s="2">
        <v>1.0</v>
      </c>
      <c r="AJ366" s="2">
        <v>0.0</v>
      </c>
      <c r="AK366" s="2">
        <v>1.0</v>
      </c>
      <c r="AL366" s="2">
        <v>0.0</v>
      </c>
      <c r="AP366" s="2">
        <v>4.91178031E8</v>
      </c>
      <c r="AQ366" s="1" t="s">
        <v>501</v>
      </c>
      <c r="AR366" s="2">
        <v>45810.80601851852</v>
      </c>
      <c r="AU366" s="1" t="s">
        <v>64</v>
      </c>
      <c r="AW366" s="1" t="s">
        <v>255</v>
      </c>
      <c r="AY366" s="2">
        <v>360.0</v>
      </c>
    </row>
    <row r="367">
      <c r="A367" s="1" t="s">
        <v>72</v>
      </c>
      <c r="AP367" s="2">
        <v>4.91292839E8</v>
      </c>
      <c r="AQ367" s="1" t="s">
        <v>502</v>
      </c>
      <c r="AR367" s="2">
        <v>45811.209189814814</v>
      </c>
      <c r="AU367" s="1" t="s">
        <v>64</v>
      </c>
      <c r="AW367" s="1" t="s">
        <v>255</v>
      </c>
      <c r="AY367" s="2">
        <v>361.0</v>
      </c>
    </row>
    <row r="368">
      <c r="A368" s="1" t="s">
        <v>51</v>
      </c>
      <c r="C368" s="1" t="s">
        <v>52</v>
      </c>
      <c r="E368" s="1" t="s">
        <v>53</v>
      </c>
      <c r="F368" s="1" t="s">
        <v>54</v>
      </c>
      <c r="G368" s="2">
        <v>39.0</v>
      </c>
      <c r="H368" s="1" t="s">
        <v>66</v>
      </c>
      <c r="I368" s="1" t="s">
        <v>67</v>
      </c>
      <c r="J368" s="1" t="s">
        <v>111</v>
      </c>
      <c r="K368" s="1" t="s">
        <v>92</v>
      </c>
      <c r="M368" s="1" t="s">
        <v>58</v>
      </c>
      <c r="N368" s="1" t="s">
        <v>58</v>
      </c>
      <c r="O368" s="1" t="s">
        <v>70</v>
      </c>
      <c r="Q368" s="1" t="s">
        <v>58</v>
      </c>
      <c r="R368" s="1" t="s">
        <v>58</v>
      </c>
      <c r="S368" s="1" t="s">
        <v>58</v>
      </c>
      <c r="T368" s="1" t="s">
        <v>58</v>
      </c>
      <c r="U368" s="1" t="s">
        <v>58</v>
      </c>
      <c r="V368" s="1" t="s">
        <v>70</v>
      </c>
      <c r="W368" s="1" t="s">
        <v>69</v>
      </c>
      <c r="X368" s="1" t="s">
        <v>59</v>
      </c>
      <c r="Y368" s="1" t="s">
        <v>172</v>
      </c>
      <c r="Z368" s="1" t="s">
        <v>108</v>
      </c>
      <c r="AA368" s="2">
        <v>100.0</v>
      </c>
      <c r="AB368" s="1" t="s">
        <v>62</v>
      </c>
      <c r="AC368" s="1" t="s">
        <v>71</v>
      </c>
      <c r="AF368" s="1" t="s">
        <v>51</v>
      </c>
      <c r="AG368" s="1" t="s">
        <v>72</v>
      </c>
      <c r="AI368" s="2">
        <v>0.0</v>
      </c>
      <c r="AJ368" s="2">
        <v>0.0</v>
      </c>
      <c r="AK368" s="2">
        <v>0.0</v>
      </c>
      <c r="AL368" s="2">
        <v>1.0</v>
      </c>
      <c r="AM368" s="1" t="s">
        <v>72</v>
      </c>
      <c r="AP368" s="2">
        <v>4.91297762E8</v>
      </c>
      <c r="AQ368" s="1" t="s">
        <v>503</v>
      </c>
      <c r="AR368" s="2">
        <v>45811.2221875</v>
      </c>
      <c r="AU368" s="1" t="s">
        <v>64</v>
      </c>
      <c r="AW368" s="1" t="s">
        <v>255</v>
      </c>
      <c r="AY368" s="2">
        <v>362.0</v>
      </c>
    </row>
    <row r="369">
      <c r="A369" s="1" t="s">
        <v>51</v>
      </c>
      <c r="C369" s="1" t="s">
        <v>52</v>
      </c>
      <c r="E369" s="1" t="s">
        <v>53</v>
      </c>
      <c r="F369" s="1" t="s">
        <v>183</v>
      </c>
      <c r="G369" s="2">
        <v>37.0</v>
      </c>
      <c r="H369" s="1" t="s">
        <v>66</v>
      </c>
      <c r="I369" s="1" t="s">
        <v>67</v>
      </c>
      <c r="J369" s="1" t="s">
        <v>56</v>
      </c>
      <c r="K369" s="1" t="s">
        <v>74</v>
      </c>
      <c r="M369" s="1" t="s">
        <v>58</v>
      </c>
      <c r="N369" s="1" t="s">
        <v>58</v>
      </c>
      <c r="O369" s="1" t="s">
        <v>70</v>
      </c>
      <c r="Q369" s="1" t="s">
        <v>58</v>
      </c>
      <c r="R369" s="1" t="s">
        <v>58</v>
      </c>
      <c r="S369" s="1" t="s">
        <v>69</v>
      </c>
      <c r="T369" s="1" t="s">
        <v>58</v>
      </c>
      <c r="U369" s="1" t="s">
        <v>58</v>
      </c>
      <c r="V369" s="1" t="s">
        <v>58</v>
      </c>
      <c r="W369" s="1" t="s">
        <v>69</v>
      </c>
      <c r="X369" s="1" t="s">
        <v>88</v>
      </c>
      <c r="Y369" s="1" t="s">
        <v>60</v>
      </c>
      <c r="Z369" s="1" t="s">
        <v>108</v>
      </c>
      <c r="AA369" s="2">
        <v>40.0</v>
      </c>
      <c r="AB369" s="1" t="s">
        <v>62</v>
      </c>
      <c r="AC369" s="1" t="s">
        <v>71</v>
      </c>
      <c r="AF369" s="1" t="s">
        <v>51</v>
      </c>
      <c r="AG369" s="1" t="s">
        <v>72</v>
      </c>
      <c r="AI369" s="2">
        <v>0.0</v>
      </c>
      <c r="AJ369" s="2">
        <v>0.0</v>
      </c>
      <c r="AK369" s="2">
        <v>1.0</v>
      </c>
      <c r="AL369" s="2">
        <v>0.0</v>
      </c>
      <c r="AM369" s="1" t="s">
        <v>72</v>
      </c>
      <c r="AP369" s="2">
        <v>4.91299433E8</v>
      </c>
      <c r="AQ369" s="1" t="s">
        <v>504</v>
      </c>
      <c r="AR369" s="2">
        <v>45811.22628472222</v>
      </c>
      <c r="AU369" s="1" t="s">
        <v>64</v>
      </c>
      <c r="AW369" s="1" t="s">
        <v>255</v>
      </c>
      <c r="AY369" s="2">
        <v>363.0</v>
      </c>
    </row>
    <row r="370">
      <c r="A370" s="1" t="s">
        <v>51</v>
      </c>
      <c r="C370" s="1" t="s">
        <v>212</v>
      </c>
      <c r="E370" s="1" t="s">
        <v>53</v>
      </c>
      <c r="F370" s="1" t="s">
        <v>54</v>
      </c>
      <c r="G370" s="2">
        <v>38.0</v>
      </c>
      <c r="H370" s="1" t="s">
        <v>55</v>
      </c>
      <c r="I370" s="1" t="s">
        <v>67</v>
      </c>
      <c r="J370" s="1" t="s">
        <v>111</v>
      </c>
      <c r="K370" s="1" t="s">
        <v>92</v>
      </c>
      <c r="M370" s="1" t="s">
        <v>58</v>
      </c>
      <c r="N370" s="1" t="s">
        <v>58</v>
      </c>
      <c r="O370" s="1" t="s">
        <v>70</v>
      </c>
      <c r="Q370" s="1" t="s">
        <v>69</v>
      </c>
      <c r="R370" s="1" t="s">
        <v>58</v>
      </c>
      <c r="S370" s="1" t="s">
        <v>69</v>
      </c>
      <c r="T370" s="1" t="s">
        <v>69</v>
      </c>
      <c r="U370" s="1" t="s">
        <v>58</v>
      </c>
      <c r="V370" s="1" t="s">
        <v>58</v>
      </c>
      <c r="W370" s="1" t="s">
        <v>69</v>
      </c>
      <c r="X370" s="1" t="s">
        <v>59</v>
      </c>
      <c r="Y370" s="1" t="s">
        <v>60</v>
      </c>
      <c r="Z370" s="1" t="s">
        <v>108</v>
      </c>
      <c r="AA370" s="2">
        <v>50.0</v>
      </c>
      <c r="AB370" s="1" t="s">
        <v>62</v>
      </c>
      <c r="AC370" s="1" t="s">
        <v>71</v>
      </c>
      <c r="AF370" s="1" t="s">
        <v>51</v>
      </c>
      <c r="AG370" s="1" t="s">
        <v>72</v>
      </c>
      <c r="AI370" s="2">
        <v>0.0</v>
      </c>
      <c r="AJ370" s="2">
        <v>0.0</v>
      </c>
      <c r="AK370" s="2">
        <v>0.0</v>
      </c>
      <c r="AL370" s="2">
        <v>1.0</v>
      </c>
      <c r="AM370" s="1" t="s">
        <v>72</v>
      </c>
      <c r="AP370" s="2">
        <v>4.91301599E8</v>
      </c>
      <c r="AQ370" s="1" t="s">
        <v>505</v>
      </c>
      <c r="AR370" s="2">
        <v>45811.23045138889</v>
      </c>
      <c r="AU370" s="1" t="s">
        <v>64</v>
      </c>
      <c r="AW370" s="1" t="s">
        <v>255</v>
      </c>
      <c r="AY370" s="2">
        <v>364.0</v>
      </c>
    </row>
    <row r="371">
      <c r="A371" s="1" t="s">
        <v>51</v>
      </c>
      <c r="C371" s="1" t="s">
        <v>52</v>
      </c>
      <c r="E371" s="1" t="s">
        <v>53</v>
      </c>
      <c r="F371" s="1" t="s">
        <v>506</v>
      </c>
      <c r="G371" s="2">
        <v>27.0</v>
      </c>
      <c r="H371" s="1" t="s">
        <v>55</v>
      </c>
      <c r="I371" s="1" t="s">
        <v>100</v>
      </c>
      <c r="J371" s="1" t="s">
        <v>68</v>
      </c>
      <c r="K371" s="1" t="s">
        <v>74</v>
      </c>
      <c r="M371" s="1" t="s">
        <v>58</v>
      </c>
      <c r="N371" s="1" t="s">
        <v>58</v>
      </c>
      <c r="O371" s="1" t="s">
        <v>69</v>
      </c>
      <c r="Q371" s="1" t="s">
        <v>58</v>
      </c>
      <c r="R371" s="1" t="s">
        <v>58</v>
      </c>
      <c r="S371" s="1" t="s">
        <v>69</v>
      </c>
      <c r="T371" s="1" t="s">
        <v>69</v>
      </c>
      <c r="U371" s="1" t="s">
        <v>58</v>
      </c>
      <c r="V371" s="1" t="s">
        <v>69</v>
      </c>
      <c r="W371" s="1" t="s">
        <v>69</v>
      </c>
      <c r="X371" s="1" t="s">
        <v>59</v>
      </c>
      <c r="Y371" s="1" t="s">
        <v>172</v>
      </c>
      <c r="Z371" s="1" t="s">
        <v>108</v>
      </c>
      <c r="AA371" s="2">
        <v>30.0</v>
      </c>
      <c r="AB371" s="1" t="s">
        <v>62</v>
      </c>
      <c r="AC371" s="1" t="s">
        <v>71</v>
      </c>
      <c r="AF371" s="1" t="s">
        <v>51</v>
      </c>
      <c r="AG371" s="1" t="s">
        <v>72</v>
      </c>
      <c r="AI371" s="2">
        <v>0.0</v>
      </c>
      <c r="AJ371" s="2">
        <v>0.0</v>
      </c>
      <c r="AK371" s="2">
        <v>0.0</v>
      </c>
      <c r="AL371" s="2">
        <v>1.0</v>
      </c>
      <c r="AM371" s="1" t="s">
        <v>51</v>
      </c>
      <c r="AN371" s="3" t="str">
        <v>#ERROR!</v>
      </c>
      <c r="AP371" s="2">
        <v>4.91304043E8</v>
      </c>
      <c r="AQ371" s="1" t="s">
        <v>507</v>
      </c>
      <c r="AR371" s="2">
        <v>45811.23615740741</v>
      </c>
      <c r="AU371" s="1" t="s">
        <v>64</v>
      </c>
      <c r="AW371" s="1" t="s">
        <v>255</v>
      </c>
      <c r="AY371" s="2">
        <v>365.0</v>
      </c>
    </row>
    <row r="372">
      <c r="A372" s="1" t="s">
        <v>51</v>
      </c>
      <c r="C372" s="1" t="s">
        <v>52</v>
      </c>
      <c r="E372" s="1" t="s">
        <v>53</v>
      </c>
      <c r="F372" s="1" t="s">
        <v>506</v>
      </c>
      <c r="G372" s="2">
        <v>30.0</v>
      </c>
      <c r="H372" s="1" t="s">
        <v>66</v>
      </c>
      <c r="I372" s="1" t="s">
        <v>100</v>
      </c>
      <c r="J372" s="1" t="s">
        <v>68</v>
      </c>
      <c r="K372" s="1" t="s">
        <v>74</v>
      </c>
      <c r="M372" s="1" t="s">
        <v>58</v>
      </c>
      <c r="N372" s="1" t="s">
        <v>58</v>
      </c>
      <c r="O372" s="1" t="s">
        <v>69</v>
      </c>
      <c r="Q372" s="1" t="s">
        <v>69</v>
      </c>
      <c r="R372" s="1" t="s">
        <v>58</v>
      </c>
      <c r="S372" s="1" t="s">
        <v>69</v>
      </c>
      <c r="T372" s="1" t="s">
        <v>69</v>
      </c>
      <c r="U372" s="1" t="s">
        <v>58</v>
      </c>
      <c r="V372" s="1" t="s">
        <v>69</v>
      </c>
      <c r="W372" s="1" t="s">
        <v>69</v>
      </c>
      <c r="X372" s="1" t="s">
        <v>81</v>
      </c>
      <c r="Y372" s="1" t="s">
        <v>172</v>
      </c>
      <c r="Z372" s="1" t="s">
        <v>108</v>
      </c>
      <c r="AA372" s="2">
        <v>30.0</v>
      </c>
      <c r="AB372" s="1" t="s">
        <v>79</v>
      </c>
      <c r="AC372" s="1" t="s">
        <v>71</v>
      </c>
      <c r="AF372" s="1" t="s">
        <v>51</v>
      </c>
      <c r="AG372" s="1" t="s">
        <v>72</v>
      </c>
      <c r="AI372" s="2">
        <v>0.0</v>
      </c>
      <c r="AJ372" s="2">
        <v>0.0</v>
      </c>
      <c r="AK372" s="2">
        <v>0.0</v>
      </c>
      <c r="AL372" s="2">
        <v>1.0</v>
      </c>
      <c r="AM372" s="1" t="s">
        <v>72</v>
      </c>
      <c r="AP372" s="2">
        <v>4.91309899E8</v>
      </c>
      <c r="AQ372" s="1" t="s">
        <v>508</v>
      </c>
      <c r="AR372" s="2">
        <v>45811.24793981481</v>
      </c>
      <c r="AU372" s="1" t="s">
        <v>64</v>
      </c>
      <c r="AW372" s="1" t="s">
        <v>255</v>
      </c>
      <c r="AY372" s="2">
        <v>366.0</v>
      </c>
    </row>
    <row r="373">
      <c r="A373" s="1" t="s">
        <v>51</v>
      </c>
      <c r="C373" s="1" t="s">
        <v>53</v>
      </c>
      <c r="E373" s="1" t="s">
        <v>53</v>
      </c>
      <c r="F373" s="1" t="s">
        <v>102</v>
      </c>
      <c r="G373" s="2">
        <v>36.0</v>
      </c>
      <c r="H373" s="1" t="s">
        <v>55</v>
      </c>
      <c r="I373" s="1" t="s">
        <v>121</v>
      </c>
      <c r="J373" s="1" t="s">
        <v>86</v>
      </c>
      <c r="K373" s="1" t="s">
        <v>87</v>
      </c>
      <c r="M373" s="1" t="s">
        <v>58</v>
      </c>
      <c r="N373" s="1" t="s">
        <v>58</v>
      </c>
      <c r="O373" s="1" t="s">
        <v>69</v>
      </c>
      <c r="Q373" s="1" t="s">
        <v>69</v>
      </c>
      <c r="R373" s="1" t="s">
        <v>58</v>
      </c>
      <c r="S373" s="1" t="s">
        <v>69</v>
      </c>
      <c r="T373" s="1" t="s">
        <v>69</v>
      </c>
      <c r="U373" s="1" t="s">
        <v>58</v>
      </c>
      <c r="V373" s="1" t="s">
        <v>58</v>
      </c>
      <c r="W373" s="1" t="s">
        <v>69</v>
      </c>
      <c r="X373" s="1" t="s">
        <v>88</v>
      </c>
      <c r="Y373" s="1" t="s">
        <v>95</v>
      </c>
      <c r="Z373" s="1" t="s">
        <v>89</v>
      </c>
      <c r="AA373" s="2">
        <v>50.0</v>
      </c>
      <c r="AB373" s="1" t="s">
        <v>28</v>
      </c>
      <c r="AC373" s="1" t="s">
        <v>71</v>
      </c>
      <c r="AF373" s="1" t="s">
        <v>51</v>
      </c>
      <c r="AG373" s="1" t="s">
        <v>72</v>
      </c>
      <c r="AI373" s="2">
        <v>0.0</v>
      </c>
      <c r="AJ373" s="2">
        <v>0.0</v>
      </c>
      <c r="AK373" s="2">
        <v>1.0</v>
      </c>
      <c r="AL373" s="2">
        <v>0.0</v>
      </c>
      <c r="AM373" s="1" t="s">
        <v>72</v>
      </c>
      <c r="AP373" s="2">
        <v>4.91349281E8</v>
      </c>
      <c r="AQ373" s="1" t="s">
        <v>509</v>
      </c>
      <c r="AR373" s="2">
        <v>45811.31107638889</v>
      </c>
      <c r="AU373" s="1" t="s">
        <v>64</v>
      </c>
      <c r="AW373" s="1" t="s">
        <v>255</v>
      </c>
      <c r="AY373" s="2">
        <v>367.0</v>
      </c>
    </row>
    <row r="374">
      <c r="A374" s="1" t="s">
        <v>51</v>
      </c>
      <c r="C374" s="1" t="s">
        <v>52</v>
      </c>
      <c r="E374" s="1" t="s">
        <v>53</v>
      </c>
      <c r="F374" s="1" t="s">
        <v>54</v>
      </c>
      <c r="G374" s="2">
        <v>49.0</v>
      </c>
      <c r="H374" s="1" t="s">
        <v>66</v>
      </c>
      <c r="I374" s="1" t="s">
        <v>67</v>
      </c>
      <c r="J374" s="1" t="s">
        <v>56</v>
      </c>
      <c r="K374" s="1" t="s">
        <v>87</v>
      </c>
      <c r="M374" s="1" t="s">
        <v>58</v>
      </c>
      <c r="N374" s="1" t="s">
        <v>58</v>
      </c>
      <c r="O374" s="1" t="s">
        <v>58</v>
      </c>
      <c r="Q374" s="1" t="s">
        <v>69</v>
      </c>
      <c r="R374" s="1" t="s">
        <v>58</v>
      </c>
      <c r="S374" s="1" t="s">
        <v>69</v>
      </c>
      <c r="T374" s="1" t="s">
        <v>69</v>
      </c>
      <c r="U374" s="1" t="s">
        <v>58</v>
      </c>
      <c r="V374" s="1" t="s">
        <v>69</v>
      </c>
      <c r="W374" s="1" t="s">
        <v>69</v>
      </c>
      <c r="Y374" s="1" t="s">
        <v>95</v>
      </c>
      <c r="Z374" s="1" t="s">
        <v>89</v>
      </c>
      <c r="AA374" s="2">
        <v>100.0</v>
      </c>
      <c r="AB374" s="1" t="s">
        <v>28</v>
      </c>
      <c r="AC374" s="1" t="s">
        <v>71</v>
      </c>
      <c r="AF374" s="1" t="s">
        <v>51</v>
      </c>
      <c r="AG374" s="1" t="s">
        <v>72</v>
      </c>
      <c r="AI374" s="2">
        <v>0.0</v>
      </c>
      <c r="AJ374" s="2">
        <v>0.0</v>
      </c>
      <c r="AK374" s="2">
        <v>0.0</v>
      </c>
      <c r="AL374" s="2">
        <v>1.0</v>
      </c>
      <c r="AM374" s="1" t="s">
        <v>72</v>
      </c>
      <c r="AP374" s="2">
        <v>4.91359161E8</v>
      </c>
      <c r="AQ374" s="1" t="s">
        <v>510</v>
      </c>
      <c r="AR374" s="2">
        <v>45811.32417824074</v>
      </c>
      <c r="AU374" s="1" t="s">
        <v>64</v>
      </c>
      <c r="AW374" s="1" t="s">
        <v>191</v>
      </c>
      <c r="AY374" s="2">
        <v>368.0</v>
      </c>
    </row>
    <row r="375">
      <c r="A375" s="1" t="s">
        <v>51</v>
      </c>
      <c r="C375" s="1" t="s">
        <v>52</v>
      </c>
      <c r="E375" s="1" t="s">
        <v>53</v>
      </c>
      <c r="F375" s="1" t="s">
        <v>149</v>
      </c>
      <c r="G375" s="2">
        <v>47.0</v>
      </c>
      <c r="H375" s="1" t="s">
        <v>66</v>
      </c>
      <c r="I375" s="1" t="s">
        <v>67</v>
      </c>
      <c r="J375" s="1" t="s">
        <v>56</v>
      </c>
      <c r="K375" s="1" t="s">
        <v>87</v>
      </c>
      <c r="M375" s="1" t="s">
        <v>58</v>
      </c>
      <c r="N375" s="1" t="s">
        <v>58</v>
      </c>
      <c r="O375" s="1" t="s">
        <v>58</v>
      </c>
      <c r="Q375" s="1" t="s">
        <v>69</v>
      </c>
      <c r="R375" s="1" t="s">
        <v>58</v>
      </c>
      <c r="S375" s="1" t="s">
        <v>58</v>
      </c>
      <c r="T375" s="1" t="s">
        <v>58</v>
      </c>
      <c r="U375" s="1" t="s">
        <v>58</v>
      </c>
      <c r="V375" s="1" t="s">
        <v>58</v>
      </c>
      <c r="W375" s="1" t="s">
        <v>58</v>
      </c>
      <c r="Y375" s="1" t="s">
        <v>82</v>
      </c>
      <c r="AF375" s="1" t="s">
        <v>51</v>
      </c>
      <c r="AM375" s="1" t="s">
        <v>51</v>
      </c>
      <c r="AP375" s="2">
        <v>4.91556652E8</v>
      </c>
      <c r="AQ375" s="1" t="s">
        <v>511</v>
      </c>
      <c r="AR375" s="2">
        <v>45811.55459490741</v>
      </c>
      <c r="AU375" s="1" t="s">
        <v>64</v>
      </c>
      <c r="AW375" s="1" t="s">
        <v>255</v>
      </c>
      <c r="AY375" s="2">
        <v>369.0</v>
      </c>
    </row>
    <row r="376">
      <c r="A376" s="1" t="s">
        <v>51</v>
      </c>
      <c r="C376" s="1" t="s">
        <v>151</v>
      </c>
      <c r="E376" s="1" t="s">
        <v>53</v>
      </c>
      <c r="F376" s="1" t="s">
        <v>54</v>
      </c>
      <c r="G376" s="2">
        <v>51.0</v>
      </c>
      <c r="H376" s="1" t="s">
        <v>66</v>
      </c>
      <c r="I376" s="1" t="s">
        <v>67</v>
      </c>
      <c r="J376" s="1" t="s">
        <v>68</v>
      </c>
      <c r="K376" s="1" t="s">
        <v>57</v>
      </c>
      <c r="M376" s="1" t="s">
        <v>58</v>
      </c>
      <c r="N376" s="1" t="s">
        <v>58</v>
      </c>
      <c r="O376" s="1" t="s">
        <v>58</v>
      </c>
      <c r="Q376" s="1" t="s">
        <v>69</v>
      </c>
      <c r="R376" s="1" t="s">
        <v>58</v>
      </c>
      <c r="S376" s="1" t="s">
        <v>69</v>
      </c>
      <c r="T376" s="1" t="s">
        <v>69</v>
      </c>
      <c r="U376" s="1" t="s">
        <v>69</v>
      </c>
      <c r="V376" s="1" t="s">
        <v>69</v>
      </c>
      <c r="W376" s="1" t="s">
        <v>69</v>
      </c>
      <c r="X376" s="1" t="s">
        <v>81</v>
      </c>
      <c r="Y376" s="1" t="s">
        <v>82</v>
      </c>
      <c r="Z376" s="1" t="s">
        <v>89</v>
      </c>
      <c r="AA376" s="2">
        <v>30.0</v>
      </c>
      <c r="AB376" s="1" t="s">
        <v>79</v>
      </c>
      <c r="AC376" s="1" t="s">
        <v>71</v>
      </c>
      <c r="AF376" s="1" t="s">
        <v>51</v>
      </c>
      <c r="AG376" s="1" t="s">
        <v>51</v>
      </c>
      <c r="AH376" s="2">
        <v>200.0</v>
      </c>
      <c r="AI376" s="2">
        <v>0.0</v>
      </c>
      <c r="AJ376" s="2">
        <v>0.0</v>
      </c>
      <c r="AK376" s="2">
        <v>0.0</v>
      </c>
      <c r="AL376" s="2">
        <v>1.0</v>
      </c>
      <c r="AM376" s="1" t="s">
        <v>51</v>
      </c>
      <c r="AN376" s="2">
        <v>6.49779116E8</v>
      </c>
      <c r="AP376" s="2">
        <v>4.90386915E8</v>
      </c>
      <c r="AQ376" s="1" t="s">
        <v>512</v>
      </c>
      <c r="AR376" s="2">
        <v>45809.39319444444</v>
      </c>
      <c r="AU376" s="1" t="s">
        <v>64</v>
      </c>
      <c r="AW376" s="1" t="s">
        <v>513</v>
      </c>
      <c r="AY376" s="2">
        <v>1.0</v>
      </c>
    </row>
    <row r="377">
      <c r="A377" s="1" t="s">
        <v>51</v>
      </c>
      <c r="C377" s="1" t="s">
        <v>53</v>
      </c>
      <c r="E377" s="1" t="s">
        <v>53</v>
      </c>
      <c r="F377" s="1" t="s">
        <v>54</v>
      </c>
      <c r="G377" s="2">
        <v>42.0</v>
      </c>
      <c r="H377" s="1" t="s">
        <v>55</v>
      </c>
      <c r="I377" s="1" t="s">
        <v>121</v>
      </c>
      <c r="J377" s="1" t="s">
        <v>68</v>
      </c>
      <c r="K377" s="1" t="s">
        <v>57</v>
      </c>
      <c r="M377" s="1" t="s">
        <v>58</v>
      </c>
      <c r="N377" s="1" t="s">
        <v>58</v>
      </c>
      <c r="O377" s="1" t="s">
        <v>58</v>
      </c>
      <c r="Q377" s="1" t="s">
        <v>58</v>
      </c>
      <c r="R377" s="1" t="s">
        <v>69</v>
      </c>
      <c r="S377" s="1" t="s">
        <v>69</v>
      </c>
      <c r="T377" s="1" t="s">
        <v>69</v>
      </c>
      <c r="U377" s="1" t="s">
        <v>69</v>
      </c>
      <c r="V377" s="1" t="s">
        <v>69</v>
      </c>
      <c r="W377" s="1" t="s">
        <v>69</v>
      </c>
      <c r="X377" s="1" t="s">
        <v>59</v>
      </c>
      <c r="Y377" s="1" t="s">
        <v>227</v>
      </c>
      <c r="Z377" s="1" t="s">
        <v>61</v>
      </c>
      <c r="AA377" s="2">
        <v>100.0</v>
      </c>
      <c r="AB377" s="1" t="s">
        <v>79</v>
      </c>
      <c r="AC377" s="1" t="s">
        <v>71</v>
      </c>
      <c r="AF377" s="1" t="s">
        <v>51</v>
      </c>
      <c r="AG377" s="1" t="s">
        <v>51</v>
      </c>
      <c r="AH377" s="2">
        <v>50.0</v>
      </c>
      <c r="AI377" s="2">
        <v>0.0</v>
      </c>
      <c r="AJ377" s="2">
        <v>0.0</v>
      </c>
      <c r="AK377" s="2">
        <v>0.0</v>
      </c>
      <c r="AL377" s="2">
        <v>1.0</v>
      </c>
      <c r="AM377" s="1" t="s">
        <v>51</v>
      </c>
      <c r="AN377" s="2">
        <v>6.73003512E8</v>
      </c>
      <c r="AP377" s="2">
        <v>4.90394724E8</v>
      </c>
      <c r="AQ377" s="1" t="s">
        <v>514</v>
      </c>
      <c r="AR377" s="2">
        <v>45809.408680555556</v>
      </c>
      <c r="AU377" s="1" t="s">
        <v>64</v>
      </c>
      <c r="AW377" s="1" t="s">
        <v>513</v>
      </c>
      <c r="AY377" s="2">
        <v>2.0</v>
      </c>
    </row>
    <row r="378">
      <c r="A378" s="1" t="s">
        <v>51</v>
      </c>
      <c r="C378" s="1" t="s">
        <v>53</v>
      </c>
      <c r="E378" s="1" t="s">
        <v>53</v>
      </c>
      <c r="F378" s="1" t="s">
        <v>54</v>
      </c>
      <c r="G378" s="2">
        <v>30.0</v>
      </c>
      <c r="H378" s="1" t="s">
        <v>55</v>
      </c>
      <c r="I378" s="1" t="s">
        <v>121</v>
      </c>
      <c r="J378" s="1" t="s">
        <v>56</v>
      </c>
      <c r="K378" s="1" t="s">
        <v>57</v>
      </c>
      <c r="M378" s="1" t="s">
        <v>58</v>
      </c>
      <c r="N378" s="1" t="s">
        <v>58</v>
      </c>
      <c r="O378" s="1" t="s">
        <v>58</v>
      </c>
      <c r="Q378" s="1" t="s">
        <v>58</v>
      </c>
      <c r="R378" s="1" t="s">
        <v>69</v>
      </c>
      <c r="S378" s="1" t="s">
        <v>69</v>
      </c>
      <c r="T378" s="1" t="s">
        <v>58</v>
      </c>
      <c r="U378" s="1" t="s">
        <v>58</v>
      </c>
      <c r="V378" s="1" t="s">
        <v>69</v>
      </c>
      <c r="W378" s="1" t="s">
        <v>69</v>
      </c>
      <c r="X378" s="1" t="s">
        <v>81</v>
      </c>
      <c r="Y378" s="1" t="s">
        <v>82</v>
      </c>
      <c r="Z378" s="1" t="s">
        <v>89</v>
      </c>
      <c r="AA378" s="2">
        <v>40.0</v>
      </c>
      <c r="AB378" s="1" t="s">
        <v>79</v>
      </c>
      <c r="AC378" s="1" t="s">
        <v>71</v>
      </c>
      <c r="AF378" s="1" t="s">
        <v>51</v>
      </c>
      <c r="AG378" s="1" t="s">
        <v>51</v>
      </c>
      <c r="AH378" s="2">
        <v>300.0</v>
      </c>
      <c r="AI378" s="2">
        <v>1.0</v>
      </c>
      <c r="AJ378" s="2">
        <v>0.0</v>
      </c>
      <c r="AK378" s="2">
        <v>0.0</v>
      </c>
      <c r="AL378" s="2">
        <v>0.0</v>
      </c>
      <c r="AM378" s="1" t="s">
        <v>51</v>
      </c>
      <c r="AN378" s="2">
        <v>6.73583337E8</v>
      </c>
      <c r="AP378" s="2">
        <v>4.90394919E8</v>
      </c>
      <c r="AQ378" s="1" t="s">
        <v>515</v>
      </c>
      <c r="AR378" s="2">
        <v>45809.40924768519</v>
      </c>
      <c r="AU378" s="1" t="s">
        <v>64</v>
      </c>
      <c r="AW378" s="1" t="s">
        <v>513</v>
      </c>
      <c r="AY378" s="2">
        <v>3.0</v>
      </c>
    </row>
    <row r="379">
      <c r="A379" s="1" t="s">
        <v>51</v>
      </c>
      <c r="C379" s="1" t="s">
        <v>151</v>
      </c>
      <c r="E379" s="1" t="s">
        <v>53</v>
      </c>
      <c r="F379" s="1" t="s">
        <v>54</v>
      </c>
      <c r="G379" s="2">
        <v>27.0</v>
      </c>
      <c r="H379" s="1" t="s">
        <v>55</v>
      </c>
      <c r="I379" s="1" t="s">
        <v>76</v>
      </c>
      <c r="J379" s="1" t="s">
        <v>56</v>
      </c>
      <c r="K379" s="1" t="s">
        <v>74</v>
      </c>
      <c r="M379" s="1" t="s">
        <v>58</v>
      </c>
      <c r="N379" s="1" t="s">
        <v>58</v>
      </c>
      <c r="O379" s="1" t="s">
        <v>58</v>
      </c>
      <c r="Q379" s="1" t="s">
        <v>58</v>
      </c>
      <c r="R379" s="1" t="s">
        <v>58</v>
      </c>
      <c r="S379" s="1" t="s">
        <v>58</v>
      </c>
      <c r="T379" s="1" t="s">
        <v>58</v>
      </c>
      <c r="U379" s="1" t="s">
        <v>58</v>
      </c>
      <c r="V379" s="1" t="s">
        <v>58</v>
      </c>
      <c r="W379" s="1" t="s">
        <v>58</v>
      </c>
      <c r="X379" s="1" t="s">
        <v>81</v>
      </c>
      <c r="Y379" s="1" t="s">
        <v>60</v>
      </c>
      <c r="Z379" s="1" t="s">
        <v>89</v>
      </c>
      <c r="AA379" s="2">
        <v>50.0</v>
      </c>
      <c r="AB379" s="1" t="s">
        <v>62</v>
      </c>
      <c r="AC379" s="1" t="s">
        <v>51</v>
      </c>
      <c r="AD379" s="1" t="s">
        <v>81</v>
      </c>
      <c r="AE379" s="1" t="s">
        <v>51</v>
      </c>
      <c r="AF379" s="1" t="s">
        <v>51</v>
      </c>
      <c r="AG379" s="1" t="s">
        <v>51</v>
      </c>
      <c r="AI379" s="2">
        <v>0.0</v>
      </c>
      <c r="AJ379" s="2">
        <v>0.0</v>
      </c>
      <c r="AK379" s="2">
        <v>0.0</v>
      </c>
      <c r="AL379" s="2">
        <v>1.0</v>
      </c>
      <c r="AM379" s="1" t="s">
        <v>51</v>
      </c>
      <c r="AN379" s="2">
        <v>6.888317704E9</v>
      </c>
      <c r="AP379" s="2">
        <v>4.90397468E8</v>
      </c>
      <c r="AQ379" s="1" t="s">
        <v>516</v>
      </c>
      <c r="AR379" s="2">
        <v>45809.415300925924</v>
      </c>
      <c r="AU379" s="1" t="s">
        <v>64</v>
      </c>
      <c r="AW379" s="1" t="s">
        <v>513</v>
      </c>
      <c r="AY379" s="2">
        <v>4.0</v>
      </c>
    </row>
    <row r="380">
      <c r="A380" s="1" t="s">
        <v>51</v>
      </c>
      <c r="C380" s="1" t="s">
        <v>53</v>
      </c>
      <c r="E380" s="1" t="s">
        <v>53</v>
      </c>
      <c r="F380" s="1" t="s">
        <v>54</v>
      </c>
      <c r="G380" s="2">
        <v>36.0</v>
      </c>
      <c r="H380" s="1" t="s">
        <v>55</v>
      </c>
      <c r="I380" s="1" t="s">
        <v>121</v>
      </c>
      <c r="J380" s="1" t="s">
        <v>86</v>
      </c>
      <c r="K380" s="1" t="s">
        <v>74</v>
      </c>
      <c r="M380" s="1" t="s">
        <v>58</v>
      </c>
      <c r="N380" s="1" t="s">
        <v>58</v>
      </c>
      <c r="O380" s="1" t="s">
        <v>58</v>
      </c>
      <c r="Q380" s="1" t="s">
        <v>58</v>
      </c>
      <c r="R380" s="1" t="s">
        <v>58</v>
      </c>
      <c r="S380" s="1" t="s">
        <v>58</v>
      </c>
      <c r="T380" s="1" t="s">
        <v>58</v>
      </c>
      <c r="U380" s="1" t="s">
        <v>58</v>
      </c>
      <c r="V380" s="1" t="s">
        <v>58</v>
      </c>
      <c r="W380" s="1" t="s">
        <v>58</v>
      </c>
      <c r="X380" s="1" t="s">
        <v>59</v>
      </c>
      <c r="Y380" s="1" t="s">
        <v>60</v>
      </c>
      <c r="Z380" s="1" t="s">
        <v>61</v>
      </c>
      <c r="AA380" s="2">
        <v>20.0</v>
      </c>
      <c r="AB380" s="1" t="s">
        <v>62</v>
      </c>
      <c r="AC380" s="1" t="s">
        <v>51</v>
      </c>
      <c r="AD380" s="1" t="s">
        <v>59</v>
      </c>
      <c r="AE380" s="1" t="s">
        <v>51</v>
      </c>
      <c r="AF380" s="1" t="s">
        <v>51</v>
      </c>
      <c r="AG380" s="1" t="s">
        <v>51</v>
      </c>
      <c r="AI380" s="2">
        <v>1.0</v>
      </c>
      <c r="AJ380" s="2">
        <v>0.0</v>
      </c>
      <c r="AK380" s="2">
        <v>0.0</v>
      </c>
      <c r="AL380" s="2">
        <v>0.0</v>
      </c>
      <c r="AM380" s="1" t="s">
        <v>51</v>
      </c>
      <c r="AP380" s="2">
        <v>4.90400535E8</v>
      </c>
      <c r="AQ380" s="1" t="s">
        <v>517</v>
      </c>
      <c r="AR380" s="2">
        <v>45809.420636574076</v>
      </c>
      <c r="AU380" s="1" t="s">
        <v>64</v>
      </c>
      <c r="AW380" s="1" t="s">
        <v>513</v>
      </c>
      <c r="AY380" s="2">
        <v>5.0</v>
      </c>
    </row>
    <row r="381">
      <c r="A381" s="1" t="s">
        <v>51</v>
      </c>
      <c r="C381" s="1" t="s">
        <v>151</v>
      </c>
      <c r="E381" s="1" t="s">
        <v>53</v>
      </c>
      <c r="F381" s="1" t="s">
        <v>54</v>
      </c>
      <c r="G381" s="2">
        <v>35.0</v>
      </c>
      <c r="H381" s="1" t="s">
        <v>55</v>
      </c>
      <c r="I381" s="1" t="s">
        <v>67</v>
      </c>
      <c r="J381" s="1" t="s">
        <v>68</v>
      </c>
      <c r="K381" s="1" t="s">
        <v>74</v>
      </c>
      <c r="M381" s="1" t="s">
        <v>58</v>
      </c>
      <c r="N381" s="1" t="s">
        <v>58</v>
      </c>
      <c r="O381" s="1" t="s">
        <v>69</v>
      </c>
      <c r="Q381" s="1" t="s">
        <v>58</v>
      </c>
      <c r="R381" s="1" t="s">
        <v>69</v>
      </c>
      <c r="S381" s="1" t="s">
        <v>69</v>
      </c>
      <c r="T381" s="1" t="s">
        <v>69</v>
      </c>
      <c r="U381" s="1" t="s">
        <v>69</v>
      </c>
      <c r="V381" s="1" t="s">
        <v>69</v>
      </c>
      <c r="W381" s="1" t="s">
        <v>69</v>
      </c>
      <c r="X381" s="1" t="s">
        <v>59</v>
      </c>
      <c r="Y381" s="1" t="s">
        <v>82</v>
      </c>
      <c r="Z381" s="1" t="s">
        <v>89</v>
      </c>
      <c r="AA381" s="2">
        <v>50.0</v>
      </c>
      <c r="AB381" s="1" t="s">
        <v>79</v>
      </c>
      <c r="AC381" s="1" t="s">
        <v>71</v>
      </c>
      <c r="AF381" s="1" t="s">
        <v>51</v>
      </c>
      <c r="AG381" s="1" t="s">
        <v>51</v>
      </c>
      <c r="AH381" s="2">
        <v>10.0</v>
      </c>
      <c r="AI381" s="2">
        <v>1.0</v>
      </c>
      <c r="AJ381" s="2">
        <v>0.0</v>
      </c>
      <c r="AK381" s="2">
        <v>0.0</v>
      </c>
      <c r="AL381" s="2">
        <v>1.0</v>
      </c>
      <c r="AM381" s="1" t="s">
        <v>51</v>
      </c>
      <c r="AN381" s="2">
        <v>6.86703189E8</v>
      </c>
      <c r="AP381" s="2">
        <v>4.90400705E8</v>
      </c>
      <c r="AQ381" s="1" t="s">
        <v>518</v>
      </c>
      <c r="AR381" s="2">
        <v>45809.42101851852</v>
      </c>
      <c r="AU381" s="1" t="s">
        <v>64</v>
      </c>
      <c r="AW381" s="1" t="s">
        <v>513</v>
      </c>
      <c r="AY381" s="2">
        <v>6.0</v>
      </c>
    </row>
    <row r="382">
      <c r="A382" s="1" t="s">
        <v>51</v>
      </c>
      <c r="C382" s="1" t="s">
        <v>151</v>
      </c>
      <c r="E382" s="1" t="s">
        <v>53</v>
      </c>
      <c r="F382" s="1" t="s">
        <v>54</v>
      </c>
      <c r="G382" s="2">
        <v>28.0</v>
      </c>
      <c r="H382" s="1" t="s">
        <v>66</v>
      </c>
      <c r="I382" s="1" t="s">
        <v>100</v>
      </c>
      <c r="J382" s="1" t="s">
        <v>56</v>
      </c>
      <c r="K382" s="1" t="s">
        <v>74</v>
      </c>
      <c r="M382" s="1" t="s">
        <v>58</v>
      </c>
      <c r="N382" s="1" t="s">
        <v>58</v>
      </c>
      <c r="O382" s="1" t="s">
        <v>58</v>
      </c>
      <c r="Q382" s="1" t="s">
        <v>69</v>
      </c>
      <c r="R382" s="1" t="s">
        <v>69</v>
      </c>
      <c r="S382" s="1" t="s">
        <v>69</v>
      </c>
      <c r="T382" s="1" t="s">
        <v>69</v>
      </c>
      <c r="V382" s="1" t="s">
        <v>69</v>
      </c>
      <c r="W382" s="1" t="s">
        <v>69</v>
      </c>
      <c r="X382" s="1" t="s">
        <v>59</v>
      </c>
      <c r="Y382" s="1" t="s">
        <v>82</v>
      </c>
      <c r="Z382" s="1" t="s">
        <v>61</v>
      </c>
      <c r="AA382" s="2">
        <v>50.0</v>
      </c>
      <c r="AB382" s="1" t="s">
        <v>79</v>
      </c>
      <c r="AC382" s="1" t="s">
        <v>71</v>
      </c>
      <c r="AF382" s="1" t="s">
        <v>51</v>
      </c>
      <c r="AG382" s="1" t="s">
        <v>51</v>
      </c>
      <c r="AH382" s="2">
        <v>59.0</v>
      </c>
      <c r="AI382" s="2">
        <v>0.0</v>
      </c>
      <c r="AJ382" s="2">
        <v>0.0</v>
      </c>
      <c r="AK382" s="2">
        <v>0.0</v>
      </c>
      <c r="AL382" s="2">
        <v>1.0</v>
      </c>
      <c r="AM382" s="1" t="s">
        <v>51</v>
      </c>
      <c r="AN382" s="2">
        <v>6.05023987E8</v>
      </c>
      <c r="AP382" s="2">
        <v>4.90403176E8</v>
      </c>
      <c r="AQ382" s="1" t="s">
        <v>519</v>
      </c>
      <c r="AR382" s="2">
        <v>45809.42591435185</v>
      </c>
      <c r="AU382" s="1" t="s">
        <v>64</v>
      </c>
      <c r="AW382" s="1" t="s">
        <v>513</v>
      </c>
      <c r="AY382" s="2">
        <v>7.0</v>
      </c>
    </row>
    <row r="383">
      <c r="A383" s="1" t="s">
        <v>51</v>
      </c>
      <c r="C383" s="1" t="s">
        <v>151</v>
      </c>
      <c r="E383" s="1" t="s">
        <v>53</v>
      </c>
      <c r="F383" s="1" t="s">
        <v>54</v>
      </c>
      <c r="G383" s="2">
        <v>28.0</v>
      </c>
      <c r="H383" s="1" t="s">
        <v>55</v>
      </c>
      <c r="I383" s="1" t="s">
        <v>67</v>
      </c>
      <c r="J383" s="1" t="s">
        <v>111</v>
      </c>
      <c r="K383" s="1" t="s">
        <v>74</v>
      </c>
      <c r="M383" s="1" t="s">
        <v>58</v>
      </c>
      <c r="N383" s="1" t="s">
        <v>58</v>
      </c>
      <c r="O383" s="1" t="s">
        <v>58</v>
      </c>
      <c r="Q383" s="1" t="s">
        <v>58</v>
      </c>
      <c r="R383" s="1" t="s">
        <v>58</v>
      </c>
      <c r="S383" s="1" t="s">
        <v>58</v>
      </c>
      <c r="T383" s="1" t="s">
        <v>58</v>
      </c>
      <c r="U383" s="1" t="s">
        <v>58</v>
      </c>
      <c r="V383" s="1" t="s">
        <v>58</v>
      </c>
      <c r="W383" s="1" t="s">
        <v>58</v>
      </c>
      <c r="X383" s="1" t="s">
        <v>103</v>
      </c>
      <c r="Y383" s="1" t="s">
        <v>82</v>
      </c>
      <c r="Z383" s="1" t="s">
        <v>61</v>
      </c>
      <c r="AA383" s="2">
        <v>50.0</v>
      </c>
      <c r="AB383" s="1" t="s">
        <v>79</v>
      </c>
      <c r="AC383" s="1" t="s">
        <v>51</v>
      </c>
      <c r="AD383" s="1" t="s">
        <v>81</v>
      </c>
      <c r="AE383" s="1" t="s">
        <v>51</v>
      </c>
      <c r="AF383" s="1" t="s">
        <v>51</v>
      </c>
      <c r="AG383" s="1" t="s">
        <v>51</v>
      </c>
      <c r="AH383" s="2">
        <v>300.0</v>
      </c>
      <c r="AI383" s="2">
        <v>0.0</v>
      </c>
      <c r="AJ383" s="2">
        <v>1.0</v>
      </c>
      <c r="AK383" s="2">
        <v>0.0</v>
      </c>
      <c r="AL383" s="2">
        <v>0.0</v>
      </c>
      <c r="AM383" s="1" t="s">
        <v>51</v>
      </c>
      <c r="AN383" s="2">
        <v>6.05023987E8</v>
      </c>
      <c r="AP383" s="2">
        <v>4.90406325E8</v>
      </c>
      <c r="AQ383" s="1" t="s">
        <v>520</v>
      </c>
      <c r="AR383" s="2">
        <v>45809.43239583333</v>
      </c>
      <c r="AU383" s="1" t="s">
        <v>64</v>
      </c>
      <c r="AW383" s="1" t="s">
        <v>513</v>
      </c>
      <c r="AY383" s="2">
        <v>8.0</v>
      </c>
    </row>
    <row r="384">
      <c r="A384" s="1" t="s">
        <v>51</v>
      </c>
      <c r="C384" s="1" t="s">
        <v>151</v>
      </c>
      <c r="E384" s="1" t="s">
        <v>53</v>
      </c>
      <c r="F384" s="1" t="s">
        <v>54</v>
      </c>
      <c r="G384" s="2">
        <v>30.0</v>
      </c>
      <c r="H384" s="1" t="s">
        <v>55</v>
      </c>
      <c r="I384" s="1" t="s">
        <v>76</v>
      </c>
      <c r="J384" s="1" t="s">
        <v>56</v>
      </c>
      <c r="K384" s="1" t="s">
        <v>57</v>
      </c>
      <c r="M384" s="1" t="s">
        <v>58</v>
      </c>
      <c r="N384" s="1" t="s">
        <v>58</v>
      </c>
      <c r="O384" s="1" t="s">
        <v>58</v>
      </c>
      <c r="Q384" s="1" t="s">
        <v>58</v>
      </c>
      <c r="R384" s="1" t="s">
        <v>58</v>
      </c>
      <c r="S384" s="1" t="s">
        <v>58</v>
      </c>
      <c r="T384" s="1" t="s">
        <v>58</v>
      </c>
      <c r="U384" s="1" t="s">
        <v>58</v>
      </c>
      <c r="V384" s="1" t="s">
        <v>58</v>
      </c>
      <c r="W384" s="1" t="s">
        <v>58</v>
      </c>
      <c r="X384" s="1" t="s">
        <v>81</v>
      </c>
      <c r="Y384" s="1" t="s">
        <v>82</v>
      </c>
      <c r="Z384" s="1" t="s">
        <v>61</v>
      </c>
      <c r="AA384" s="2">
        <v>40.0</v>
      </c>
      <c r="AB384" s="1" t="s">
        <v>79</v>
      </c>
      <c r="AC384" s="1" t="s">
        <v>51</v>
      </c>
      <c r="AD384" s="1" t="s">
        <v>81</v>
      </c>
      <c r="AE384" s="1" t="s">
        <v>51</v>
      </c>
      <c r="AF384" s="1" t="s">
        <v>51</v>
      </c>
      <c r="AG384" s="1" t="s">
        <v>51</v>
      </c>
      <c r="AH384" s="2">
        <v>700.0</v>
      </c>
      <c r="AI384" s="2">
        <v>1.0</v>
      </c>
      <c r="AJ384" s="2">
        <v>0.0</v>
      </c>
      <c r="AK384" s="2">
        <v>0.0</v>
      </c>
      <c r="AL384" s="2">
        <v>0.0</v>
      </c>
      <c r="AM384" s="1" t="s">
        <v>51</v>
      </c>
      <c r="AN384" s="2">
        <v>5.932364E7</v>
      </c>
      <c r="AP384" s="2">
        <v>4.90410469E8</v>
      </c>
      <c r="AQ384" s="1" t="s">
        <v>521</v>
      </c>
      <c r="AR384" s="2">
        <v>45809.44119212963</v>
      </c>
      <c r="AU384" s="1" t="s">
        <v>64</v>
      </c>
      <c r="AW384" s="1" t="s">
        <v>513</v>
      </c>
      <c r="AY384" s="2">
        <v>9.0</v>
      </c>
    </row>
    <row r="385">
      <c r="A385" s="1" t="s">
        <v>51</v>
      </c>
      <c r="C385" s="1" t="s">
        <v>53</v>
      </c>
      <c r="E385" s="1" t="s">
        <v>53</v>
      </c>
      <c r="F385" s="1" t="s">
        <v>54</v>
      </c>
      <c r="G385" s="2">
        <v>33.0</v>
      </c>
      <c r="H385" s="1" t="s">
        <v>55</v>
      </c>
      <c r="I385" s="1" t="s">
        <v>121</v>
      </c>
      <c r="J385" s="1" t="s">
        <v>68</v>
      </c>
      <c r="K385" s="1" t="s">
        <v>74</v>
      </c>
      <c r="M385" s="1" t="s">
        <v>58</v>
      </c>
      <c r="N385" s="1" t="s">
        <v>58</v>
      </c>
      <c r="O385" s="1" t="s">
        <v>58</v>
      </c>
      <c r="Q385" s="1" t="s">
        <v>58</v>
      </c>
      <c r="R385" s="1" t="s">
        <v>70</v>
      </c>
      <c r="S385" s="1" t="s">
        <v>70</v>
      </c>
      <c r="T385" s="1" t="s">
        <v>58</v>
      </c>
      <c r="U385" s="1" t="s">
        <v>70</v>
      </c>
      <c r="V385" s="1" t="s">
        <v>58</v>
      </c>
      <c r="W385" s="1" t="s">
        <v>58</v>
      </c>
      <c r="X385" s="1" t="s">
        <v>81</v>
      </c>
      <c r="Y385" s="1" t="s">
        <v>82</v>
      </c>
      <c r="Z385" s="1" t="s">
        <v>89</v>
      </c>
      <c r="AA385" s="2">
        <v>30.0</v>
      </c>
      <c r="AB385" s="1" t="s">
        <v>62</v>
      </c>
      <c r="AC385" s="1" t="s">
        <v>51</v>
      </c>
      <c r="AD385" s="1" t="s">
        <v>81</v>
      </c>
      <c r="AE385" s="1" t="s">
        <v>51</v>
      </c>
      <c r="AF385" s="1" t="s">
        <v>51</v>
      </c>
      <c r="AG385" s="1" t="s">
        <v>51</v>
      </c>
      <c r="AH385" s="2">
        <v>500.0</v>
      </c>
      <c r="AI385" s="2">
        <v>1.0</v>
      </c>
      <c r="AJ385" s="2">
        <v>0.0</v>
      </c>
      <c r="AK385" s="2">
        <v>0.0</v>
      </c>
      <c r="AL385" s="2">
        <v>0.0</v>
      </c>
      <c r="AM385" s="1" t="s">
        <v>51</v>
      </c>
      <c r="AN385" s="2">
        <v>7.2234359E8</v>
      </c>
      <c r="AP385" s="2">
        <v>4.90415914E8</v>
      </c>
      <c r="AQ385" s="1" t="s">
        <v>522</v>
      </c>
      <c r="AR385" s="2">
        <v>45809.453043981484</v>
      </c>
      <c r="AU385" s="1" t="s">
        <v>64</v>
      </c>
      <c r="AW385" s="1" t="s">
        <v>513</v>
      </c>
      <c r="AY385" s="2">
        <v>10.0</v>
      </c>
    </row>
    <row r="386">
      <c r="A386" s="1" t="s">
        <v>51</v>
      </c>
      <c r="C386" s="1" t="s">
        <v>151</v>
      </c>
      <c r="E386" s="1" t="s">
        <v>53</v>
      </c>
      <c r="F386" s="1" t="s">
        <v>54</v>
      </c>
      <c r="G386" s="2">
        <v>38.0</v>
      </c>
      <c r="H386" s="1" t="s">
        <v>66</v>
      </c>
      <c r="I386" s="1" t="s">
        <v>67</v>
      </c>
      <c r="J386" s="1" t="s">
        <v>56</v>
      </c>
      <c r="K386" s="1" t="s">
        <v>78</v>
      </c>
      <c r="M386" s="1" t="s">
        <v>58</v>
      </c>
      <c r="N386" s="1" t="s">
        <v>58</v>
      </c>
      <c r="O386" s="1" t="s">
        <v>58</v>
      </c>
      <c r="Q386" s="1" t="s">
        <v>58</v>
      </c>
      <c r="R386" s="1" t="s">
        <v>70</v>
      </c>
      <c r="S386" s="1" t="s">
        <v>70</v>
      </c>
      <c r="T386" s="1" t="s">
        <v>58</v>
      </c>
      <c r="U386" s="1" t="s">
        <v>70</v>
      </c>
      <c r="V386" s="1" t="s">
        <v>70</v>
      </c>
      <c r="W386" s="1" t="s">
        <v>70</v>
      </c>
      <c r="X386" s="1" t="s">
        <v>88</v>
      </c>
      <c r="Y386" s="1" t="s">
        <v>82</v>
      </c>
      <c r="Z386" s="1" t="s">
        <v>89</v>
      </c>
      <c r="AA386" s="2">
        <v>10.0</v>
      </c>
      <c r="AB386" s="1" t="s">
        <v>79</v>
      </c>
      <c r="AC386" s="1" t="s">
        <v>51</v>
      </c>
      <c r="AD386" s="1" t="s">
        <v>81</v>
      </c>
      <c r="AE386" s="1" t="s">
        <v>51</v>
      </c>
      <c r="AF386" s="1" t="s">
        <v>51</v>
      </c>
      <c r="AG386" s="1" t="s">
        <v>51</v>
      </c>
      <c r="AH386" s="2">
        <v>150000.0</v>
      </c>
      <c r="AI386" s="2">
        <v>1.0</v>
      </c>
      <c r="AJ386" s="2">
        <v>0.0</v>
      </c>
      <c r="AK386" s="2">
        <v>0.0</v>
      </c>
      <c r="AL386" s="2">
        <v>0.0</v>
      </c>
      <c r="AM386" s="1" t="s">
        <v>51</v>
      </c>
      <c r="AN386" s="2">
        <v>7.81882812E8</v>
      </c>
      <c r="AP386" s="2">
        <v>4.90438105E8</v>
      </c>
      <c r="AQ386" s="1" t="s">
        <v>523</v>
      </c>
      <c r="AR386" s="2">
        <v>45809.50146990741</v>
      </c>
      <c r="AU386" s="1" t="s">
        <v>64</v>
      </c>
      <c r="AW386" s="1" t="s">
        <v>513</v>
      </c>
      <c r="AY386" s="2">
        <v>11.0</v>
      </c>
    </row>
    <row r="387">
      <c r="A387" s="1" t="s">
        <v>51</v>
      </c>
      <c r="C387" s="1" t="s">
        <v>151</v>
      </c>
      <c r="E387" s="1" t="s">
        <v>53</v>
      </c>
      <c r="F387" s="1" t="s">
        <v>54</v>
      </c>
      <c r="G387" s="2">
        <v>39.0</v>
      </c>
      <c r="H387" s="1" t="s">
        <v>66</v>
      </c>
      <c r="I387" s="1" t="s">
        <v>100</v>
      </c>
      <c r="J387" s="1" t="s">
        <v>68</v>
      </c>
      <c r="K387" s="1" t="s">
        <v>78</v>
      </c>
      <c r="M387" s="1" t="s">
        <v>58</v>
      </c>
      <c r="N387" s="1" t="s">
        <v>58</v>
      </c>
      <c r="O387" s="1" t="s">
        <v>58</v>
      </c>
      <c r="Q387" s="1" t="s">
        <v>58</v>
      </c>
      <c r="R387" s="1" t="s">
        <v>58</v>
      </c>
      <c r="S387" s="1" t="s">
        <v>58</v>
      </c>
      <c r="T387" s="1" t="s">
        <v>58</v>
      </c>
      <c r="U387" s="1" t="s">
        <v>58</v>
      </c>
      <c r="V387" s="1" t="s">
        <v>58</v>
      </c>
      <c r="W387" s="1" t="s">
        <v>58</v>
      </c>
      <c r="X387" s="1" t="s">
        <v>81</v>
      </c>
      <c r="Y387" s="1" t="s">
        <v>82</v>
      </c>
      <c r="Z387" s="1" t="s">
        <v>89</v>
      </c>
      <c r="AA387" s="2">
        <v>20.0</v>
      </c>
      <c r="AB387" s="1" t="s">
        <v>79</v>
      </c>
      <c r="AC387" s="1" t="s">
        <v>51</v>
      </c>
      <c r="AD387" s="1" t="s">
        <v>81</v>
      </c>
      <c r="AE387" s="1" t="s">
        <v>51</v>
      </c>
      <c r="AF387" s="1" t="s">
        <v>51</v>
      </c>
      <c r="AG387" s="1" t="s">
        <v>51</v>
      </c>
      <c r="AH387" s="2">
        <v>400.0</v>
      </c>
      <c r="AI387" s="2">
        <v>1.0</v>
      </c>
      <c r="AJ387" s="2">
        <v>0.0</v>
      </c>
      <c r="AK387" s="2">
        <v>0.0</v>
      </c>
      <c r="AL387" s="2">
        <v>0.0</v>
      </c>
      <c r="AM387" s="1" t="s">
        <v>51</v>
      </c>
      <c r="AN387" s="2">
        <v>6.34482526E8</v>
      </c>
      <c r="AP387" s="2">
        <v>4.9044075E8</v>
      </c>
      <c r="AQ387" s="1" t="s">
        <v>524</v>
      </c>
      <c r="AR387" s="2">
        <v>45809.506736111114</v>
      </c>
      <c r="AU387" s="1" t="s">
        <v>64</v>
      </c>
      <c r="AW387" s="1" t="s">
        <v>513</v>
      </c>
      <c r="AY387" s="2">
        <v>12.0</v>
      </c>
    </row>
    <row r="388">
      <c r="A388" s="1" t="s">
        <v>51</v>
      </c>
      <c r="C388" s="1" t="s">
        <v>151</v>
      </c>
      <c r="E388" s="1" t="s">
        <v>53</v>
      </c>
      <c r="F388" s="1" t="s">
        <v>54</v>
      </c>
      <c r="G388" s="2">
        <v>33.0</v>
      </c>
      <c r="H388" s="1" t="s">
        <v>66</v>
      </c>
      <c r="I388" s="1" t="s">
        <v>419</v>
      </c>
      <c r="J388" s="1" t="s">
        <v>56</v>
      </c>
      <c r="K388" s="1" t="s">
        <v>57</v>
      </c>
      <c r="M388" s="1" t="s">
        <v>58</v>
      </c>
      <c r="N388" s="1" t="s">
        <v>58</v>
      </c>
      <c r="O388" s="1" t="s">
        <v>69</v>
      </c>
      <c r="Q388" s="1" t="s">
        <v>58</v>
      </c>
      <c r="R388" s="1" t="s">
        <v>58</v>
      </c>
      <c r="S388" s="1" t="s">
        <v>58</v>
      </c>
      <c r="T388" s="1" t="s">
        <v>58</v>
      </c>
      <c r="U388" s="1" t="s">
        <v>58</v>
      </c>
      <c r="V388" s="1" t="s">
        <v>58</v>
      </c>
      <c r="W388" s="1" t="s">
        <v>58</v>
      </c>
      <c r="X388" s="1" t="s">
        <v>59</v>
      </c>
      <c r="Y388" s="1" t="s">
        <v>82</v>
      </c>
      <c r="Z388" s="1" t="s">
        <v>61</v>
      </c>
      <c r="AA388" s="2">
        <v>10.0</v>
      </c>
      <c r="AB388" s="1" t="s">
        <v>62</v>
      </c>
      <c r="AC388" s="1" t="s">
        <v>51</v>
      </c>
      <c r="AD388" s="1" t="s">
        <v>59</v>
      </c>
      <c r="AE388" s="1" t="s">
        <v>51</v>
      </c>
      <c r="AF388" s="1" t="s">
        <v>51</v>
      </c>
      <c r="AG388" s="1" t="s">
        <v>51</v>
      </c>
      <c r="AH388" s="2">
        <v>300.0</v>
      </c>
      <c r="AI388" s="2">
        <v>0.0</v>
      </c>
      <c r="AJ388" s="2">
        <v>1.0</v>
      </c>
      <c r="AK388" s="2">
        <v>0.0</v>
      </c>
      <c r="AL388" s="2">
        <v>0.0</v>
      </c>
      <c r="AM388" s="1" t="s">
        <v>51</v>
      </c>
      <c r="AN388" s="2">
        <v>6.14698223E8</v>
      </c>
      <c r="AP388" s="2">
        <v>4.90444316E8</v>
      </c>
      <c r="AQ388" s="1" t="s">
        <v>525</v>
      </c>
      <c r="AR388" s="2">
        <v>45809.51458333333</v>
      </c>
      <c r="AU388" s="1" t="s">
        <v>64</v>
      </c>
      <c r="AW388" s="1" t="s">
        <v>513</v>
      </c>
      <c r="AY388" s="2">
        <v>13.0</v>
      </c>
    </row>
    <row r="389">
      <c r="A389" s="1" t="s">
        <v>51</v>
      </c>
      <c r="C389" s="1" t="s">
        <v>151</v>
      </c>
      <c r="E389" s="1" t="s">
        <v>53</v>
      </c>
      <c r="F389" s="1" t="s">
        <v>54</v>
      </c>
      <c r="G389" s="2">
        <v>39.0</v>
      </c>
      <c r="H389" s="1" t="s">
        <v>55</v>
      </c>
      <c r="I389" s="1" t="s">
        <v>100</v>
      </c>
      <c r="J389" s="1" t="s">
        <v>56</v>
      </c>
      <c r="K389" s="1" t="s">
        <v>57</v>
      </c>
      <c r="M389" s="1" t="s">
        <v>58</v>
      </c>
      <c r="N389" s="1" t="s">
        <v>58</v>
      </c>
      <c r="O389" s="1" t="s">
        <v>58</v>
      </c>
      <c r="Q389" s="1" t="s">
        <v>58</v>
      </c>
      <c r="R389" s="1" t="s">
        <v>58</v>
      </c>
      <c r="S389" s="1" t="s">
        <v>58</v>
      </c>
      <c r="T389" s="1" t="s">
        <v>58</v>
      </c>
      <c r="U389" s="1" t="s">
        <v>58</v>
      </c>
      <c r="V389" s="1" t="s">
        <v>58</v>
      </c>
      <c r="W389" s="1" t="s">
        <v>58</v>
      </c>
      <c r="X389" s="1" t="s">
        <v>59</v>
      </c>
      <c r="Y389" s="1" t="s">
        <v>82</v>
      </c>
      <c r="Z389" s="1" t="s">
        <v>89</v>
      </c>
      <c r="AA389" s="2">
        <v>10.0</v>
      </c>
      <c r="AB389" s="1" t="s">
        <v>28</v>
      </c>
      <c r="AC389" s="1" t="s">
        <v>51</v>
      </c>
      <c r="AD389" s="1" t="s">
        <v>59</v>
      </c>
      <c r="AE389" s="1" t="s">
        <v>51</v>
      </c>
      <c r="AF389" s="1" t="s">
        <v>51</v>
      </c>
      <c r="AG389" s="1" t="s">
        <v>51</v>
      </c>
      <c r="AH389" s="2">
        <v>200.0</v>
      </c>
      <c r="AI389" s="2">
        <v>1.0</v>
      </c>
      <c r="AJ389" s="2">
        <v>0.0</v>
      </c>
      <c r="AK389" s="2">
        <v>0.0</v>
      </c>
      <c r="AL389" s="2">
        <v>0.0</v>
      </c>
      <c r="AM389" s="1" t="s">
        <v>51</v>
      </c>
      <c r="AN389" s="2">
        <v>7.99866781E8</v>
      </c>
      <c r="AP389" s="2">
        <v>4.90451443E8</v>
      </c>
      <c r="AQ389" s="1" t="s">
        <v>526</v>
      </c>
      <c r="AR389" s="2">
        <v>45809.52954861111</v>
      </c>
      <c r="AU389" s="1" t="s">
        <v>64</v>
      </c>
      <c r="AW389" s="1" t="s">
        <v>513</v>
      </c>
      <c r="AY389" s="2">
        <v>14.0</v>
      </c>
    </row>
    <row r="390">
      <c r="A390" s="1" t="s">
        <v>51</v>
      </c>
      <c r="C390" s="1" t="s">
        <v>151</v>
      </c>
      <c r="E390" s="1" t="s">
        <v>53</v>
      </c>
      <c r="F390" s="1" t="s">
        <v>54</v>
      </c>
      <c r="G390" s="2">
        <v>40.0</v>
      </c>
      <c r="H390" s="1" t="s">
        <v>55</v>
      </c>
      <c r="I390" s="1" t="s">
        <v>100</v>
      </c>
      <c r="J390" s="1" t="s">
        <v>86</v>
      </c>
      <c r="K390" s="1" t="s">
        <v>57</v>
      </c>
      <c r="M390" s="1" t="s">
        <v>58</v>
      </c>
      <c r="N390" s="1" t="s">
        <v>58</v>
      </c>
      <c r="O390" s="1" t="s">
        <v>69</v>
      </c>
      <c r="Q390" s="1" t="s">
        <v>58</v>
      </c>
      <c r="R390" s="1" t="s">
        <v>58</v>
      </c>
      <c r="S390" s="1" t="s">
        <v>69</v>
      </c>
      <c r="T390" s="1" t="s">
        <v>58</v>
      </c>
      <c r="U390" s="1" t="s">
        <v>58</v>
      </c>
      <c r="V390" s="1" t="s">
        <v>58</v>
      </c>
      <c r="W390" s="1" t="s">
        <v>58</v>
      </c>
      <c r="X390" s="1" t="s">
        <v>88</v>
      </c>
      <c r="Y390" s="1" t="s">
        <v>60</v>
      </c>
      <c r="Z390" s="1" t="s">
        <v>61</v>
      </c>
      <c r="AA390" s="2">
        <v>10.0</v>
      </c>
      <c r="AB390" s="1" t="s">
        <v>79</v>
      </c>
      <c r="AC390" s="1" t="s">
        <v>72</v>
      </c>
      <c r="AF390" s="1" t="s">
        <v>51</v>
      </c>
      <c r="AG390" s="1" t="s">
        <v>51</v>
      </c>
      <c r="AH390" s="2">
        <v>200.0</v>
      </c>
      <c r="AI390" s="2">
        <v>1.0</v>
      </c>
      <c r="AJ390" s="2">
        <v>0.0</v>
      </c>
      <c r="AK390" s="2">
        <v>0.0</v>
      </c>
      <c r="AL390" s="2">
        <v>0.0</v>
      </c>
      <c r="AM390" s="1" t="s">
        <v>51</v>
      </c>
      <c r="AN390" s="2">
        <v>7.11230687E8</v>
      </c>
      <c r="AP390" s="2">
        <v>4.90455501E8</v>
      </c>
      <c r="AQ390" s="1" t="s">
        <v>527</v>
      </c>
      <c r="AR390" s="2">
        <v>45809.53716435185</v>
      </c>
      <c r="AU390" s="1" t="s">
        <v>64</v>
      </c>
      <c r="AW390" s="1" t="s">
        <v>513</v>
      </c>
      <c r="AY390" s="2">
        <v>15.0</v>
      </c>
    </row>
    <row r="391">
      <c r="A391" s="1" t="s">
        <v>51</v>
      </c>
      <c r="C391" s="1" t="s">
        <v>151</v>
      </c>
      <c r="E391" s="1" t="s">
        <v>53</v>
      </c>
      <c r="F391" s="1" t="s">
        <v>54</v>
      </c>
      <c r="G391" s="2">
        <v>39.0</v>
      </c>
      <c r="H391" s="1" t="s">
        <v>55</v>
      </c>
      <c r="I391" s="1" t="s">
        <v>100</v>
      </c>
      <c r="J391" s="1" t="s">
        <v>68</v>
      </c>
      <c r="K391" s="1" t="s">
        <v>57</v>
      </c>
      <c r="M391" s="1" t="s">
        <v>58</v>
      </c>
      <c r="N391" s="1" t="s">
        <v>58</v>
      </c>
      <c r="O391" s="1" t="s">
        <v>58</v>
      </c>
      <c r="Q391" s="1" t="s">
        <v>58</v>
      </c>
      <c r="R391" s="1" t="s">
        <v>58</v>
      </c>
      <c r="T391" s="1" t="s">
        <v>58</v>
      </c>
      <c r="U391" s="1" t="s">
        <v>58</v>
      </c>
      <c r="W391" s="1" t="s">
        <v>58</v>
      </c>
      <c r="X391" s="1" t="s">
        <v>81</v>
      </c>
      <c r="Y391" s="1" t="s">
        <v>227</v>
      </c>
      <c r="Z391" s="1" t="s">
        <v>89</v>
      </c>
      <c r="AA391" s="2">
        <v>10.0</v>
      </c>
      <c r="AB391" s="1" t="s">
        <v>62</v>
      </c>
      <c r="AC391" s="1" t="s">
        <v>51</v>
      </c>
      <c r="AD391" s="1" t="s">
        <v>81</v>
      </c>
      <c r="AE391" s="1" t="s">
        <v>51</v>
      </c>
      <c r="AF391" s="1" t="s">
        <v>72</v>
      </c>
      <c r="AG391" s="1" t="s">
        <v>72</v>
      </c>
      <c r="AI391" s="2">
        <v>0.0</v>
      </c>
      <c r="AJ391" s="2">
        <v>0.0</v>
      </c>
      <c r="AK391" s="2">
        <v>0.0</v>
      </c>
      <c r="AL391" s="2">
        <v>1.0</v>
      </c>
      <c r="AM391" s="1" t="s">
        <v>51</v>
      </c>
      <c r="AN391" s="2">
        <v>7.93682104E8</v>
      </c>
      <c r="AP391" s="2">
        <v>4.90459871E8</v>
      </c>
      <c r="AQ391" s="1" t="s">
        <v>528</v>
      </c>
      <c r="AR391" s="2">
        <v>45809.54628472222</v>
      </c>
      <c r="AU391" s="1" t="s">
        <v>64</v>
      </c>
      <c r="AW391" s="1" t="s">
        <v>513</v>
      </c>
      <c r="AY391" s="2">
        <v>16.0</v>
      </c>
    </row>
    <row r="392">
      <c r="A392" s="1" t="s">
        <v>51</v>
      </c>
      <c r="C392" s="1" t="s">
        <v>151</v>
      </c>
      <c r="E392" s="1" t="s">
        <v>53</v>
      </c>
      <c r="F392" s="1" t="s">
        <v>54</v>
      </c>
      <c r="G392" s="2">
        <v>35.0</v>
      </c>
      <c r="H392" s="1" t="s">
        <v>55</v>
      </c>
      <c r="I392" s="1" t="s">
        <v>67</v>
      </c>
      <c r="J392" s="1" t="s">
        <v>86</v>
      </c>
      <c r="K392" s="1" t="s">
        <v>74</v>
      </c>
      <c r="M392" s="1" t="s">
        <v>58</v>
      </c>
      <c r="N392" s="1" t="s">
        <v>58</v>
      </c>
      <c r="O392" s="1" t="s">
        <v>58</v>
      </c>
      <c r="Q392" s="1" t="s">
        <v>58</v>
      </c>
      <c r="R392" s="1" t="s">
        <v>58</v>
      </c>
      <c r="S392" s="1" t="s">
        <v>58</v>
      </c>
      <c r="T392" s="1" t="s">
        <v>58</v>
      </c>
      <c r="U392" s="1" t="s">
        <v>58</v>
      </c>
      <c r="V392" s="1" t="s">
        <v>58</v>
      </c>
      <c r="W392" s="1" t="s">
        <v>58</v>
      </c>
      <c r="X392" s="1" t="s">
        <v>59</v>
      </c>
      <c r="Y392" s="1" t="s">
        <v>60</v>
      </c>
      <c r="Z392" s="1" t="s">
        <v>61</v>
      </c>
      <c r="AA392" s="2">
        <v>10.0</v>
      </c>
      <c r="AB392" s="1" t="s">
        <v>79</v>
      </c>
      <c r="AC392" s="1" t="s">
        <v>51</v>
      </c>
      <c r="AD392" s="1" t="s">
        <v>59</v>
      </c>
      <c r="AE392" s="1" t="s">
        <v>51</v>
      </c>
      <c r="AF392" s="1" t="s">
        <v>51</v>
      </c>
      <c r="AG392" s="1" t="s">
        <v>51</v>
      </c>
      <c r="AH392" s="2">
        <v>500.0</v>
      </c>
      <c r="AI392" s="2">
        <v>1.0</v>
      </c>
      <c r="AJ392" s="2">
        <v>0.0</v>
      </c>
      <c r="AK392" s="2">
        <v>0.0</v>
      </c>
      <c r="AL392" s="2">
        <v>0.0</v>
      </c>
      <c r="AM392" s="1" t="s">
        <v>51</v>
      </c>
      <c r="AN392" s="2">
        <v>6.47722465E8</v>
      </c>
      <c r="AP392" s="2">
        <v>4.90464896E8</v>
      </c>
      <c r="AQ392" s="1" t="s">
        <v>529</v>
      </c>
      <c r="AR392" s="2">
        <v>45809.55693287037</v>
      </c>
      <c r="AU392" s="1" t="s">
        <v>64</v>
      </c>
      <c r="AW392" s="1" t="s">
        <v>513</v>
      </c>
      <c r="AY392" s="2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4" max="24" width="29.13"/>
    <col customWidth="1" min="43" max="43" width="39.75"/>
    <col customWidth="1" min="44" max="44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C2" s="1" t="s">
        <v>52</v>
      </c>
      <c r="E2" s="1" t="s">
        <v>53</v>
      </c>
      <c r="F2" s="1" t="s">
        <v>54</v>
      </c>
      <c r="G2" s="2">
        <v>36.0</v>
      </c>
      <c r="H2" s="1" t="s">
        <v>66</v>
      </c>
      <c r="I2" s="1" t="s">
        <v>67</v>
      </c>
      <c r="J2" s="1" t="s">
        <v>68</v>
      </c>
      <c r="K2" s="1" t="s">
        <v>74</v>
      </c>
      <c r="M2" s="1" t="s">
        <v>58</v>
      </c>
      <c r="N2" s="1" t="s">
        <v>58</v>
      </c>
      <c r="O2" s="1" t="s">
        <v>69</v>
      </c>
      <c r="Q2" s="1" t="s">
        <v>70</v>
      </c>
      <c r="R2" s="1" t="s">
        <v>58</v>
      </c>
      <c r="S2" s="1" t="s">
        <v>69</v>
      </c>
      <c r="T2" s="1" t="s">
        <v>69</v>
      </c>
      <c r="U2" s="1" t="s">
        <v>70</v>
      </c>
      <c r="V2" s="1" t="s">
        <v>69</v>
      </c>
      <c r="W2" s="1" t="s">
        <v>69</v>
      </c>
      <c r="X2" s="1" t="s">
        <v>81</v>
      </c>
      <c r="Y2" s="1" t="s">
        <v>82</v>
      </c>
      <c r="Z2" s="1" t="s">
        <v>61</v>
      </c>
      <c r="AA2" s="2">
        <v>100.0</v>
      </c>
      <c r="AB2" s="1" t="s">
        <v>79</v>
      </c>
      <c r="AC2" s="1" t="s">
        <v>71</v>
      </c>
      <c r="AF2" s="1" t="s">
        <v>51</v>
      </c>
      <c r="AG2" s="1" t="s">
        <v>51</v>
      </c>
      <c r="AH2" s="2">
        <v>20.0</v>
      </c>
      <c r="AI2" s="2">
        <v>0.0</v>
      </c>
      <c r="AJ2" s="2">
        <v>0.0</v>
      </c>
      <c r="AK2" s="2">
        <v>0.0</v>
      </c>
      <c r="AL2" s="2">
        <v>1.0</v>
      </c>
      <c r="AM2" s="1" t="s">
        <v>51</v>
      </c>
      <c r="AN2" s="2">
        <v>6.03855945E8</v>
      </c>
      <c r="AP2" s="2">
        <v>4.87549124E8</v>
      </c>
      <c r="AQ2" s="1" t="s">
        <v>83</v>
      </c>
      <c r="AR2" s="2">
        <v>45805.156481481485</v>
      </c>
      <c r="AU2" s="1" t="s">
        <v>64</v>
      </c>
      <c r="AW2" s="1" t="s">
        <v>84</v>
      </c>
      <c r="AY2" s="2">
        <v>1.0</v>
      </c>
    </row>
    <row r="3">
      <c r="A3" s="1" t="s">
        <v>51</v>
      </c>
      <c r="C3" s="1" t="s">
        <v>52</v>
      </c>
      <c r="E3" s="1" t="s">
        <v>53</v>
      </c>
      <c r="F3" s="1" t="s">
        <v>85</v>
      </c>
      <c r="G3" s="2">
        <v>41.0</v>
      </c>
      <c r="H3" s="1" t="s">
        <v>55</v>
      </c>
      <c r="I3" s="1" t="s">
        <v>67</v>
      </c>
      <c r="J3" s="1" t="s">
        <v>86</v>
      </c>
      <c r="K3" s="1" t="s">
        <v>87</v>
      </c>
      <c r="M3" s="1" t="s">
        <v>58</v>
      </c>
      <c r="N3" s="1" t="s">
        <v>70</v>
      </c>
      <c r="O3" s="1" t="s">
        <v>58</v>
      </c>
      <c r="Q3" s="1" t="s">
        <v>58</v>
      </c>
      <c r="R3" s="1" t="s">
        <v>58</v>
      </c>
      <c r="S3" s="1" t="s">
        <v>69</v>
      </c>
      <c r="T3" s="1" t="s">
        <v>70</v>
      </c>
      <c r="U3" s="1" t="s">
        <v>58</v>
      </c>
      <c r="V3" s="1" t="s">
        <v>58</v>
      </c>
      <c r="W3" s="1" t="s">
        <v>58</v>
      </c>
      <c r="X3" s="1" t="s">
        <v>88</v>
      </c>
      <c r="Y3" s="1" t="s">
        <v>60</v>
      </c>
      <c r="Z3" s="1" t="s">
        <v>89</v>
      </c>
      <c r="AA3" s="2">
        <v>100.0</v>
      </c>
      <c r="AB3" s="1" t="s">
        <v>62</v>
      </c>
      <c r="AC3" s="1" t="s">
        <v>51</v>
      </c>
      <c r="AD3" s="1" t="s">
        <v>59</v>
      </c>
      <c r="AE3" s="1" t="s">
        <v>51</v>
      </c>
      <c r="AF3" s="1" t="s">
        <v>51</v>
      </c>
      <c r="AG3" s="1" t="s">
        <v>72</v>
      </c>
      <c r="AI3" s="2">
        <v>0.0</v>
      </c>
      <c r="AJ3" s="2">
        <v>0.0</v>
      </c>
      <c r="AK3" s="2">
        <v>0.0</v>
      </c>
      <c r="AL3" s="2">
        <v>1.0</v>
      </c>
      <c r="AM3" s="1" t="s">
        <v>51</v>
      </c>
      <c r="AN3" s="2">
        <v>7.89114176E8</v>
      </c>
      <c r="AP3" s="2">
        <v>4.87569504E8</v>
      </c>
      <c r="AQ3" s="1" t="s">
        <v>90</v>
      </c>
      <c r="AR3" s="2">
        <v>45805.204988425925</v>
      </c>
      <c r="AU3" s="1" t="s">
        <v>64</v>
      </c>
      <c r="AW3" s="1" t="s">
        <v>84</v>
      </c>
      <c r="AY3" s="2">
        <v>2.0</v>
      </c>
    </row>
    <row r="4">
      <c r="A4" s="1" t="s">
        <v>72</v>
      </c>
      <c r="AP4" s="2">
        <v>4.87569554E8</v>
      </c>
      <c r="AQ4" s="1" t="s">
        <v>91</v>
      </c>
      <c r="AR4" s="2">
        <v>45805.20506944445</v>
      </c>
      <c r="AU4" s="1" t="s">
        <v>64</v>
      </c>
      <c r="AW4" s="1" t="s">
        <v>84</v>
      </c>
      <c r="AY4" s="2">
        <v>3.0</v>
      </c>
    </row>
    <row r="5">
      <c r="A5" s="1" t="s">
        <v>51</v>
      </c>
      <c r="C5" s="1" t="s">
        <v>52</v>
      </c>
      <c r="E5" s="1" t="s">
        <v>53</v>
      </c>
      <c r="F5" s="1" t="s">
        <v>54</v>
      </c>
      <c r="G5" s="2">
        <v>36.0</v>
      </c>
      <c r="H5" s="1" t="s">
        <v>55</v>
      </c>
      <c r="I5" s="1" t="s">
        <v>67</v>
      </c>
      <c r="J5" s="1" t="s">
        <v>68</v>
      </c>
      <c r="K5" s="1" t="s">
        <v>92</v>
      </c>
      <c r="M5" s="1" t="s">
        <v>58</v>
      </c>
      <c r="N5" s="1" t="s">
        <v>58</v>
      </c>
      <c r="O5" s="1" t="s">
        <v>58</v>
      </c>
      <c r="Q5" s="1" t="s">
        <v>69</v>
      </c>
      <c r="R5" s="1" t="s">
        <v>58</v>
      </c>
      <c r="S5" s="1" t="s">
        <v>69</v>
      </c>
      <c r="T5" s="1" t="s">
        <v>58</v>
      </c>
      <c r="U5" s="1" t="s">
        <v>58</v>
      </c>
      <c r="V5" s="1" t="s">
        <v>58</v>
      </c>
      <c r="W5" s="1" t="s">
        <v>69</v>
      </c>
      <c r="X5" s="1" t="s">
        <v>81</v>
      </c>
      <c r="Y5" s="1" t="s">
        <v>60</v>
      </c>
      <c r="Z5" s="1" t="s">
        <v>89</v>
      </c>
      <c r="AA5" s="2">
        <v>50.0</v>
      </c>
      <c r="AB5" s="1" t="s">
        <v>79</v>
      </c>
      <c r="AC5" s="1" t="s">
        <v>51</v>
      </c>
      <c r="AD5" s="1" t="s">
        <v>81</v>
      </c>
      <c r="AE5" s="1" t="s">
        <v>51</v>
      </c>
      <c r="AF5" s="1" t="s">
        <v>51</v>
      </c>
      <c r="AG5" s="1" t="s">
        <v>51</v>
      </c>
      <c r="AH5" s="2">
        <v>50.0</v>
      </c>
      <c r="AI5" s="2">
        <v>0.0</v>
      </c>
      <c r="AJ5" s="2">
        <v>0.0</v>
      </c>
      <c r="AK5" s="2">
        <v>0.0</v>
      </c>
      <c r="AL5" s="2">
        <v>1.0</v>
      </c>
      <c r="AM5" s="1" t="s">
        <v>51</v>
      </c>
      <c r="AN5" s="2">
        <v>7.85939885E8</v>
      </c>
      <c r="AP5" s="2">
        <v>4.87579768E8</v>
      </c>
      <c r="AQ5" s="1" t="s">
        <v>93</v>
      </c>
      <c r="AR5" s="2">
        <v>45805.2256712963</v>
      </c>
      <c r="AU5" s="1" t="s">
        <v>64</v>
      </c>
      <c r="AW5" s="1" t="s">
        <v>84</v>
      </c>
      <c r="AY5" s="2">
        <v>4.0</v>
      </c>
    </row>
    <row r="6">
      <c r="A6" s="1" t="s">
        <v>51</v>
      </c>
      <c r="C6" s="1" t="s">
        <v>52</v>
      </c>
      <c r="E6" s="1" t="s">
        <v>53</v>
      </c>
      <c r="F6" s="1" t="s">
        <v>94</v>
      </c>
      <c r="G6" s="2">
        <v>45.0</v>
      </c>
      <c r="H6" s="1" t="s">
        <v>66</v>
      </c>
      <c r="I6" s="1" t="s">
        <v>67</v>
      </c>
      <c r="J6" s="1" t="s">
        <v>86</v>
      </c>
      <c r="K6" s="1" t="s">
        <v>87</v>
      </c>
      <c r="M6" s="1" t="s">
        <v>58</v>
      </c>
      <c r="N6" s="1" t="s">
        <v>58</v>
      </c>
      <c r="O6" s="1" t="s">
        <v>69</v>
      </c>
      <c r="Q6" s="1" t="s">
        <v>69</v>
      </c>
      <c r="R6" s="1" t="s">
        <v>58</v>
      </c>
      <c r="S6" s="1" t="s">
        <v>58</v>
      </c>
      <c r="T6" s="1" t="s">
        <v>58</v>
      </c>
      <c r="U6" s="1" t="s">
        <v>69</v>
      </c>
      <c r="V6" s="1" t="s">
        <v>58</v>
      </c>
      <c r="W6" s="1" t="s">
        <v>58</v>
      </c>
      <c r="X6" s="1" t="s">
        <v>88</v>
      </c>
      <c r="Y6" s="1" t="s">
        <v>95</v>
      </c>
      <c r="Z6" s="1" t="s">
        <v>96</v>
      </c>
      <c r="AA6" s="2">
        <v>100.0</v>
      </c>
      <c r="AB6" s="1" t="s">
        <v>62</v>
      </c>
      <c r="AF6" s="1" t="s">
        <v>51</v>
      </c>
      <c r="AI6" s="2">
        <v>0.0</v>
      </c>
      <c r="AJ6" s="2">
        <v>0.0</v>
      </c>
      <c r="AK6" s="2">
        <v>0.0</v>
      </c>
      <c r="AL6" s="2">
        <v>1.0</v>
      </c>
      <c r="AM6" s="1" t="s">
        <v>51</v>
      </c>
      <c r="AP6" s="2">
        <v>4.87581103E8</v>
      </c>
      <c r="AQ6" s="1" t="s">
        <v>97</v>
      </c>
      <c r="AR6" s="2">
        <v>45805.22862268519</v>
      </c>
      <c r="AU6" s="1" t="s">
        <v>64</v>
      </c>
      <c r="AW6" s="1" t="s">
        <v>84</v>
      </c>
      <c r="AY6" s="2">
        <v>5.0</v>
      </c>
    </row>
    <row r="7">
      <c r="A7" s="1" t="s">
        <v>51</v>
      </c>
      <c r="C7" s="1" t="s">
        <v>52</v>
      </c>
      <c r="E7" s="1" t="s">
        <v>53</v>
      </c>
      <c r="F7" s="1" t="s">
        <v>54</v>
      </c>
      <c r="G7" s="2">
        <v>49.0</v>
      </c>
      <c r="H7" s="1" t="s">
        <v>55</v>
      </c>
      <c r="I7" s="1" t="s">
        <v>67</v>
      </c>
      <c r="J7" s="1" t="s">
        <v>86</v>
      </c>
      <c r="K7" s="1" t="s">
        <v>87</v>
      </c>
      <c r="M7" s="1" t="s">
        <v>58</v>
      </c>
      <c r="N7" s="1" t="s">
        <v>58</v>
      </c>
      <c r="O7" s="1" t="s">
        <v>58</v>
      </c>
      <c r="Q7" s="1" t="s">
        <v>58</v>
      </c>
      <c r="R7" s="1" t="s">
        <v>58</v>
      </c>
      <c r="S7" s="1" t="s">
        <v>58</v>
      </c>
      <c r="T7" s="1" t="s">
        <v>70</v>
      </c>
      <c r="U7" s="1" t="s">
        <v>58</v>
      </c>
      <c r="V7" s="1" t="s">
        <v>58</v>
      </c>
      <c r="W7" s="1" t="s">
        <v>58</v>
      </c>
      <c r="X7" s="1" t="s">
        <v>88</v>
      </c>
      <c r="Y7" s="1" t="s">
        <v>95</v>
      </c>
      <c r="Z7" s="1" t="s">
        <v>96</v>
      </c>
      <c r="AA7" s="2">
        <v>100.0</v>
      </c>
      <c r="AB7" s="1" t="s">
        <v>62</v>
      </c>
      <c r="AC7" s="1" t="s">
        <v>51</v>
      </c>
      <c r="AD7" s="1" t="s">
        <v>81</v>
      </c>
      <c r="AE7" s="1" t="s">
        <v>51</v>
      </c>
      <c r="AF7" s="1" t="s">
        <v>51</v>
      </c>
      <c r="AG7" s="1" t="s">
        <v>51</v>
      </c>
      <c r="AH7" s="2">
        <v>50.0</v>
      </c>
      <c r="AI7" s="2">
        <v>0.0</v>
      </c>
      <c r="AJ7" s="2">
        <v>0.0</v>
      </c>
      <c r="AK7" s="2">
        <v>1.0</v>
      </c>
      <c r="AL7" s="2">
        <v>0.0</v>
      </c>
      <c r="AM7" s="1" t="s">
        <v>51</v>
      </c>
      <c r="AN7" s="2">
        <v>6.80530886E8</v>
      </c>
      <c r="AP7" s="2">
        <v>4.87583535E8</v>
      </c>
      <c r="AQ7" s="1" t="s">
        <v>98</v>
      </c>
      <c r="AR7" s="2">
        <v>45805.23370370371</v>
      </c>
      <c r="AU7" s="1" t="s">
        <v>64</v>
      </c>
      <c r="AW7" s="1" t="s">
        <v>84</v>
      </c>
      <c r="AY7" s="2">
        <v>6.0</v>
      </c>
    </row>
    <row r="8">
      <c r="A8" s="1" t="s">
        <v>51</v>
      </c>
      <c r="C8" s="1" t="s">
        <v>52</v>
      </c>
      <c r="E8" s="1" t="s">
        <v>53</v>
      </c>
      <c r="F8" s="1" t="s">
        <v>54</v>
      </c>
      <c r="G8" s="2">
        <v>39.0</v>
      </c>
      <c r="H8" s="1" t="s">
        <v>55</v>
      </c>
      <c r="I8" s="1" t="s">
        <v>67</v>
      </c>
      <c r="J8" s="1" t="s">
        <v>86</v>
      </c>
      <c r="K8" s="1" t="s">
        <v>87</v>
      </c>
      <c r="M8" s="1" t="s">
        <v>58</v>
      </c>
      <c r="N8" s="1" t="s">
        <v>58</v>
      </c>
      <c r="O8" s="1" t="s">
        <v>69</v>
      </c>
      <c r="Q8" s="1" t="s">
        <v>58</v>
      </c>
      <c r="R8" s="1" t="s">
        <v>58</v>
      </c>
      <c r="S8" s="1" t="s">
        <v>58</v>
      </c>
      <c r="T8" s="1" t="s">
        <v>58</v>
      </c>
      <c r="U8" s="1" t="s">
        <v>58</v>
      </c>
      <c r="V8" s="1" t="s">
        <v>58</v>
      </c>
      <c r="W8" s="1" t="s">
        <v>58</v>
      </c>
      <c r="X8" s="1" t="s">
        <v>88</v>
      </c>
      <c r="Y8" s="1" t="s">
        <v>95</v>
      </c>
      <c r="Z8" s="1" t="s">
        <v>89</v>
      </c>
      <c r="AA8" s="2">
        <v>50.0</v>
      </c>
      <c r="AB8" s="1" t="s">
        <v>62</v>
      </c>
      <c r="AC8" s="1" t="s">
        <v>51</v>
      </c>
      <c r="AD8" s="1" t="s">
        <v>81</v>
      </c>
      <c r="AE8" s="1" t="s">
        <v>51</v>
      </c>
      <c r="AF8" s="1" t="s">
        <v>51</v>
      </c>
      <c r="AG8" s="1" t="s">
        <v>72</v>
      </c>
      <c r="AI8" s="2">
        <v>0.0</v>
      </c>
      <c r="AJ8" s="2">
        <v>0.0</v>
      </c>
      <c r="AK8" s="2">
        <v>0.0</v>
      </c>
      <c r="AL8" s="2">
        <v>1.0</v>
      </c>
      <c r="AM8" s="1" t="s">
        <v>72</v>
      </c>
      <c r="AP8" s="2">
        <v>4.87584635E8</v>
      </c>
      <c r="AQ8" s="1" t="s">
        <v>99</v>
      </c>
      <c r="AR8" s="2">
        <v>45805.23600694445</v>
      </c>
      <c r="AU8" s="1" t="s">
        <v>64</v>
      </c>
      <c r="AW8" s="1" t="s">
        <v>84</v>
      </c>
      <c r="AY8" s="2">
        <v>7.0</v>
      </c>
    </row>
    <row r="9">
      <c r="A9" s="1" t="s">
        <v>51</v>
      </c>
      <c r="C9" s="1" t="s">
        <v>53</v>
      </c>
      <c r="E9" s="1" t="s">
        <v>53</v>
      </c>
      <c r="F9" s="1" t="s">
        <v>54</v>
      </c>
      <c r="G9" s="2">
        <v>19.0</v>
      </c>
      <c r="H9" s="1" t="s">
        <v>55</v>
      </c>
      <c r="I9" s="1" t="s">
        <v>100</v>
      </c>
      <c r="J9" s="1" t="s">
        <v>68</v>
      </c>
      <c r="K9" s="1" t="s">
        <v>92</v>
      </c>
      <c r="M9" s="1" t="s">
        <v>58</v>
      </c>
      <c r="N9" s="1" t="s">
        <v>58</v>
      </c>
      <c r="O9" s="1" t="s">
        <v>70</v>
      </c>
      <c r="Q9" s="1" t="s">
        <v>58</v>
      </c>
      <c r="R9" s="1" t="s">
        <v>58</v>
      </c>
      <c r="S9" s="1" t="s">
        <v>69</v>
      </c>
      <c r="T9" s="1" t="s">
        <v>69</v>
      </c>
      <c r="U9" s="1" t="s">
        <v>70</v>
      </c>
      <c r="V9" s="1" t="s">
        <v>58</v>
      </c>
      <c r="W9" s="1" t="s">
        <v>69</v>
      </c>
      <c r="X9" s="1" t="s">
        <v>88</v>
      </c>
      <c r="Y9" s="1" t="s">
        <v>82</v>
      </c>
      <c r="Z9" s="1" t="s">
        <v>89</v>
      </c>
      <c r="AA9" s="2">
        <v>40.0</v>
      </c>
      <c r="AB9" s="1" t="s">
        <v>28</v>
      </c>
      <c r="AC9" s="1" t="s">
        <v>72</v>
      </c>
      <c r="AF9" s="1" t="s">
        <v>51</v>
      </c>
      <c r="AG9" s="1" t="s">
        <v>51</v>
      </c>
      <c r="AH9" s="2">
        <v>20.0</v>
      </c>
      <c r="AI9" s="2">
        <v>0.0</v>
      </c>
      <c r="AJ9" s="2">
        <v>0.0</v>
      </c>
      <c r="AK9" s="2">
        <v>1.0</v>
      </c>
      <c r="AL9" s="2">
        <v>0.0</v>
      </c>
      <c r="AM9" s="1" t="s">
        <v>72</v>
      </c>
      <c r="AP9" s="2">
        <v>4.87590182E8</v>
      </c>
      <c r="AQ9" s="1" t="s">
        <v>101</v>
      </c>
      <c r="AR9" s="2">
        <v>45805.24518518519</v>
      </c>
      <c r="AU9" s="1" t="s">
        <v>64</v>
      </c>
      <c r="AW9" s="1" t="s">
        <v>84</v>
      </c>
      <c r="AY9" s="2">
        <v>8.0</v>
      </c>
    </row>
    <row r="10">
      <c r="A10" s="1" t="s">
        <v>51</v>
      </c>
      <c r="C10" s="1" t="s">
        <v>52</v>
      </c>
      <c r="E10" s="1" t="s">
        <v>53</v>
      </c>
      <c r="F10" s="1" t="s">
        <v>102</v>
      </c>
      <c r="G10" s="2">
        <v>41.0</v>
      </c>
      <c r="H10" s="1" t="s">
        <v>55</v>
      </c>
      <c r="I10" s="1" t="s">
        <v>67</v>
      </c>
      <c r="J10" s="1" t="s">
        <v>56</v>
      </c>
      <c r="K10" s="1" t="s">
        <v>87</v>
      </c>
      <c r="M10" s="1" t="s">
        <v>58</v>
      </c>
      <c r="N10" s="1" t="s">
        <v>58</v>
      </c>
      <c r="O10" s="1" t="s">
        <v>58</v>
      </c>
      <c r="Q10" s="1" t="s">
        <v>70</v>
      </c>
      <c r="R10" s="1" t="s">
        <v>58</v>
      </c>
      <c r="S10" s="1" t="s">
        <v>69</v>
      </c>
      <c r="T10" s="1" t="s">
        <v>69</v>
      </c>
      <c r="U10" s="1" t="s">
        <v>69</v>
      </c>
      <c r="V10" s="1" t="s">
        <v>58</v>
      </c>
      <c r="W10" s="1" t="s">
        <v>69</v>
      </c>
      <c r="X10" s="1" t="s">
        <v>103</v>
      </c>
      <c r="Y10" s="1" t="s">
        <v>95</v>
      </c>
      <c r="Z10" s="1" t="s">
        <v>89</v>
      </c>
      <c r="AA10" s="2">
        <v>100.0</v>
      </c>
      <c r="AB10" s="1" t="s">
        <v>62</v>
      </c>
      <c r="AC10" s="1" t="s">
        <v>71</v>
      </c>
      <c r="AF10" s="1" t="s">
        <v>72</v>
      </c>
      <c r="AG10" s="1" t="s">
        <v>51</v>
      </c>
      <c r="AH10" s="2">
        <v>15.0</v>
      </c>
      <c r="AI10" s="2">
        <v>0.0</v>
      </c>
      <c r="AJ10" s="2">
        <v>0.0</v>
      </c>
      <c r="AK10" s="2">
        <v>1.0</v>
      </c>
      <c r="AL10" s="2">
        <v>0.0</v>
      </c>
      <c r="AM10" s="1" t="s">
        <v>72</v>
      </c>
      <c r="AP10" s="2">
        <v>4.87597851E8</v>
      </c>
      <c r="AQ10" s="1" t="s">
        <v>104</v>
      </c>
      <c r="AR10" s="2">
        <v>45805.25702546296</v>
      </c>
      <c r="AU10" s="1" t="s">
        <v>64</v>
      </c>
      <c r="AW10" s="1" t="s">
        <v>84</v>
      </c>
      <c r="AY10" s="2">
        <v>9.0</v>
      </c>
    </row>
    <row r="11">
      <c r="A11" s="1" t="s">
        <v>51</v>
      </c>
      <c r="C11" s="1" t="s">
        <v>52</v>
      </c>
      <c r="E11" s="1" t="s">
        <v>105</v>
      </c>
      <c r="G11" s="2">
        <v>44.0</v>
      </c>
      <c r="H11" s="1" t="s">
        <v>66</v>
      </c>
      <c r="K11" s="1" t="s">
        <v>92</v>
      </c>
      <c r="M11" s="1" t="s">
        <v>58</v>
      </c>
      <c r="N11" s="1" t="s">
        <v>58</v>
      </c>
      <c r="O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88</v>
      </c>
      <c r="Y11" s="1" t="s">
        <v>95</v>
      </c>
      <c r="Z11" s="1" t="s">
        <v>89</v>
      </c>
      <c r="AA11" s="2">
        <v>100.0</v>
      </c>
      <c r="AB11" s="1" t="s">
        <v>79</v>
      </c>
      <c r="AF11" s="1" t="s">
        <v>51</v>
      </c>
      <c r="AG11" s="1" t="s">
        <v>51</v>
      </c>
      <c r="AI11" s="2">
        <v>0.0</v>
      </c>
      <c r="AJ11" s="2">
        <v>0.0</v>
      </c>
      <c r="AK11" s="2">
        <v>0.0</v>
      </c>
      <c r="AL11" s="2">
        <v>1.0</v>
      </c>
      <c r="AP11" s="2">
        <v>4.87598469E8</v>
      </c>
      <c r="AQ11" s="1" t="s">
        <v>106</v>
      </c>
      <c r="AR11" s="2">
        <v>45805.257789351854</v>
      </c>
      <c r="AU11" s="1" t="s">
        <v>64</v>
      </c>
      <c r="AW11" s="1" t="s">
        <v>84</v>
      </c>
      <c r="AY11" s="2">
        <v>10.0</v>
      </c>
    </row>
    <row r="12">
      <c r="A12" s="1" t="s">
        <v>51</v>
      </c>
      <c r="C12" s="1" t="s">
        <v>52</v>
      </c>
      <c r="E12" s="1" t="s">
        <v>107</v>
      </c>
      <c r="G12" s="2">
        <v>45.0</v>
      </c>
      <c r="H12" s="1" t="s">
        <v>55</v>
      </c>
      <c r="J12" s="1" t="s">
        <v>86</v>
      </c>
      <c r="K12" s="1" t="s">
        <v>87</v>
      </c>
      <c r="M12" s="1" t="s">
        <v>58</v>
      </c>
      <c r="N12" s="1" t="s">
        <v>58</v>
      </c>
      <c r="O12" s="1" t="s">
        <v>58</v>
      </c>
      <c r="Q12" s="1" t="s">
        <v>69</v>
      </c>
      <c r="R12" s="1" t="s">
        <v>58</v>
      </c>
      <c r="S12" s="1" t="s">
        <v>69</v>
      </c>
      <c r="T12" s="1" t="s">
        <v>58</v>
      </c>
      <c r="U12" s="1" t="s">
        <v>58</v>
      </c>
      <c r="V12" s="1" t="s">
        <v>58</v>
      </c>
      <c r="W12" s="1" t="s">
        <v>69</v>
      </c>
      <c r="X12" s="1" t="s">
        <v>103</v>
      </c>
      <c r="Y12" s="1" t="s">
        <v>95</v>
      </c>
      <c r="Z12" s="1" t="s">
        <v>108</v>
      </c>
      <c r="AA12" s="2">
        <v>100.0</v>
      </c>
      <c r="AB12" s="1" t="s">
        <v>62</v>
      </c>
      <c r="AC12" s="1" t="s">
        <v>71</v>
      </c>
      <c r="AF12" s="1" t="s">
        <v>51</v>
      </c>
      <c r="AG12" s="1" t="s">
        <v>72</v>
      </c>
      <c r="AI12" s="2">
        <v>0.0</v>
      </c>
      <c r="AJ12" s="2">
        <v>0.0</v>
      </c>
      <c r="AK12" s="2">
        <v>1.0</v>
      </c>
      <c r="AL12" s="2">
        <v>0.0</v>
      </c>
      <c r="AP12" s="2">
        <v>4.87601692E8</v>
      </c>
      <c r="AQ12" s="1" t="s">
        <v>109</v>
      </c>
      <c r="AR12" s="2">
        <v>45805.2628587963</v>
      </c>
      <c r="AU12" s="1" t="s">
        <v>64</v>
      </c>
      <c r="AW12" s="1" t="s">
        <v>84</v>
      </c>
      <c r="AY12" s="2">
        <v>11.0</v>
      </c>
    </row>
    <row r="13">
      <c r="A13" s="1" t="s">
        <v>51</v>
      </c>
      <c r="C13" s="1" t="s">
        <v>52</v>
      </c>
      <c r="E13" s="1" t="s">
        <v>53</v>
      </c>
      <c r="G13" s="2">
        <v>35.0</v>
      </c>
      <c r="H13" s="1" t="s">
        <v>66</v>
      </c>
      <c r="I13" s="1" t="s">
        <v>67</v>
      </c>
      <c r="J13" s="1" t="s">
        <v>68</v>
      </c>
      <c r="K13" s="1" t="s">
        <v>74</v>
      </c>
      <c r="M13" s="1" t="s">
        <v>58</v>
      </c>
      <c r="N13" s="1" t="s">
        <v>58</v>
      </c>
      <c r="O13" s="1" t="s">
        <v>58</v>
      </c>
      <c r="Q13" s="1" t="s">
        <v>58</v>
      </c>
      <c r="R13" s="1" t="s">
        <v>58</v>
      </c>
      <c r="S13" s="1" t="s">
        <v>69</v>
      </c>
      <c r="T13" s="1" t="s">
        <v>69</v>
      </c>
      <c r="U13" s="1" t="s">
        <v>58</v>
      </c>
      <c r="V13" s="1" t="s">
        <v>58</v>
      </c>
      <c r="W13" s="1" t="s">
        <v>69</v>
      </c>
      <c r="X13" s="1" t="s">
        <v>59</v>
      </c>
      <c r="Y13" s="1" t="s">
        <v>82</v>
      </c>
      <c r="Z13" s="1" t="s">
        <v>108</v>
      </c>
      <c r="AA13" s="2">
        <v>10.0</v>
      </c>
      <c r="AB13" s="1" t="s">
        <v>79</v>
      </c>
      <c r="AC13" s="1" t="s">
        <v>51</v>
      </c>
      <c r="AD13" s="1" t="s">
        <v>81</v>
      </c>
      <c r="AE13" s="1" t="s">
        <v>51</v>
      </c>
      <c r="AF13" s="1" t="s">
        <v>51</v>
      </c>
      <c r="AG13" s="1" t="s">
        <v>51</v>
      </c>
      <c r="AH13" s="2">
        <v>6000.0</v>
      </c>
      <c r="AI13" s="2">
        <v>0.0</v>
      </c>
      <c r="AJ13" s="2">
        <v>1.0</v>
      </c>
      <c r="AK13" s="2">
        <v>0.0</v>
      </c>
      <c r="AL13" s="2">
        <v>0.0</v>
      </c>
      <c r="AM13" s="1" t="s">
        <v>51</v>
      </c>
      <c r="AN13" s="2">
        <v>7.80638071E8</v>
      </c>
      <c r="AP13" s="2">
        <v>4.87603844E8</v>
      </c>
      <c r="AQ13" s="1" t="s">
        <v>110</v>
      </c>
      <c r="AR13" s="2">
        <v>45805.26619212963</v>
      </c>
      <c r="AU13" s="1" t="s">
        <v>64</v>
      </c>
      <c r="AW13" s="1" t="s">
        <v>84</v>
      </c>
      <c r="AY13" s="2">
        <v>12.0</v>
      </c>
    </row>
    <row r="14">
      <c r="A14" s="1" t="s">
        <v>51</v>
      </c>
      <c r="C14" s="1" t="s">
        <v>52</v>
      </c>
      <c r="E14" s="1" t="s">
        <v>53</v>
      </c>
      <c r="F14" s="1" t="s">
        <v>102</v>
      </c>
      <c r="G14" s="2">
        <v>43.0</v>
      </c>
      <c r="H14" s="1" t="s">
        <v>66</v>
      </c>
      <c r="I14" s="1" t="s">
        <v>67</v>
      </c>
      <c r="J14" s="1" t="s">
        <v>111</v>
      </c>
      <c r="K14" s="1" t="s">
        <v>87</v>
      </c>
      <c r="M14" s="1" t="s">
        <v>58</v>
      </c>
      <c r="N14" s="1" t="s">
        <v>58</v>
      </c>
      <c r="O14" s="1" t="s">
        <v>69</v>
      </c>
      <c r="Q14" s="1" t="s">
        <v>69</v>
      </c>
      <c r="R14" s="1" t="s">
        <v>58</v>
      </c>
      <c r="S14" s="1" t="s">
        <v>69</v>
      </c>
      <c r="T14" s="1" t="s">
        <v>69</v>
      </c>
      <c r="U14" s="1" t="s">
        <v>69</v>
      </c>
      <c r="V14" s="1" t="s">
        <v>58</v>
      </c>
      <c r="W14" s="1" t="s">
        <v>70</v>
      </c>
      <c r="X14" s="1" t="s">
        <v>59</v>
      </c>
      <c r="Y14" s="1" t="s">
        <v>95</v>
      </c>
      <c r="Z14" s="1" t="s">
        <v>61</v>
      </c>
      <c r="AA14" s="2">
        <v>10.0</v>
      </c>
      <c r="AB14" s="1" t="s">
        <v>79</v>
      </c>
      <c r="AC14" s="1" t="s">
        <v>51</v>
      </c>
      <c r="AD14" s="1" t="s">
        <v>81</v>
      </c>
      <c r="AE14" s="1" t="s">
        <v>51</v>
      </c>
      <c r="AF14" s="1" t="s">
        <v>51</v>
      </c>
      <c r="AG14" s="1" t="s">
        <v>51</v>
      </c>
      <c r="AH14" s="2">
        <v>100.0</v>
      </c>
      <c r="AI14" s="2">
        <v>0.0</v>
      </c>
      <c r="AJ14" s="2">
        <v>0.0</v>
      </c>
      <c r="AK14" s="2">
        <v>1.0</v>
      </c>
      <c r="AL14" s="2">
        <v>0.0</v>
      </c>
      <c r="AM14" s="1" t="s">
        <v>51</v>
      </c>
      <c r="AN14" s="2">
        <v>7.42878903E8</v>
      </c>
      <c r="AP14" s="2">
        <v>4.8760696E8</v>
      </c>
      <c r="AQ14" s="1" t="s">
        <v>112</v>
      </c>
      <c r="AR14" s="2">
        <v>45805.27038194444</v>
      </c>
      <c r="AU14" s="1" t="s">
        <v>64</v>
      </c>
      <c r="AW14" s="1" t="s">
        <v>84</v>
      </c>
      <c r="AY14" s="2">
        <v>13.0</v>
      </c>
    </row>
    <row r="15">
      <c r="A15" s="1" t="s">
        <v>51</v>
      </c>
      <c r="C15" s="1" t="s">
        <v>52</v>
      </c>
      <c r="E15" s="1" t="s">
        <v>52</v>
      </c>
      <c r="G15" s="2">
        <v>36.0</v>
      </c>
      <c r="H15" s="1" t="s">
        <v>55</v>
      </c>
      <c r="J15" s="1" t="s">
        <v>111</v>
      </c>
      <c r="K15" s="1" t="s">
        <v>87</v>
      </c>
      <c r="M15" s="1" t="s">
        <v>58</v>
      </c>
      <c r="N15" s="1" t="s">
        <v>58</v>
      </c>
      <c r="O15" s="1" t="s">
        <v>69</v>
      </c>
      <c r="Q15" s="1" t="s">
        <v>58</v>
      </c>
      <c r="R15" s="1" t="s">
        <v>58</v>
      </c>
      <c r="S15" s="1" t="s">
        <v>69</v>
      </c>
      <c r="T15" s="1" t="s">
        <v>58</v>
      </c>
      <c r="U15" s="1" t="s">
        <v>58</v>
      </c>
      <c r="V15" s="1" t="s">
        <v>58</v>
      </c>
      <c r="W15" s="1" t="s">
        <v>69</v>
      </c>
      <c r="X15" s="1" t="s">
        <v>88</v>
      </c>
      <c r="Y15" s="1" t="s">
        <v>95</v>
      </c>
      <c r="Z15" s="1" t="s">
        <v>89</v>
      </c>
      <c r="AA15" s="2">
        <v>50.0</v>
      </c>
      <c r="AB15" s="1" t="s">
        <v>79</v>
      </c>
      <c r="AC15" s="1" t="s">
        <v>71</v>
      </c>
      <c r="AF15" s="1" t="s">
        <v>51</v>
      </c>
      <c r="AG15" s="1" t="s">
        <v>51</v>
      </c>
      <c r="AH15" s="2">
        <v>50.0</v>
      </c>
      <c r="AI15" s="2">
        <v>0.0</v>
      </c>
      <c r="AJ15" s="2">
        <v>0.0</v>
      </c>
      <c r="AK15" s="2">
        <v>0.0</v>
      </c>
      <c r="AL15" s="2">
        <v>1.0</v>
      </c>
      <c r="AP15" s="2">
        <v>4.87608107E8</v>
      </c>
      <c r="AQ15" s="1" t="s">
        <v>113</v>
      </c>
      <c r="AR15" s="2">
        <v>45805.271875</v>
      </c>
      <c r="AU15" s="1" t="s">
        <v>64</v>
      </c>
      <c r="AW15" s="1" t="s">
        <v>84</v>
      </c>
      <c r="AY15" s="2">
        <v>14.0</v>
      </c>
    </row>
    <row r="16">
      <c r="A16" s="1" t="s">
        <v>51</v>
      </c>
      <c r="C16" s="1" t="s">
        <v>52</v>
      </c>
      <c r="E16" s="1" t="s">
        <v>52</v>
      </c>
      <c r="G16" s="2">
        <v>30.0</v>
      </c>
      <c r="H16" s="1" t="s">
        <v>55</v>
      </c>
      <c r="J16" s="1" t="s">
        <v>86</v>
      </c>
      <c r="K16" s="1" t="s">
        <v>87</v>
      </c>
      <c r="M16" s="1" t="s">
        <v>58</v>
      </c>
      <c r="N16" s="1" t="s">
        <v>58</v>
      </c>
      <c r="O16" s="1" t="s">
        <v>70</v>
      </c>
      <c r="Q16" s="1" t="s">
        <v>58</v>
      </c>
      <c r="R16" s="1" t="s">
        <v>70</v>
      </c>
      <c r="S16" s="1" t="s">
        <v>69</v>
      </c>
      <c r="T16" s="1" t="s">
        <v>69</v>
      </c>
      <c r="U16" s="1" t="s">
        <v>58</v>
      </c>
      <c r="V16" s="1" t="s">
        <v>58</v>
      </c>
      <c r="W16" s="1" t="s">
        <v>69</v>
      </c>
      <c r="X16" s="1" t="s">
        <v>81</v>
      </c>
      <c r="Y16" s="1" t="s">
        <v>95</v>
      </c>
      <c r="Z16" s="1" t="s">
        <v>89</v>
      </c>
      <c r="AA16" s="2">
        <v>40.0</v>
      </c>
      <c r="AB16" s="1" t="s">
        <v>62</v>
      </c>
      <c r="AC16" s="1" t="s">
        <v>51</v>
      </c>
      <c r="AD16" s="1" t="s">
        <v>81</v>
      </c>
      <c r="AE16" s="1" t="s">
        <v>51</v>
      </c>
      <c r="AF16" s="1" t="s">
        <v>51</v>
      </c>
      <c r="AG16" s="1" t="s">
        <v>51</v>
      </c>
      <c r="AH16" s="2">
        <v>20.0</v>
      </c>
      <c r="AI16" s="2">
        <v>1.0</v>
      </c>
      <c r="AJ16" s="2">
        <v>1.0</v>
      </c>
      <c r="AK16" s="2">
        <v>1.0</v>
      </c>
      <c r="AL16" s="2">
        <v>0.0</v>
      </c>
      <c r="AP16" s="2">
        <v>4.87609783E8</v>
      </c>
      <c r="AQ16" s="1" t="s">
        <v>114</v>
      </c>
      <c r="AR16" s="2">
        <v>45805.27391203704</v>
      </c>
      <c r="AU16" s="1" t="s">
        <v>64</v>
      </c>
      <c r="AW16" s="1" t="s">
        <v>84</v>
      </c>
      <c r="AY16" s="2">
        <v>15.0</v>
      </c>
    </row>
    <row r="17">
      <c r="A17" s="1" t="s">
        <v>51</v>
      </c>
      <c r="C17" s="1" t="s">
        <v>52</v>
      </c>
      <c r="E17" s="1" t="s">
        <v>53</v>
      </c>
      <c r="F17" s="1" t="s">
        <v>115</v>
      </c>
      <c r="G17" s="2">
        <v>44.0</v>
      </c>
      <c r="H17" s="1" t="s">
        <v>55</v>
      </c>
      <c r="I17" s="1" t="s">
        <v>67</v>
      </c>
      <c r="J17" s="1" t="s">
        <v>86</v>
      </c>
      <c r="K17" s="1" t="s">
        <v>87</v>
      </c>
      <c r="M17" s="1" t="s">
        <v>58</v>
      </c>
      <c r="N17" s="1" t="s">
        <v>58</v>
      </c>
      <c r="O17" s="1" t="s">
        <v>69</v>
      </c>
      <c r="Q17" s="1" t="s">
        <v>69</v>
      </c>
      <c r="R17" s="1" t="s">
        <v>70</v>
      </c>
      <c r="S17" s="1" t="s">
        <v>69</v>
      </c>
      <c r="T17" s="1" t="s">
        <v>69</v>
      </c>
      <c r="U17" s="1" t="s">
        <v>70</v>
      </c>
      <c r="V17" s="1" t="s">
        <v>58</v>
      </c>
      <c r="W17" s="1" t="s">
        <v>70</v>
      </c>
      <c r="X17" s="1" t="s">
        <v>88</v>
      </c>
      <c r="Y17" s="1" t="s">
        <v>82</v>
      </c>
      <c r="Z17" s="1" t="s">
        <v>89</v>
      </c>
      <c r="AA17" s="2">
        <v>50.0</v>
      </c>
      <c r="AB17" s="1" t="s">
        <v>62</v>
      </c>
      <c r="AC17" s="1" t="s">
        <v>71</v>
      </c>
      <c r="AF17" s="1" t="s">
        <v>51</v>
      </c>
      <c r="AG17" s="1" t="s">
        <v>51</v>
      </c>
      <c r="AH17" s="2">
        <v>50.0</v>
      </c>
      <c r="AI17" s="2">
        <v>0.0</v>
      </c>
      <c r="AJ17" s="2">
        <v>0.0</v>
      </c>
      <c r="AK17" s="2">
        <v>0.0</v>
      </c>
      <c r="AL17" s="2">
        <v>1.0</v>
      </c>
      <c r="AM17" s="1" t="s">
        <v>51</v>
      </c>
      <c r="AN17" s="2">
        <v>8.35757654E8</v>
      </c>
      <c r="AP17" s="2">
        <v>4.87612881E8</v>
      </c>
      <c r="AQ17" s="1" t="s">
        <v>116</v>
      </c>
      <c r="AR17" s="2">
        <v>45805.27793981481</v>
      </c>
      <c r="AU17" s="1" t="s">
        <v>64</v>
      </c>
      <c r="AW17" s="1" t="s">
        <v>84</v>
      </c>
      <c r="AY17" s="2">
        <v>16.0</v>
      </c>
    </row>
    <row r="18">
      <c r="A18" s="1" t="s">
        <v>51</v>
      </c>
      <c r="Q18" s="1" t="s">
        <v>69</v>
      </c>
      <c r="R18" s="1" t="s">
        <v>70</v>
      </c>
      <c r="S18" s="1" t="s">
        <v>70</v>
      </c>
      <c r="T18" s="1" t="s">
        <v>58</v>
      </c>
      <c r="U18" s="1" t="s">
        <v>58</v>
      </c>
      <c r="V18" s="1" t="s">
        <v>58</v>
      </c>
      <c r="W18" s="1" t="s">
        <v>70</v>
      </c>
      <c r="X18" s="1" t="s">
        <v>88</v>
      </c>
      <c r="Y18" s="1" t="s">
        <v>95</v>
      </c>
      <c r="Z18" s="1" t="s">
        <v>89</v>
      </c>
      <c r="AA18" s="2">
        <v>100.0</v>
      </c>
      <c r="AB18" s="1" t="s">
        <v>79</v>
      </c>
      <c r="AC18" s="1" t="s">
        <v>71</v>
      </c>
      <c r="AF18" s="1" t="s">
        <v>51</v>
      </c>
      <c r="AG18" s="1" t="s">
        <v>72</v>
      </c>
      <c r="AI18" s="2">
        <v>0.0</v>
      </c>
      <c r="AJ18" s="2">
        <v>0.0</v>
      </c>
      <c r="AK18" s="2">
        <v>1.0</v>
      </c>
      <c r="AL18" s="2">
        <v>0.0</v>
      </c>
      <c r="AP18" s="2">
        <v>4.87617465E8</v>
      </c>
      <c r="AQ18" s="1" t="s">
        <v>117</v>
      </c>
      <c r="AR18" s="2">
        <v>45805.283900462964</v>
      </c>
      <c r="AU18" s="1" t="s">
        <v>64</v>
      </c>
      <c r="AW18" s="1" t="s">
        <v>84</v>
      </c>
      <c r="AY18" s="2">
        <v>17.0</v>
      </c>
    </row>
    <row r="19">
      <c r="A19" s="1" t="s">
        <v>51</v>
      </c>
      <c r="C19" s="1" t="s">
        <v>118</v>
      </c>
      <c r="E19" s="1" t="s">
        <v>105</v>
      </c>
      <c r="G19" s="2">
        <v>38.0</v>
      </c>
      <c r="H19" s="1" t="s">
        <v>66</v>
      </c>
      <c r="J19" s="1" t="s">
        <v>86</v>
      </c>
      <c r="K19" s="1" t="s">
        <v>92</v>
      </c>
      <c r="M19" s="1" t="s">
        <v>58</v>
      </c>
      <c r="N19" s="1" t="s">
        <v>58</v>
      </c>
      <c r="O19" s="1" t="s">
        <v>69</v>
      </c>
      <c r="Q19" s="1" t="s">
        <v>69</v>
      </c>
      <c r="R19" s="1" t="s">
        <v>58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81</v>
      </c>
      <c r="Y19" s="1" t="s">
        <v>95</v>
      </c>
      <c r="Z19" s="1" t="s">
        <v>89</v>
      </c>
      <c r="AA19" s="2">
        <v>10.0</v>
      </c>
      <c r="AB19" s="1" t="s">
        <v>28</v>
      </c>
      <c r="AC19" s="1" t="s">
        <v>51</v>
      </c>
      <c r="AD19" s="1" t="s">
        <v>81</v>
      </c>
      <c r="AE19" s="1" t="s">
        <v>51</v>
      </c>
      <c r="AF19" s="1" t="s">
        <v>51</v>
      </c>
      <c r="AG19" s="1" t="s">
        <v>51</v>
      </c>
      <c r="AH19" s="2">
        <v>300.0</v>
      </c>
      <c r="AI19" s="2">
        <v>0.0</v>
      </c>
      <c r="AJ19" s="2">
        <v>0.0</v>
      </c>
      <c r="AK19" s="2">
        <v>0.0</v>
      </c>
      <c r="AL19" s="2">
        <v>1.0</v>
      </c>
      <c r="AP19" s="2">
        <v>4.87617819E8</v>
      </c>
      <c r="AQ19" s="1" t="s">
        <v>119</v>
      </c>
      <c r="AR19" s="2">
        <v>45805.284317129626</v>
      </c>
      <c r="AU19" s="1" t="s">
        <v>64</v>
      </c>
      <c r="AW19" s="1" t="s">
        <v>84</v>
      </c>
      <c r="AY19" s="2">
        <v>18.0</v>
      </c>
    </row>
    <row r="20">
      <c r="A20" s="1" t="s">
        <v>51</v>
      </c>
      <c r="C20" s="1" t="s">
        <v>52</v>
      </c>
      <c r="E20" s="1" t="s">
        <v>52</v>
      </c>
      <c r="G20" s="2">
        <v>48.0</v>
      </c>
      <c r="H20" s="1" t="s">
        <v>66</v>
      </c>
      <c r="J20" s="1" t="s">
        <v>86</v>
      </c>
      <c r="K20" s="1" t="s">
        <v>87</v>
      </c>
      <c r="M20" s="1" t="s">
        <v>58</v>
      </c>
      <c r="N20" s="1" t="s">
        <v>58</v>
      </c>
      <c r="O20" s="1" t="s">
        <v>70</v>
      </c>
      <c r="Q20" s="1" t="s">
        <v>69</v>
      </c>
      <c r="R20" s="1" t="s">
        <v>58</v>
      </c>
      <c r="S20" s="1" t="s">
        <v>69</v>
      </c>
      <c r="T20" s="1" t="s">
        <v>69</v>
      </c>
      <c r="U20" s="1" t="s">
        <v>69</v>
      </c>
      <c r="V20" s="1" t="s">
        <v>58</v>
      </c>
      <c r="W20" s="1" t="s">
        <v>69</v>
      </c>
      <c r="X20" s="1" t="s">
        <v>59</v>
      </c>
      <c r="Y20" s="1" t="s">
        <v>95</v>
      </c>
      <c r="Z20" s="1" t="s">
        <v>89</v>
      </c>
      <c r="AA20" s="2">
        <v>40.0</v>
      </c>
      <c r="AB20" s="1" t="s">
        <v>62</v>
      </c>
      <c r="AC20" s="1" t="s">
        <v>71</v>
      </c>
      <c r="AF20" s="1" t="s">
        <v>51</v>
      </c>
      <c r="AG20" s="1" t="s">
        <v>72</v>
      </c>
      <c r="AI20" s="2">
        <v>1.0</v>
      </c>
      <c r="AJ20" s="2">
        <v>0.0</v>
      </c>
      <c r="AK20" s="2">
        <v>1.0</v>
      </c>
      <c r="AL20" s="2">
        <v>0.0</v>
      </c>
      <c r="AP20" s="2">
        <v>4.87617916E8</v>
      </c>
      <c r="AQ20" s="1" t="s">
        <v>120</v>
      </c>
      <c r="AR20" s="2">
        <v>45805.28444444444</v>
      </c>
      <c r="AU20" s="1" t="s">
        <v>64</v>
      </c>
      <c r="AW20" s="1" t="s">
        <v>84</v>
      </c>
      <c r="AY20" s="2">
        <v>19.0</v>
      </c>
    </row>
    <row r="21">
      <c r="A21" s="1" t="s">
        <v>51</v>
      </c>
      <c r="C21" s="1" t="s">
        <v>53</v>
      </c>
      <c r="E21" s="1" t="s">
        <v>53</v>
      </c>
      <c r="F21" s="1" t="s">
        <v>102</v>
      </c>
      <c r="G21" s="2">
        <v>57.0</v>
      </c>
      <c r="H21" s="1" t="s">
        <v>66</v>
      </c>
      <c r="I21" s="1" t="s">
        <v>121</v>
      </c>
      <c r="J21" s="1" t="s">
        <v>111</v>
      </c>
      <c r="K21" s="1" t="s">
        <v>87</v>
      </c>
      <c r="M21" s="1" t="s">
        <v>58</v>
      </c>
      <c r="N21" s="1" t="s">
        <v>58</v>
      </c>
      <c r="O21" s="1" t="s">
        <v>58</v>
      </c>
      <c r="Q21" s="1" t="s">
        <v>69</v>
      </c>
      <c r="R21" s="1" t="s">
        <v>58</v>
      </c>
      <c r="S21" s="1" t="s">
        <v>70</v>
      </c>
      <c r="T21" s="1" t="s">
        <v>58</v>
      </c>
      <c r="U21" s="1" t="s">
        <v>58</v>
      </c>
      <c r="V21" s="1" t="s">
        <v>58</v>
      </c>
      <c r="W21" s="1" t="s">
        <v>69</v>
      </c>
      <c r="X21" s="1" t="s">
        <v>88</v>
      </c>
      <c r="Y21" s="1" t="s">
        <v>95</v>
      </c>
      <c r="Z21" s="1" t="s">
        <v>89</v>
      </c>
      <c r="AA21" s="2">
        <v>100.0</v>
      </c>
      <c r="AB21" s="1" t="s">
        <v>79</v>
      </c>
      <c r="AC21" s="1" t="s">
        <v>71</v>
      </c>
      <c r="AF21" s="1" t="s">
        <v>51</v>
      </c>
      <c r="AG21" s="1" t="s">
        <v>72</v>
      </c>
      <c r="AI21" s="2">
        <v>0.0</v>
      </c>
      <c r="AJ21" s="2">
        <v>0.0</v>
      </c>
      <c r="AK21" s="2">
        <v>1.0</v>
      </c>
      <c r="AL21" s="2">
        <v>0.0</v>
      </c>
      <c r="AM21" s="1" t="s">
        <v>72</v>
      </c>
      <c r="AP21" s="2">
        <v>4.87618968E8</v>
      </c>
      <c r="AQ21" s="1" t="s">
        <v>122</v>
      </c>
      <c r="AR21" s="2">
        <v>45805.28563657407</v>
      </c>
      <c r="AU21" s="1" t="s">
        <v>64</v>
      </c>
      <c r="AW21" s="1" t="s">
        <v>84</v>
      </c>
      <c r="AY21" s="2">
        <v>20.0</v>
      </c>
    </row>
    <row r="22">
      <c r="A22" s="1" t="s">
        <v>51</v>
      </c>
      <c r="C22" s="1" t="s">
        <v>52</v>
      </c>
      <c r="E22" s="1" t="s">
        <v>53</v>
      </c>
      <c r="F22" s="1" t="s">
        <v>54</v>
      </c>
      <c r="G22" s="2">
        <v>50.0</v>
      </c>
      <c r="H22" s="1" t="s">
        <v>55</v>
      </c>
      <c r="I22" s="1" t="s">
        <v>100</v>
      </c>
      <c r="J22" s="1" t="s">
        <v>111</v>
      </c>
      <c r="K22" s="1" t="s">
        <v>87</v>
      </c>
      <c r="M22" s="1" t="s">
        <v>58</v>
      </c>
      <c r="N22" s="1" t="s">
        <v>58</v>
      </c>
      <c r="O22" s="1" t="s">
        <v>69</v>
      </c>
      <c r="Q22" s="1" t="s">
        <v>70</v>
      </c>
      <c r="R22" s="1" t="s">
        <v>58</v>
      </c>
      <c r="S22" s="1" t="s">
        <v>58</v>
      </c>
      <c r="T22" s="1" t="s">
        <v>58</v>
      </c>
      <c r="U22" s="1" t="s">
        <v>58</v>
      </c>
      <c r="V22" s="1" t="s">
        <v>58</v>
      </c>
      <c r="W22" s="1" t="s">
        <v>69</v>
      </c>
      <c r="X22" s="1" t="s">
        <v>59</v>
      </c>
      <c r="Y22" s="1" t="s">
        <v>95</v>
      </c>
      <c r="Z22" s="1" t="s">
        <v>89</v>
      </c>
      <c r="AA22" s="2">
        <v>100.0</v>
      </c>
      <c r="AB22" s="1" t="s">
        <v>79</v>
      </c>
      <c r="AC22" s="1" t="s">
        <v>51</v>
      </c>
      <c r="AD22" s="1" t="s">
        <v>59</v>
      </c>
      <c r="AE22" s="1" t="s">
        <v>51</v>
      </c>
      <c r="AF22" s="1" t="s">
        <v>51</v>
      </c>
      <c r="AG22" s="1" t="s">
        <v>51</v>
      </c>
      <c r="AH22" s="2">
        <v>200.0</v>
      </c>
      <c r="AI22" s="2">
        <v>0.0</v>
      </c>
      <c r="AJ22" s="2">
        <v>0.0</v>
      </c>
      <c r="AK22" s="2">
        <v>0.0</v>
      </c>
      <c r="AL22" s="2">
        <v>1.0</v>
      </c>
      <c r="AM22" s="1" t="s">
        <v>51</v>
      </c>
      <c r="AN22" s="2">
        <v>7.10864009E8</v>
      </c>
      <c r="AP22" s="2">
        <v>4.87620011E8</v>
      </c>
      <c r="AQ22" s="1" t="s">
        <v>123</v>
      </c>
      <c r="AR22" s="2">
        <v>45805.28686342593</v>
      </c>
      <c r="AU22" s="1" t="s">
        <v>64</v>
      </c>
      <c r="AW22" s="1" t="s">
        <v>84</v>
      </c>
      <c r="AY22" s="2">
        <v>21.0</v>
      </c>
    </row>
    <row r="23">
      <c r="A23" s="1" t="s">
        <v>51</v>
      </c>
      <c r="C23" s="1" t="s">
        <v>52</v>
      </c>
      <c r="E23" s="1" t="s">
        <v>53</v>
      </c>
      <c r="F23" s="1" t="s">
        <v>102</v>
      </c>
      <c r="G23" s="2">
        <v>42.0</v>
      </c>
      <c r="H23" s="1" t="s">
        <v>66</v>
      </c>
      <c r="I23" s="1" t="s">
        <v>67</v>
      </c>
      <c r="J23" s="1" t="s">
        <v>86</v>
      </c>
      <c r="K23" s="1" t="s">
        <v>87</v>
      </c>
      <c r="M23" s="1" t="s">
        <v>58</v>
      </c>
      <c r="N23" s="1" t="s">
        <v>58</v>
      </c>
      <c r="O23" s="1" t="s">
        <v>58</v>
      </c>
      <c r="Q23" s="1" t="s">
        <v>69</v>
      </c>
      <c r="R23" s="1" t="s">
        <v>58</v>
      </c>
      <c r="S23" s="1" t="s">
        <v>69</v>
      </c>
      <c r="T23" s="1" t="s">
        <v>58</v>
      </c>
      <c r="U23" s="1" t="s">
        <v>69</v>
      </c>
      <c r="V23" s="1" t="s">
        <v>58</v>
      </c>
      <c r="W23" s="1" t="s">
        <v>58</v>
      </c>
      <c r="X23" s="1" t="s">
        <v>88</v>
      </c>
      <c r="Y23" s="1" t="s">
        <v>95</v>
      </c>
      <c r="Z23" s="1" t="s">
        <v>89</v>
      </c>
      <c r="AA23" s="2">
        <v>40.0</v>
      </c>
      <c r="AB23" s="1" t="s">
        <v>62</v>
      </c>
      <c r="AC23" s="1" t="s">
        <v>71</v>
      </c>
      <c r="AF23" s="1" t="s">
        <v>51</v>
      </c>
      <c r="AG23" s="1" t="s">
        <v>51</v>
      </c>
      <c r="AH23" s="2">
        <v>20.0</v>
      </c>
      <c r="AI23" s="2">
        <v>0.0</v>
      </c>
      <c r="AJ23" s="2">
        <v>0.0</v>
      </c>
      <c r="AK23" s="2">
        <v>0.0</v>
      </c>
      <c r="AL23" s="2">
        <v>1.0</v>
      </c>
      <c r="AM23" s="1" t="s">
        <v>51</v>
      </c>
      <c r="AN23" s="2">
        <v>7.11170838E8</v>
      </c>
      <c r="AP23" s="2">
        <v>4.87629939E8</v>
      </c>
      <c r="AQ23" s="1" t="s">
        <v>124</v>
      </c>
      <c r="AR23" s="2">
        <v>45805.29896990741</v>
      </c>
      <c r="AU23" s="1" t="s">
        <v>64</v>
      </c>
      <c r="AW23" s="1" t="s">
        <v>84</v>
      </c>
      <c r="AY23" s="2">
        <v>22.0</v>
      </c>
    </row>
    <row r="24">
      <c r="A24" s="1" t="s">
        <v>51</v>
      </c>
      <c r="C24" s="1" t="s">
        <v>52</v>
      </c>
      <c r="E24" s="1" t="s">
        <v>53</v>
      </c>
      <c r="F24" s="1" t="s">
        <v>102</v>
      </c>
      <c r="G24" s="2">
        <v>45.0</v>
      </c>
      <c r="H24" s="1" t="s">
        <v>55</v>
      </c>
      <c r="I24" s="1" t="s">
        <v>67</v>
      </c>
      <c r="J24" s="1" t="s">
        <v>86</v>
      </c>
      <c r="K24" s="1" t="s">
        <v>87</v>
      </c>
      <c r="M24" s="1" t="s">
        <v>58</v>
      </c>
      <c r="N24" s="1" t="s">
        <v>58</v>
      </c>
      <c r="O24" s="1" t="s">
        <v>69</v>
      </c>
      <c r="Q24" s="1" t="s">
        <v>69</v>
      </c>
      <c r="R24" s="1" t="s">
        <v>58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88</v>
      </c>
      <c r="Y24" s="1" t="s">
        <v>95</v>
      </c>
      <c r="Z24" s="1" t="s">
        <v>89</v>
      </c>
      <c r="AA24" s="2">
        <v>100.0</v>
      </c>
      <c r="AB24" s="1" t="s">
        <v>62</v>
      </c>
      <c r="AC24" s="1" t="s">
        <v>71</v>
      </c>
      <c r="AF24" s="1" t="s">
        <v>51</v>
      </c>
      <c r="AG24" s="1" t="s">
        <v>72</v>
      </c>
      <c r="AI24" s="2">
        <v>1.0</v>
      </c>
      <c r="AJ24" s="2">
        <v>1.0</v>
      </c>
      <c r="AK24" s="2">
        <v>1.0</v>
      </c>
      <c r="AL24" s="2">
        <v>0.0</v>
      </c>
      <c r="AM24" s="1" t="s">
        <v>72</v>
      </c>
      <c r="AP24" s="2">
        <v>4.87630267E8</v>
      </c>
      <c r="AQ24" s="1" t="s">
        <v>125</v>
      </c>
      <c r="AR24" s="2">
        <v>45805.29935185185</v>
      </c>
      <c r="AU24" s="1" t="s">
        <v>64</v>
      </c>
      <c r="AW24" s="1" t="s">
        <v>84</v>
      </c>
      <c r="AY24" s="2">
        <v>23.0</v>
      </c>
    </row>
    <row r="25">
      <c r="A25" s="1" t="s">
        <v>51</v>
      </c>
      <c r="C25" s="1" t="s">
        <v>118</v>
      </c>
      <c r="E25" s="1" t="s">
        <v>53</v>
      </c>
      <c r="F25" s="1" t="s">
        <v>102</v>
      </c>
      <c r="G25" s="2">
        <v>44.0</v>
      </c>
      <c r="H25" s="1" t="s">
        <v>55</v>
      </c>
      <c r="I25" s="1" t="s">
        <v>67</v>
      </c>
      <c r="J25" s="1" t="s">
        <v>86</v>
      </c>
      <c r="K25" s="1" t="s">
        <v>87</v>
      </c>
      <c r="M25" s="1" t="s">
        <v>58</v>
      </c>
      <c r="N25" s="1" t="s">
        <v>58</v>
      </c>
      <c r="O25" s="1" t="s">
        <v>58</v>
      </c>
      <c r="Q25" s="1" t="s">
        <v>69</v>
      </c>
      <c r="R25" s="1" t="s">
        <v>58</v>
      </c>
      <c r="S25" s="1" t="s">
        <v>69</v>
      </c>
      <c r="T25" s="1" t="s">
        <v>58</v>
      </c>
      <c r="U25" s="1" t="s">
        <v>58</v>
      </c>
      <c r="V25" s="1" t="s">
        <v>58</v>
      </c>
      <c r="W25" s="1" t="s">
        <v>69</v>
      </c>
      <c r="X25" s="1" t="s">
        <v>103</v>
      </c>
      <c r="Y25" s="1" t="s">
        <v>95</v>
      </c>
      <c r="Z25" s="1" t="s">
        <v>89</v>
      </c>
      <c r="AA25" s="2">
        <v>100.0</v>
      </c>
      <c r="AB25" s="1" t="s">
        <v>62</v>
      </c>
      <c r="AC25" s="1" t="s">
        <v>71</v>
      </c>
      <c r="AF25" s="1" t="s">
        <v>51</v>
      </c>
      <c r="AG25" s="1" t="s">
        <v>72</v>
      </c>
      <c r="AI25" s="2">
        <v>0.0</v>
      </c>
      <c r="AJ25" s="2">
        <v>0.0</v>
      </c>
      <c r="AK25" s="2">
        <v>1.0</v>
      </c>
      <c r="AL25" s="2">
        <v>0.0</v>
      </c>
      <c r="AM25" s="1" t="s">
        <v>72</v>
      </c>
      <c r="AP25" s="2">
        <v>4.87631676E8</v>
      </c>
      <c r="AQ25" s="1" t="s">
        <v>126</v>
      </c>
      <c r="AR25" s="2">
        <v>45805.3009375</v>
      </c>
      <c r="AU25" s="1" t="s">
        <v>64</v>
      </c>
      <c r="AW25" s="1" t="s">
        <v>84</v>
      </c>
      <c r="AY25" s="2">
        <v>24.0</v>
      </c>
    </row>
    <row r="26">
      <c r="A26" s="1" t="s">
        <v>51</v>
      </c>
      <c r="C26" s="1" t="s">
        <v>52</v>
      </c>
      <c r="E26" s="1" t="s">
        <v>107</v>
      </c>
      <c r="G26" s="2">
        <v>40.0</v>
      </c>
      <c r="H26" s="1" t="s">
        <v>66</v>
      </c>
      <c r="J26" s="1" t="s">
        <v>86</v>
      </c>
      <c r="K26" s="1" t="s">
        <v>87</v>
      </c>
      <c r="M26" s="1" t="s">
        <v>58</v>
      </c>
      <c r="N26" s="1" t="s">
        <v>58</v>
      </c>
      <c r="O26" s="1" t="s">
        <v>58</v>
      </c>
      <c r="Q26" s="1" t="s">
        <v>70</v>
      </c>
      <c r="R26" s="1" t="s">
        <v>58</v>
      </c>
      <c r="S26" s="1" t="s">
        <v>69</v>
      </c>
      <c r="T26" s="1" t="s">
        <v>69</v>
      </c>
      <c r="U26" s="1" t="s">
        <v>58</v>
      </c>
      <c r="V26" s="1" t="s">
        <v>58</v>
      </c>
      <c r="W26" s="1" t="s">
        <v>69</v>
      </c>
      <c r="X26" s="1" t="s">
        <v>59</v>
      </c>
      <c r="Y26" s="1" t="s">
        <v>60</v>
      </c>
      <c r="Z26" s="1" t="s">
        <v>127</v>
      </c>
      <c r="AA26" s="2">
        <v>40.0</v>
      </c>
      <c r="AB26" s="1" t="s">
        <v>62</v>
      </c>
      <c r="AC26" s="1" t="s">
        <v>71</v>
      </c>
      <c r="AF26" s="1" t="s">
        <v>51</v>
      </c>
      <c r="AG26" s="1" t="s">
        <v>72</v>
      </c>
      <c r="AI26" s="2">
        <v>0.0</v>
      </c>
      <c r="AJ26" s="2">
        <v>0.0</v>
      </c>
      <c r="AK26" s="2">
        <v>0.0</v>
      </c>
      <c r="AL26" s="2">
        <v>1.0</v>
      </c>
      <c r="AP26" s="2">
        <v>4.87633386E8</v>
      </c>
      <c r="AQ26" s="1" t="s">
        <v>128</v>
      </c>
      <c r="AR26" s="2">
        <v>45805.30300925926</v>
      </c>
      <c r="AU26" s="1" t="s">
        <v>64</v>
      </c>
      <c r="AW26" s="1" t="s">
        <v>84</v>
      </c>
      <c r="AY26" s="2">
        <v>25.0</v>
      </c>
    </row>
    <row r="27">
      <c r="A27" s="1" t="s">
        <v>51</v>
      </c>
      <c r="C27" s="1" t="s">
        <v>53</v>
      </c>
      <c r="E27" s="1" t="s">
        <v>53</v>
      </c>
      <c r="F27" s="1" t="s">
        <v>94</v>
      </c>
      <c r="G27" s="2">
        <v>48.0</v>
      </c>
      <c r="H27" s="1" t="s">
        <v>55</v>
      </c>
      <c r="I27" s="1" t="s">
        <v>121</v>
      </c>
      <c r="J27" s="1" t="s">
        <v>86</v>
      </c>
      <c r="K27" s="1" t="s">
        <v>87</v>
      </c>
      <c r="M27" s="1" t="s">
        <v>58</v>
      </c>
      <c r="N27" s="1" t="s">
        <v>58</v>
      </c>
      <c r="O27" s="1" t="s">
        <v>58</v>
      </c>
      <c r="Q27" s="1" t="s">
        <v>69</v>
      </c>
      <c r="R27" s="1" t="s">
        <v>58</v>
      </c>
      <c r="S27" s="1" t="s">
        <v>69</v>
      </c>
      <c r="T27" s="1" t="s">
        <v>58</v>
      </c>
      <c r="U27" s="1" t="s">
        <v>58</v>
      </c>
      <c r="V27" s="1" t="s">
        <v>58</v>
      </c>
      <c r="W27" s="1" t="s">
        <v>69</v>
      </c>
      <c r="X27" s="1" t="s">
        <v>103</v>
      </c>
      <c r="Y27" s="1" t="s">
        <v>60</v>
      </c>
      <c r="Z27" s="1" t="s">
        <v>61</v>
      </c>
      <c r="AA27" s="2">
        <v>100.0</v>
      </c>
      <c r="AB27" s="1" t="s">
        <v>79</v>
      </c>
      <c r="AC27" s="1" t="s">
        <v>71</v>
      </c>
      <c r="AF27" s="1" t="s">
        <v>51</v>
      </c>
      <c r="AG27" s="1" t="s">
        <v>51</v>
      </c>
      <c r="AH27" s="2">
        <v>500.0</v>
      </c>
      <c r="AI27" s="2">
        <v>0.0</v>
      </c>
      <c r="AJ27" s="2">
        <v>0.0</v>
      </c>
      <c r="AK27" s="2">
        <v>0.0</v>
      </c>
      <c r="AL27" s="2">
        <v>1.0</v>
      </c>
      <c r="AM27" s="1" t="s">
        <v>51</v>
      </c>
      <c r="AN27" s="2">
        <v>7.11468867E8</v>
      </c>
      <c r="AP27" s="2">
        <v>4.87636484E8</v>
      </c>
      <c r="AQ27" s="1" t="s">
        <v>129</v>
      </c>
      <c r="AR27" s="2">
        <v>45805.306284722225</v>
      </c>
      <c r="AU27" s="1" t="s">
        <v>64</v>
      </c>
      <c r="AW27" s="1" t="s">
        <v>84</v>
      </c>
      <c r="AY27" s="2">
        <v>26.0</v>
      </c>
    </row>
    <row r="28">
      <c r="A28" s="1" t="s">
        <v>51</v>
      </c>
      <c r="C28" s="1" t="s">
        <v>52</v>
      </c>
      <c r="E28" s="1" t="s">
        <v>107</v>
      </c>
      <c r="G28" s="2">
        <v>44.0</v>
      </c>
      <c r="H28" s="1" t="s">
        <v>55</v>
      </c>
      <c r="J28" s="1" t="s">
        <v>86</v>
      </c>
      <c r="K28" s="1" t="s">
        <v>87</v>
      </c>
      <c r="M28" s="1" t="s">
        <v>58</v>
      </c>
      <c r="N28" s="1" t="s">
        <v>58</v>
      </c>
      <c r="O28" s="1" t="s">
        <v>69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  <c r="W28" s="1" t="s">
        <v>58</v>
      </c>
      <c r="X28" s="1" t="s">
        <v>103</v>
      </c>
      <c r="Y28" s="1" t="s">
        <v>95</v>
      </c>
      <c r="Z28" s="1" t="s">
        <v>89</v>
      </c>
      <c r="AA28" s="2">
        <v>100.0</v>
      </c>
      <c r="AB28" s="1" t="s">
        <v>28</v>
      </c>
      <c r="AC28" s="1" t="s">
        <v>51</v>
      </c>
      <c r="AD28" s="1" t="s">
        <v>103</v>
      </c>
      <c r="AE28" s="1" t="s">
        <v>51</v>
      </c>
      <c r="AF28" s="1" t="s">
        <v>51</v>
      </c>
      <c r="AG28" s="1" t="s">
        <v>51</v>
      </c>
      <c r="AH28" s="2">
        <v>50.0</v>
      </c>
      <c r="AI28" s="2">
        <v>1.0</v>
      </c>
      <c r="AJ28" s="2">
        <v>0.0</v>
      </c>
      <c r="AK28" s="2">
        <v>1.0</v>
      </c>
      <c r="AL28" s="2">
        <v>0.0</v>
      </c>
      <c r="AP28" s="2">
        <v>4.87637677E8</v>
      </c>
      <c r="AQ28" s="1" t="s">
        <v>130</v>
      </c>
      <c r="AR28" s="2">
        <v>45805.30783564815</v>
      </c>
      <c r="AU28" s="1" t="s">
        <v>64</v>
      </c>
      <c r="AW28" s="1" t="s">
        <v>84</v>
      </c>
      <c r="AY28" s="2">
        <v>27.0</v>
      </c>
    </row>
    <row r="29">
      <c r="A29" s="1" t="s">
        <v>51</v>
      </c>
      <c r="C29" s="1" t="s">
        <v>131</v>
      </c>
      <c r="E29" s="1" t="s">
        <v>131</v>
      </c>
      <c r="G29" s="2">
        <v>42.0</v>
      </c>
      <c r="H29" s="1" t="s">
        <v>66</v>
      </c>
      <c r="J29" s="1" t="s">
        <v>56</v>
      </c>
      <c r="K29" s="1" t="s">
        <v>87</v>
      </c>
      <c r="M29" s="1" t="s">
        <v>58</v>
      </c>
      <c r="N29" s="1" t="s">
        <v>58</v>
      </c>
      <c r="O29" s="1" t="s">
        <v>69</v>
      </c>
      <c r="Q29" s="1" t="s">
        <v>69</v>
      </c>
      <c r="R29" s="1" t="s">
        <v>58</v>
      </c>
      <c r="S29" s="1" t="s">
        <v>58</v>
      </c>
      <c r="T29" s="1" t="s">
        <v>58</v>
      </c>
      <c r="U29" s="1" t="s">
        <v>58</v>
      </c>
      <c r="V29" s="1" t="s">
        <v>58</v>
      </c>
      <c r="W29" s="1" t="s">
        <v>69</v>
      </c>
      <c r="X29" s="1" t="s">
        <v>59</v>
      </c>
      <c r="Y29" s="1" t="s">
        <v>95</v>
      </c>
      <c r="Z29" s="1" t="s">
        <v>96</v>
      </c>
      <c r="AA29" s="2">
        <v>30.0</v>
      </c>
      <c r="AB29" s="1" t="s">
        <v>79</v>
      </c>
      <c r="AC29" s="1" t="s">
        <v>71</v>
      </c>
      <c r="AF29" s="1" t="s">
        <v>51</v>
      </c>
      <c r="AG29" s="1" t="s">
        <v>72</v>
      </c>
      <c r="AI29" s="2">
        <v>1.0</v>
      </c>
      <c r="AJ29" s="2">
        <v>0.0</v>
      </c>
      <c r="AK29" s="2">
        <v>0.0</v>
      </c>
      <c r="AL29" s="2">
        <v>0.0</v>
      </c>
      <c r="AP29" s="2">
        <v>4.87637735E8</v>
      </c>
      <c r="AQ29" s="1" t="s">
        <v>132</v>
      </c>
      <c r="AR29" s="2">
        <v>45805.30792824074</v>
      </c>
      <c r="AU29" s="1" t="s">
        <v>64</v>
      </c>
      <c r="AW29" s="1" t="s">
        <v>84</v>
      </c>
      <c r="AY29" s="2">
        <v>28.0</v>
      </c>
    </row>
    <row r="30">
      <c r="A30" s="1" t="s">
        <v>51</v>
      </c>
      <c r="C30" s="1" t="s">
        <v>52</v>
      </c>
      <c r="E30" s="1" t="s">
        <v>53</v>
      </c>
      <c r="F30" s="1" t="s">
        <v>54</v>
      </c>
      <c r="G30" s="2">
        <v>28.0</v>
      </c>
      <c r="H30" s="1" t="s">
        <v>66</v>
      </c>
      <c r="I30" s="1" t="s">
        <v>67</v>
      </c>
      <c r="J30" s="1" t="s">
        <v>68</v>
      </c>
      <c r="K30" s="1" t="s">
        <v>74</v>
      </c>
      <c r="M30" s="1" t="s">
        <v>58</v>
      </c>
      <c r="N30" s="1" t="s">
        <v>58</v>
      </c>
      <c r="O30" s="1" t="s">
        <v>69</v>
      </c>
      <c r="Q30" s="1" t="s">
        <v>58</v>
      </c>
      <c r="R30" s="1" t="s">
        <v>58</v>
      </c>
      <c r="S30" s="1" t="s">
        <v>69</v>
      </c>
      <c r="T30" s="1" t="s">
        <v>69</v>
      </c>
      <c r="U30" s="1" t="s">
        <v>58</v>
      </c>
      <c r="V30" s="1" t="s">
        <v>58</v>
      </c>
      <c r="W30" s="1" t="s">
        <v>58</v>
      </c>
      <c r="X30" s="1" t="s">
        <v>88</v>
      </c>
      <c r="Y30" s="1" t="s">
        <v>82</v>
      </c>
      <c r="Z30" s="1" t="s">
        <v>61</v>
      </c>
      <c r="AA30" s="2">
        <v>100.0</v>
      </c>
      <c r="AB30" s="1" t="s">
        <v>79</v>
      </c>
      <c r="AC30" s="1" t="s">
        <v>71</v>
      </c>
      <c r="AF30" s="1" t="s">
        <v>51</v>
      </c>
      <c r="AG30" s="1" t="s">
        <v>51</v>
      </c>
      <c r="AH30" s="2">
        <v>500.0</v>
      </c>
      <c r="AI30" s="2">
        <v>0.0</v>
      </c>
      <c r="AJ30" s="2">
        <v>0.0</v>
      </c>
      <c r="AK30" s="2">
        <v>0.0</v>
      </c>
      <c r="AL30" s="2">
        <v>1.0</v>
      </c>
      <c r="AM30" s="1" t="s">
        <v>51</v>
      </c>
      <c r="AP30" s="2">
        <v>4.87640213E8</v>
      </c>
      <c r="AQ30" s="1" t="s">
        <v>133</v>
      </c>
      <c r="AR30" s="2">
        <v>45805.31077546296</v>
      </c>
      <c r="AU30" s="1" t="s">
        <v>64</v>
      </c>
      <c r="AW30" s="1" t="s">
        <v>84</v>
      </c>
      <c r="AY30" s="2">
        <v>29.0</v>
      </c>
    </row>
    <row r="31">
      <c r="A31" s="1" t="s">
        <v>51</v>
      </c>
      <c r="C31" s="1" t="s">
        <v>52</v>
      </c>
      <c r="E31" s="1" t="s">
        <v>107</v>
      </c>
      <c r="G31" s="2">
        <v>37.0</v>
      </c>
      <c r="H31" s="1" t="s">
        <v>66</v>
      </c>
      <c r="J31" s="1" t="s">
        <v>86</v>
      </c>
      <c r="K31" s="1" t="s">
        <v>87</v>
      </c>
      <c r="M31" s="1" t="s">
        <v>58</v>
      </c>
      <c r="N31" s="1" t="s">
        <v>58</v>
      </c>
      <c r="O31" s="1" t="s">
        <v>70</v>
      </c>
      <c r="Q31" s="1" t="s">
        <v>69</v>
      </c>
      <c r="R31" s="1" t="s">
        <v>70</v>
      </c>
      <c r="S31" s="1" t="s">
        <v>69</v>
      </c>
      <c r="T31" s="1" t="s">
        <v>69</v>
      </c>
      <c r="U31" s="1" t="s">
        <v>70</v>
      </c>
      <c r="V31" s="1" t="s">
        <v>58</v>
      </c>
      <c r="W31" s="1" t="s">
        <v>69</v>
      </c>
      <c r="X31" s="1" t="s">
        <v>81</v>
      </c>
      <c r="Y31" s="1" t="s">
        <v>95</v>
      </c>
      <c r="Z31" s="1" t="s">
        <v>108</v>
      </c>
      <c r="AA31" s="2">
        <v>100.0</v>
      </c>
      <c r="AB31" s="1" t="s">
        <v>62</v>
      </c>
      <c r="AC31" s="1" t="s">
        <v>51</v>
      </c>
      <c r="AD31" s="1" t="s">
        <v>81</v>
      </c>
      <c r="AE31" s="1" t="s">
        <v>51</v>
      </c>
      <c r="AF31" s="1" t="s">
        <v>51</v>
      </c>
      <c r="AG31" s="1" t="s">
        <v>72</v>
      </c>
      <c r="AI31" s="2">
        <v>0.0</v>
      </c>
      <c r="AJ31" s="2">
        <v>0.0</v>
      </c>
      <c r="AK31" s="2">
        <v>0.0</v>
      </c>
      <c r="AL31" s="2">
        <v>1.0</v>
      </c>
      <c r="AP31" s="2">
        <v>4.87640652E8</v>
      </c>
      <c r="AQ31" s="1" t="s">
        <v>134</v>
      </c>
      <c r="AR31" s="2">
        <v>45805.3112962963</v>
      </c>
      <c r="AU31" s="1" t="s">
        <v>64</v>
      </c>
      <c r="AW31" s="1" t="s">
        <v>84</v>
      </c>
      <c r="AY31" s="2">
        <v>30.0</v>
      </c>
    </row>
    <row r="32">
      <c r="A32" s="1" t="s">
        <v>51</v>
      </c>
      <c r="C32" s="1" t="s">
        <v>52</v>
      </c>
      <c r="E32" s="1" t="s">
        <v>53</v>
      </c>
      <c r="F32" s="1" t="s">
        <v>102</v>
      </c>
      <c r="G32" s="2">
        <v>21.0</v>
      </c>
      <c r="H32" s="1" t="s">
        <v>55</v>
      </c>
      <c r="I32" s="1" t="s">
        <v>100</v>
      </c>
      <c r="J32" s="1" t="s">
        <v>86</v>
      </c>
      <c r="K32" s="1" t="s">
        <v>87</v>
      </c>
      <c r="M32" s="1" t="s">
        <v>58</v>
      </c>
      <c r="N32" s="1" t="s">
        <v>58</v>
      </c>
      <c r="O32" s="1" t="s">
        <v>69</v>
      </c>
      <c r="Q32" s="1" t="s">
        <v>58</v>
      </c>
      <c r="R32" s="1" t="s">
        <v>58</v>
      </c>
      <c r="S32" s="1" t="s">
        <v>58</v>
      </c>
      <c r="T32" s="1" t="s">
        <v>69</v>
      </c>
      <c r="U32" s="1" t="s">
        <v>70</v>
      </c>
      <c r="V32" s="1" t="s">
        <v>58</v>
      </c>
      <c r="W32" s="1" t="s">
        <v>69</v>
      </c>
      <c r="X32" s="1" t="s">
        <v>81</v>
      </c>
      <c r="Y32" s="1" t="s">
        <v>60</v>
      </c>
      <c r="Z32" s="1" t="s">
        <v>89</v>
      </c>
      <c r="AA32" s="2">
        <v>50.0</v>
      </c>
      <c r="AB32" s="1" t="s">
        <v>79</v>
      </c>
      <c r="AC32" s="1" t="s">
        <v>71</v>
      </c>
      <c r="AF32" s="1" t="s">
        <v>51</v>
      </c>
      <c r="AG32" s="1" t="s">
        <v>51</v>
      </c>
      <c r="AH32" s="2">
        <v>50.0</v>
      </c>
      <c r="AI32" s="2">
        <v>1.0</v>
      </c>
      <c r="AJ32" s="2">
        <v>0.0</v>
      </c>
      <c r="AK32" s="2">
        <v>0.0</v>
      </c>
      <c r="AL32" s="2">
        <v>0.0</v>
      </c>
      <c r="AM32" s="1" t="s">
        <v>51</v>
      </c>
      <c r="AN32" s="2">
        <v>6.01072833E8</v>
      </c>
      <c r="AP32" s="2">
        <v>4.87644284E8</v>
      </c>
      <c r="AQ32" s="1" t="s">
        <v>135</v>
      </c>
      <c r="AR32" s="2">
        <v>45805.31496527778</v>
      </c>
      <c r="AU32" s="1" t="s">
        <v>64</v>
      </c>
      <c r="AW32" s="1" t="s">
        <v>84</v>
      </c>
      <c r="AY32" s="2">
        <v>31.0</v>
      </c>
    </row>
    <row r="33">
      <c r="A33" s="1" t="s">
        <v>51</v>
      </c>
      <c r="C33" s="1" t="s">
        <v>52</v>
      </c>
      <c r="E33" s="1" t="s">
        <v>53</v>
      </c>
      <c r="F33" s="1" t="s">
        <v>136</v>
      </c>
      <c r="G33" s="2">
        <v>28.0</v>
      </c>
      <c r="H33" s="1" t="s">
        <v>66</v>
      </c>
      <c r="I33" s="1" t="s">
        <v>67</v>
      </c>
      <c r="J33" s="1" t="s">
        <v>56</v>
      </c>
      <c r="K33" s="1" t="s">
        <v>74</v>
      </c>
      <c r="M33" s="1" t="s">
        <v>58</v>
      </c>
      <c r="N33" s="1" t="s">
        <v>58</v>
      </c>
      <c r="O33" s="1" t="s">
        <v>58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59</v>
      </c>
      <c r="Y33" s="1" t="s">
        <v>82</v>
      </c>
      <c r="Z33" s="1" t="s">
        <v>61</v>
      </c>
      <c r="AA33" s="2">
        <v>100.0</v>
      </c>
      <c r="AB33" s="1" t="s">
        <v>28</v>
      </c>
      <c r="AC33" s="1" t="s">
        <v>71</v>
      </c>
      <c r="AF33" s="1" t="s">
        <v>51</v>
      </c>
      <c r="AG33" s="1" t="s">
        <v>51</v>
      </c>
      <c r="AH33" s="2">
        <v>3000.0</v>
      </c>
      <c r="AI33" s="2">
        <v>0.0</v>
      </c>
      <c r="AJ33" s="2">
        <v>1.0</v>
      </c>
      <c r="AK33" s="2">
        <v>0.0</v>
      </c>
      <c r="AL33" s="2">
        <v>0.0</v>
      </c>
      <c r="AM33" s="1" t="s">
        <v>51</v>
      </c>
      <c r="AN33" s="2">
        <v>7.32575737E8</v>
      </c>
      <c r="AP33" s="2">
        <v>4.87651294E8</v>
      </c>
      <c r="AQ33" s="1" t="s">
        <v>137</v>
      </c>
      <c r="AR33" s="2">
        <v>45805.32439814815</v>
      </c>
      <c r="AU33" s="1" t="s">
        <v>64</v>
      </c>
      <c r="AW33" s="1" t="s">
        <v>84</v>
      </c>
      <c r="AY33" s="2">
        <v>32.0</v>
      </c>
    </row>
    <row r="34">
      <c r="A34" s="1" t="s">
        <v>51</v>
      </c>
      <c r="C34" s="1" t="s">
        <v>52</v>
      </c>
      <c r="E34" s="1" t="s">
        <v>52</v>
      </c>
      <c r="G34" s="2">
        <v>59.0</v>
      </c>
      <c r="H34" s="1" t="s">
        <v>55</v>
      </c>
      <c r="J34" s="1" t="s">
        <v>111</v>
      </c>
      <c r="K34" s="1" t="s">
        <v>87</v>
      </c>
      <c r="M34" s="1" t="s">
        <v>58</v>
      </c>
      <c r="N34" s="1" t="s">
        <v>58</v>
      </c>
      <c r="O34" s="1" t="s">
        <v>58</v>
      </c>
      <c r="Q34" s="1" t="s">
        <v>69</v>
      </c>
      <c r="R34" s="1" t="s">
        <v>58</v>
      </c>
      <c r="S34" s="1" t="s">
        <v>69</v>
      </c>
      <c r="T34" s="1" t="s">
        <v>70</v>
      </c>
      <c r="U34" s="1" t="s">
        <v>58</v>
      </c>
      <c r="V34" s="1" t="s">
        <v>58</v>
      </c>
      <c r="W34" s="1" t="s">
        <v>58</v>
      </c>
      <c r="X34" s="1" t="s">
        <v>103</v>
      </c>
      <c r="Y34" s="1" t="s">
        <v>95</v>
      </c>
      <c r="Z34" s="1" t="s">
        <v>89</v>
      </c>
      <c r="AA34" s="2">
        <v>100.0</v>
      </c>
      <c r="AB34" s="1" t="s">
        <v>62</v>
      </c>
      <c r="AC34" s="1" t="s">
        <v>71</v>
      </c>
      <c r="AF34" s="1" t="s">
        <v>51</v>
      </c>
      <c r="AI34" s="2">
        <v>0.0</v>
      </c>
      <c r="AJ34" s="2">
        <v>0.0</v>
      </c>
      <c r="AK34" s="2">
        <v>1.0</v>
      </c>
      <c r="AL34" s="2">
        <v>0.0</v>
      </c>
      <c r="AP34" s="2">
        <v>4.87664993E8</v>
      </c>
      <c r="AQ34" s="1" t="s">
        <v>138</v>
      </c>
      <c r="AR34" s="2">
        <v>45805.33640046296</v>
      </c>
      <c r="AU34" s="1" t="s">
        <v>64</v>
      </c>
      <c r="AW34" s="1" t="s">
        <v>84</v>
      </c>
      <c r="AY34" s="2">
        <v>33.0</v>
      </c>
    </row>
    <row r="35">
      <c r="A35" s="1" t="s">
        <v>51</v>
      </c>
      <c r="C35" s="1" t="s">
        <v>52</v>
      </c>
      <c r="E35" s="1" t="s">
        <v>53</v>
      </c>
      <c r="F35" s="1" t="s">
        <v>54</v>
      </c>
      <c r="G35" s="2">
        <v>44.0</v>
      </c>
      <c r="H35" s="1" t="s">
        <v>55</v>
      </c>
      <c r="I35" s="1" t="s">
        <v>100</v>
      </c>
      <c r="J35" s="1" t="s">
        <v>86</v>
      </c>
      <c r="K35" s="1" t="s">
        <v>87</v>
      </c>
      <c r="M35" s="1" t="s">
        <v>58</v>
      </c>
      <c r="N35" s="1" t="s">
        <v>58</v>
      </c>
      <c r="O35" s="1" t="s">
        <v>58</v>
      </c>
      <c r="Q35" s="1" t="s">
        <v>58</v>
      </c>
      <c r="R35" s="1" t="s">
        <v>58</v>
      </c>
      <c r="S35" s="1" t="s">
        <v>58</v>
      </c>
      <c r="T35" s="1" t="s">
        <v>58</v>
      </c>
      <c r="U35" s="1" t="s">
        <v>58</v>
      </c>
      <c r="V35" s="1" t="s">
        <v>58</v>
      </c>
      <c r="W35" s="1" t="s">
        <v>58</v>
      </c>
      <c r="X35" s="1" t="s">
        <v>59</v>
      </c>
      <c r="Y35" s="1" t="s">
        <v>60</v>
      </c>
      <c r="Z35" s="1" t="s">
        <v>89</v>
      </c>
      <c r="AA35" s="2">
        <v>100.0</v>
      </c>
      <c r="AB35" s="1" t="s">
        <v>79</v>
      </c>
      <c r="AC35" s="1" t="s">
        <v>71</v>
      </c>
      <c r="AF35" s="1" t="s">
        <v>51</v>
      </c>
      <c r="AG35" s="1" t="s">
        <v>72</v>
      </c>
      <c r="AI35" s="2">
        <v>1.0</v>
      </c>
      <c r="AJ35" s="2">
        <v>1.0</v>
      </c>
      <c r="AK35" s="2">
        <v>1.0</v>
      </c>
      <c r="AL35" s="2">
        <v>0.0</v>
      </c>
      <c r="AM35" s="1" t="s">
        <v>51</v>
      </c>
      <c r="AN35" s="2">
        <v>7.19465454E8</v>
      </c>
      <c r="AP35" s="2">
        <v>4.87674106E8</v>
      </c>
      <c r="AQ35" s="1" t="s">
        <v>139</v>
      </c>
      <c r="AR35" s="2">
        <v>45805.34543981482</v>
      </c>
      <c r="AU35" s="1" t="s">
        <v>64</v>
      </c>
      <c r="AW35" s="1" t="s">
        <v>84</v>
      </c>
      <c r="AY35" s="2">
        <v>34.0</v>
      </c>
    </row>
    <row r="36">
      <c r="A36" s="1" t="s">
        <v>51</v>
      </c>
      <c r="C36" s="1" t="s">
        <v>52</v>
      </c>
      <c r="E36" s="1" t="s">
        <v>53</v>
      </c>
      <c r="F36" s="1" t="s">
        <v>54</v>
      </c>
      <c r="G36" s="2">
        <v>42.0</v>
      </c>
      <c r="H36" s="1" t="s">
        <v>66</v>
      </c>
      <c r="I36" s="1" t="s">
        <v>67</v>
      </c>
      <c r="J36" s="1" t="s">
        <v>86</v>
      </c>
      <c r="K36" s="1" t="s">
        <v>87</v>
      </c>
      <c r="M36" s="1" t="s">
        <v>58</v>
      </c>
      <c r="N36" s="1" t="s">
        <v>58</v>
      </c>
      <c r="O36" s="1" t="s">
        <v>58</v>
      </c>
      <c r="Q36" s="1" t="s">
        <v>69</v>
      </c>
      <c r="R36" s="1" t="s">
        <v>58</v>
      </c>
      <c r="S36" s="1" t="s">
        <v>69</v>
      </c>
      <c r="T36" s="1" t="s">
        <v>69</v>
      </c>
      <c r="U36" s="1" t="s">
        <v>58</v>
      </c>
      <c r="V36" s="1" t="s">
        <v>58</v>
      </c>
      <c r="W36" s="1" t="s">
        <v>69</v>
      </c>
      <c r="X36" s="1" t="s">
        <v>59</v>
      </c>
      <c r="Y36" s="1" t="s">
        <v>95</v>
      </c>
      <c r="Z36" s="1" t="s">
        <v>89</v>
      </c>
      <c r="AA36" s="2">
        <v>50.0</v>
      </c>
      <c r="AB36" s="1" t="s">
        <v>62</v>
      </c>
      <c r="AC36" s="1" t="s">
        <v>51</v>
      </c>
      <c r="AD36" s="1" t="s">
        <v>81</v>
      </c>
      <c r="AE36" s="1" t="s">
        <v>51</v>
      </c>
      <c r="AF36" s="1" t="s">
        <v>51</v>
      </c>
      <c r="AG36" s="1" t="s">
        <v>51</v>
      </c>
      <c r="AH36" s="2">
        <v>4000.0</v>
      </c>
      <c r="AI36" s="2">
        <v>0.0</v>
      </c>
      <c r="AJ36" s="2">
        <v>0.0</v>
      </c>
      <c r="AK36" s="2">
        <v>0.0</v>
      </c>
      <c r="AL36" s="2">
        <v>1.0</v>
      </c>
      <c r="AM36" s="1" t="s">
        <v>51</v>
      </c>
      <c r="AN36" s="2">
        <v>7.18013824E8</v>
      </c>
      <c r="AP36" s="2">
        <v>4.87690832E8</v>
      </c>
      <c r="AQ36" s="1" t="s">
        <v>140</v>
      </c>
      <c r="AR36" s="2">
        <v>45805.363032407404</v>
      </c>
      <c r="AU36" s="1" t="s">
        <v>64</v>
      </c>
      <c r="AW36" s="1" t="s">
        <v>84</v>
      </c>
      <c r="AY36" s="2">
        <v>35.0</v>
      </c>
    </row>
    <row r="37">
      <c r="A37" s="1" t="s">
        <v>51</v>
      </c>
      <c r="C37" s="1" t="s">
        <v>52</v>
      </c>
      <c r="E37" s="1" t="s">
        <v>52</v>
      </c>
      <c r="G37" s="2">
        <v>55.0</v>
      </c>
      <c r="H37" s="1" t="s">
        <v>55</v>
      </c>
      <c r="J37" s="1" t="s">
        <v>86</v>
      </c>
      <c r="K37" s="1" t="s">
        <v>87</v>
      </c>
      <c r="M37" s="1" t="s">
        <v>58</v>
      </c>
      <c r="N37" s="1" t="s">
        <v>58</v>
      </c>
      <c r="O37" s="1" t="s">
        <v>58</v>
      </c>
      <c r="Q37" s="1" t="s">
        <v>69</v>
      </c>
      <c r="R37" s="1" t="s">
        <v>58</v>
      </c>
      <c r="S37" s="1" t="s">
        <v>69</v>
      </c>
      <c r="T37" s="1" t="s">
        <v>69</v>
      </c>
      <c r="U37" s="1" t="s">
        <v>69</v>
      </c>
      <c r="V37" s="1" t="s">
        <v>58</v>
      </c>
      <c r="W37" s="1" t="s">
        <v>69</v>
      </c>
      <c r="X37" s="1" t="s">
        <v>59</v>
      </c>
      <c r="Y37" s="1" t="s">
        <v>95</v>
      </c>
      <c r="Z37" s="1" t="s">
        <v>89</v>
      </c>
      <c r="AA37" s="2">
        <v>100.0</v>
      </c>
      <c r="AB37" s="1" t="s">
        <v>79</v>
      </c>
      <c r="AC37" s="1" t="s">
        <v>51</v>
      </c>
      <c r="AD37" s="1" t="s">
        <v>59</v>
      </c>
      <c r="AE37" s="1" t="s">
        <v>51</v>
      </c>
      <c r="AF37" s="1" t="s">
        <v>51</v>
      </c>
      <c r="AG37" s="1" t="s">
        <v>72</v>
      </c>
      <c r="AI37" s="2">
        <v>0.0</v>
      </c>
      <c r="AJ37" s="2">
        <v>0.0</v>
      </c>
      <c r="AK37" s="2">
        <v>0.0</v>
      </c>
      <c r="AL37" s="2">
        <v>1.0</v>
      </c>
      <c r="AP37" s="2">
        <v>4.8770913E8</v>
      </c>
      <c r="AQ37" s="1" t="s">
        <v>141</v>
      </c>
      <c r="AR37" s="2">
        <v>45805.381689814814</v>
      </c>
      <c r="AU37" s="1" t="s">
        <v>64</v>
      </c>
      <c r="AW37" s="1" t="s">
        <v>84</v>
      </c>
      <c r="AY37" s="2">
        <v>36.0</v>
      </c>
    </row>
    <row r="38">
      <c r="A38" s="1" t="s">
        <v>51</v>
      </c>
      <c r="C38" s="1" t="s">
        <v>53</v>
      </c>
      <c r="E38" s="1" t="s">
        <v>53</v>
      </c>
      <c r="F38" s="1" t="s">
        <v>54</v>
      </c>
      <c r="G38" s="2">
        <v>51.0</v>
      </c>
      <c r="H38" s="1" t="s">
        <v>66</v>
      </c>
      <c r="I38" s="1" t="s">
        <v>121</v>
      </c>
      <c r="J38" s="1" t="s">
        <v>111</v>
      </c>
      <c r="K38" s="1" t="s">
        <v>87</v>
      </c>
      <c r="M38" s="1" t="s">
        <v>58</v>
      </c>
      <c r="N38" s="1" t="s">
        <v>58</v>
      </c>
      <c r="O38" s="1" t="s">
        <v>58</v>
      </c>
      <c r="Q38" s="1" t="s">
        <v>58</v>
      </c>
      <c r="R38" s="1" t="s">
        <v>58</v>
      </c>
      <c r="S38" s="1" t="s">
        <v>58</v>
      </c>
      <c r="T38" s="1" t="s">
        <v>70</v>
      </c>
      <c r="U38" s="1" t="s">
        <v>69</v>
      </c>
      <c r="V38" s="1" t="s">
        <v>69</v>
      </c>
      <c r="W38" s="1" t="s">
        <v>69</v>
      </c>
      <c r="X38" s="1" t="s">
        <v>59</v>
      </c>
      <c r="Y38" s="1" t="s">
        <v>60</v>
      </c>
      <c r="AC38" s="1" t="s">
        <v>51</v>
      </c>
      <c r="AD38" s="1" t="s">
        <v>59</v>
      </c>
      <c r="AE38" s="1" t="s">
        <v>72</v>
      </c>
      <c r="AF38" s="1" t="s">
        <v>72</v>
      </c>
      <c r="AG38" s="1" t="s">
        <v>72</v>
      </c>
      <c r="AI38" s="2">
        <v>0.0</v>
      </c>
      <c r="AJ38" s="2">
        <v>0.0</v>
      </c>
      <c r="AK38" s="2">
        <v>0.0</v>
      </c>
      <c r="AL38" s="2">
        <v>1.0</v>
      </c>
      <c r="AM38" s="1" t="s">
        <v>72</v>
      </c>
      <c r="AP38" s="2">
        <v>4.87711757E8</v>
      </c>
      <c r="AQ38" s="1" t="s">
        <v>142</v>
      </c>
      <c r="AR38" s="2">
        <v>45805.383993055555</v>
      </c>
      <c r="AU38" s="1" t="s">
        <v>64</v>
      </c>
      <c r="AW38" s="1" t="s">
        <v>84</v>
      </c>
      <c r="AY38" s="2">
        <v>37.0</v>
      </c>
    </row>
    <row r="39">
      <c r="A39" s="1" t="s">
        <v>51</v>
      </c>
      <c r="C39" s="1" t="s">
        <v>107</v>
      </c>
      <c r="E39" s="1" t="s">
        <v>53</v>
      </c>
      <c r="F39" s="1" t="s">
        <v>102</v>
      </c>
      <c r="G39" s="2">
        <v>44.0</v>
      </c>
      <c r="H39" s="1" t="s">
        <v>55</v>
      </c>
      <c r="I39" s="1" t="s">
        <v>67</v>
      </c>
      <c r="J39" s="1" t="s">
        <v>111</v>
      </c>
      <c r="K39" s="1" t="s">
        <v>87</v>
      </c>
      <c r="M39" s="1" t="s">
        <v>58</v>
      </c>
      <c r="N39" s="1" t="s">
        <v>58</v>
      </c>
      <c r="O39" s="1" t="s">
        <v>69</v>
      </c>
      <c r="Q39" s="1" t="s">
        <v>58</v>
      </c>
      <c r="R39" s="1" t="s">
        <v>70</v>
      </c>
      <c r="S39" s="1" t="s">
        <v>69</v>
      </c>
      <c r="T39" s="1" t="s">
        <v>69</v>
      </c>
      <c r="U39" s="1" t="s">
        <v>69</v>
      </c>
      <c r="V39" s="1" t="s">
        <v>58</v>
      </c>
      <c r="W39" s="1" t="s">
        <v>69</v>
      </c>
      <c r="X39" s="1" t="s">
        <v>88</v>
      </c>
      <c r="Y39" s="1" t="s">
        <v>82</v>
      </c>
      <c r="Z39" s="1" t="s">
        <v>61</v>
      </c>
      <c r="AA39" s="2">
        <v>100.0</v>
      </c>
      <c r="AB39" s="1" t="s">
        <v>79</v>
      </c>
      <c r="AC39" s="1" t="s">
        <v>51</v>
      </c>
      <c r="AD39" s="1" t="s">
        <v>59</v>
      </c>
      <c r="AE39" s="1" t="s">
        <v>51</v>
      </c>
      <c r="AF39" s="1" t="s">
        <v>51</v>
      </c>
      <c r="AG39" s="1" t="s">
        <v>72</v>
      </c>
      <c r="AI39" s="2">
        <v>0.0</v>
      </c>
      <c r="AJ39" s="2">
        <v>0.0</v>
      </c>
      <c r="AK39" s="2">
        <v>1.0</v>
      </c>
      <c r="AL39" s="2">
        <v>0.0</v>
      </c>
      <c r="AM39" s="1" t="s">
        <v>51</v>
      </c>
      <c r="AN39" s="2">
        <v>7.24087235E8</v>
      </c>
      <c r="AP39" s="2">
        <v>4.87711791E8</v>
      </c>
      <c r="AQ39" s="1" t="s">
        <v>143</v>
      </c>
      <c r="AR39" s="2">
        <v>45805.3840162037</v>
      </c>
      <c r="AU39" s="1" t="s">
        <v>64</v>
      </c>
      <c r="AW39" s="1" t="s">
        <v>84</v>
      </c>
      <c r="AY39" s="2">
        <v>38.0</v>
      </c>
    </row>
    <row r="40">
      <c r="A40" s="1" t="s">
        <v>51</v>
      </c>
      <c r="C40" s="1" t="s">
        <v>52</v>
      </c>
      <c r="E40" s="1" t="s">
        <v>53</v>
      </c>
      <c r="F40" s="1" t="s">
        <v>85</v>
      </c>
      <c r="G40" s="2">
        <v>43.0</v>
      </c>
      <c r="H40" s="1" t="s">
        <v>55</v>
      </c>
      <c r="I40" s="1" t="s">
        <v>67</v>
      </c>
      <c r="J40" s="1" t="s">
        <v>86</v>
      </c>
      <c r="K40" s="1" t="s">
        <v>87</v>
      </c>
      <c r="M40" s="1" t="s">
        <v>58</v>
      </c>
      <c r="N40" s="1" t="s">
        <v>58</v>
      </c>
      <c r="O40" s="1" t="s">
        <v>69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69</v>
      </c>
      <c r="X40" s="1" t="s">
        <v>59</v>
      </c>
      <c r="Y40" s="1" t="s">
        <v>95</v>
      </c>
      <c r="Z40" s="1" t="s">
        <v>89</v>
      </c>
      <c r="AA40" s="2">
        <v>30.0</v>
      </c>
      <c r="AB40" s="1" t="s">
        <v>62</v>
      </c>
      <c r="AC40" s="1" t="s">
        <v>71</v>
      </c>
      <c r="AF40" s="1" t="s">
        <v>51</v>
      </c>
      <c r="AG40" s="1" t="s">
        <v>72</v>
      </c>
      <c r="AI40" s="2">
        <v>0.0</v>
      </c>
      <c r="AJ40" s="2">
        <v>0.0</v>
      </c>
      <c r="AK40" s="2">
        <v>0.0</v>
      </c>
      <c r="AL40" s="2">
        <v>1.0</v>
      </c>
      <c r="AM40" s="1" t="s">
        <v>72</v>
      </c>
      <c r="AP40" s="2">
        <v>4.8771705E8</v>
      </c>
      <c r="AQ40" s="1" t="s">
        <v>144</v>
      </c>
      <c r="AR40" s="2">
        <v>45805.3884837963</v>
      </c>
      <c r="AU40" s="1" t="s">
        <v>64</v>
      </c>
      <c r="AW40" s="1" t="s">
        <v>84</v>
      </c>
      <c r="AY40" s="2">
        <v>39.0</v>
      </c>
    </row>
    <row r="41">
      <c r="A41" s="1" t="s">
        <v>51</v>
      </c>
      <c r="C41" s="1" t="s">
        <v>53</v>
      </c>
      <c r="E41" s="1" t="s">
        <v>53</v>
      </c>
      <c r="F41" s="1" t="s">
        <v>102</v>
      </c>
      <c r="G41" s="2">
        <v>39.0</v>
      </c>
      <c r="H41" s="1" t="s">
        <v>55</v>
      </c>
      <c r="I41" s="1" t="s">
        <v>121</v>
      </c>
      <c r="J41" s="1" t="s">
        <v>56</v>
      </c>
      <c r="K41" s="1" t="s">
        <v>87</v>
      </c>
      <c r="M41" s="1" t="s">
        <v>58</v>
      </c>
      <c r="N41" s="1" t="s">
        <v>58</v>
      </c>
      <c r="O41" s="1" t="s">
        <v>58</v>
      </c>
      <c r="Q41" s="1" t="s">
        <v>58</v>
      </c>
      <c r="R41" s="1" t="s">
        <v>58</v>
      </c>
      <c r="S41" s="1" t="s">
        <v>69</v>
      </c>
      <c r="T41" s="1" t="s">
        <v>69</v>
      </c>
      <c r="U41" s="1" t="s">
        <v>58</v>
      </c>
      <c r="V41" s="1" t="s">
        <v>69</v>
      </c>
      <c r="W41" s="1" t="s">
        <v>69</v>
      </c>
      <c r="X41" s="1" t="s">
        <v>81</v>
      </c>
      <c r="Y41" s="1" t="s">
        <v>60</v>
      </c>
      <c r="Z41" s="1" t="s">
        <v>61</v>
      </c>
      <c r="AA41" s="2">
        <v>100.0</v>
      </c>
      <c r="AB41" s="1" t="s">
        <v>79</v>
      </c>
      <c r="AC41" s="1" t="s">
        <v>72</v>
      </c>
      <c r="AF41" s="1" t="s">
        <v>51</v>
      </c>
      <c r="AG41" s="1" t="s">
        <v>72</v>
      </c>
      <c r="AI41" s="2">
        <v>0.0</v>
      </c>
      <c r="AJ41" s="2">
        <v>1.0</v>
      </c>
      <c r="AK41" s="2">
        <v>0.0</v>
      </c>
      <c r="AL41" s="2">
        <v>0.0</v>
      </c>
      <c r="AM41" s="1" t="s">
        <v>51</v>
      </c>
      <c r="AP41" s="2">
        <v>4.87749469E8</v>
      </c>
      <c r="AQ41" s="1" t="s">
        <v>145</v>
      </c>
      <c r="AR41" s="2">
        <v>45805.421898148146</v>
      </c>
      <c r="AU41" s="1" t="s">
        <v>64</v>
      </c>
      <c r="AW41" s="1" t="s">
        <v>84</v>
      </c>
      <c r="AY41" s="2">
        <v>40.0</v>
      </c>
    </row>
    <row r="42">
      <c r="A42" s="1" t="s">
        <v>51</v>
      </c>
      <c r="C42" s="1" t="s">
        <v>52</v>
      </c>
      <c r="E42" s="1" t="s">
        <v>53</v>
      </c>
      <c r="F42" s="1" t="s">
        <v>94</v>
      </c>
      <c r="G42" s="2">
        <v>42.0</v>
      </c>
      <c r="H42" s="1" t="s">
        <v>66</v>
      </c>
      <c r="I42" s="1" t="s">
        <v>67</v>
      </c>
      <c r="J42" s="1" t="s">
        <v>56</v>
      </c>
      <c r="K42" s="1" t="s">
        <v>87</v>
      </c>
      <c r="M42" s="1" t="s">
        <v>58</v>
      </c>
      <c r="N42" s="1" t="s">
        <v>58</v>
      </c>
      <c r="O42" s="1" t="s">
        <v>69</v>
      </c>
      <c r="Q42" s="1" t="s">
        <v>69</v>
      </c>
      <c r="R42" s="1" t="s">
        <v>69</v>
      </c>
      <c r="S42" s="1" t="s">
        <v>70</v>
      </c>
      <c r="T42" s="1" t="s">
        <v>69</v>
      </c>
      <c r="U42" s="1" t="s">
        <v>58</v>
      </c>
      <c r="V42" s="1" t="s">
        <v>58</v>
      </c>
      <c r="W42" s="1" t="s">
        <v>69</v>
      </c>
      <c r="X42" s="1" t="s">
        <v>59</v>
      </c>
      <c r="Y42" s="1" t="s">
        <v>60</v>
      </c>
      <c r="Z42" s="1" t="s">
        <v>89</v>
      </c>
      <c r="AA42" s="2">
        <v>100.0</v>
      </c>
      <c r="AB42" s="1" t="s">
        <v>62</v>
      </c>
      <c r="AC42" s="1" t="s">
        <v>71</v>
      </c>
      <c r="AF42" s="1" t="s">
        <v>51</v>
      </c>
      <c r="AG42" s="1" t="s">
        <v>51</v>
      </c>
      <c r="AH42" s="2">
        <v>50.0</v>
      </c>
      <c r="AI42" s="2">
        <v>1.0</v>
      </c>
      <c r="AJ42" s="2">
        <v>0.0</v>
      </c>
      <c r="AK42" s="2">
        <v>1.0</v>
      </c>
      <c r="AL42" s="2">
        <v>0.0</v>
      </c>
      <c r="AM42" s="1" t="s">
        <v>72</v>
      </c>
      <c r="AP42" s="2">
        <v>4.87750454E8</v>
      </c>
      <c r="AQ42" s="1" t="s">
        <v>146</v>
      </c>
      <c r="AR42" s="2">
        <v>45805.42289351852</v>
      </c>
      <c r="AU42" s="1" t="s">
        <v>64</v>
      </c>
      <c r="AW42" s="1" t="s">
        <v>84</v>
      </c>
      <c r="AY42" s="2">
        <v>41.0</v>
      </c>
    </row>
    <row r="43">
      <c r="A43" s="1" t="s">
        <v>51</v>
      </c>
      <c r="C43" s="1" t="s">
        <v>53</v>
      </c>
      <c r="E43" s="1" t="s">
        <v>53</v>
      </c>
      <c r="F43" s="1" t="s">
        <v>54</v>
      </c>
      <c r="G43" s="2">
        <v>55.0</v>
      </c>
      <c r="H43" s="1" t="s">
        <v>66</v>
      </c>
      <c r="I43" s="1" t="s">
        <v>121</v>
      </c>
      <c r="J43" s="1" t="s">
        <v>56</v>
      </c>
      <c r="K43" s="1" t="s">
        <v>87</v>
      </c>
      <c r="M43" s="1" t="s">
        <v>58</v>
      </c>
      <c r="N43" s="1" t="s">
        <v>58</v>
      </c>
      <c r="O43" s="1" t="s">
        <v>58</v>
      </c>
      <c r="Q43" s="1" t="s">
        <v>70</v>
      </c>
      <c r="R43" s="1" t="s">
        <v>58</v>
      </c>
      <c r="S43" s="1" t="s">
        <v>58</v>
      </c>
      <c r="T43" s="1" t="s">
        <v>69</v>
      </c>
      <c r="U43" s="1" t="s">
        <v>70</v>
      </c>
      <c r="V43" s="1" t="s">
        <v>58</v>
      </c>
      <c r="W43" s="1" t="s">
        <v>69</v>
      </c>
      <c r="X43" s="1" t="s">
        <v>59</v>
      </c>
      <c r="Y43" s="1" t="s">
        <v>60</v>
      </c>
      <c r="Z43" s="1" t="s">
        <v>89</v>
      </c>
      <c r="AA43" s="2">
        <v>40.0</v>
      </c>
      <c r="AB43" s="1" t="s">
        <v>79</v>
      </c>
      <c r="AC43" s="1" t="s">
        <v>71</v>
      </c>
      <c r="AF43" s="1" t="s">
        <v>51</v>
      </c>
      <c r="AG43" s="1" t="s">
        <v>72</v>
      </c>
      <c r="AI43" s="2">
        <v>0.0</v>
      </c>
      <c r="AJ43" s="2">
        <v>0.0</v>
      </c>
      <c r="AK43" s="2">
        <v>0.0</v>
      </c>
      <c r="AL43" s="2">
        <v>1.0</v>
      </c>
      <c r="AM43" s="1" t="s">
        <v>51</v>
      </c>
      <c r="AN43" s="2">
        <v>8.27701274E8</v>
      </c>
      <c r="AP43" s="2">
        <v>4.87757298E8</v>
      </c>
      <c r="AQ43" s="1" t="s">
        <v>147</v>
      </c>
      <c r="AR43" s="2">
        <v>45805.43035879629</v>
      </c>
      <c r="AU43" s="1" t="s">
        <v>64</v>
      </c>
      <c r="AW43" s="1" t="s">
        <v>84</v>
      </c>
      <c r="AY43" s="2">
        <v>42.0</v>
      </c>
    </row>
    <row r="44">
      <c r="A44" s="1" t="s">
        <v>51</v>
      </c>
      <c r="C44" s="1" t="s">
        <v>52</v>
      </c>
      <c r="E44" s="1" t="s">
        <v>53</v>
      </c>
      <c r="F44" s="1" t="s">
        <v>85</v>
      </c>
      <c r="G44" s="2">
        <v>42.0</v>
      </c>
      <c r="H44" s="1" t="s">
        <v>55</v>
      </c>
      <c r="I44" s="1" t="s">
        <v>67</v>
      </c>
      <c r="J44" s="1" t="s">
        <v>86</v>
      </c>
      <c r="K44" s="1" t="s">
        <v>87</v>
      </c>
      <c r="M44" s="1" t="s">
        <v>69</v>
      </c>
      <c r="N44" s="1" t="s">
        <v>69</v>
      </c>
      <c r="O44" s="1" t="s">
        <v>69</v>
      </c>
      <c r="Q44" s="1" t="s">
        <v>69</v>
      </c>
      <c r="R44" s="1" t="s">
        <v>58</v>
      </c>
      <c r="S44" s="1" t="s">
        <v>58</v>
      </c>
      <c r="T44" s="1" t="s">
        <v>69</v>
      </c>
      <c r="U44" s="1" t="s">
        <v>58</v>
      </c>
      <c r="V44" s="1" t="s">
        <v>58</v>
      </c>
      <c r="W44" s="1" t="s">
        <v>69</v>
      </c>
      <c r="X44" s="1" t="s">
        <v>81</v>
      </c>
      <c r="Y44" s="1" t="s">
        <v>60</v>
      </c>
      <c r="Z44" s="1" t="s">
        <v>61</v>
      </c>
      <c r="AA44" s="2">
        <v>50.0</v>
      </c>
      <c r="AB44" s="1" t="s">
        <v>62</v>
      </c>
      <c r="AC44" s="1" t="s">
        <v>71</v>
      </c>
      <c r="AF44" s="1" t="s">
        <v>51</v>
      </c>
      <c r="AG44" s="1" t="s">
        <v>72</v>
      </c>
      <c r="AI44" s="2">
        <v>1.0</v>
      </c>
      <c r="AJ44" s="2">
        <v>0.0</v>
      </c>
      <c r="AK44" s="2">
        <v>0.0</v>
      </c>
      <c r="AL44" s="2">
        <v>0.0</v>
      </c>
      <c r="AM44" s="1" t="s">
        <v>72</v>
      </c>
      <c r="AP44" s="2">
        <v>4.87766407E8</v>
      </c>
      <c r="AQ44" s="1" t="s">
        <v>148</v>
      </c>
      <c r="AR44" s="2">
        <v>45805.43989583333</v>
      </c>
      <c r="AU44" s="1" t="s">
        <v>64</v>
      </c>
      <c r="AW44" s="1" t="s">
        <v>84</v>
      </c>
      <c r="AY44" s="2">
        <v>43.0</v>
      </c>
    </row>
    <row r="45">
      <c r="A45" s="1" t="s">
        <v>51</v>
      </c>
      <c r="C45" s="1" t="s">
        <v>52</v>
      </c>
      <c r="E45" s="1" t="s">
        <v>53</v>
      </c>
      <c r="F45" s="1" t="s">
        <v>149</v>
      </c>
      <c r="G45" s="2">
        <v>46.0</v>
      </c>
      <c r="H45" s="1" t="s">
        <v>55</v>
      </c>
      <c r="I45" s="1" t="s">
        <v>67</v>
      </c>
      <c r="J45" s="1" t="s">
        <v>86</v>
      </c>
      <c r="K45" s="1" t="s">
        <v>87</v>
      </c>
      <c r="M45" s="1" t="s">
        <v>58</v>
      </c>
      <c r="N45" s="1" t="s">
        <v>58</v>
      </c>
      <c r="O45" s="1" t="s">
        <v>58</v>
      </c>
      <c r="Q45" s="1" t="s">
        <v>69</v>
      </c>
      <c r="R45" s="1" t="s">
        <v>58</v>
      </c>
      <c r="S45" s="1" t="s">
        <v>69</v>
      </c>
      <c r="T45" s="1" t="s">
        <v>69</v>
      </c>
      <c r="U45" s="1" t="s">
        <v>58</v>
      </c>
      <c r="V45" s="1" t="s">
        <v>58</v>
      </c>
      <c r="W45" s="1" t="s">
        <v>69</v>
      </c>
      <c r="X45" s="1" t="s">
        <v>88</v>
      </c>
      <c r="Y45" s="1" t="s">
        <v>95</v>
      </c>
      <c r="Z45" s="1" t="s">
        <v>89</v>
      </c>
      <c r="AA45" s="2">
        <v>100.0</v>
      </c>
      <c r="AB45" s="1" t="s">
        <v>28</v>
      </c>
      <c r="AC45" s="1" t="s">
        <v>71</v>
      </c>
      <c r="AF45" s="1" t="s">
        <v>51</v>
      </c>
      <c r="AG45" s="1" t="s">
        <v>72</v>
      </c>
      <c r="AI45" s="2">
        <v>0.0</v>
      </c>
      <c r="AJ45" s="2">
        <v>0.0</v>
      </c>
      <c r="AK45" s="2">
        <v>1.0</v>
      </c>
      <c r="AL45" s="2">
        <v>0.0</v>
      </c>
      <c r="AM45" s="1" t="s">
        <v>72</v>
      </c>
      <c r="AP45" s="2">
        <v>4.87788797E8</v>
      </c>
      <c r="AQ45" s="1" t="s">
        <v>150</v>
      </c>
      <c r="AR45" s="2">
        <v>45805.46019675926</v>
      </c>
      <c r="AU45" s="1" t="s">
        <v>64</v>
      </c>
      <c r="AW45" s="1" t="s">
        <v>84</v>
      </c>
      <c r="AY45" s="2">
        <v>44.0</v>
      </c>
    </row>
    <row r="46">
      <c r="A46" s="1" t="s">
        <v>51</v>
      </c>
      <c r="C46" s="1" t="s">
        <v>151</v>
      </c>
      <c r="E46" s="1" t="s">
        <v>53</v>
      </c>
      <c r="F46" s="1" t="s">
        <v>54</v>
      </c>
      <c r="G46" s="2">
        <v>43.0</v>
      </c>
      <c r="H46" s="1" t="s">
        <v>55</v>
      </c>
      <c r="I46" s="1" t="s">
        <v>67</v>
      </c>
      <c r="J46" s="1" t="s">
        <v>56</v>
      </c>
      <c r="K46" s="1" t="s">
        <v>78</v>
      </c>
      <c r="M46" s="1" t="s">
        <v>58</v>
      </c>
      <c r="N46" s="1" t="s">
        <v>58</v>
      </c>
      <c r="O46" s="1" t="s">
        <v>58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 t="s">
        <v>58</v>
      </c>
      <c r="X46" s="1" t="s">
        <v>81</v>
      </c>
      <c r="Y46" s="1" t="s">
        <v>82</v>
      </c>
      <c r="Z46" s="1" t="s">
        <v>89</v>
      </c>
      <c r="AA46" s="2">
        <v>50.0</v>
      </c>
      <c r="AB46" s="1" t="s">
        <v>79</v>
      </c>
      <c r="AC46" s="1" t="s">
        <v>71</v>
      </c>
      <c r="AF46" s="1" t="s">
        <v>51</v>
      </c>
      <c r="AG46" s="1" t="s">
        <v>51</v>
      </c>
      <c r="AH46" s="2">
        <v>40.0</v>
      </c>
      <c r="AI46" s="2">
        <v>0.0</v>
      </c>
      <c r="AJ46" s="2">
        <v>0.0</v>
      </c>
      <c r="AK46" s="2">
        <v>0.0</v>
      </c>
      <c r="AL46" s="2">
        <v>1.0</v>
      </c>
      <c r="AM46" s="1" t="s">
        <v>51</v>
      </c>
      <c r="AN46" s="2">
        <v>8.39756269E8</v>
      </c>
      <c r="AP46" s="2">
        <v>4.87797842E8</v>
      </c>
      <c r="AQ46" s="1" t="s">
        <v>152</v>
      </c>
      <c r="AR46" s="2">
        <v>45805.46944444445</v>
      </c>
      <c r="AU46" s="1" t="s">
        <v>64</v>
      </c>
      <c r="AW46" s="1" t="s">
        <v>84</v>
      </c>
      <c r="AY46" s="2">
        <v>45.0</v>
      </c>
    </row>
    <row r="47">
      <c r="A47" s="1" t="s">
        <v>51</v>
      </c>
      <c r="C47" s="1" t="s">
        <v>118</v>
      </c>
      <c r="E47" s="1" t="s">
        <v>53</v>
      </c>
      <c r="F47" s="1" t="s">
        <v>85</v>
      </c>
      <c r="G47" s="2">
        <v>39.0</v>
      </c>
      <c r="H47" s="1" t="s">
        <v>55</v>
      </c>
      <c r="I47" s="1" t="s">
        <v>67</v>
      </c>
      <c r="J47" s="1" t="s">
        <v>86</v>
      </c>
      <c r="K47" s="1" t="s">
        <v>87</v>
      </c>
      <c r="M47" s="1" t="s">
        <v>58</v>
      </c>
      <c r="N47" s="1" t="s">
        <v>58</v>
      </c>
      <c r="O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58</v>
      </c>
      <c r="W47" s="1" t="s">
        <v>69</v>
      </c>
      <c r="X47" s="1" t="s">
        <v>88</v>
      </c>
      <c r="Y47" s="1" t="s">
        <v>95</v>
      </c>
      <c r="Z47" s="1" t="s">
        <v>89</v>
      </c>
      <c r="AA47" s="2">
        <v>100.0</v>
      </c>
      <c r="AB47" s="1" t="s">
        <v>62</v>
      </c>
      <c r="AC47" s="1" t="s">
        <v>71</v>
      </c>
      <c r="AF47" s="1" t="s">
        <v>51</v>
      </c>
      <c r="AG47" s="1" t="s">
        <v>72</v>
      </c>
      <c r="AI47" s="2">
        <v>0.0</v>
      </c>
      <c r="AJ47" s="2">
        <v>0.0</v>
      </c>
      <c r="AK47" s="2">
        <v>0.0</v>
      </c>
      <c r="AL47" s="2">
        <v>1.0</v>
      </c>
      <c r="AM47" s="1" t="s">
        <v>72</v>
      </c>
      <c r="AP47" s="2">
        <v>4.87805968E8</v>
      </c>
      <c r="AQ47" s="1" t="s">
        <v>153</v>
      </c>
      <c r="AR47" s="2">
        <v>45805.47703703704</v>
      </c>
      <c r="AU47" s="1" t="s">
        <v>64</v>
      </c>
      <c r="AW47" s="1" t="s">
        <v>84</v>
      </c>
      <c r="AY47" s="2">
        <v>46.0</v>
      </c>
    </row>
    <row r="48">
      <c r="A48" s="1" t="s">
        <v>51</v>
      </c>
      <c r="C48" s="1" t="s">
        <v>52</v>
      </c>
      <c r="E48" s="1" t="s">
        <v>154</v>
      </c>
      <c r="G48" s="2">
        <v>45.0</v>
      </c>
      <c r="H48" s="1" t="s">
        <v>66</v>
      </c>
      <c r="J48" s="1" t="s">
        <v>86</v>
      </c>
      <c r="K48" s="1" t="s">
        <v>87</v>
      </c>
      <c r="M48" s="1" t="s">
        <v>69</v>
      </c>
      <c r="N48" s="1" t="s">
        <v>58</v>
      </c>
      <c r="O48" s="1" t="s">
        <v>69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58</v>
      </c>
      <c r="V48" s="1" t="s">
        <v>58</v>
      </c>
      <c r="W48" s="1" t="s">
        <v>69</v>
      </c>
      <c r="X48" s="1" t="s">
        <v>59</v>
      </c>
      <c r="Y48" s="1" t="s">
        <v>60</v>
      </c>
      <c r="Z48" s="1" t="s">
        <v>127</v>
      </c>
      <c r="AA48" s="2">
        <v>100.0</v>
      </c>
      <c r="AB48" s="1" t="s">
        <v>28</v>
      </c>
      <c r="AC48" s="1" t="s">
        <v>51</v>
      </c>
      <c r="AD48" s="1" t="s">
        <v>59</v>
      </c>
      <c r="AE48" s="1" t="s">
        <v>51</v>
      </c>
      <c r="AF48" s="1" t="s">
        <v>51</v>
      </c>
      <c r="AG48" s="1" t="s">
        <v>51</v>
      </c>
      <c r="AH48" s="2">
        <v>200.0</v>
      </c>
      <c r="AI48" s="2">
        <v>0.0</v>
      </c>
      <c r="AJ48" s="2">
        <v>0.0</v>
      </c>
      <c r="AK48" s="2">
        <v>0.0</v>
      </c>
      <c r="AL48" s="2">
        <v>1.0</v>
      </c>
      <c r="AP48" s="2">
        <v>4.87813566E8</v>
      </c>
      <c r="AQ48" s="1" t="s">
        <v>155</v>
      </c>
      <c r="AR48" s="2">
        <v>45805.48422453704</v>
      </c>
      <c r="AU48" s="1" t="s">
        <v>64</v>
      </c>
      <c r="AW48" s="1" t="s">
        <v>84</v>
      </c>
      <c r="AY48" s="2">
        <v>47.0</v>
      </c>
    </row>
    <row r="49">
      <c r="A49" s="1" t="s">
        <v>51</v>
      </c>
      <c r="C49" s="1" t="s">
        <v>52</v>
      </c>
      <c r="E49" s="1" t="s">
        <v>154</v>
      </c>
      <c r="G49" s="2">
        <v>55.0</v>
      </c>
      <c r="H49" s="1" t="s">
        <v>66</v>
      </c>
      <c r="J49" s="1" t="s">
        <v>86</v>
      </c>
      <c r="K49" s="1" t="s">
        <v>87</v>
      </c>
      <c r="M49" s="1" t="s">
        <v>58</v>
      </c>
      <c r="N49" s="1" t="s">
        <v>58</v>
      </c>
      <c r="O49" s="1" t="s">
        <v>58</v>
      </c>
      <c r="Q49" s="1" t="s">
        <v>58</v>
      </c>
      <c r="R49" s="1" t="s">
        <v>58</v>
      </c>
      <c r="S49" s="1" t="s">
        <v>69</v>
      </c>
      <c r="T49" s="1" t="s">
        <v>70</v>
      </c>
      <c r="U49" s="1" t="s">
        <v>70</v>
      </c>
      <c r="V49" s="1" t="s">
        <v>58</v>
      </c>
      <c r="W49" s="1" t="s">
        <v>70</v>
      </c>
      <c r="X49" s="1" t="s">
        <v>81</v>
      </c>
      <c r="Y49" s="1" t="s">
        <v>95</v>
      </c>
      <c r="Z49" s="1" t="s">
        <v>96</v>
      </c>
      <c r="AA49" s="2">
        <v>100.0</v>
      </c>
      <c r="AB49" s="1" t="s">
        <v>62</v>
      </c>
      <c r="AC49" s="1" t="s">
        <v>71</v>
      </c>
      <c r="AF49" s="1" t="s">
        <v>51</v>
      </c>
      <c r="AG49" s="1" t="s">
        <v>51</v>
      </c>
      <c r="AP49" s="2">
        <v>4.878188E8</v>
      </c>
      <c r="AQ49" s="1" t="s">
        <v>156</v>
      </c>
      <c r="AR49" s="2">
        <v>45805.48887731481</v>
      </c>
      <c r="AU49" s="1" t="s">
        <v>64</v>
      </c>
      <c r="AW49" s="1" t="s">
        <v>84</v>
      </c>
      <c r="AY49" s="2">
        <v>48.0</v>
      </c>
    </row>
    <row r="50">
      <c r="A50" s="1" t="s">
        <v>51</v>
      </c>
      <c r="C50" s="1" t="s">
        <v>52</v>
      </c>
      <c r="E50" s="1" t="s">
        <v>154</v>
      </c>
      <c r="G50" s="2">
        <v>47.0</v>
      </c>
      <c r="H50" s="1" t="s">
        <v>55</v>
      </c>
      <c r="J50" s="1" t="s">
        <v>86</v>
      </c>
      <c r="K50" s="1" t="s">
        <v>87</v>
      </c>
      <c r="M50" s="1" t="s">
        <v>58</v>
      </c>
      <c r="N50" s="1" t="s">
        <v>58</v>
      </c>
      <c r="O50" s="1" t="s">
        <v>58</v>
      </c>
      <c r="Q50" s="1" t="s">
        <v>69</v>
      </c>
      <c r="R50" s="1" t="s">
        <v>58</v>
      </c>
      <c r="S50" s="1" t="s">
        <v>69</v>
      </c>
      <c r="T50" s="1" t="s">
        <v>69</v>
      </c>
      <c r="U50" s="1" t="s">
        <v>58</v>
      </c>
      <c r="V50" s="1" t="s">
        <v>58</v>
      </c>
      <c r="W50" s="1" t="s">
        <v>69</v>
      </c>
      <c r="X50" s="1" t="s">
        <v>88</v>
      </c>
      <c r="Y50" s="1" t="s">
        <v>95</v>
      </c>
      <c r="Z50" s="1" t="s">
        <v>89</v>
      </c>
      <c r="AA50" s="2">
        <v>100.0</v>
      </c>
      <c r="AB50" s="1" t="s">
        <v>62</v>
      </c>
      <c r="AC50" s="1" t="s">
        <v>51</v>
      </c>
      <c r="AD50" s="1" t="s">
        <v>88</v>
      </c>
      <c r="AE50" s="1" t="s">
        <v>51</v>
      </c>
      <c r="AF50" s="1" t="s">
        <v>51</v>
      </c>
      <c r="AG50" s="1" t="s">
        <v>51</v>
      </c>
      <c r="AH50" s="2">
        <v>30.0</v>
      </c>
      <c r="AI50" s="2">
        <v>0.0</v>
      </c>
      <c r="AJ50" s="2">
        <v>0.0</v>
      </c>
      <c r="AK50" s="2">
        <v>0.0</v>
      </c>
      <c r="AL50" s="2">
        <v>1.0</v>
      </c>
      <c r="AP50" s="2">
        <v>4.87826428E8</v>
      </c>
      <c r="AQ50" s="1" t="s">
        <v>157</v>
      </c>
      <c r="AR50" s="2">
        <v>45805.496099537035</v>
      </c>
      <c r="AU50" s="1" t="s">
        <v>64</v>
      </c>
      <c r="AW50" s="1" t="s">
        <v>84</v>
      </c>
      <c r="AY50" s="2">
        <v>49.0</v>
      </c>
    </row>
    <row r="51">
      <c r="A51" s="1" t="s">
        <v>51</v>
      </c>
      <c r="C51" s="1" t="s">
        <v>53</v>
      </c>
      <c r="E51" s="1" t="s">
        <v>53</v>
      </c>
      <c r="F51" s="1" t="s">
        <v>158</v>
      </c>
      <c r="G51" s="2">
        <v>45.0</v>
      </c>
      <c r="H51" s="1" t="s">
        <v>66</v>
      </c>
      <c r="I51" s="1" t="s">
        <v>121</v>
      </c>
      <c r="J51" s="1" t="s">
        <v>86</v>
      </c>
      <c r="K51" s="1" t="s">
        <v>87</v>
      </c>
      <c r="M51" s="1" t="s">
        <v>58</v>
      </c>
      <c r="N51" s="1" t="s">
        <v>58</v>
      </c>
      <c r="O51" s="1" t="s">
        <v>70</v>
      </c>
      <c r="Q51" s="1" t="s">
        <v>58</v>
      </c>
      <c r="R51" s="1" t="s">
        <v>58</v>
      </c>
      <c r="S51" s="1" t="s">
        <v>58</v>
      </c>
      <c r="T51" s="1" t="s">
        <v>69</v>
      </c>
      <c r="U51" s="1" t="s">
        <v>70</v>
      </c>
      <c r="V51" s="1" t="s">
        <v>69</v>
      </c>
      <c r="W51" s="1" t="s">
        <v>69</v>
      </c>
      <c r="X51" s="1" t="s">
        <v>59</v>
      </c>
      <c r="Y51" s="1" t="s">
        <v>82</v>
      </c>
      <c r="Z51" s="1" t="s">
        <v>89</v>
      </c>
      <c r="AA51" s="2">
        <v>10.0</v>
      </c>
      <c r="AB51" s="1" t="s">
        <v>79</v>
      </c>
      <c r="AC51" s="1" t="s">
        <v>71</v>
      </c>
      <c r="AF51" s="1" t="s">
        <v>51</v>
      </c>
      <c r="AG51" s="1" t="s">
        <v>51</v>
      </c>
      <c r="AH51" s="2">
        <v>250.0</v>
      </c>
      <c r="AI51" s="2">
        <v>0.0</v>
      </c>
      <c r="AJ51" s="2">
        <v>0.0</v>
      </c>
      <c r="AK51" s="2">
        <v>0.0</v>
      </c>
      <c r="AL51" s="2">
        <v>1.0</v>
      </c>
      <c r="AM51" s="1" t="s">
        <v>72</v>
      </c>
      <c r="AP51" s="2">
        <v>4.87873583E8</v>
      </c>
      <c r="AQ51" s="1" t="s">
        <v>159</v>
      </c>
      <c r="AR51" s="2">
        <v>45805.533530092594</v>
      </c>
      <c r="AU51" s="1" t="s">
        <v>64</v>
      </c>
      <c r="AW51" s="1" t="s">
        <v>84</v>
      </c>
      <c r="AY51" s="2">
        <v>50.0</v>
      </c>
    </row>
    <row r="52">
      <c r="A52" s="1" t="s">
        <v>51</v>
      </c>
      <c r="C52" s="1" t="s">
        <v>52</v>
      </c>
      <c r="E52" s="1" t="s">
        <v>105</v>
      </c>
      <c r="G52" s="2">
        <v>44.0</v>
      </c>
      <c r="H52" s="1" t="s">
        <v>66</v>
      </c>
      <c r="J52" s="1" t="s">
        <v>86</v>
      </c>
      <c r="K52" s="1" t="s">
        <v>87</v>
      </c>
      <c r="M52" s="1" t="s">
        <v>58</v>
      </c>
      <c r="N52" s="1" t="s">
        <v>58</v>
      </c>
      <c r="O52" s="1" t="s">
        <v>69</v>
      </c>
      <c r="Q52" s="1" t="s">
        <v>58</v>
      </c>
      <c r="R52" s="1" t="s">
        <v>58</v>
      </c>
      <c r="S52" s="1" t="s">
        <v>69</v>
      </c>
      <c r="T52" s="1" t="s">
        <v>70</v>
      </c>
      <c r="U52" s="1" t="s">
        <v>70</v>
      </c>
      <c r="V52" s="1" t="s">
        <v>70</v>
      </c>
      <c r="W52" s="1" t="s">
        <v>69</v>
      </c>
      <c r="X52" s="1" t="s">
        <v>81</v>
      </c>
      <c r="Y52" s="1" t="s">
        <v>95</v>
      </c>
      <c r="Z52" s="1" t="s">
        <v>89</v>
      </c>
      <c r="AA52" s="2">
        <v>100.0</v>
      </c>
      <c r="AB52" s="1" t="s">
        <v>62</v>
      </c>
      <c r="AC52" s="1" t="s">
        <v>71</v>
      </c>
      <c r="AF52" s="1" t="s">
        <v>51</v>
      </c>
      <c r="AG52" s="1" t="s">
        <v>72</v>
      </c>
      <c r="AI52" s="2">
        <v>0.0</v>
      </c>
      <c r="AJ52" s="2">
        <v>0.0</v>
      </c>
      <c r="AK52" s="2">
        <v>0.0</v>
      </c>
      <c r="AL52" s="2">
        <v>1.0</v>
      </c>
      <c r="AP52" s="2">
        <v>4.87902328E8</v>
      </c>
      <c r="AQ52" s="1" t="s">
        <v>160</v>
      </c>
      <c r="AR52" s="2">
        <v>45805.5534375</v>
      </c>
      <c r="AU52" s="1" t="s">
        <v>64</v>
      </c>
      <c r="AW52" s="1" t="s">
        <v>84</v>
      </c>
      <c r="AY52" s="2">
        <v>51.0</v>
      </c>
    </row>
    <row r="53">
      <c r="A53" s="1" t="s">
        <v>51</v>
      </c>
      <c r="C53" s="1" t="s">
        <v>53</v>
      </c>
      <c r="E53" s="1" t="s">
        <v>53</v>
      </c>
      <c r="F53" s="1" t="s">
        <v>161</v>
      </c>
      <c r="G53" s="2">
        <v>41.0</v>
      </c>
      <c r="H53" s="1" t="s">
        <v>66</v>
      </c>
      <c r="I53" s="1" t="s">
        <v>121</v>
      </c>
      <c r="J53" s="1" t="s">
        <v>111</v>
      </c>
      <c r="K53" s="1" t="s">
        <v>87</v>
      </c>
      <c r="M53" s="1" t="s">
        <v>58</v>
      </c>
      <c r="N53" s="1" t="s">
        <v>58</v>
      </c>
      <c r="O53" s="1" t="s">
        <v>69</v>
      </c>
      <c r="Q53" s="1" t="s">
        <v>58</v>
      </c>
      <c r="R53" s="1" t="s">
        <v>58</v>
      </c>
      <c r="S53" s="1" t="s">
        <v>58</v>
      </c>
      <c r="T53" s="1" t="s">
        <v>69</v>
      </c>
      <c r="U53" s="1" t="s">
        <v>69</v>
      </c>
      <c r="V53" s="1" t="s">
        <v>58</v>
      </c>
      <c r="W53" s="1" t="s">
        <v>69</v>
      </c>
      <c r="X53" s="1" t="s">
        <v>88</v>
      </c>
      <c r="Y53" s="1" t="s">
        <v>95</v>
      </c>
      <c r="Z53" s="1" t="s">
        <v>61</v>
      </c>
      <c r="AA53" s="2">
        <v>100.0</v>
      </c>
      <c r="AB53" s="1" t="s">
        <v>62</v>
      </c>
      <c r="AC53" s="1" t="s">
        <v>72</v>
      </c>
      <c r="AF53" s="1" t="s">
        <v>51</v>
      </c>
      <c r="AG53" s="1" t="s">
        <v>51</v>
      </c>
      <c r="AH53" s="2">
        <v>50.0</v>
      </c>
      <c r="AI53" s="2">
        <v>0.0</v>
      </c>
      <c r="AJ53" s="2">
        <v>0.0</v>
      </c>
      <c r="AK53" s="2">
        <v>0.0</v>
      </c>
      <c r="AL53" s="2">
        <v>1.0</v>
      </c>
      <c r="AM53" s="1" t="s">
        <v>51</v>
      </c>
      <c r="AN53" s="2">
        <v>7.16262093E8</v>
      </c>
      <c r="AP53" s="2">
        <v>4.87913501E8</v>
      </c>
      <c r="AQ53" s="1" t="s">
        <v>162</v>
      </c>
      <c r="AR53" s="2">
        <v>45805.56046296296</v>
      </c>
      <c r="AU53" s="1" t="s">
        <v>64</v>
      </c>
      <c r="AW53" s="1" t="s">
        <v>84</v>
      </c>
      <c r="AY53" s="2">
        <v>52.0</v>
      </c>
    </row>
    <row r="54">
      <c r="A54" s="1" t="s">
        <v>51</v>
      </c>
      <c r="C54" s="1" t="s">
        <v>52</v>
      </c>
      <c r="E54" s="1" t="s">
        <v>53</v>
      </c>
      <c r="F54" s="1" t="s">
        <v>102</v>
      </c>
      <c r="G54" s="2">
        <v>45.0</v>
      </c>
      <c r="H54" s="1" t="s">
        <v>55</v>
      </c>
      <c r="I54" s="1" t="s">
        <v>67</v>
      </c>
      <c r="J54" s="1" t="s">
        <v>86</v>
      </c>
      <c r="K54" s="1" t="s">
        <v>87</v>
      </c>
      <c r="M54" s="1" t="s">
        <v>58</v>
      </c>
      <c r="N54" s="1" t="s">
        <v>58</v>
      </c>
      <c r="O54" s="1" t="s">
        <v>58</v>
      </c>
      <c r="Q54" s="1" t="s">
        <v>70</v>
      </c>
      <c r="R54" s="1" t="s">
        <v>58</v>
      </c>
      <c r="S54" s="1" t="s">
        <v>69</v>
      </c>
      <c r="T54" s="1" t="s">
        <v>58</v>
      </c>
      <c r="U54" s="1" t="s">
        <v>70</v>
      </c>
      <c r="V54" s="1" t="s">
        <v>58</v>
      </c>
      <c r="W54" s="1" t="s">
        <v>69</v>
      </c>
      <c r="X54" s="1" t="s">
        <v>81</v>
      </c>
      <c r="Y54" s="1" t="s">
        <v>95</v>
      </c>
      <c r="Z54" s="1" t="s">
        <v>89</v>
      </c>
      <c r="AA54" s="2">
        <v>50.0</v>
      </c>
      <c r="AB54" s="1" t="s">
        <v>62</v>
      </c>
      <c r="AC54" s="1" t="s">
        <v>71</v>
      </c>
      <c r="AF54" s="1" t="s">
        <v>51</v>
      </c>
      <c r="AG54" s="1" t="s">
        <v>72</v>
      </c>
      <c r="AI54" s="2">
        <v>0.0</v>
      </c>
      <c r="AJ54" s="2">
        <v>0.0</v>
      </c>
      <c r="AK54" s="2">
        <v>0.0</v>
      </c>
      <c r="AL54" s="2">
        <v>1.0</v>
      </c>
      <c r="AM54" s="1" t="s">
        <v>72</v>
      </c>
      <c r="AP54" s="2">
        <v>4.87937854E8</v>
      </c>
      <c r="AQ54" s="1" t="s">
        <v>163</v>
      </c>
      <c r="AR54" s="2">
        <v>45805.575833333336</v>
      </c>
      <c r="AU54" s="1" t="s">
        <v>64</v>
      </c>
      <c r="AW54" s="1" t="s">
        <v>84</v>
      </c>
      <c r="AY54" s="2">
        <v>53.0</v>
      </c>
    </row>
    <row r="55">
      <c r="A55" s="1" t="s">
        <v>51</v>
      </c>
      <c r="C55" s="1" t="s">
        <v>52</v>
      </c>
      <c r="E55" s="1" t="s">
        <v>53</v>
      </c>
      <c r="F55" s="1" t="s">
        <v>102</v>
      </c>
      <c r="G55" s="2">
        <v>37.0</v>
      </c>
      <c r="H55" s="1" t="s">
        <v>55</v>
      </c>
      <c r="I55" s="1" t="s">
        <v>67</v>
      </c>
      <c r="J55" s="1" t="s">
        <v>86</v>
      </c>
      <c r="K55" s="1" t="s">
        <v>87</v>
      </c>
      <c r="M55" s="1" t="s">
        <v>58</v>
      </c>
      <c r="N55" s="1" t="s">
        <v>58</v>
      </c>
      <c r="O55" s="1" t="s">
        <v>58</v>
      </c>
      <c r="Q55" s="1" t="s">
        <v>69</v>
      </c>
      <c r="R55" s="1" t="s">
        <v>58</v>
      </c>
      <c r="S55" s="1" t="s">
        <v>69</v>
      </c>
      <c r="T55" s="1" t="s">
        <v>69</v>
      </c>
      <c r="U55" s="1" t="s">
        <v>69</v>
      </c>
      <c r="V55" s="1" t="s">
        <v>70</v>
      </c>
      <c r="W55" s="1" t="s">
        <v>69</v>
      </c>
      <c r="X55" s="1" t="s">
        <v>88</v>
      </c>
      <c r="Y55" s="1" t="s">
        <v>95</v>
      </c>
      <c r="Z55" s="1" t="s">
        <v>89</v>
      </c>
      <c r="AA55" s="2">
        <v>50.0</v>
      </c>
      <c r="AB55" s="1" t="s">
        <v>62</v>
      </c>
      <c r="AC55" s="1" t="s">
        <v>71</v>
      </c>
      <c r="AF55" s="1" t="s">
        <v>51</v>
      </c>
      <c r="AG55" s="1" t="s">
        <v>72</v>
      </c>
      <c r="AI55" s="2">
        <v>0.0</v>
      </c>
      <c r="AJ55" s="2">
        <v>0.0</v>
      </c>
      <c r="AK55" s="2">
        <v>1.0</v>
      </c>
      <c r="AL55" s="2">
        <v>0.0</v>
      </c>
      <c r="AM55" s="1" t="s">
        <v>72</v>
      </c>
      <c r="AP55" s="2">
        <v>4.87977877E8</v>
      </c>
      <c r="AQ55" s="1" t="s">
        <v>164</v>
      </c>
      <c r="AR55" s="2">
        <v>45805.59931712963</v>
      </c>
      <c r="AU55" s="1" t="s">
        <v>64</v>
      </c>
      <c r="AW55" s="1" t="s">
        <v>165</v>
      </c>
      <c r="AY55" s="2">
        <v>54.0</v>
      </c>
    </row>
    <row r="56">
      <c r="A56" s="1" t="s">
        <v>51</v>
      </c>
      <c r="C56" s="1" t="s">
        <v>52</v>
      </c>
      <c r="E56" s="1" t="s">
        <v>53</v>
      </c>
      <c r="F56" s="1" t="s">
        <v>102</v>
      </c>
      <c r="G56" s="2">
        <v>44.0</v>
      </c>
      <c r="H56" s="1" t="s">
        <v>66</v>
      </c>
      <c r="I56" s="1" t="s">
        <v>67</v>
      </c>
      <c r="J56" s="1" t="s">
        <v>111</v>
      </c>
      <c r="K56" s="1" t="s">
        <v>87</v>
      </c>
      <c r="M56" s="1" t="s">
        <v>58</v>
      </c>
      <c r="N56" s="1" t="s">
        <v>58</v>
      </c>
      <c r="O56" s="1" t="s">
        <v>58</v>
      </c>
      <c r="Q56" s="1" t="s">
        <v>69</v>
      </c>
      <c r="R56" s="1" t="s">
        <v>58</v>
      </c>
      <c r="S56" s="1" t="s">
        <v>69</v>
      </c>
      <c r="T56" s="1" t="s">
        <v>69</v>
      </c>
      <c r="U56" s="1" t="s">
        <v>58</v>
      </c>
      <c r="V56" s="1" t="s">
        <v>58</v>
      </c>
      <c r="W56" s="1" t="s">
        <v>69</v>
      </c>
      <c r="X56" s="1" t="s">
        <v>88</v>
      </c>
      <c r="Y56" s="1" t="s">
        <v>95</v>
      </c>
      <c r="Z56" s="1" t="s">
        <v>89</v>
      </c>
      <c r="AA56" s="2">
        <v>100.0</v>
      </c>
      <c r="AB56" s="1" t="s">
        <v>79</v>
      </c>
      <c r="AC56" s="1" t="s">
        <v>71</v>
      </c>
      <c r="AF56" s="1" t="s">
        <v>51</v>
      </c>
      <c r="AG56" s="1" t="s">
        <v>72</v>
      </c>
      <c r="AI56" s="2">
        <v>0.0</v>
      </c>
      <c r="AJ56" s="2">
        <v>1.0</v>
      </c>
      <c r="AK56" s="2">
        <v>1.0</v>
      </c>
      <c r="AL56" s="2">
        <v>0.0</v>
      </c>
      <c r="AM56" s="1" t="s">
        <v>72</v>
      </c>
      <c r="AP56" s="2">
        <v>4.88028391E8</v>
      </c>
      <c r="AQ56" s="1" t="s">
        <v>166</v>
      </c>
      <c r="AR56" s="2">
        <v>45805.62755787037</v>
      </c>
      <c r="AU56" s="1" t="s">
        <v>64</v>
      </c>
      <c r="AW56" s="1" t="s">
        <v>165</v>
      </c>
      <c r="AY56" s="2">
        <v>55.0</v>
      </c>
    </row>
    <row r="57">
      <c r="A57" s="1" t="s">
        <v>51</v>
      </c>
      <c r="C57" s="1" t="s">
        <v>52</v>
      </c>
      <c r="E57" s="1" t="s">
        <v>53</v>
      </c>
      <c r="F57" s="1" t="s">
        <v>54</v>
      </c>
      <c r="G57" s="2">
        <v>45.0</v>
      </c>
      <c r="H57" s="1" t="s">
        <v>66</v>
      </c>
      <c r="I57" s="1" t="s">
        <v>67</v>
      </c>
      <c r="J57" s="1" t="s">
        <v>111</v>
      </c>
      <c r="K57" s="1" t="s">
        <v>87</v>
      </c>
      <c r="M57" s="1" t="s">
        <v>58</v>
      </c>
      <c r="N57" s="1" t="s">
        <v>58</v>
      </c>
      <c r="O57" s="1" t="s">
        <v>69</v>
      </c>
      <c r="Q57" s="1" t="s">
        <v>58</v>
      </c>
      <c r="R57" s="1" t="s">
        <v>58</v>
      </c>
      <c r="S57" s="1" t="s">
        <v>69</v>
      </c>
      <c r="T57" s="1" t="s">
        <v>58</v>
      </c>
      <c r="U57" s="1" t="s">
        <v>58</v>
      </c>
      <c r="V57" s="1" t="s">
        <v>58</v>
      </c>
      <c r="W57" s="1" t="s">
        <v>69</v>
      </c>
      <c r="X57" s="1" t="s">
        <v>81</v>
      </c>
      <c r="Y57" s="1" t="s">
        <v>82</v>
      </c>
      <c r="Z57" s="1" t="s">
        <v>61</v>
      </c>
      <c r="AA57" s="2">
        <v>100.0</v>
      </c>
      <c r="AB57" s="1" t="s">
        <v>79</v>
      </c>
      <c r="AC57" s="1" t="s">
        <v>71</v>
      </c>
      <c r="AF57" s="1" t="s">
        <v>51</v>
      </c>
      <c r="AG57" s="1" t="s">
        <v>51</v>
      </c>
      <c r="AI57" s="2">
        <v>0.0</v>
      </c>
      <c r="AJ57" s="2">
        <v>0.0</v>
      </c>
      <c r="AK57" s="2">
        <v>0.0</v>
      </c>
      <c r="AL57" s="2">
        <v>1.0</v>
      </c>
      <c r="AM57" s="1" t="s">
        <v>51</v>
      </c>
      <c r="AN57" s="2">
        <v>7.39553284E8</v>
      </c>
      <c r="AP57" s="2">
        <v>4.8804228E8</v>
      </c>
      <c r="AQ57" s="1" t="s">
        <v>167</v>
      </c>
      <c r="AR57" s="2">
        <v>45805.635358796295</v>
      </c>
      <c r="AU57" s="1" t="s">
        <v>64</v>
      </c>
      <c r="AW57" s="1" t="s">
        <v>165</v>
      </c>
      <c r="AY57" s="2">
        <v>56.0</v>
      </c>
    </row>
    <row r="58">
      <c r="A58" s="1" t="s">
        <v>51</v>
      </c>
      <c r="C58" s="1" t="s">
        <v>131</v>
      </c>
      <c r="E58" s="1" t="s">
        <v>131</v>
      </c>
      <c r="G58" s="2">
        <v>53.0</v>
      </c>
      <c r="H58" s="1" t="s">
        <v>55</v>
      </c>
      <c r="J58" s="1" t="s">
        <v>86</v>
      </c>
      <c r="K58" s="1" t="s">
        <v>87</v>
      </c>
      <c r="M58" s="1" t="s">
        <v>58</v>
      </c>
      <c r="N58" s="1" t="s">
        <v>58</v>
      </c>
      <c r="O58" s="1" t="s">
        <v>70</v>
      </c>
      <c r="Q58" s="1" t="s">
        <v>69</v>
      </c>
      <c r="R58" s="1" t="s">
        <v>58</v>
      </c>
      <c r="S58" s="1" t="s">
        <v>69</v>
      </c>
      <c r="T58" s="1" t="s">
        <v>69</v>
      </c>
      <c r="U58" s="1" t="s">
        <v>70</v>
      </c>
      <c r="V58" s="1" t="s">
        <v>58</v>
      </c>
      <c r="W58" s="1" t="s">
        <v>69</v>
      </c>
      <c r="X58" s="1" t="s">
        <v>59</v>
      </c>
      <c r="Z58" s="1" t="s">
        <v>108</v>
      </c>
      <c r="AA58" s="2">
        <v>10.0</v>
      </c>
      <c r="AB58" s="1" t="s">
        <v>62</v>
      </c>
      <c r="AF58" s="1" t="s">
        <v>51</v>
      </c>
      <c r="AG58" s="1" t="s">
        <v>72</v>
      </c>
      <c r="AI58" s="2">
        <v>0.0</v>
      </c>
      <c r="AJ58" s="2">
        <v>0.0</v>
      </c>
      <c r="AK58" s="2">
        <v>0.0</v>
      </c>
      <c r="AL58" s="2">
        <v>1.0</v>
      </c>
      <c r="AP58" s="2">
        <v>4.88064602E8</v>
      </c>
      <c r="AQ58" s="1" t="s">
        <v>168</v>
      </c>
      <c r="AR58" s="2">
        <v>45805.64787037037</v>
      </c>
      <c r="AU58" s="1" t="s">
        <v>64</v>
      </c>
      <c r="AW58" s="1" t="s">
        <v>165</v>
      </c>
      <c r="AY58" s="2">
        <v>57.0</v>
      </c>
    </row>
    <row r="59">
      <c r="A59" s="1" t="s">
        <v>51</v>
      </c>
      <c r="C59" s="1" t="s">
        <v>52</v>
      </c>
      <c r="E59" s="1" t="s">
        <v>53</v>
      </c>
      <c r="F59" s="1" t="s">
        <v>161</v>
      </c>
      <c r="G59" s="2">
        <v>45.0</v>
      </c>
      <c r="H59" s="1" t="s">
        <v>55</v>
      </c>
      <c r="I59" s="1" t="s">
        <v>67</v>
      </c>
      <c r="J59" s="1" t="s">
        <v>86</v>
      </c>
      <c r="K59" s="1" t="s">
        <v>87</v>
      </c>
      <c r="M59" s="1" t="s">
        <v>58</v>
      </c>
      <c r="N59" s="1" t="s">
        <v>58</v>
      </c>
      <c r="O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69</v>
      </c>
      <c r="W59" s="1" t="s">
        <v>69</v>
      </c>
      <c r="X59" s="1" t="s">
        <v>103</v>
      </c>
      <c r="Y59" s="1" t="s">
        <v>95</v>
      </c>
      <c r="Z59" s="1" t="s">
        <v>96</v>
      </c>
      <c r="AA59" s="2">
        <v>100.0</v>
      </c>
      <c r="AB59" s="1" t="s">
        <v>28</v>
      </c>
      <c r="AC59" s="1" t="s">
        <v>51</v>
      </c>
      <c r="AD59" s="1" t="s">
        <v>88</v>
      </c>
      <c r="AE59" s="1" t="s">
        <v>51</v>
      </c>
      <c r="AF59" s="1" t="s">
        <v>51</v>
      </c>
      <c r="AG59" s="1" t="s">
        <v>72</v>
      </c>
      <c r="AI59" s="2">
        <v>0.0</v>
      </c>
      <c r="AJ59" s="2">
        <v>0.0</v>
      </c>
      <c r="AK59" s="2">
        <v>1.0</v>
      </c>
      <c r="AL59" s="2">
        <v>0.0</v>
      </c>
      <c r="AM59" s="1" t="s">
        <v>72</v>
      </c>
      <c r="AP59" s="2">
        <v>4.88106386E8</v>
      </c>
      <c r="AQ59" s="1" t="s">
        <v>169</v>
      </c>
      <c r="AR59" s="2">
        <v>45805.670960648145</v>
      </c>
      <c r="AU59" s="1" t="s">
        <v>64</v>
      </c>
      <c r="AW59" s="1" t="s">
        <v>165</v>
      </c>
      <c r="AY59" s="2">
        <v>58.0</v>
      </c>
    </row>
    <row r="60">
      <c r="A60" s="1" t="s">
        <v>51</v>
      </c>
      <c r="C60" s="1" t="s">
        <v>170</v>
      </c>
      <c r="E60" s="1" t="s">
        <v>53</v>
      </c>
      <c r="F60" s="1" t="s">
        <v>54</v>
      </c>
      <c r="G60" s="2">
        <v>51.0</v>
      </c>
      <c r="H60" s="1" t="s">
        <v>55</v>
      </c>
      <c r="I60" s="1" t="s">
        <v>67</v>
      </c>
      <c r="J60" s="1" t="s">
        <v>68</v>
      </c>
      <c r="K60" s="1" t="s">
        <v>74</v>
      </c>
      <c r="M60" s="1" t="s">
        <v>58</v>
      </c>
      <c r="N60" s="1" t="s">
        <v>58</v>
      </c>
      <c r="O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81</v>
      </c>
      <c r="Y60" s="1" t="s">
        <v>82</v>
      </c>
      <c r="Z60" s="1" t="s">
        <v>89</v>
      </c>
      <c r="AA60" s="2">
        <v>20.0</v>
      </c>
      <c r="AB60" s="1" t="s">
        <v>79</v>
      </c>
      <c r="AC60" s="1" t="s">
        <v>51</v>
      </c>
      <c r="AM60" s="1" t="s">
        <v>51</v>
      </c>
      <c r="AN60" s="2">
        <v>6.4483844E8</v>
      </c>
      <c r="AP60" s="2">
        <v>4.88131078E8</v>
      </c>
      <c r="AQ60" s="1" t="s">
        <v>171</v>
      </c>
      <c r="AR60" s="2">
        <v>45805.68454861111</v>
      </c>
      <c r="AU60" s="1" t="s">
        <v>64</v>
      </c>
      <c r="AW60" s="1" t="s">
        <v>165</v>
      </c>
      <c r="AY60" s="2">
        <v>59.0</v>
      </c>
    </row>
    <row r="61">
      <c r="A61" s="1" t="s">
        <v>51</v>
      </c>
      <c r="C61" s="1" t="s">
        <v>170</v>
      </c>
      <c r="E61" s="1" t="s">
        <v>53</v>
      </c>
      <c r="F61" s="1" t="s">
        <v>54</v>
      </c>
      <c r="H61" s="1" t="s">
        <v>66</v>
      </c>
      <c r="I61" s="1" t="s">
        <v>100</v>
      </c>
      <c r="J61" s="1" t="s">
        <v>56</v>
      </c>
      <c r="K61" s="1" t="s">
        <v>74</v>
      </c>
      <c r="M61" s="1" t="s">
        <v>58</v>
      </c>
      <c r="N61" s="1" t="s">
        <v>58</v>
      </c>
      <c r="O61" s="1" t="s">
        <v>69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1" t="s">
        <v>58</v>
      </c>
      <c r="X61" s="1" t="s">
        <v>103</v>
      </c>
      <c r="Y61" s="1" t="s">
        <v>172</v>
      </c>
      <c r="Z61" s="1" t="s">
        <v>89</v>
      </c>
      <c r="AA61" s="2">
        <v>30.0</v>
      </c>
      <c r="AB61" s="1" t="s">
        <v>28</v>
      </c>
      <c r="AC61" s="1" t="s">
        <v>72</v>
      </c>
      <c r="AF61" s="1" t="s">
        <v>51</v>
      </c>
      <c r="AG61" s="1" t="s">
        <v>51</v>
      </c>
      <c r="AI61" s="2">
        <v>1.0</v>
      </c>
      <c r="AJ61" s="2">
        <v>1.0</v>
      </c>
      <c r="AK61" s="2">
        <v>1.0</v>
      </c>
      <c r="AL61" s="2">
        <v>0.0</v>
      </c>
      <c r="AM61" s="1" t="s">
        <v>72</v>
      </c>
      <c r="AP61" s="2">
        <v>4.88133757E8</v>
      </c>
      <c r="AQ61" s="1" t="s">
        <v>173</v>
      </c>
      <c r="AR61" s="2">
        <v>45805.68608796296</v>
      </c>
      <c r="AU61" s="1" t="s">
        <v>64</v>
      </c>
      <c r="AW61" s="1" t="s">
        <v>165</v>
      </c>
      <c r="AY61" s="2">
        <v>60.0</v>
      </c>
    </row>
    <row r="62">
      <c r="A62" s="1" t="s">
        <v>51</v>
      </c>
      <c r="C62" s="1" t="s">
        <v>52</v>
      </c>
      <c r="E62" s="1" t="s">
        <v>52</v>
      </c>
      <c r="G62" s="2">
        <v>45.0</v>
      </c>
      <c r="H62" s="1" t="s">
        <v>55</v>
      </c>
      <c r="J62" s="1" t="s">
        <v>86</v>
      </c>
      <c r="K62" s="1" t="s">
        <v>87</v>
      </c>
      <c r="M62" s="1" t="s">
        <v>58</v>
      </c>
      <c r="N62" s="1" t="s">
        <v>58</v>
      </c>
      <c r="O62" s="1" t="s">
        <v>58</v>
      </c>
      <c r="Q62" s="1" t="s">
        <v>58</v>
      </c>
      <c r="R62" s="1" t="s">
        <v>58</v>
      </c>
      <c r="S62" s="1" t="s">
        <v>58</v>
      </c>
      <c r="T62" s="1" t="s">
        <v>69</v>
      </c>
      <c r="U62" s="1" t="s">
        <v>58</v>
      </c>
      <c r="V62" s="1" t="s">
        <v>58</v>
      </c>
      <c r="W62" s="1" t="s">
        <v>58</v>
      </c>
      <c r="X62" s="1" t="s">
        <v>88</v>
      </c>
      <c r="Y62" s="1" t="s">
        <v>60</v>
      </c>
      <c r="Z62" s="1" t="s">
        <v>89</v>
      </c>
      <c r="AA62" s="2">
        <v>100.0</v>
      </c>
      <c r="AB62" s="1" t="s">
        <v>62</v>
      </c>
      <c r="AC62" s="1" t="s">
        <v>71</v>
      </c>
      <c r="AF62" s="1" t="s">
        <v>51</v>
      </c>
      <c r="AG62" s="1" t="s">
        <v>72</v>
      </c>
      <c r="AI62" s="2">
        <v>0.0</v>
      </c>
      <c r="AJ62" s="2">
        <v>0.0</v>
      </c>
      <c r="AK62" s="2">
        <v>0.0</v>
      </c>
      <c r="AL62" s="2">
        <v>1.0</v>
      </c>
      <c r="AP62" s="2">
        <v>4.88135385E8</v>
      </c>
      <c r="AQ62" s="1" t="s">
        <v>174</v>
      </c>
      <c r="AR62" s="2">
        <v>45805.68711805555</v>
      </c>
      <c r="AU62" s="1" t="s">
        <v>64</v>
      </c>
      <c r="AW62" s="1" t="s">
        <v>165</v>
      </c>
      <c r="AY62" s="2">
        <v>61.0</v>
      </c>
    </row>
    <row r="63">
      <c r="A63" s="1" t="s">
        <v>51</v>
      </c>
      <c r="C63" s="1" t="s">
        <v>52</v>
      </c>
      <c r="E63" s="1" t="s">
        <v>53</v>
      </c>
      <c r="F63" s="1" t="s">
        <v>54</v>
      </c>
      <c r="G63" s="2">
        <v>47.0</v>
      </c>
      <c r="H63" s="1" t="s">
        <v>66</v>
      </c>
      <c r="I63" s="1" t="s">
        <v>67</v>
      </c>
      <c r="J63" s="1" t="s">
        <v>86</v>
      </c>
      <c r="K63" s="1" t="s">
        <v>74</v>
      </c>
      <c r="M63" s="1" t="s">
        <v>58</v>
      </c>
      <c r="N63" s="1" t="s">
        <v>58</v>
      </c>
      <c r="O63" s="1" t="s">
        <v>69</v>
      </c>
      <c r="Q63" s="1" t="s">
        <v>69</v>
      </c>
      <c r="R63" s="1" t="s">
        <v>58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81</v>
      </c>
      <c r="Y63" s="1" t="s">
        <v>82</v>
      </c>
      <c r="Z63" s="1" t="s">
        <v>89</v>
      </c>
      <c r="AA63" s="2">
        <v>10.0</v>
      </c>
      <c r="AB63" s="1" t="s">
        <v>79</v>
      </c>
      <c r="AC63" s="1" t="s">
        <v>71</v>
      </c>
      <c r="AF63" s="1" t="s">
        <v>51</v>
      </c>
      <c r="AG63" s="1" t="s">
        <v>51</v>
      </c>
      <c r="AH63" s="2">
        <v>100.0</v>
      </c>
      <c r="AI63" s="2">
        <v>0.0</v>
      </c>
      <c r="AJ63" s="2">
        <v>0.0</v>
      </c>
      <c r="AK63" s="2">
        <v>0.0</v>
      </c>
      <c r="AL63" s="2">
        <v>1.0</v>
      </c>
      <c r="AM63" s="1" t="s">
        <v>51</v>
      </c>
      <c r="AN63" s="2">
        <v>6.10832654E8</v>
      </c>
      <c r="AP63" s="2">
        <v>4.88197952E8</v>
      </c>
      <c r="AQ63" s="1" t="s">
        <v>175</v>
      </c>
      <c r="AR63" s="2">
        <v>45805.72736111111</v>
      </c>
      <c r="AU63" s="1" t="s">
        <v>64</v>
      </c>
      <c r="AW63" s="1" t="s">
        <v>165</v>
      </c>
      <c r="AY63" s="2">
        <v>62.0</v>
      </c>
    </row>
    <row r="64">
      <c r="A64" s="1" t="s">
        <v>51</v>
      </c>
      <c r="C64" s="1" t="s">
        <v>53</v>
      </c>
      <c r="E64" s="1" t="s">
        <v>53</v>
      </c>
      <c r="F64" s="1" t="s">
        <v>102</v>
      </c>
      <c r="G64" s="2">
        <v>32.0</v>
      </c>
      <c r="H64" s="1" t="s">
        <v>55</v>
      </c>
      <c r="I64" s="1" t="s">
        <v>121</v>
      </c>
      <c r="J64" s="1" t="s">
        <v>86</v>
      </c>
      <c r="K64" s="1" t="s">
        <v>87</v>
      </c>
      <c r="M64" s="1" t="s">
        <v>58</v>
      </c>
      <c r="N64" s="1" t="s">
        <v>58</v>
      </c>
      <c r="O64" s="1" t="s">
        <v>69</v>
      </c>
      <c r="Q64" s="1" t="s">
        <v>58</v>
      </c>
      <c r="R64" s="1" t="s">
        <v>58</v>
      </c>
      <c r="S64" s="1" t="s">
        <v>69</v>
      </c>
      <c r="T64" s="1" t="s">
        <v>69</v>
      </c>
      <c r="U64" s="1" t="s">
        <v>58</v>
      </c>
      <c r="V64" s="1" t="s">
        <v>58</v>
      </c>
      <c r="W64" s="1" t="s">
        <v>69</v>
      </c>
      <c r="X64" s="1" t="s">
        <v>81</v>
      </c>
      <c r="Y64" s="1" t="s">
        <v>82</v>
      </c>
      <c r="Z64" s="1" t="s">
        <v>89</v>
      </c>
      <c r="AA64" s="2">
        <v>10.0</v>
      </c>
      <c r="AB64" s="1" t="s">
        <v>79</v>
      </c>
      <c r="AC64" s="1" t="s">
        <v>71</v>
      </c>
      <c r="AF64" s="1" t="s">
        <v>51</v>
      </c>
      <c r="AG64" s="1" t="s">
        <v>72</v>
      </c>
      <c r="AI64" s="2">
        <v>1.0</v>
      </c>
      <c r="AJ64" s="2">
        <v>1.0</v>
      </c>
      <c r="AK64" s="2">
        <v>1.0</v>
      </c>
      <c r="AL64" s="2">
        <v>0.0</v>
      </c>
      <c r="AM64" s="1" t="s">
        <v>72</v>
      </c>
      <c r="AP64" s="2">
        <v>4.88202438E8</v>
      </c>
      <c r="AQ64" s="1" t="s">
        <v>176</v>
      </c>
      <c r="AR64" s="2">
        <v>45805.731203703705</v>
      </c>
      <c r="AU64" s="1" t="s">
        <v>64</v>
      </c>
      <c r="AW64" s="1" t="s">
        <v>165</v>
      </c>
      <c r="AY64" s="2">
        <v>63.0</v>
      </c>
    </row>
    <row r="65">
      <c r="A65" s="1" t="s">
        <v>51</v>
      </c>
      <c r="C65" s="1" t="s">
        <v>170</v>
      </c>
      <c r="E65" s="1" t="s">
        <v>53</v>
      </c>
      <c r="F65" s="1" t="s">
        <v>54</v>
      </c>
      <c r="G65" s="2">
        <v>27.0</v>
      </c>
      <c r="H65" s="1" t="s">
        <v>66</v>
      </c>
      <c r="I65" s="1" t="s">
        <v>67</v>
      </c>
      <c r="J65" s="1" t="s">
        <v>68</v>
      </c>
      <c r="K65" s="1" t="s">
        <v>74</v>
      </c>
      <c r="M65" s="1" t="s">
        <v>58</v>
      </c>
      <c r="N65" s="1" t="s">
        <v>58</v>
      </c>
      <c r="O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59</v>
      </c>
      <c r="Y65" s="1" t="s">
        <v>82</v>
      </c>
      <c r="Z65" s="1" t="s">
        <v>89</v>
      </c>
      <c r="AA65" s="2">
        <v>10.0</v>
      </c>
      <c r="AB65" s="1" t="s">
        <v>79</v>
      </c>
      <c r="AC65" s="1" t="s">
        <v>51</v>
      </c>
      <c r="AD65" s="1" t="s">
        <v>81</v>
      </c>
      <c r="AE65" s="1" t="s">
        <v>51</v>
      </c>
      <c r="AF65" s="1" t="s">
        <v>51</v>
      </c>
      <c r="AG65" s="1" t="s">
        <v>51</v>
      </c>
      <c r="AH65" s="2">
        <v>350.0</v>
      </c>
      <c r="AI65" s="2">
        <v>0.0</v>
      </c>
      <c r="AJ65" s="2">
        <v>1.0</v>
      </c>
      <c r="AK65" s="2">
        <v>0.0</v>
      </c>
      <c r="AL65" s="2">
        <v>0.0</v>
      </c>
      <c r="AM65" s="1" t="s">
        <v>51</v>
      </c>
      <c r="AN65" s="2">
        <v>6.59857007E8</v>
      </c>
      <c r="AP65" s="2">
        <v>4.88227278E8</v>
      </c>
      <c r="AQ65" s="1" t="s">
        <v>177</v>
      </c>
      <c r="AR65" s="2">
        <v>45805.75212962963</v>
      </c>
      <c r="AU65" s="1" t="s">
        <v>64</v>
      </c>
      <c r="AW65" s="1" t="s">
        <v>165</v>
      </c>
      <c r="AY65" s="2">
        <v>64.0</v>
      </c>
    </row>
    <row r="66">
      <c r="A66" s="1" t="s">
        <v>51</v>
      </c>
      <c r="C66" s="1" t="s">
        <v>151</v>
      </c>
      <c r="E66" s="1" t="s">
        <v>151</v>
      </c>
      <c r="G66" s="2">
        <v>52.0</v>
      </c>
      <c r="H66" s="1" t="s">
        <v>66</v>
      </c>
      <c r="J66" s="1" t="s">
        <v>86</v>
      </c>
      <c r="K66" s="1" t="s">
        <v>87</v>
      </c>
      <c r="M66" s="1" t="s">
        <v>58</v>
      </c>
      <c r="N66" s="1" t="s">
        <v>58</v>
      </c>
      <c r="O66" s="1" t="s">
        <v>58</v>
      </c>
      <c r="Q66" s="1" t="s">
        <v>69</v>
      </c>
      <c r="R66" s="1" t="s">
        <v>58</v>
      </c>
      <c r="S66" s="1" t="s">
        <v>69</v>
      </c>
      <c r="T66" s="1" t="s">
        <v>69</v>
      </c>
      <c r="U66" s="1" t="s">
        <v>58</v>
      </c>
      <c r="V66" s="1" t="s">
        <v>58</v>
      </c>
      <c r="W66" s="1" t="s">
        <v>69</v>
      </c>
      <c r="X66" s="1" t="s">
        <v>88</v>
      </c>
      <c r="Y66" s="1" t="s">
        <v>95</v>
      </c>
      <c r="Z66" s="1" t="s">
        <v>89</v>
      </c>
      <c r="AA66" s="2">
        <v>100.0</v>
      </c>
      <c r="AB66" s="1" t="s">
        <v>28</v>
      </c>
      <c r="AC66" s="1" t="s">
        <v>51</v>
      </c>
      <c r="AD66" s="1" t="s">
        <v>88</v>
      </c>
      <c r="AE66" s="1" t="s">
        <v>51</v>
      </c>
      <c r="AF66" s="1" t="s">
        <v>51</v>
      </c>
      <c r="AG66" s="1" t="s">
        <v>51</v>
      </c>
      <c r="AI66" s="2">
        <v>1.0</v>
      </c>
      <c r="AJ66" s="2">
        <v>1.0</v>
      </c>
      <c r="AK66" s="2">
        <v>1.0</v>
      </c>
      <c r="AL66" s="2">
        <v>0.0</v>
      </c>
      <c r="AP66" s="2">
        <v>4.8823866E8</v>
      </c>
      <c r="AQ66" s="1" t="s">
        <v>178</v>
      </c>
      <c r="AR66" s="2">
        <v>45805.76369212963</v>
      </c>
      <c r="AU66" s="1" t="s">
        <v>64</v>
      </c>
      <c r="AW66" s="1" t="s">
        <v>165</v>
      </c>
      <c r="AY66" s="2">
        <v>65.0</v>
      </c>
    </row>
    <row r="67">
      <c r="A67" s="1" t="s">
        <v>51</v>
      </c>
      <c r="C67" s="1" t="s">
        <v>151</v>
      </c>
      <c r="E67" s="1" t="s">
        <v>151</v>
      </c>
      <c r="G67" s="2">
        <v>44.0</v>
      </c>
      <c r="H67" s="1" t="s">
        <v>66</v>
      </c>
      <c r="J67" s="1" t="s">
        <v>86</v>
      </c>
      <c r="K67" s="1" t="s">
        <v>87</v>
      </c>
      <c r="M67" s="1" t="s">
        <v>58</v>
      </c>
      <c r="N67" s="1" t="s">
        <v>58</v>
      </c>
      <c r="O67" s="1" t="s">
        <v>58</v>
      </c>
      <c r="Q67" s="1" t="s">
        <v>69</v>
      </c>
      <c r="R67" s="1" t="s">
        <v>58</v>
      </c>
      <c r="S67" s="1" t="s">
        <v>58</v>
      </c>
      <c r="T67" s="1" t="s">
        <v>70</v>
      </c>
      <c r="U67" s="1" t="s">
        <v>69</v>
      </c>
      <c r="V67" s="1" t="s">
        <v>58</v>
      </c>
      <c r="W67" s="1" t="s">
        <v>70</v>
      </c>
      <c r="X67" s="1" t="s">
        <v>59</v>
      </c>
      <c r="Y67" s="1" t="s">
        <v>60</v>
      </c>
      <c r="Z67" s="1" t="s">
        <v>89</v>
      </c>
      <c r="AA67" s="2">
        <v>100.0</v>
      </c>
      <c r="AB67" s="1" t="s">
        <v>62</v>
      </c>
      <c r="AC67" s="1" t="s">
        <v>71</v>
      </c>
      <c r="AF67" s="1" t="s">
        <v>51</v>
      </c>
      <c r="AG67" s="1" t="s">
        <v>51</v>
      </c>
      <c r="AI67" s="2">
        <v>0.0</v>
      </c>
      <c r="AJ67" s="2">
        <v>0.0</v>
      </c>
      <c r="AK67" s="2">
        <v>1.0</v>
      </c>
      <c r="AL67" s="2">
        <v>0.0</v>
      </c>
      <c r="AP67" s="2">
        <v>4.88239373E8</v>
      </c>
      <c r="AQ67" s="1" t="s">
        <v>179</v>
      </c>
      <c r="AR67" s="2">
        <v>45805.76443287037</v>
      </c>
      <c r="AU67" s="1" t="s">
        <v>64</v>
      </c>
      <c r="AW67" s="1" t="s">
        <v>165</v>
      </c>
      <c r="AY67" s="2">
        <v>66.0</v>
      </c>
    </row>
    <row r="68">
      <c r="A68" s="1" t="s">
        <v>51</v>
      </c>
      <c r="C68" s="1" t="s">
        <v>151</v>
      </c>
      <c r="E68" s="1" t="s">
        <v>151</v>
      </c>
      <c r="G68" s="2">
        <v>41.0</v>
      </c>
      <c r="H68" s="1" t="s">
        <v>55</v>
      </c>
      <c r="J68" s="1" t="s">
        <v>86</v>
      </c>
      <c r="K68" s="1" t="s">
        <v>87</v>
      </c>
      <c r="M68" s="1" t="s">
        <v>58</v>
      </c>
      <c r="N68" s="1" t="s">
        <v>58</v>
      </c>
      <c r="O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1" t="s">
        <v>81</v>
      </c>
      <c r="Y68" s="1" t="s">
        <v>95</v>
      </c>
      <c r="Z68" s="1" t="s">
        <v>96</v>
      </c>
      <c r="AA68" s="2">
        <v>100.0</v>
      </c>
      <c r="AB68" s="1" t="s">
        <v>62</v>
      </c>
      <c r="AC68" s="1" t="s">
        <v>51</v>
      </c>
      <c r="AD68" s="1" t="s">
        <v>81</v>
      </c>
      <c r="AE68" s="1" t="s">
        <v>51</v>
      </c>
      <c r="AF68" s="1" t="s">
        <v>51</v>
      </c>
      <c r="AG68" s="1" t="s">
        <v>51</v>
      </c>
      <c r="AH68" s="2">
        <v>200.0</v>
      </c>
      <c r="AI68" s="2">
        <v>1.0</v>
      </c>
      <c r="AJ68" s="2">
        <v>0.0</v>
      </c>
      <c r="AK68" s="2">
        <v>0.0</v>
      </c>
      <c r="AL68" s="2">
        <v>0.0</v>
      </c>
      <c r="AP68" s="2">
        <v>4.88239828E8</v>
      </c>
      <c r="AQ68" s="1" t="s">
        <v>180</v>
      </c>
      <c r="AR68" s="2">
        <v>45805.76497685185</v>
      </c>
      <c r="AU68" s="1" t="s">
        <v>64</v>
      </c>
      <c r="AW68" s="1" t="s">
        <v>165</v>
      </c>
      <c r="AY68" s="2">
        <v>67.0</v>
      </c>
    </row>
    <row r="69">
      <c r="A69" s="1" t="s">
        <v>51</v>
      </c>
      <c r="C69" s="1" t="s">
        <v>52</v>
      </c>
      <c r="E69" s="1" t="s">
        <v>151</v>
      </c>
      <c r="G69" s="2">
        <v>47.0</v>
      </c>
      <c r="H69" s="1" t="s">
        <v>55</v>
      </c>
      <c r="J69" s="1" t="s">
        <v>86</v>
      </c>
      <c r="K69" s="1" t="s">
        <v>87</v>
      </c>
      <c r="M69" s="1" t="s">
        <v>58</v>
      </c>
      <c r="N69" s="1" t="s">
        <v>58</v>
      </c>
      <c r="O69" s="1" t="s">
        <v>69</v>
      </c>
      <c r="Q69" s="1" t="s">
        <v>69</v>
      </c>
      <c r="R69" s="1" t="s">
        <v>58</v>
      </c>
      <c r="S69" s="1" t="s">
        <v>69</v>
      </c>
      <c r="T69" s="1" t="s">
        <v>69</v>
      </c>
      <c r="U69" s="1" t="s">
        <v>58</v>
      </c>
      <c r="V69" s="1" t="s">
        <v>58</v>
      </c>
      <c r="W69" s="1" t="s">
        <v>69</v>
      </c>
      <c r="X69" s="1" t="s">
        <v>103</v>
      </c>
      <c r="Y69" s="1" t="s">
        <v>60</v>
      </c>
      <c r="Z69" s="1" t="s">
        <v>89</v>
      </c>
      <c r="AA69" s="2">
        <v>100.0</v>
      </c>
      <c r="AB69" s="1" t="s">
        <v>62</v>
      </c>
      <c r="AC69" s="1" t="s">
        <v>71</v>
      </c>
      <c r="AF69" s="1" t="s">
        <v>51</v>
      </c>
      <c r="AG69" s="1" t="s">
        <v>72</v>
      </c>
      <c r="AI69" s="2">
        <v>0.0</v>
      </c>
      <c r="AJ69" s="2">
        <v>0.0</v>
      </c>
      <c r="AK69" s="2">
        <v>0.0</v>
      </c>
      <c r="AL69" s="2">
        <v>1.0</v>
      </c>
      <c r="AP69" s="2">
        <v>4.8824426E8</v>
      </c>
      <c r="AQ69" s="1" t="s">
        <v>181</v>
      </c>
      <c r="AR69" s="2">
        <v>45805.76894675926</v>
      </c>
      <c r="AU69" s="1" t="s">
        <v>64</v>
      </c>
      <c r="AW69" s="1" t="s">
        <v>165</v>
      </c>
      <c r="AY69" s="2">
        <v>68.0</v>
      </c>
    </row>
    <row r="70">
      <c r="A70" s="1" t="s">
        <v>51</v>
      </c>
      <c r="C70" s="1" t="s">
        <v>151</v>
      </c>
      <c r="E70" s="1" t="s">
        <v>151</v>
      </c>
      <c r="G70" s="2">
        <v>39.0</v>
      </c>
      <c r="H70" s="1" t="s">
        <v>66</v>
      </c>
      <c r="J70" s="1" t="s">
        <v>86</v>
      </c>
      <c r="K70" s="1" t="s">
        <v>87</v>
      </c>
      <c r="M70" s="1" t="s">
        <v>58</v>
      </c>
      <c r="N70" s="1" t="s">
        <v>58</v>
      </c>
      <c r="O70" s="1" t="s">
        <v>69</v>
      </c>
      <c r="Q70" s="1" t="s">
        <v>58</v>
      </c>
      <c r="R70" s="1" t="s">
        <v>58</v>
      </c>
      <c r="S70" s="1" t="s">
        <v>69</v>
      </c>
      <c r="T70" s="1" t="s">
        <v>69</v>
      </c>
      <c r="U70" s="1" t="s">
        <v>69</v>
      </c>
      <c r="V70" s="1" t="s">
        <v>58</v>
      </c>
      <c r="W70" s="1" t="s">
        <v>69</v>
      </c>
      <c r="X70" s="1" t="s">
        <v>88</v>
      </c>
      <c r="Y70" s="1" t="s">
        <v>95</v>
      </c>
      <c r="Z70" s="1" t="s">
        <v>89</v>
      </c>
      <c r="AA70" s="2">
        <v>100.0</v>
      </c>
      <c r="AB70" s="1" t="s">
        <v>62</v>
      </c>
      <c r="AC70" s="1" t="s">
        <v>71</v>
      </c>
      <c r="AF70" s="1" t="s">
        <v>51</v>
      </c>
      <c r="AG70" s="1" t="s">
        <v>72</v>
      </c>
      <c r="AI70" s="2">
        <v>1.0</v>
      </c>
      <c r="AJ70" s="2">
        <v>0.0</v>
      </c>
      <c r="AK70" s="2">
        <v>0.0</v>
      </c>
      <c r="AL70" s="2">
        <v>0.0</v>
      </c>
      <c r="AP70" s="2">
        <v>4.88245531E8</v>
      </c>
      <c r="AQ70" s="1" t="s">
        <v>182</v>
      </c>
      <c r="AR70" s="2">
        <v>45805.770474537036</v>
      </c>
      <c r="AU70" s="1" t="s">
        <v>64</v>
      </c>
      <c r="AW70" s="1" t="s">
        <v>165</v>
      </c>
      <c r="AY70" s="2">
        <v>69.0</v>
      </c>
    </row>
    <row r="71">
      <c r="A71" s="1" t="s">
        <v>51</v>
      </c>
      <c r="C71" s="1" t="s">
        <v>52</v>
      </c>
      <c r="E71" s="1" t="s">
        <v>53</v>
      </c>
      <c r="F71" s="1" t="s">
        <v>183</v>
      </c>
      <c r="H71" s="1" t="s">
        <v>55</v>
      </c>
      <c r="I71" s="1" t="s">
        <v>67</v>
      </c>
      <c r="J71" s="1" t="s">
        <v>86</v>
      </c>
      <c r="K71" s="1" t="s">
        <v>87</v>
      </c>
      <c r="M71" s="1" t="s">
        <v>58</v>
      </c>
      <c r="N71" s="1" t="s">
        <v>58</v>
      </c>
      <c r="O71" s="1" t="s">
        <v>58</v>
      </c>
      <c r="Q71" s="1" t="s">
        <v>69</v>
      </c>
      <c r="R71" s="1" t="s">
        <v>58</v>
      </c>
      <c r="S71" s="1" t="s">
        <v>69</v>
      </c>
      <c r="T71" s="1" t="s">
        <v>69</v>
      </c>
      <c r="U71" s="1" t="s">
        <v>70</v>
      </c>
      <c r="V71" s="1" t="s">
        <v>69</v>
      </c>
      <c r="W71" s="1" t="s">
        <v>69</v>
      </c>
      <c r="X71" s="1" t="s">
        <v>103</v>
      </c>
      <c r="Y71" s="1" t="s">
        <v>95</v>
      </c>
      <c r="Z71" s="1" t="s">
        <v>89</v>
      </c>
      <c r="AA71" s="2">
        <v>100.0</v>
      </c>
      <c r="AB71" s="1" t="s">
        <v>62</v>
      </c>
      <c r="AC71" s="1" t="s">
        <v>51</v>
      </c>
      <c r="AD71" s="1" t="s">
        <v>103</v>
      </c>
      <c r="AE71" s="1" t="s">
        <v>51</v>
      </c>
      <c r="AF71" s="1" t="s">
        <v>51</v>
      </c>
      <c r="AG71" s="1" t="s">
        <v>51</v>
      </c>
      <c r="AH71" s="2">
        <v>20.0</v>
      </c>
      <c r="AI71" s="2">
        <v>0.0</v>
      </c>
      <c r="AJ71" s="2">
        <v>0.0</v>
      </c>
      <c r="AK71" s="2">
        <v>1.0</v>
      </c>
      <c r="AL71" s="2">
        <v>0.0</v>
      </c>
      <c r="AM71" s="1" t="s">
        <v>51</v>
      </c>
      <c r="AN71" s="2">
        <v>7.24419895E8</v>
      </c>
      <c r="AP71" s="2">
        <v>4.88246175E8</v>
      </c>
      <c r="AQ71" s="1" t="s">
        <v>184</v>
      </c>
      <c r="AR71" s="2">
        <v>45805.771319444444</v>
      </c>
      <c r="AU71" s="1" t="s">
        <v>64</v>
      </c>
      <c r="AW71" s="1" t="s">
        <v>165</v>
      </c>
      <c r="AY71" s="2">
        <v>70.0</v>
      </c>
    </row>
    <row r="72">
      <c r="A72" s="1" t="s">
        <v>51</v>
      </c>
      <c r="C72" s="1" t="s">
        <v>151</v>
      </c>
      <c r="E72" s="1" t="s">
        <v>151</v>
      </c>
      <c r="G72" s="2">
        <v>51.0</v>
      </c>
      <c r="H72" s="1" t="s">
        <v>66</v>
      </c>
      <c r="J72" s="1" t="s">
        <v>56</v>
      </c>
      <c r="K72" s="1" t="s">
        <v>87</v>
      </c>
      <c r="M72" s="1" t="s">
        <v>58</v>
      </c>
      <c r="N72" s="1" t="s">
        <v>58</v>
      </c>
      <c r="O72" s="1" t="s">
        <v>58</v>
      </c>
      <c r="Q72" s="1" t="s">
        <v>69</v>
      </c>
      <c r="R72" s="1" t="s">
        <v>58</v>
      </c>
      <c r="S72" s="1" t="s">
        <v>69</v>
      </c>
      <c r="T72" s="1" t="s">
        <v>69</v>
      </c>
      <c r="U72" s="1" t="s">
        <v>70</v>
      </c>
      <c r="V72" s="1" t="s">
        <v>58</v>
      </c>
      <c r="W72" s="1" t="s">
        <v>69</v>
      </c>
      <c r="X72" s="1" t="s">
        <v>59</v>
      </c>
      <c r="Y72" s="1" t="s">
        <v>95</v>
      </c>
      <c r="Z72" s="1" t="s">
        <v>61</v>
      </c>
      <c r="AA72" s="2">
        <v>100.0</v>
      </c>
      <c r="AB72" s="1" t="s">
        <v>79</v>
      </c>
      <c r="AC72" s="1" t="s">
        <v>71</v>
      </c>
      <c r="AF72" s="1" t="s">
        <v>51</v>
      </c>
      <c r="AG72" s="1" t="s">
        <v>72</v>
      </c>
      <c r="AI72" s="2">
        <v>1.0</v>
      </c>
      <c r="AJ72" s="2">
        <v>0.0</v>
      </c>
      <c r="AK72" s="2">
        <v>0.0</v>
      </c>
      <c r="AL72" s="2">
        <v>0.0</v>
      </c>
      <c r="AP72" s="2">
        <v>4.882564E8</v>
      </c>
      <c r="AQ72" s="1" t="s">
        <v>185</v>
      </c>
      <c r="AR72" s="2">
        <v>45805.78273148148</v>
      </c>
      <c r="AU72" s="1" t="s">
        <v>64</v>
      </c>
      <c r="AW72" s="1" t="s">
        <v>165</v>
      </c>
      <c r="AY72" s="2">
        <v>71.0</v>
      </c>
    </row>
    <row r="73">
      <c r="A73" s="1" t="s">
        <v>51</v>
      </c>
      <c r="C73" s="1" t="s">
        <v>53</v>
      </c>
      <c r="E73" s="1" t="s">
        <v>53</v>
      </c>
      <c r="F73" s="1" t="s">
        <v>102</v>
      </c>
      <c r="G73" s="2">
        <v>60.0</v>
      </c>
      <c r="H73" s="1" t="s">
        <v>66</v>
      </c>
      <c r="I73" s="1" t="s">
        <v>121</v>
      </c>
      <c r="J73" s="1" t="s">
        <v>111</v>
      </c>
      <c r="K73" s="1" t="s">
        <v>87</v>
      </c>
      <c r="M73" s="1" t="s">
        <v>58</v>
      </c>
      <c r="N73" s="1" t="s">
        <v>58</v>
      </c>
      <c r="O73" s="1" t="s">
        <v>69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69</v>
      </c>
      <c r="X73" s="1" t="s">
        <v>88</v>
      </c>
      <c r="Y73" s="1" t="s">
        <v>172</v>
      </c>
      <c r="Z73" s="1" t="s">
        <v>89</v>
      </c>
      <c r="AA73" s="2">
        <v>100.0</v>
      </c>
      <c r="AB73" s="1" t="s">
        <v>62</v>
      </c>
      <c r="AC73" s="1" t="s">
        <v>51</v>
      </c>
      <c r="AD73" s="1" t="s">
        <v>88</v>
      </c>
      <c r="AE73" s="1" t="s">
        <v>51</v>
      </c>
      <c r="AF73" s="1" t="s">
        <v>51</v>
      </c>
      <c r="AG73" s="1" t="s">
        <v>72</v>
      </c>
      <c r="AI73" s="2">
        <v>0.0</v>
      </c>
      <c r="AJ73" s="2">
        <v>0.0</v>
      </c>
      <c r="AK73" s="2">
        <v>0.0</v>
      </c>
      <c r="AL73" s="2">
        <v>1.0</v>
      </c>
      <c r="AM73" s="1" t="s">
        <v>72</v>
      </c>
      <c r="AP73" s="2">
        <v>4.88303256E8</v>
      </c>
      <c r="AQ73" s="1" t="s">
        <v>186</v>
      </c>
      <c r="AR73" s="2">
        <v>45805.84951388889</v>
      </c>
      <c r="AU73" s="1" t="s">
        <v>64</v>
      </c>
      <c r="AW73" s="1" t="s">
        <v>165</v>
      </c>
      <c r="AY73" s="2">
        <v>72.0</v>
      </c>
    </row>
    <row r="74">
      <c r="A74" s="1" t="s">
        <v>51</v>
      </c>
      <c r="C74" s="1" t="s">
        <v>52</v>
      </c>
      <c r="E74" s="1" t="s">
        <v>53</v>
      </c>
      <c r="F74" s="1" t="s">
        <v>54</v>
      </c>
      <c r="G74" s="2">
        <v>47.0</v>
      </c>
      <c r="H74" s="1" t="s">
        <v>55</v>
      </c>
      <c r="I74" s="1" t="s">
        <v>67</v>
      </c>
      <c r="J74" s="1" t="s">
        <v>86</v>
      </c>
      <c r="K74" s="1" t="s">
        <v>87</v>
      </c>
      <c r="M74" s="1" t="s">
        <v>58</v>
      </c>
      <c r="N74" s="1" t="s">
        <v>58</v>
      </c>
      <c r="O74" s="1" t="s">
        <v>58</v>
      </c>
      <c r="Q74" s="1" t="s">
        <v>70</v>
      </c>
      <c r="R74" s="1" t="s">
        <v>58</v>
      </c>
      <c r="S74" s="1" t="s">
        <v>69</v>
      </c>
      <c r="T74" s="1" t="s">
        <v>69</v>
      </c>
      <c r="U74" s="1" t="s">
        <v>58</v>
      </c>
      <c r="V74" s="1" t="s">
        <v>58</v>
      </c>
      <c r="W74" s="1" t="s">
        <v>69</v>
      </c>
      <c r="X74" s="1" t="s">
        <v>88</v>
      </c>
      <c r="Y74" s="1" t="s">
        <v>95</v>
      </c>
      <c r="Z74" s="1" t="s">
        <v>89</v>
      </c>
      <c r="AA74" s="2">
        <v>50.0</v>
      </c>
      <c r="AB74" s="1" t="s">
        <v>62</v>
      </c>
      <c r="AC74" s="1" t="s">
        <v>71</v>
      </c>
      <c r="AF74" s="1" t="s">
        <v>51</v>
      </c>
      <c r="AG74" s="1" t="s">
        <v>72</v>
      </c>
      <c r="AI74" s="2">
        <v>0.0</v>
      </c>
      <c r="AJ74" s="2">
        <v>0.0</v>
      </c>
      <c r="AK74" s="2">
        <v>0.0</v>
      </c>
      <c r="AL74" s="2">
        <v>1.0</v>
      </c>
      <c r="AM74" s="1" t="s">
        <v>51</v>
      </c>
      <c r="AN74" s="2">
        <v>8.10323079E8</v>
      </c>
      <c r="AP74" s="2">
        <v>4.88304149E8</v>
      </c>
      <c r="AQ74" s="1" t="s">
        <v>187</v>
      </c>
      <c r="AR74" s="2">
        <v>45805.851111111115</v>
      </c>
      <c r="AU74" s="1" t="s">
        <v>64</v>
      </c>
      <c r="AW74" s="1" t="s">
        <v>165</v>
      </c>
      <c r="AY74" s="2">
        <v>73.0</v>
      </c>
    </row>
    <row r="75">
      <c r="A75" s="1" t="s">
        <v>51</v>
      </c>
      <c r="C75" s="1" t="s">
        <v>188</v>
      </c>
      <c r="E75" s="1" t="s">
        <v>53</v>
      </c>
      <c r="F75" s="1" t="s">
        <v>102</v>
      </c>
      <c r="G75" s="2">
        <v>31.0</v>
      </c>
      <c r="H75" s="1" t="s">
        <v>55</v>
      </c>
      <c r="I75" s="1" t="s">
        <v>100</v>
      </c>
      <c r="J75" s="1" t="s">
        <v>86</v>
      </c>
      <c r="K75" s="1" t="s">
        <v>87</v>
      </c>
      <c r="M75" s="1" t="s">
        <v>58</v>
      </c>
      <c r="N75" s="1" t="s">
        <v>58</v>
      </c>
      <c r="O75" s="1" t="s">
        <v>58</v>
      </c>
      <c r="Q75" s="1" t="s">
        <v>69</v>
      </c>
      <c r="R75" s="1" t="s">
        <v>58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81</v>
      </c>
      <c r="Y75" s="1" t="s">
        <v>60</v>
      </c>
      <c r="Z75" s="1" t="s">
        <v>96</v>
      </c>
      <c r="AA75" s="2">
        <v>100.0</v>
      </c>
      <c r="AB75" s="1" t="s">
        <v>28</v>
      </c>
      <c r="AC75" s="1" t="s">
        <v>71</v>
      </c>
      <c r="AF75" s="1" t="s">
        <v>51</v>
      </c>
      <c r="AG75" s="1" t="s">
        <v>72</v>
      </c>
      <c r="AI75" s="2">
        <v>0.0</v>
      </c>
      <c r="AJ75" s="2">
        <v>0.0</v>
      </c>
      <c r="AK75" s="2">
        <v>0.0</v>
      </c>
      <c r="AL75" s="2">
        <v>1.0</v>
      </c>
      <c r="AM75" s="1" t="s">
        <v>72</v>
      </c>
      <c r="AP75" s="2">
        <v>4.88356383E8</v>
      </c>
      <c r="AQ75" s="1" t="s">
        <v>189</v>
      </c>
      <c r="AR75" s="2">
        <v>45805.996932870374</v>
      </c>
      <c r="AU75" s="1" t="s">
        <v>64</v>
      </c>
      <c r="AW75" s="1" t="s">
        <v>165</v>
      </c>
      <c r="AY75" s="2">
        <v>74.0</v>
      </c>
    </row>
    <row r="76">
      <c r="A76" s="1" t="s">
        <v>51</v>
      </c>
      <c r="C76" s="1" t="s">
        <v>131</v>
      </c>
      <c r="E76" s="1" t="s">
        <v>131</v>
      </c>
      <c r="G76" s="2">
        <v>30.0</v>
      </c>
      <c r="H76" s="1" t="s">
        <v>55</v>
      </c>
      <c r="J76" s="1" t="s">
        <v>111</v>
      </c>
      <c r="K76" s="1" t="s">
        <v>87</v>
      </c>
      <c r="M76" s="1" t="s">
        <v>58</v>
      </c>
      <c r="N76" s="1" t="s">
        <v>58</v>
      </c>
      <c r="O76" s="1" t="s">
        <v>58</v>
      </c>
      <c r="Q76" s="1" t="s">
        <v>58</v>
      </c>
      <c r="R76" s="1" t="s">
        <v>58</v>
      </c>
      <c r="S76" s="1" t="s">
        <v>58</v>
      </c>
      <c r="T76" s="1" t="s">
        <v>58</v>
      </c>
      <c r="U76" s="1" t="s">
        <v>58</v>
      </c>
      <c r="V76" s="1" t="s">
        <v>58</v>
      </c>
      <c r="W76" s="1" t="s">
        <v>69</v>
      </c>
      <c r="X76" s="1" t="s">
        <v>103</v>
      </c>
      <c r="Y76" s="1" t="s">
        <v>82</v>
      </c>
      <c r="Z76" s="1" t="s">
        <v>96</v>
      </c>
      <c r="AA76" s="2">
        <v>100.0</v>
      </c>
      <c r="AB76" s="1" t="s">
        <v>28</v>
      </c>
      <c r="AC76" s="1" t="s">
        <v>51</v>
      </c>
      <c r="AD76" s="1" t="s">
        <v>103</v>
      </c>
      <c r="AE76" s="1" t="s">
        <v>51</v>
      </c>
      <c r="AF76" s="1" t="s">
        <v>51</v>
      </c>
      <c r="AG76" s="1" t="s">
        <v>51</v>
      </c>
      <c r="AH76" s="2">
        <v>20.0</v>
      </c>
      <c r="AI76" s="2">
        <v>1.0</v>
      </c>
      <c r="AJ76" s="2">
        <v>1.0</v>
      </c>
      <c r="AK76" s="2">
        <v>1.0</v>
      </c>
      <c r="AL76" s="2">
        <v>0.0</v>
      </c>
      <c r="AP76" s="2">
        <v>4.88401783E8</v>
      </c>
      <c r="AQ76" s="1" t="s">
        <v>190</v>
      </c>
      <c r="AR76" s="2">
        <v>45806.188263888886</v>
      </c>
      <c r="AU76" s="1" t="s">
        <v>64</v>
      </c>
      <c r="AW76" s="1" t="s">
        <v>191</v>
      </c>
      <c r="AY76" s="2">
        <v>75.0</v>
      </c>
    </row>
    <row r="77">
      <c r="A77" s="1" t="s">
        <v>51</v>
      </c>
      <c r="C77" s="1" t="s">
        <v>151</v>
      </c>
      <c r="E77" s="1" t="s">
        <v>151</v>
      </c>
      <c r="G77" s="2">
        <v>42.0</v>
      </c>
      <c r="H77" s="1" t="s">
        <v>55</v>
      </c>
      <c r="J77" s="1" t="s">
        <v>86</v>
      </c>
      <c r="K77" s="1" t="s">
        <v>87</v>
      </c>
      <c r="M77" s="1" t="s">
        <v>58</v>
      </c>
      <c r="N77" s="1" t="s">
        <v>58</v>
      </c>
      <c r="O77" s="1" t="s">
        <v>69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58</v>
      </c>
      <c r="V77" s="1" t="s">
        <v>69</v>
      </c>
      <c r="W77" s="1" t="s">
        <v>69</v>
      </c>
      <c r="X77" s="1" t="s">
        <v>81</v>
      </c>
      <c r="Y77" s="1" t="s">
        <v>95</v>
      </c>
      <c r="Z77" s="1" t="s">
        <v>108</v>
      </c>
      <c r="AA77" s="2">
        <v>50.0</v>
      </c>
      <c r="AB77" s="1" t="s">
        <v>62</v>
      </c>
      <c r="AC77" s="1" t="s">
        <v>51</v>
      </c>
      <c r="AD77" s="1" t="s">
        <v>59</v>
      </c>
      <c r="AE77" s="1" t="s">
        <v>51</v>
      </c>
      <c r="AF77" s="1" t="s">
        <v>51</v>
      </c>
      <c r="AG77" s="1" t="s">
        <v>51</v>
      </c>
      <c r="AH77" s="2">
        <v>100.0</v>
      </c>
      <c r="AI77" s="2">
        <v>0.0</v>
      </c>
      <c r="AJ77" s="2">
        <v>0.0</v>
      </c>
      <c r="AK77" s="2">
        <v>0.0</v>
      </c>
      <c r="AL77" s="2">
        <v>1.0</v>
      </c>
      <c r="AP77" s="2">
        <v>4.88438457E8</v>
      </c>
      <c r="AQ77" s="1" t="s">
        <v>192</v>
      </c>
      <c r="AR77" s="2">
        <v>45806.26267361111</v>
      </c>
      <c r="AU77" s="1" t="s">
        <v>64</v>
      </c>
      <c r="AW77" s="1" t="s">
        <v>191</v>
      </c>
      <c r="AY77" s="2">
        <v>76.0</v>
      </c>
    </row>
    <row r="78">
      <c r="A78" s="1" t="s">
        <v>51</v>
      </c>
      <c r="C78" s="1" t="s">
        <v>151</v>
      </c>
      <c r="E78" s="1" t="s">
        <v>151</v>
      </c>
      <c r="G78" s="2">
        <v>40.0</v>
      </c>
      <c r="H78" s="1" t="s">
        <v>66</v>
      </c>
      <c r="J78" s="1" t="s">
        <v>86</v>
      </c>
      <c r="K78" s="1" t="s">
        <v>87</v>
      </c>
      <c r="M78" s="1" t="s">
        <v>58</v>
      </c>
      <c r="N78" s="1" t="s">
        <v>58</v>
      </c>
      <c r="O78" s="1" t="s">
        <v>58</v>
      </c>
      <c r="Q78" s="1" t="s">
        <v>70</v>
      </c>
      <c r="R78" s="1" t="s">
        <v>58</v>
      </c>
      <c r="S78" s="1" t="s">
        <v>69</v>
      </c>
      <c r="T78" s="1" t="s">
        <v>70</v>
      </c>
      <c r="U78" s="1" t="s">
        <v>58</v>
      </c>
      <c r="V78" s="1" t="s">
        <v>58</v>
      </c>
      <c r="W78" s="1" t="s">
        <v>70</v>
      </c>
      <c r="X78" s="1" t="s">
        <v>81</v>
      </c>
      <c r="Y78" s="1" t="s">
        <v>95</v>
      </c>
      <c r="Z78" s="1" t="s">
        <v>127</v>
      </c>
      <c r="AA78" s="2">
        <v>100.0</v>
      </c>
      <c r="AB78" s="1" t="s">
        <v>79</v>
      </c>
      <c r="AC78" s="1" t="s">
        <v>71</v>
      </c>
      <c r="AF78" s="1" t="s">
        <v>51</v>
      </c>
      <c r="AG78" s="1" t="s">
        <v>72</v>
      </c>
      <c r="AI78" s="2">
        <v>0.0</v>
      </c>
      <c r="AJ78" s="2">
        <v>0.0</v>
      </c>
      <c r="AK78" s="2">
        <v>0.0</v>
      </c>
      <c r="AL78" s="2">
        <v>1.0</v>
      </c>
      <c r="AP78" s="2">
        <v>4.88457611E8</v>
      </c>
      <c r="AQ78" s="1" t="s">
        <v>193</v>
      </c>
      <c r="AR78" s="2">
        <v>45806.2902662037</v>
      </c>
      <c r="AU78" s="1" t="s">
        <v>64</v>
      </c>
      <c r="AW78" s="1" t="s">
        <v>191</v>
      </c>
      <c r="AY78" s="2">
        <v>77.0</v>
      </c>
    </row>
    <row r="79">
      <c r="A79" s="1" t="s">
        <v>51</v>
      </c>
      <c r="C79" s="1" t="s">
        <v>170</v>
      </c>
      <c r="E79" s="1" t="s">
        <v>170</v>
      </c>
      <c r="G79" s="2">
        <v>20.0</v>
      </c>
      <c r="H79" s="1" t="s">
        <v>66</v>
      </c>
      <c r="J79" s="1" t="s">
        <v>56</v>
      </c>
      <c r="K79" s="1" t="s">
        <v>74</v>
      </c>
      <c r="M79" s="1" t="s">
        <v>58</v>
      </c>
      <c r="N79" s="1" t="s">
        <v>58</v>
      </c>
      <c r="O79" s="1" t="s">
        <v>58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81</v>
      </c>
      <c r="Y79" s="1" t="s">
        <v>82</v>
      </c>
      <c r="Z79" s="1" t="s">
        <v>61</v>
      </c>
      <c r="AA79" s="2">
        <v>100.0</v>
      </c>
      <c r="AB79" s="1" t="s">
        <v>28</v>
      </c>
      <c r="AC79" s="1" t="s">
        <v>51</v>
      </c>
      <c r="AD79" s="1" t="s">
        <v>81</v>
      </c>
      <c r="AE79" s="1" t="s">
        <v>51</v>
      </c>
      <c r="AF79" s="1" t="s">
        <v>51</v>
      </c>
      <c r="AG79" s="1" t="s">
        <v>51</v>
      </c>
      <c r="AH79" s="2">
        <v>100.0</v>
      </c>
      <c r="AI79" s="2">
        <v>0.0</v>
      </c>
      <c r="AJ79" s="2">
        <v>0.0</v>
      </c>
      <c r="AK79" s="2">
        <v>1.0</v>
      </c>
      <c r="AL79" s="2">
        <v>0.0</v>
      </c>
      <c r="AP79" s="2">
        <v>4.88499875E8</v>
      </c>
      <c r="AQ79" s="1" t="s">
        <v>194</v>
      </c>
      <c r="AR79" s="2">
        <v>45806.34857638889</v>
      </c>
      <c r="AU79" s="1" t="s">
        <v>64</v>
      </c>
      <c r="AW79" s="1" t="s">
        <v>191</v>
      </c>
      <c r="AY79" s="2">
        <v>78.0</v>
      </c>
    </row>
    <row r="80">
      <c r="A80" s="1" t="s">
        <v>51</v>
      </c>
      <c r="C80" s="1" t="s">
        <v>52</v>
      </c>
      <c r="E80" s="1" t="s">
        <v>53</v>
      </c>
      <c r="F80" s="1" t="s">
        <v>54</v>
      </c>
      <c r="G80" s="2">
        <v>35.0</v>
      </c>
      <c r="H80" s="1" t="s">
        <v>66</v>
      </c>
      <c r="I80" s="1" t="s">
        <v>67</v>
      </c>
      <c r="J80" s="1" t="s">
        <v>111</v>
      </c>
      <c r="K80" s="1" t="s">
        <v>87</v>
      </c>
      <c r="M80" s="1" t="s">
        <v>58</v>
      </c>
      <c r="N80" s="1" t="s">
        <v>58</v>
      </c>
      <c r="O80" s="1" t="s">
        <v>58</v>
      </c>
      <c r="Q80" s="1" t="s">
        <v>69</v>
      </c>
      <c r="R80" s="1" t="s">
        <v>58</v>
      </c>
      <c r="S80" s="1" t="s">
        <v>58</v>
      </c>
      <c r="T80" s="1" t="s">
        <v>69</v>
      </c>
      <c r="U80" s="1" t="s">
        <v>58</v>
      </c>
      <c r="V80" s="1" t="s">
        <v>58</v>
      </c>
      <c r="W80" s="1" t="s">
        <v>58</v>
      </c>
      <c r="X80" s="1" t="s">
        <v>88</v>
      </c>
      <c r="Y80" s="1" t="s">
        <v>95</v>
      </c>
      <c r="Z80" s="1" t="s">
        <v>89</v>
      </c>
      <c r="AA80" s="2">
        <v>10.0</v>
      </c>
      <c r="AB80" s="1" t="s">
        <v>62</v>
      </c>
      <c r="AC80" s="1" t="s">
        <v>51</v>
      </c>
      <c r="AD80" s="1" t="s">
        <v>59</v>
      </c>
      <c r="AE80" s="1" t="s">
        <v>72</v>
      </c>
      <c r="AF80" s="1" t="s">
        <v>51</v>
      </c>
      <c r="AG80" s="1" t="s">
        <v>72</v>
      </c>
      <c r="AI80" s="2">
        <v>0.0</v>
      </c>
      <c r="AJ80" s="2">
        <v>1.0</v>
      </c>
      <c r="AK80" s="2">
        <v>1.0</v>
      </c>
      <c r="AL80" s="2">
        <v>0.0</v>
      </c>
      <c r="AM80" s="1" t="s">
        <v>72</v>
      </c>
      <c r="AP80" s="2">
        <v>4.88506903E8</v>
      </c>
      <c r="AQ80" s="1" t="s">
        <v>195</v>
      </c>
      <c r="AR80" s="2">
        <v>45806.35741898148</v>
      </c>
      <c r="AU80" s="1" t="s">
        <v>64</v>
      </c>
      <c r="AW80" s="1" t="s">
        <v>191</v>
      </c>
      <c r="AY80" s="2">
        <v>79.0</v>
      </c>
    </row>
    <row r="81">
      <c r="A81" s="1" t="s">
        <v>51</v>
      </c>
      <c r="C81" s="1" t="s">
        <v>52</v>
      </c>
      <c r="E81" s="1" t="s">
        <v>53</v>
      </c>
      <c r="F81" s="1" t="s">
        <v>102</v>
      </c>
      <c r="G81" s="2">
        <v>40.0</v>
      </c>
      <c r="H81" s="1" t="s">
        <v>55</v>
      </c>
      <c r="I81" s="1" t="s">
        <v>67</v>
      </c>
      <c r="J81" s="1" t="s">
        <v>111</v>
      </c>
      <c r="M81" s="1" t="s">
        <v>58</v>
      </c>
      <c r="N81" s="1" t="s">
        <v>58</v>
      </c>
      <c r="O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58</v>
      </c>
      <c r="X81" s="1" t="s">
        <v>103</v>
      </c>
      <c r="Y81" s="1" t="s">
        <v>60</v>
      </c>
      <c r="Z81" s="1" t="s">
        <v>89</v>
      </c>
      <c r="AA81" s="2">
        <v>100.0</v>
      </c>
      <c r="AB81" s="1" t="s">
        <v>62</v>
      </c>
      <c r="AC81" s="1" t="s">
        <v>72</v>
      </c>
      <c r="AF81" s="1" t="s">
        <v>51</v>
      </c>
      <c r="AG81" s="1" t="s">
        <v>72</v>
      </c>
      <c r="AI81" s="2">
        <v>1.0</v>
      </c>
      <c r="AJ81" s="2">
        <v>1.0</v>
      </c>
      <c r="AK81" s="2">
        <v>1.0</v>
      </c>
      <c r="AL81" s="2">
        <v>1.0</v>
      </c>
      <c r="AM81" s="1" t="s">
        <v>72</v>
      </c>
      <c r="AP81" s="2">
        <v>4.88569497E8</v>
      </c>
      <c r="AQ81" s="1" t="s">
        <v>196</v>
      </c>
      <c r="AR81" s="2">
        <v>45806.42548611111</v>
      </c>
      <c r="AU81" s="1" t="s">
        <v>64</v>
      </c>
      <c r="AW81" s="1" t="s">
        <v>191</v>
      </c>
      <c r="AY81" s="2">
        <v>80.0</v>
      </c>
    </row>
    <row r="82">
      <c r="A82" s="1" t="s">
        <v>51</v>
      </c>
      <c r="C82" s="1" t="s">
        <v>53</v>
      </c>
      <c r="E82" s="1" t="s">
        <v>53</v>
      </c>
      <c r="F82" s="1" t="s">
        <v>197</v>
      </c>
      <c r="G82" s="2">
        <v>39.0</v>
      </c>
      <c r="H82" s="1" t="s">
        <v>55</v>
      </c>
      <c r="I82" s="1" t="s">
        <v>121</v>
      </c>
      <c r="J82" s="1" t="s">
        <v>86</v>
      </c>
      <c r="K82" s="1" t="s">
        <v>87</v>
      </c>
      <c r="M82" s="1" t="s">
        <v>58</v>
      </c>
      <c r="N82" s="1" t="s">
        <v>58</v>
      </c>
      <c r="O82" s="1" t="s">
        <v>69</v>
      </c>
      <c r="Q82" s="1" t="s">
        <v>69</v>
      </c>
      <c r="R82" s="1" t="s">
        <v>58</v>
      </c>
      <c r="S82" s="1" t="s">
        <v>69</v>
      </c>
      <c r="T82" s="1" t="s">
        <v>69</v>
      </c>
      <c r="U82" s="1" t="s">
        <v>58</v>
      </c>
      <c r="V82" s="1" t="s">
        <v>58</v>
      </c>
      <c r="W82" s="1" t="s">
        <v>70</v>
      </c>
      <c r="X82" s="1" t="s">
        <v>59</v>
      </c>
      <c r="Y82" s="1" t="s">
        <v>95</v>
      </c>
      <c r="Z82" s="1" t="s">
        <v>108</v>
      </c>
      <c r="AA82" s="2">
        <v>100.0</v>
      </c>
      <c r="AB82" s="1" t="s">
        <v>79</v>
      </c>
      <c r="AC82" s="1" t="s">
        <v>71</v>
      </c>
      <c r="AF82" s="1" t="s">
        <v>51</v>
      </c>
      <c r="AG82" s="1" t="s">
        <v>51</v>
      </c>
      <c r="AH82" s="2">
        <v>100.0</v>
      </c>
      <c r="AI82" s="2">
        <v>1.0</v>
      </c>
      <c r="AJ82" s="2">
        <v>1.0</v>
      </c>
      <c r="AK82" s="2">
        <v>1.0</v>
      </c>
      <c r="AL82" s="2">
        <v>0.0</v>
      </c>
      <c r="AM82" s="1" t="s">
        <v>72</v>
      </c>
      <c r="AP82" s="2">
        <v>4.88676978E8</v>
      </c>
      <c r="AQ82" s="1" t="s">
        <v>198</v>
      </c>
      <c r="AR82" s="2">
        <v>45806.5278125</v>
      </c>
      <c r="AU82" s="1" t="s">
        <v>64</v>
      </c>
      <c r="AW82" s="1" t="s">
        <v>191</v>
      </c>
      <c r="AY82" s="2">
        <v>81.0</v>
      </c>
    </row>
    <row r="83">
      <c r="A83" s="1" t="s">
        <v>51</v>
      </c>
      <c r="C83" s="1" t="s">
        <v>52</v>
      </c>
      <c r="E83" s="1" t="s">
        <v>53</v>
      </c>
      <c r="F83" s="1" t="s">
        <v>102</v>
      </c>
      <c r="G83" s="2">
        <v>34.0</v>
      </c>
      <c r="H83" s="1" t="s">
        <v>66</v>
      </c>
      <c r="I83" s="1" t="s">
        <v>67</v>
      </c>
      <c r="J83" s="1" t="s">
        <v>111</v>
      </c>
      <c r="K83" s="1" t="s">
        <v>87</v>
      </c>
      <c r="M83" s="1" t="s">
        <v>58</v>
      </c>
      <c r="N83" s="1" t="s">
        <v>58</v>
      </c>
      <c r="O83" s="1" t="s">
        <v>58</v>
      </c>
      <c r="Q83" s="1" t="s">
        <v>70</v>
      </c>
      <c r="R83" s="1" t="s">
        <v>58</v>
      </c>
      <c r="S83" s="1" t="s">
        <v>69</v>
      </c>
      <c r="T83" s="1" t="s">
        <v>69</v>
      </c>
      <c r="U83" s="1" t="s">
        <v>58</v>
      </c>
      <c r="V83" s="1" t="s">
        <v>58</v>
      </c>
      <c r="W83" s="1" t="s">
        <v>58</v>
      </c>
      <c r="X83" s="1" t="s">
        <v>88</v>
      </c>
      <c r="Y83" s="1" t="s">
        <v>95</v>
      </c>
      <c r="Z83" s="1" t="s">
        <v>108</v>
      </c>
      <c r="AA83" s="2">
        <v>50.0</v>
      </c>
      <c r="AB83" s="1" t="s">
        <v>62</v>
      </c>
      <c r="AC83" s="1" t="s">
        <v>71</v>
      </c>
      <c r="AF83" s="1" t="s">
        <v>51</v>
      </c>
      <c r="AG83" s="1" t="s">
        <v>72</v>
      </c>
      <c r="AI83" s="2">
        <v>0.0</v>
      </c>
      <c r="AJ83" s="2">
        <v>0.0</v>
      </c>
      <c r="AK83" s="2">
        <v>1.0</v>
      </c>
      <c r="AL83" s="2">
        <v>0.0</v>
      </c>
      <c r="AM83" s="1" t="s">
        <v>72</v>
      </c>
      <c r="AP83" s="2">
        <v>4.88690503E8</v>
      </c>
      <c r="AQ83" s="1" t="s">
        <v>199</v>
      </c>
      <c r="AR83" s="2">
        <v>45806.5390625</v>
      </c>
      <c r="AU83" s="1" t="s">
        <v>64</v>
      </c>
      <c r="AW83" s="1" t="s">
        <v>191</v>
      </c>
      <c r="AY83" s="2">
        <v>82.0</v>
      </c>
    </row>
    <row r="84">
      <c r="A84" s="1" t="s">
        <v>51</v>
      </c>
      <c r="C84" s="1" t="s">
        <v>52</v>
      </c>
      <c r="E84" s="1" t="s">
        <v>53</v>
      </c>
      <c r="F84" s="1" t="s">
        <v>54</v>
      </c>
      <c r="G84" s="2">
        <v>22.0</v>
      </c>
      <c r="H84" s="1" t="s">
        <v>66</v>
      </c>
      <c r="I84" s="1" t="s">
        <v>67</v>
      </c>
      <c r="J84" s="1" t="s">
        <v>86</v>
      </c>
      <c r="K84" s="1" t="s">
        <v>87</v>
      </c>
      <c r="M84" s="1" t="s">
        <v>58</v>
      </c>
      <c r="N84" s="1" t="s">
        <v>58</v>
      </c>
      <c r="O84" s="1" t="s">
        <v>58</v>
      </c>
      <c r="Q84" s="1" t="s">
        <v>69</v>
      </c>
      <c r="R84" s="1" t="s">
        <v>58</v>
      </c>
      <c r="S84" s="1" t="s">
        <v>58</v>
      </c>
      <c r="T84" s="1" t="s">
        <v>69</v>
      </c>
      <c r="U84" s="1" t="s">
        <v>69</v>
      </c>
      <c r="V84" s="1" t="s">
        <v>58</v>
      </c>
      <c r="W84" s="1" t="s">
        <v>69</v>
      </c>
      <c r="X84" s="1" t="s">
        <v>59</v>
      </c>
      <c r="Y84" s="1" t="s">
        <v>60</v>
      </c>
      <c r="Z84" s="1" t="s">
        <v>89</v>
      </c>
      <c r="AA84" s="2">
        <v>100.0</v>
      </c>
      <c r="AB84" s="1" t="s">
        <v>28</v>
      </c>
      <c r="AC84" s="1" t="s">
        <v>71</v>
      </c>
      <c r="AF84" s="1" t="s">
        <v>72</v>
      </c>
      <c r="AG84" s="1" t="s">
        <v>72</v>
      </c>
      <c r="AI84" s="2">
        <v>0.0</v>
      </c>
      <c r="AJ84" s="2">
        <v>0.0</v>
      </c>
      <c r="AK84" s="2">
        <v>0.0</v>
      </c>
      <c r="AL84" s="2">
        <v>1.0</v>
      </c>
      <c r="AM84" s="1" t="s">
        <v>72</v>
      </c>
      <c r="AP84" s="2">
        <v>4.88720274E8</v>
      </c>
      <c r="AQ84" s="1" t="s">
        <v>200</v>
      </c>
      <c r="AR84" s="2">
        <v>45806.56145833333</v>
      </c>
      <c r="AU84" s="1" t="s">
        <v>64</v>
      </c>
      <c r="AW84" s="1" t="s">
        <v>191</v>
      </c>
      <c r="AY84" s="2">
        <v>83.0</v>
      </c>
    </row>
    <row r="85">
      <c r="A85" s="1" t="s">
        <v>51</v>
      </c>
      <c r="C85" s="1" t="s">
        <v>53</v>
      </c>
      <c r="E85" s="1" t="s">
        <v>53</v>
      </c>
      <c r="F85" s="1" t="s">
        <v>54</v>
      </c>
      <c r="G85" s="2">
        <v>41.0</v>
      </c>
      <c r="H85" s="1" t="s">
        <v>66</v>
      </c>
      <c r="I85" s="1" t="s">
        <v>121</v>
      </c>
      <c r="J85" s="1" t="s">
        <v>86</v>
      </c>
      <c r="K85" s="1" t="s">
        <v>87</v>
      </c>
      <c r="M85" s="1" t="s">
        <v>58</v>
      </c>
      <c r="N85" s="1" t="s">
        <v>58</v>
      </c>
      <c r="O85" s="1" t="s">
        <v>69</v>
      </c>
      <c r="Q85" s="1" t="s">
        <v>58</v>
      </c>
      <c r="R85" s="1" t="s">
        <v>58</v>
      </c>
      <c r="S85" s="1" t="s">
        <v>58</v>
      </c>
      <c r="T85" s="1" t="s">
        <v>58</v>
      </c>
      <c r="U85" s="1" t="s">
        <v>69</v>
      </c>
      <c r="V85" s="1" t="s">
        <v>58</v>
      </c>
      <c r="W85" s="1" t="s">
        <v>58</v>
      </c>
      <c r="X85" s="1" t="s">
        <v>88</v>
      </c>
      <c r="Y85" s="1" t="s">
        <v>60</v>
      </c>
      <c r="Z85" s="1" t="s">
        <v>89</v>
      </c>
      <c r="AA85" s="2">
        <v>100.0</v>
      </c>
      <c r="AB85" s="1" t="s">
        <v>62</v>
      </c>
      <c r="AC85" s="1" t="s">
        <v>71</v>
      </c>
      <c r="AF85" s="1" t="s">
        <v>51</v>
      </c>
      <c r="AG85" s="1" t="s">
        <v>51</v>
      </c>
      <c r="AH85" s="2">
        <v>50.0</v>
      </c>
      <c r="AI85" s="2">
        <v>0.0</v>
      </c>
      <c r="AJ85" s="2">
        <v>0.0</v>
      </c>
      <c r="AK85" s="2">
        <v>0.0</v>
      </c>
      <c r="AL85" s="2">
        <v>1.0</v>
      </c>
      <c r="AM85" s="1" t="s">
        <v>72</v>
      </c>
      <c r="AP85" s="2">
        <v>4.88730589E8</v>
      </c>
      <c r="AQ85" s="1" t="s">
        <v>201</v>
      </c>
      <c r="AR85" s="2">
        <v>45806.56793981481</v>
      </c>
      <c r="AU85" s="1" t="s">
        <v>64</v>
      </c>
      <c r="AW85" s="1" t="s">
        <v>84</v>
      </c>
      <c r="AY85" s="2">
        <v>84.0</v>
      </c>
    </row>
    <row r="86">
      <c r="A86" s="1" t="s">
        <v>51</v>
      </c>
      <c r="C86" s="1" t="s">
        <v>202</v>
      </c>
      <c r="E86" s="1" t="s">
        <v>202</v>
      </c>
      <c r="G86" s="2">
        <v>42.0</v>
      </c>
      <c r="H86" s="1" t="s">
        <v>66</v>
      </c>
      <c r="J86" s="1" t="s">
        <v>86</v>
      </c>
      <c r="K86" s="1" t="s">
        <v>87</v>
      </c>
      <c r="M86" s="1" t="s">
        <v>58</v>
      </c>
      <c r="N86" s="1" t="s">
        <v>58</v>
      </c>
      <c r="O86" s="1" t="s">
        <v>58</v>
      </c>
      <c r="Q86" s="1" t="s">
        <v>69</v>
      </c>
      <c r="R86" s="1" t="s">
        <v>58</v>
      </c>
      <c r="S86" s="1" t="s">
        <v>69</v>
      </c>
      <c r="T86" s="1" t="s">
        <v>58</v>
      </c>
      <c r="U86" s="1" t="s">
        <v>70</v>
      </c>
      <c r="V86" s="1" t="s">
        <v>58</v>
      </c>
      <c r="W86" s="1" t="s">
        <v>69</v>
      </c>
      <c r="X86" s="1" t="s">
        <v>81</v>
      </c>
      <c r="Y86" s="1" t="s">
        <v>95</v>
      </c>
      <c r="Z86" s="1" t="s">
        <v>96</v>
      </c>
      <c r="AA86" s="2">
        <v>100.0</v>
      </c>
      <c r="AB86" s="1" t="s">
        <v>62</v>
      </c>
      <c r="AC86" s="1" t="s">
        <v>71</v>
      </c>
      <c r="AF86" s="1" t="s">
        <v>51</v>
      </c>
      <c r="AG86" s="1" t="s">
        <v>72</v>
      </c>
      <c r="AI86" s="2">
        <v>0.0</v>
      </c>
      <c r="AJ86" s="2">
        <v>0.0</v>
      </c>
      <c r="AK86" s="2">
        <v>1.0</v>
      </c>
      <c r="AL86" s="2">
        <v>0.0</v>
      </c>
      <c r="AP86" s="2">
        <v>4.88786593E8</v>
      </c>
      <c r="AQ86" s="1" t="s">
        <v>203</v>
      </c>
      <c r="AR86" s="2">
        <v>45806.60795138889</v>
      </c>
      <c r="AU86" s="1" t="s">
        <v>64</v>
      </c>
      <c r="AW86" s="1" t="s">
        <v>191</v>
      </c>
      <c r="AY86" s="2">
        <v>85.0</v>
      </c>
    </row>
    <row r="87">
      <c r="A87" s="1" t="s">
        <v>51</v>
      </c>
      <c r="C87" s="1" t="s">
        <v>53</v>
      </c>
      <c r="E87" s="1" t="s">
        <v>53</v>
      </c>
      <c r="F87" s="1" t="s">
        <v>54</v>
      </c>
      <c r="G87" s="2">
        <v>46.0</v>
      </c>
      <c r="H87" s="1" t="s">
        <v>66</v>
      </c>
      <c r="I87" s="1" t="s">
        <v>121</v>
      </c>
      <c r="J87" s="1" t="s">
        <v>111</v>
      </c>
      <c r="K87" s="1" t="s">
        <v>87</v>
      </c>
      <c r="M87" s="1" t="s">
        <v>58</v>
      </c>
      <c r="N87" s="1" t="s">
        <v>58</v>
      </c>
      <c r="O87" s="1" t="s">
        <v>58</v>
      </c>
      <c r="Q87" s="1" t="s">
        <v>69</v>
      </c>
      <c r="R87" s="1" t="s">
        <v>58</v>
      </c>
      <c r="S87" s="1" t="s">
        <v>69</v>
      </c>
      <c r="T87" s="1" t="s">
        <v>58</v>
      </c>
      <c r="U87" s="1" t="s">
        <v>58</v>
      </c>
      <c r="V87" s="1" t="s">
        <v>58</v>
      </c>
      <c r="W87" s="1" t="s">
        <v>58</v>
      </c>
      <c r="X87" s="1" t="s">
        <v>59</v>
      </c>
      <c r="Y87" s="1" t="s">
        <v>95</v>
      </c>
      <c r="Z87" s="1" t="s">
        <v>96</v>
      </c>
      <c r="AA87" s="2">
        <v>100.0</v>
      </c>
      <c r="AB87" s="1" t="s">
        <v>62</v>
      </c>
      <c r="AC87" s="1" t="s">
        <v>72</v>
      </c>
      <c r="AF87" s="1" t="s">
        <v>51</v>
      </c>
      <c r="AG87" s="1" t="s">
        <v>72</v>
      </c>
      <c r="AI87" s="2">
        <v>0.0</v>
      </c>
      <c r="AJ87" s="2">
        <v>0.0</v>
      </c>
      <c r="AK87" s="2">
        <v>0.0</v>
      </c>
      <c r="AL87" s="2">
        <v>1.0</v>
      </c>
      <c r="AM87" s="1" t="s">
        <v>51</v>
      </c>
      <c r="AN87" s="1" t="s">
        <v>204</v>
      </c>
      <c r="AP87" s="2">
        <v>4.8882061E8</v>
      </c>
      <c r="AQ87" s="1" t="s">
        <v>205</v>
      </c>
      <c r="AR87" s="2">
        <v>45806.62994212963</v>
      </c>
      <c r="AU87" s="1" t="s">
        <v>64</v>
      </c>
      <c r="AW87" s="1" t="s">
        <v>191</v>
      </c>
      <c r="AY87" s="2">
        <v>86.0</v>
      </c>
    </row>
    <row r="88">
      <c r="A88" s="1" t="s">
        <v>51</v>
      </c>
      <c r="C88" s="1" t="s">
        <v>53</v>
      </c>
      <c r="E88" s="1" t="s">
        <v>53</v>
      </c>
      <c r="F88" s="1" t="s">
        <v>54</v>
      </c>
      <c r="G88" s="2">
        <v>33.0</v>
      </c>
      <c r="H88" s="1" t="s">
        <v>66</v>
      </c>
      <c r="I88" s="1" t="s">
        <v>121</v>
      </c>
      <c r="J88" s="1" t="s">
        <v>86</v>
      </c>
      <c r="K88" s="1" t="s">
        <v>87</v>
      </c>
      <c r="M88" s="1" t="s">
        <v>58</v>
      </c>
      <c r="N88" s="1" t="s">
        <v>58</v>
      </c>
      <c r="O88" s="1" t="s">
        <v>69</v>
      </c>
      <c r="Q88" s="1" t="s">
        <v>69</v>
      </c>
      <c r="R88" s="1" t="s">
        <v>58</v>
      </c>
      <c r="S88" s="1" t="s">
        <v>58</v>
      </c>
      <c r="T88" s="1" t="s">
        <v>58</v>
      </c>
      <c r="U88" s="1" t="s">
        <v>70</v>
      </c>
      <c r="V88" s="1" t="s">
        <v>58</v>
      </c>
      <c r="W88" s="1" t="s">
        <v>69</v>
      </c>
      <c r="X88" s="1" t="s">
        <v>59</v>
      </c>
      <c r="Y88" s="1" t="s">
        <v>60</v>
      </c>
      <c r="Z88" s="1" t="s">
        <v>96</v>
      </c>
      <c r="AA88" s="2">
        <v>100.0</v>
      </c>
      <c r="AB88" s="1" t="s">
        <v>79</v>
      </c>
      <c r="AC88" s="1" t="s">
        <v>71</v>
      </c>
      <c r="AF88" s="1" t="s">
        <v>51</v>
      </c>
      <c r="AG88" s="1" t="s">
        <v>72</v>
      </c>
      <c r="AI88" s="2">
        <v>0.0</v>
      </c>
      <c r="AJ88" s="2">
        <v>0.0</v>
      </c>
      <c r="AK88" s="2">
        <v>1.0</v>
      </c>
      <c r="AL88" s="2">
        <v>0.0</v>
      </c>
      <c r="AM88" s="1" t="s">
        <v>51</v>
      </c>
      <c r="AN88" s="1" t="s">
        <v>206</v>
      </c>
      <c r="AP88" s="2">
        <v>4.88832371E8</v>
      </c>
      <c r="AQ88" s="1" t="s">
        <v>207</v>
      </c>
      <c r="AR88" s="2">
        <v>45806.637349537035</v>
      </c>
      <c r="AU88" s="1" t="s">
        <v>64</v>
      </c>
      <c r="AW88" s="1" t="s">
        <v>191</v>
      </c>
      <c r="AY88" s="2">
        <v>87.0</v>
      </c>
    </row>
    <row r="89">
      <c r="A89" s="1" t="s">
        <v>51</v>
      </c>
      <c r="C89" s="1" t="s">
        <v>52</v>
      </c>
      <c r="E89" s="1" t="s">
        <v>53</v>
      </c>
      <c r="F89" s="1" t="s">
        <v>94</v>
      </c>
      <c r="G89" s="2">
        <v>43.0</v>
      </c>
      <c r="H89" s="1" t="s">
        <v>66</v>
      </c>
      <c r="I89" s="1" t="s">
        <v>67</v>
      </c>
      <c r="J89" s="1" t="s">
        <v>86</v>
      </c>
      <c r="K89" s="1" t="s">
        <v>87</v>
      </c>
      <c r="M89" s="1" t="s">
        <v>58</v>
      </c>
      <c r="N89" s="1" t="s">
        <v>58</v>
      </c>
      <c r="O89" s="1" t="s">
        <v>70</v>
      </c>
      <c r="Q89" s="1" t="s">
        <v>69</v>
      </c>
      <c r="R89" s="1" t="s">
        <v>58</v>
      </c>
      <c r="S89" s="1" t="s">
        <v>69</v>
      </c>
      <c r="T89" s="1" t="s">
        <v>69</v>
      </c>
      <c r="U89" s="1" t="s">
        <v>69</v>
      </c>
      <c r="V89" s="1" t="s">
        <v>69</v>
      </c>
      <c r="W89" s="1" t="s">
        <v>58</v>
      </c>
      <c r="X89" s="1" t="s">
        <v>88</v>
      </c>
      <c r="Y89" s="1" t="s">
        <v>60</v>
      </c>
      <c r="Z89" s="1" t="s">
        <v>108</v>
      </c>
      <c r="AA89" s="2">
        <v>50.0</v>
      </c>
      <c r="AB89" s="1" t="s">
        <v>79</v>
      </c>
      <c r="AC89" s="1" t="s">
        <v>71</v>
      </c>
      <c r="AF89" s="1" t="s">
        <v>72</v>
      </c>
      <c r="AG89" s="1" t="s">
        <v>72</v>
      </c>
      <c r="AI89" s="2">
        <v>0.0</v>
      </c>
      <c r="AJ89" s="2">
        <v>0.0</v>
      </c>
      <c r="AK89" s="2">
        <v>0.0</v>
      </c>
      <c r="AL89" s="2">
        <v>1.0</v>
      </c>
      <c r="AM89" s="1" t="s">
        <v>72</v>
      </c>
      <c r="AP89" s="2">
        <v>4.88847644E8</v>
      </c>
      <c r="AQ89" s="1" t="s">
        <v>208</v>
      </c>
      <c r="AR89" s="2">
        <v>45806.64840277778</v>
      </c>
      <c r="AU89" s="1" t="s">
        <v>64</v>
      </c>
      <c r="AW89" s="1" t="s">
        <v>191</v>
      </c>
      <c r="AY89" s="2">
        <v>88.0</v>
      </c>
    </row>
    <row r="90">
      <c r="A90" s="1" t="s">
        <v>51</v>
      </c>
      <c r="C90" s="1" t="s">
        <v>52</v>
      </c>
      <c r="E90" s="1" t="s">
        <v>52</v>
      </c>
      <c r="G90" s="2">
        <v>35.0</v>
      </c>
      <c r="H90" s="1" t="s">
        <v>66</v>
      </c>
      <c r="J90" s="1" t="s">
        <v>56</v>
      </c>
      <c r="K90" s="1" t="s">
        <v>87</v>
      </c>
      <c r="M90" s="1" t="s">
        <v>58</v>
      </c>
      <c r="N90" s="1" t="s">
        <v>58</v>
      </c>
      <c r="O90" s="1" t="s">
        <v>69</v>
      </c>
      <c r="Q90" s="1" t="s">
        <v>69</v>
      </c>
      <c r="R90" s="1" t="s">
        <v>58</v>
      </c>
      <c r="S90" s="1" t="s">
        <v>69</v>
      </c>
      <c r="T90" s="1" t="s">
        <v>58</v>
      </c>
      <c r="U90" s="1" t="s">
        <v>58</v>
      </c>
      <c r="V90" s="1" t="s">
        <v>58</v>
      </c>
      <c r="W90" s="1" t="s">
        <v>69</v>
      </c>
      <c r="X90" s="1" t="s">
        <v>88</v>
      </c>
      <c r="Y90" s="1" t="s">
        <v>82</v>
      </c>
      <c r="Z90" s="1" t="s">
        <v>108</v>
      </c>
      <c r="AA90" s="2">
        <v>100.0</v>
      </c>
      <c r="AB90" s="1" t="s">
        <v>62</v>
      </c>
      <c r="AC90" s="1" t="s">
        <v>51</v>
      </c>
      <c r="AD90" s="1" t="s">
        <v>81</v>
      </c>
      <c r="AE90" s="1" t="s">
        <v>51</v>
      </c>
      <c r="AF90" s="1" t="s">
        <v>51</v>
      </c>
      <c r="AG90" s="1" t="s">
        <v>51</v>
      </c>
      <c r="AH90" s="2">
        <v>15.0</v>
      </c>
      <c r="AI90" s="2">
        <v>0.0</v>
      </c>
      <c r="AJ90" s="2">
        <v>0.0</v>
      </c>
      <c r="AK90" s="2">
        <v>0.0</v>
      </c>
      <c r="AL90" s="2">
        <v>1.0</v>
      </c>
      <c r="AP90" s="2">
        <v>4.88871967E8</v>
      </c>
      <c r="AQ90" s="1" t="s">
        <v>209</v>
      </c>
      <c r="AR90" s="2">
        <v>45806.665289351855</v>
      </c>
      <c r="AU90" s="1" t="s">
        <v>64</v>
      </c>
      <c r="AW90" s="1" t="s">
        <v>191</v>
      </c>
      <c r="AY90" s="2">
        <v>89.0</v>
      </c>
    </row>
    <row r="91">
      <c r="A91" s="1" t="s">
        <v>51</v>
      </c>
      <c r="C91" s="1" t="s">
        <v>52</v>
      </c>
      <c r="E91" s="1" t="s">
        <v>53</v>
      </c>
      <c r="F91" s="1" t="s">
        <v>54</v>
      </c>
      <c r="G91" s="2">
        <v>59.0</v>
      </c>
      <c r="H91" s="1" t="s">
        <v>55</v>
      </c>
      <c r="I91" s="1" t="s">
        <v>67</v>
      </c>
      <c r="J91" s="1" t="s">
        <v>111</v>
      </c>
      <c r="K91" s="1" t="s">
        <v>87</v>
      </c>
      <c r="M91" s="1" t="s">
        <v>58</v>
      </c>
      <c r="N91" s="1" t="s">
        <v>58</v>
      </c>
      <c r="O91" s="1" t="s">
        <v>58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58</v>
      </c>
      <c r="V91" s="1" t="s">
        <v>58</v>
      </c>
      <c r="W91" s="1" t="s">
        <v>69</v>
      </c>
      <c r="X91" s="1" t="s">
        <v>59</v>
      </c>
      <c r="Y91" s="1" t="s">
        <v>95</v>
      </c>
      <c r="Z91" s="1" t="s">
        <v>89</v>
      </c>
      <c r="AA91" s="2">
        <v>100.0</v>
      </c>
      <c r="AB91" s="1" t="s">
        <v>62</v>
      </c>
      <c r="AC91" s="1" t="s">
        <v>51</v>
      </c>
      <c r="AD91" s="1" t="s">
        <v>59</v>
      </c>
      <c r="AE91" s="1" t="s">
        <v>51</v>
      </c>
      <c r="AF91" s="1" t="s">
        <v>51</v>
      </c>
      <c r="AG91" s="1" t="s">
        <v>51</v>
      </c>
      <c r="AH91" s="2">
        <v>100.0</v>
      </c>
      <c r="AI91" s="2">
        <v>0.0</v>
      </c>
      <c r="AJ91" s="2">
        <v>0.0</v>
      </c>
      <c r="AK91" s="2">
        <v>0.0</v>
      </c>
      <c r="AL91" s="2">
        <v>1.0</v>
      </c>
      <c r="AM91" s="1" t="s">
        <v>51</v>
      </c>
      <c r="AN91" s="2">
        <v>2.7727644928E10</v>
      </c>
      <c r="AP91" s="2">
        <v>4.88885171E8</v>
      </c>
      <c r="AQ91" s="1" t="s">
        <v>210</v>
      </c>
      <c r="AR91" s="2">
        <v>45806.67402777778</v>
      </c>
      <c r="AU91" s="1" t="s">
        <v>64</v>
      </c>
      <c r="AW91" s="1" t="s">
        <v>191</v>
      </c>
      <c r="AY91" s="2">
        <v>90.0</v>
      </c>
    </row>
    <row r="92">
      <c r="A92" s="1" t="s">
        <v>51</v>
      </c>
      <c r="C92" s="1" t="s">
        <v>53</v>
      </c>
      <c r="E92" s="1" t="s">
        <v>53</v>
      </c>
      <c r="F92" s="1" t="s">
        <v>149</v>
      </c>
      <c r="G92" s="2">
        <v>34.0</v>
      </c>
      <c r="H92" s="1" t="s">
        <v>66</v>
      </c>
      <c r="I92" s="1" t="s">
        <v>121</v>
      </c>
      <c r="J92" s="1" t="s">
        <v>86</v>
      </c>
      <c r="K92" s="1" t="s">
        <v>87</v>
      </c>
      <c r="M92" s="1" t="s">
        <v>58</v>
      </c>
      <c r="O92" s="1" t="s">
        <v>58</v>
      </c>
      <c r="Q92" s="1" t="s">
        <v>58</v>
      </c>
      <c r="R92" s="1" t="s">
        <v>58</v>
      </c>
      <c r="S92" s="1" t="s">
        <v>69</v>
      </c>
      <c r="T92" s="1" t="s">
        <v>69</v>
      </c>
      <c r="U92" s="1" t="s">
        <v>58</v>
      </c>
      <c r="V92" s="1" t="s">
        <v>69</v>
      </c>
      <c r="W92" s="1" t="s">
        <v>69</v>
      </c>
      <c r="X92" s="1" t="s">
        <v>59</v>
      </c>
      <c r="Y92" s="1" t="s">
        <v>95</v>
      </c>
      <c r="Z92" s="1" t="s">
        <v>61</v>
      </c>
      <c r="AA92" s="2">
        <v>100.0</v>
      </c>
      <c r="AB92" s="1" t="s">
        <v>79</v>
      </c>
      <c r="AF92" s="1" t="s">
        <v>51</v>
      </c>
      <c r="AG92" s="1" t="s">
        <v>51</v>
      </c>
      <c r="AH92" s="2">
        <v>50.0</v>
      </c>
      <c r="AI92" s="2">
        <v>0.0</v>
      </c>
      <c r="AJ92" s="2">
        <v>0.0</v>
      </c>
      <c r="AK92" s="2">
        <v>0.0</v>
      </c>
      <c r="AL92" s="2">
        <v>1.0</v>
      </c>
      <c r="AM92" s="1" t="s">
        <v>51</v>
      </c>
      <c r="AN92" s="2">
        <v>7.31367408E8</v>
      </c>
      <c r="AP92" s="2">
        <v>4.88933913E8</v>
      </c>
      <c r="AQ92" s="1" t="s">
        <v>211</v>
      </c>
      <c r="AR92" s="2">
        <v>45806.70991898148</v>
      </c>
      <c r="AU92" s="1" t="s">
        <v>64</v>
      </c>
      <c r="AW92" s="1" t="s">
        <v>191</v>
      </c>
      <c r="AY92" s="2">
        <v>91.0</v>
      </c>
    </row>
    <row r="93">
      <c r="A93" s="1" t="s">
        <v>51</v>
      </c>
      <c r="C93" s="1" t="s">
        <v>212</v>
      </c>
      <c r="E93" s="1" t="s">
        <v>53</v>
      </c>
      <c r="F93" s="1" t="s">
        <v>102</v>
      </c>
      <c r="G93" s="2">
        <v>50.0</v>
      </c>
      <c r="H93" s="1" t="s">
        <v>55</v>
      </c>
      <c r="I93" s="1" t="s">
        <v>67</v>
      </c>
      <c r="J93" s="1" t="s">
        <v>86</v>
      </c>
      <c r="K93" s="1" t="s">
        <v>87</v>
      </c>
      <c r="M93" s="1" t="s">
        <v>58</v>
      </c>
      <c r="N93" s="1" t="s">
        <v>58</v>
      </c>
      <c r="O93" s="1" t="s">
        <v>58</v>
      </c>
      <c r="Q93" s="1" t="s">
        <v>69</v>
      </c>
      <c r="R93" s="1" t="s">
        <v>58</v>
      </c>
      <c r="S93" s="1" t="s">
        <v>69</v>
      </c>
      <c r="T93" s="1" t="s">
        <v>69</v>
      </c>
      <c r="U93" s="1" t="s">
        <v>69</v>
      </c>
      <c r="V93" s="1" t="s">
        <v>58</v>
      </c>
      <c r="W93" s="1" t="s">
        <v>69</v>
      </c>
      <c r="X93" s="1" t="s">
        <v>88</v>
      </c>
      <c r="Y93" s="1" t="s">
        <v>95</v>
      </c>
      <c r="Z93" s="1" t="s">
        <v>89</v>
      </c>
      <c r="AA93" s="2">
        <v>100.0</v>
      </c>
      <c r="AB93" s="1" t="s">
        <v>79</v>
      </c>
      <c r="AF93" s="1" t="s">
        <v>51</v>
      </c>
      <c r="AG93" s="1" t="s">
        <v>72</v>
      </c>
      <c r="AI93" s="2">
        <v>0.0</v>
      </c>
      <c r="AJ93" s="2">
        <v>0.0</v>
      </c>
      <c r="AK93" s="2">
        <v>0.0</v>
      </c>
      <c r="AL93" s="2">
        <v>1.0</v>
      </c>
      <c r="AM93" s="1" t="s">
        <v>72</v>
      </c>
      <c r="AP93" s="2">
        <v>4.88978682E8</v>
      </c>
      <c r="AQ93" s="1" t="s">
        <v>213</v>
      </c>
      <c r="AR93" s="2">
        <v>45806.750023148146</v>
      </c>
      <c r="AU93" s="1" t="s">
        <v>64</v>
      </c>
      <c r="AW93" s="1" t="s">
        <v>191</v>
      </c>
      <c r="AY93" s="2">
        <v>92.0</v>
      </c>
    </row>
    <row r="94">
      <c r="A94" s="1" t="s">
        <v>51</v>
      </c>
      <c r="C94" s="1" t="s">
        <v>53</v>
      </c>
      <c r="E94" s="1" t="s">
        <v>53</v>
      </c>
      <c r="F94" s="1" t="s">
        <v>214</v>
      </c>
      <c r="G94" s="2">
        <v>39.0</v>
      </c>
      <c r="H94" s="1" t="s">
        <v>66</v>
      </c>
      <c r="I94" s="1" t="s">
        <v>121</v>
      </c>
      <c r="J94" s="1" t="s">
        <v>86</v>
      </c>
      <c r="K94" s="1" t="s">
        <v>87</v>
      </c>
      <c r="M94" s="1" t="s">
        <v>58</v>
      </c>
      <c r="N94" s="1" t="s">
        <v>58</v>
      </c>
      <c r="O94" s="1" t="s">
        <v>58</v>
      </c>
      <c r="Q94" s="1" t="s">
        <v>69</v>
      </c>
      <c r="R94" s="1" t="s">
        <v>58</v>
      </c>
      <c r="S94" s="1" t="s">
        <v>58</v>
      </c>
      <c r="T94" s="1" t="s">
        <v>58</v>
      </c>
      <c r="U94" s="1" t="s">
        <v>58</v>
      </c>
      <c r="V94" s="1" t="s">
        <v>58</v>
      </c>
      <c r="W94" s="1" t="s">
        <v>58</v>
      </c>
      <c r="X94" s="1" t="s">
        <v>88</v>
      </c>
      <c r="Y94" s="1" t="s">
        <v>95</v>
      </c>
      <c r="Z94" s="1" t="s">
        <v>89</v>
      </c>
      <c r="AA94" s="2">
        <v>100.0</v>
      </c>
      <c r="AB94" s="1" t="s">
        <v>62</v>
      </c>
      <c r="AC94" s="1" t="s">
        <v>51</v>
      </c>
      <c r="AD94" s="1" t="s">
        <v>81</v>
      </c>
      <c r="AE94" s="1" t="s">
        <v>51</v>
      </c>
      <c r="AG94" s="1" t="s">
        <v>51</v>
      </c>
      <c r="AH94" s="2">
        <v>100.0</v>
      </c>
      <c r="AI94" s="2">
        <v>0.0</v>
      </c>
      <c r="AJ94" s="2">
        <v>1.0</v>
      </c>
      <c r="AK94" s="2">
        <v>1.0</v>
      </c>
      <c r="AL94" s="2">
        <v>0.0</v>
      </c>
      <c r="AM94" s="1" t="s">
        <v>72</v>
      </c>
      <c r="AP94" s="2">
        <v>4.88978973E8</v>
      </c>
      <c r="AQ94" s="1" t="s">
        <v>215</v>
      </c>
      <c r="AR94" s="2">
        <v>45806.750439814816</v>
      </c>
      <c r="AU94" s="1" t="s">
        <v>64</v>
      </c>
      <c r="AW94" s="1" t="s">
        <v>191</v>
      </c>
      <c r="AY94" s="2">
        <v>93.0</v>
      </c>
    </row>
    <row r="95">
      <c r="A95" s="1" t="s">
        <v>51</v>
      </c>
      <c r="C95" s="1" t="s">
        <v>53</v>
      </c>
      <c r="E95" s="1" t="s">
        <v>53</v>
      </c>
      <c r="F95" s="1" t="s">
        <v>54</v>
      </c>
      <c r="G95" s="2">
        <v>45.0</v>
      </c>
      <c r="H95" s="1" t="s">
        <v>66</v>
      </c>
      <c r="I95" s="1" t="s">
        <v>121</v>
      </c>
      <c r="J95" s="1" t="s">
        <v>56</v>
      </c>
      <c r="K95" s="1" t="s">
        <v>87</v>
      </c>
      <c r="M95" s="1" t="s">
        <v>58</v>
      </c>
      <c r="N95" s="1" t="s">
        <v>58</v>
      </c>
      <c r="O95" s="1" t="s">
        <v>69</v>
      </c>
      <c r="Q95" s="1" t="s">
        <v>69</v>
      </c>
      <c r="R95" s="1" t="s">
        <v>58</v>
      </c>
      <c r="S95" s="1" t="s">
        <v>69</v>
      </c>
      <c r="T95" s="1" t="s">
        <v>69</v>
      </c>
      <c r="U95" s="1" t="s">
        <v>70</v>
      </c>
      <c r="V95" s="1" t="s">
        <v>58</v>
      </c>
      <c r="W95" s="1" t="s">
        <v>69</v>
      </c>
      <c r="X95" s="1" t="s">
        <v>88</v>
      </c>
      <c r="Y95" s="1" t="s">
        <v>95</v>
      </c>
      <c r="Z95" s="1" t="s">
        <v>96</v>
      </c>
      <c r="AA95" s="2">
        <v>100.0</v>
      </c>
      <c r="AB95" s="1" t="s">
        <v>62</v>
      </c>
      <c r="AC95" s="1" t="s">
        <v>51</v>
      </c>
      <c r="AD95" s="1" t="s">
        <v>59</v>
      </c>
      <c r="AF95" s="1" t="s">
        <v>51</v>
      </c>
      <c r="AG95" s="1" t="s">
        <v>51</v>
      </c>
      <c r="AH95" s="2">
        <v>50.0</v>
      </c>
      <c r="AI95" s="2">
        <v>1.0</v>
      </c>
      <c r="AJ95" s="2">
        <v>1.0</v>
      </c>
      <c r="AK95" s="2">
        <v>1.0</v>
      </c>
      <c r="AL95" s="2">
        <v>0.0</v>
      </c>
      <c r="AM95" s="1" t="s">
        <v>51</v>
      </c>
      <c r="AN95" s="2">
        <v>8.37723525E8</v>
      </c>
      <c r="AP95" s="2">
        <v>4.89006974E8</v>
      </c>
      <c r="AQ95" s="1" t="s">
        <v>216</v>
      </c>
      <c r="AR95" s="2">
        <v>45806.78528935185</v>
      </c>
      <c r="AU95" s="1" t="s">
        <v>64</v>
      </c>
      <c r="AW95" s="1" t="s">
        <v>191</v>
      </c>
      <c r="AY95" s="2">
        <v>94.0</v>
      </c>
    </row>
    <row r="96">
      <c r="A96" s="1" t="s">
        <v>51</v>
      </c>
      <c r="C96" s="1" t="s">
        <v>53</v>
      </c>
      <c r="E96" s="1" t="s">
        <v>53</v>
      </c>
      <c r="F96" s="1" t="s">
        <v>94</v>
      </c>
      <c r="G96" s="2">
        <v>43.0</v>
      </c>
      <c r="H96" s="1" t="s">
        <v>66</v>
      </c>
      <c r="I96" s="1" t="s">
        <v>121</v>
      </c>
      <c r="J96" s="1" t="s">
        <v>86</v>
      </c>
      <c r="K96" s="1" t="s">
        <v>87</v>
      </c>
      <c r="M96" s="1" t="s">
        <v>58</v>
      </c>
      <c r="N96" s="1" t="s">
        <v>58</v>
      </c>
      <c r="O96" s="1" t="s">
        <v>69</v>
      </c>
      <c r="Q96" s="1" t="s">
        <v>58</v>
      </c>
      <c r="R96" s="1" t="s">
        <v>58</v>
      </c>
      <c r="S96" s="1" t="s">
        <v>58</v>
      </c>
      <c r="T96" s="1" t="s">
        <v>69</v>
      </c>
      <c r="U96" s="1" t="s">
        <v>58</v>
      </c>
      <c r="V96" s="1" t="s">
        <v>58</v>
      </c>
      <c r="W96" s="1" t="s">
        <v>69</v>
      </c>
      <c r="X96" s="1" t="s">
        <v>59</v>
      </c>
      <c r="Y96" s="1" t="s">
        <v>95</v>
      </c>
      <c r="Z96" s="1" t="s">
        <v>89</v>
      </c>
      <c r="AA96" s="2">
        <v>30.0</v>
      </c>
      <c r="AB96" s="1" t="s">
        <v>28</v>
      </c>
      <c r="AC96" s="1" t="s">
        <v>71</v>
      </c>
      <c r="AF96" s="1" t="s">
        <v>72</v>
      </c>
      <c r="AG96" s="1" t="s">
        <v>72</v>
      </c>
      <c r="AI96" s="2">
        <v>0.0</v>
      </c>
      <c r="AJ96" s="2">
        <v>0.0</v>
      </c>
      <c r="AK96" s="2">
        <v>1.0</v>
      </c>
      <c r="AL96" s="2">
        <v>0.0</v>
      </c>
      <c r="AM96" s="1" t="s">
        <v>72</v>
      </c>
      <c r="AP96" s="2">
        <v>4.89015378E8</v>
      </c>
      <c r="AQ96" s="1" t="s">
        <v>217</v>
      </c>
      <c r="AR96" s="2">
        <v>45806.797951388886</v>
      </c>
      <c r="AU96" s="1" t="s">
        <v>64</v>
      </c>
      <c r="AW96" s="1" t="s">
        <v>191</v>
      </c>
      <c r="AY96" s="2">
        <v>95.0</v>
      </c>
    </row>
    <row r="97">
      <c r="A97" s="1" t="s">
        <v>51</v>
      </c>
      <c r="C97" s="1" t="s">
        <v>151</v>
      </c>
      <c r="E97" s="1" t="s">
        <v>53</v>
      </c>
      <c r="F97" s="1" t="s">
        <v>102</v>
      </c>
      <c r="G97" s="2">
        <v>38.0</v>
      </c>
      <c r="H97" s="1" t="s">
        <v>66</v>
      </c>
      <c r="I97" s="1" t="s">
        <v>67</v>
      </c>
      <c r="J97" s="1" t="s">
        <v>68</v>
      </c>
      <c r="K97" s="1" t="s">
        <v>74</v>
      </c>
      <c r="M97" s="1" t="s">
        <v>58</v>
      </c>
      <c r="N97" s="1" t="s">
        <v>58</v>
      </c>
      <c r="O97" s="1" t="s">
        <v>58</v>
      </c>
      <c r="Q97" s="1" t="s">
        <v>58</v>
      </c>
      <c r="R97" s="1" t="s">
        <v>58</v>
      </c>
      <c r="S97" s="1" t="s">
        <v>58</v>
      </c>
      <c r="T97" s="1" t="s">
        <v>69</v>
      </c>
      <c r="U97" s="1" t="s">
        <v>69</v>
      </c>
      <c r="V97" s="1" t="s">
        <v>69</v>
      </c>
      <c r="W97" s="1" t="s">
        <v>69</v>
      </c>
      <c r="X97" s="1" t="s">
        <v>81</v>
      </c>
      <c r="Y97" s="1" t="s">
        <v>60</v>
      </c>
      <c r="Z97" s="1" t="s">
        <v>61</v>
      </c>
      <c r="AA97" s="2">
        <v>10.0</v>
      </c>
      <c r="AB97" s="1" t="s">
        <v>62</v>
      </c>
      <c r="AC97" s="1" t="s">
        <v>71</v>
      </c>
      <c r="AF97" s="1" t="s">
        <v>51</v>
      </c>
      <c r="AG97" s="1" t="s">
        <v>72</v>
      </c>
      <c r="AI97" s="2">
        <v>0.0</v>
      </c>
      <c r="AJ97" s="2">
        <v>0.0</v>
      </c>
      <c r="AK97" s="2">
        <v>0.0</v>
      </c>
      <c r="AL97" s="2">
        <v>1.0</v>
      </c>
      <c r="AM97" s="1" t="s">
        <v>72</v>
      </c>
      <c r="AP97" s="2">
        <v>4.89056347E8</v>
      </c>
      <c r="AQ97" s="1" t="s">
        <v>218</v>
      </c>
      <c r="AR97" s="2">
        <v>45806.863912037035</v>
      </c>
      <c r="AU97" s="1" t="s">
        <v>64</v>
      </c>
      <c r="AW97" s="1" t="s">
        <v>165</v>
      </c>
      <c r="AY97" s="2">
        <v>96.0</v>
      </c>
    </row>
    <row r="98">
      <c r="A98" s="1" t="s">
        <v>51</v>
      </c>
      <c r="C98" s="1" t="s">
        <v>53</v>
      </c>
      <c r="E98" s="1" t="s">
        <v>53</v>
      </c>
      <c r="F98" s="1" t="s">
        <v>102</v>
      </c>
      <c r="G98" s="2">
        <v>39.0</v>
      </c>
      <c r="H98" s="1" t="s">
        <v>55</v>
      </c>
      <c r="I98" s="1" t="s">
        <v>121</v>
      </c>
      <c r="J98" s="1" t="s">
        <v>86</v>
      </c>
      <c r="K98" s="1" t="s">
        <v>74</v>
      </c>
      <c r="M98" s="1" t="s">
        <v>58</v>
      </c>
      <c r="N98" s="1" t="s">
        <v>58</v>
      </c>
      <c r="O98" s="1" t="s">
        <v>58</v>
      </c>
      <c r="Q98" s="1" t="s">
        <v>69</v>
      </c>
      <c r="R98" s="1" t="s">
        <v>58</v>
      </c>
      <c r="S98" s="1" t="s">
        <v>69</v>
      </c>
      <c r="T98" s="1" t="s">
        <v>69</v>
      </c>
      <c r="U98" s="1" t="s">
        <v>69</v>
      </c>
      <c r="V98" s="1" t="s">
        <v>58</v>
      </c>
      <c r="W98" s="1" t="s">
        <v>69</v>
      </c>
      <c r="X98" s="1" t="s">
        <v>59</v>
      </c>
      <c r="Y98" s="1" t="s">
        <v>60</v>
      </c>
      <c r="Z98" s="1" t="s">
        <v>61</v>
      </c>
      <c r="AA98" s="2">
        <v>100.0</v>
      </c>
      <c r="AB98" s="1" t="s">
        <v>62</v>
      </c>
      <c r="AC98" s="1" t="s">
        <v>72</v>
      </c>
      <c r="AF98" s="1" t="s">
        <v>51</v>
      </c>
      <c r="AG98" s="1" t="s">
        <v>51</v>
      </c>
      <c r="AH98" s="2">
        <v>500.0</v>
      </c>
      <c r="AI98" s="2">
        <v>0.0</v>
      </c>
      <c r="AJ98" s="2">
        <v>1.0</v>
      </c>
      <c r="AK98" s="2">
        <v>0.0</v>
      </c>
      <c r="AL98" s="2">
        <v>0.0</v>
      </c>
      <c r="AM98" s="1" t="s">
        <v>51</v>
      </c>
      <c r="AN98" s="2">
        <v>6.94715148E8</v>
      </c>
      <c r="AP98" s="2">
        <v>4.89145506E8</v>
      </c>
      <c r="AQ98" s="1" t="s">
        <v>219</v>
      </c>
      <c r="AR98" s="2">
        <v>45807.1694212963</v>
      </c>
      <c r="AU98" s="1" t="s">
        <v>64</v>
      </c>
      <c r="AW98" s="1" t="s">
        <v>191</v>
      </c>
      <c r="AY98" s="2">
        <v>97.0</v>
      </c>
    </row>
    <row r="99">
      <c r="A99" s="1" t="s">
        <v>51</v>
      </c>
      <c r="C99" s="1" t="s">
        <v>53</v>
      </c>
      <c r="E99" s="1" t="s">
        <v>53</v>
      </c>
      <c r="F99" s="1" t="s">
        <v>102</v>
      </c>
      <c r="G99" s="2">
        <v>54.0</v>
      </c>
      <c r="H99" s="1" t="s">
        <v>66</v>
      </c>
      <c r="I99" s="1" t="s">
        <v>121</v>
      </c>
      <c r="J99" s="1" t="s">
        <v>86</v>
      </c>
      <c r="K99" s="1" t="s">
        <v>87</v>
      </c>
      <c r="M99" s="1" t="s">
        <v>58</v>
      </c>
      <c r="N99" s="1" t="s">
        <v>58</v>
      </c>
      <c r="O99" s="1" t="s">
        <v>58</v>
      </c>
      <c r="Q99" s="1" t="s">
        <v>69</v>
      </c>
      <c r="R99" s="1" t="s">
        <v>69</v>
      </c>
      <c r="S99" s="1" t="s">
        <v>58</v>
      </c>
      <c r="T99" s="1" t="s">
        <v>69</v>
      </c>
      <c r="U99" s="1" t="s">
        <v>58</v>
      </c>
      <c r="V99" s="1" t="s">
        <v>58</v>
      </c>
      <c r="W99" s="1" t="s">
        <v>69</v>
      </c>
      <c r="X99" s="1" t="s">
        <v>81</v>
      </c>
      <c r="Y99" s="1" t="s">
        <v>95</v>
      </c>
      <c r="Z99" s="1" t="s">
        <v>61</v>
      </c>
      <c r="AA99" s="2">
        <v>100.0</v>
      </c>
      <c r="AB99" s="1" t="s">
        <v>62</v>
      </c>
      <c r="AC99" s="1" t="s">
        <v>71</v>
      </c>
      <c r="AF99" s="1" t="s">
        <v>51</v>
      </c>
      <c r="AG99" s="1" t="s">
        <v>51</v>
      </c>
      <c r="AH99" s="2">
        <v>2000.0</v>
      </c>
      <c r="AI99" s="2">
        <v>0.0</v>
      </c>
      <c r="AJ99" s="2">
        <v>0.0</v>
      </c>
      <c r="AK99" s="2">
        <v>0.0</v>
      </c>
      <c r="AL99" s="2">
        <v>1.0</v>
      </c>
      <c r="AM99" s="1" t="s">
        <v>51</v>
      </c>
      <c r="AN99" s="2">
        <v>7.81400075E8</v>
      </c>
      <c r="AP99" s="2">
        <v>4.89150112E8</v>
      </c>
      <c r="AQ99" s="1" t="s">
        <v>220</v>
      </c>
      <c r="AR99" s="2">
        <v>45807.18351851852</v>
      </c>
      <c r="AU99" s="1" t="s">
        <v>64</v>
      </c>
      <c r="AW99" s="1" t="s">
        <v>191</v>
      </c>
      <c r="AY99" s="2">
        <v>98.0</v>
      </c>
    </row>
    <row r="100">
      <c r="A100" s="1" t="s">
        <v>51</v>
      </c>
      <c r="C100" s="1" t="s">
        <v>53</v>
      </c>
      <c r="E100" s="1" t="s">
        <v>53</v>
      </c>
      <c r="F100" s="1" t="s">
        <v>221</v>
      </c>
      <c r="G100" s="2">
        <v>41.0</v>
      </c>
      <c r="H100" s="1" t="s">
        <v>55</v>
      </c>
      <c r="I100" s="1" t="s">
        <v>121</v>
      </c>
      <c r="J100" s="1" t="s">
        <v>56</v>
      </c>
      <c r="K100" s="1" t="s">
        <v>87</v>
      </c>
      <c r="M100" s="1" t="s">
        <v>58</v>
      </c>
      <c r="N100" s="1" t="s">
        <v>58</v>
      </c>
      <c r="O100" s="1" t="s">
        <v>70</v>
      </c>
      <c r="Q100" s="1" t="s">
        <v>70</v>
      </c>
      <c r="R100" s="1" t="s">
        <v>58</v>
      </c>
      <c r="S100" s="1" t="s">
        <v>69</v>
      </c>
      <c r="T100" s="1" t="s">
        <v>69</v>
      </c>
      <c r="U100" s="1" t="s">
        <v>58</v>
      </c>
      <c r="V100" s="1" t="s">
        <v>58</v>
      </c>
      <c r="W100" s="1" t="s">
        <v>70</v>
      </c>
      <c r="X100" s="1" t="s">
        <v>59</v>
      </c>
      <c r="Z100" s="1" t="s">
        <v>89</v>
      </c>
      <c r="AA100" s="2">
        <v>50.0</v>
      </c>
      <c r="AB100" s="1" t="s">
        <v>62</v>
      </c>
      <c r="AC100" s="1" t="s">
        <v>51</v>
      </c>
      <c r="AD100" s="1" t="s">
        <v>59</v>
      </c>
      <c r="AE100" s="1" t="s">
        <v>51</v>
      </c>
      <c r="AF100" s="1" t="s">
        <v>51</v>
      </c>
      <c r="AG100" s="1" t="s">
        <v>51</v>
      </c>
      <c r="AH100" s="2">
        <v>50.0</v>
      </c>
      <c r="AI100" s="2">
        <v>0.0</v>
      </c>
      <c r="AJ100" s="2">
        <v>0.0</v>
      </c>
      <c r="AK100" s="2">
        <v>0.0</v>
      </c>
      <c r="AL100" s="2">
        <v>1.0</v>
      </c>
      <c r="AM100" s="1" t="s">
        <v>72</v>
      </c>
      <c r="AP100" s="2">
        <v>4.89158046E8</v>
      </c>
      <c r="AQ100" s="1" t="s">
        <v>222</v>
      </c>
      <c r="AR100" s="2">
        <v>45807.200844907406</v>
      </c>
      <c r="AU100" s="1" t="s">
        <v>64</v>
      </c>
      <c r="AW100" s="1" t="s">
        <v>191</v>
      </c>
      <c r="AY100" s="2">
        <v>99.0</v>
      </c>
    </row>
    <row r="101">
      <c r="A101" s="1" t="s">
        <v>51</v>
      </c>
      <c r="C101" s="1" t="s">
        <v>53</v>
      </c>
      <c r="E101" s="1" t="s">
        <v>53</v>
      </c>
      <c r="F101" s="1" t="s">
        <v>54</v>
      </c>
      <c r="G101" s="2">
        <v>30.0</v>
      </c>
      <c r="H101" s="1" t="s">
        <v>66</v>
      </c>
      <c r="I101" s="1" t="s">
        <v>121</v>
      </c>
      <c r="J101" s="1" t="s">
        <v>86</v>
      </c>
      <c r="K101" s="1" t="s">
        <v>87</v>
      </c>
      <c r="M101" s="1" t="s">
        <v>69</v>
      </c>
      <c r="N101" s="1" t="s">
        <v>58</v>
      </c>
      <c r="O101" s="1" t="s">
        <v>69</v>
      </c>
      <c r="Q101" s="1" t="s">
        <v>58</v>
      </c>
      <c r="R101" s="1" t="s">
        <v>58</v>
      </c>
      <c r="S101" s="1" t="s">
        <v>58</v>
      </c>
      <c r="T101" s="1" t="s">
        <v>58</v>
      </c>
      <c r="U101" s="1" t="s">
        <v>58</v>
      </c>
      <c r="V101" s="1" t="s">
        <v>58</v>
      </c>
      <c r="W101" s="1" t="s">
        <v>58</v>
      </c>
      <c r="X101" s="1" t="s">
        <v>81</v>
      </c>
      <c r="Y101" s="1" t="s">
        <v>82</v>
      </c>
      <c r="Z101" s="1" t="s">
        <v>89</v>
      </c>
      <c r="AA101" s="2">
        <v>100.0</v>
      </c>
      <c r="AB101" s="1" t="s">
        <v>79</v>
      </c>
      <c r="AC101" s="1" t="s">
        <v>71</v>
      </c>
      <c r="AF101" s="1" t="s">
        <v>51</v>
      </c>
      <c r="AG101" s="1" t="s">
        <v>51</v>
      </c>
      <c r="AH101" s="2">
        <v>125.0</v>
      </c>
      <c r="AI101" s="2">
        <v>1.0</v>
      </c>
      <c r="AJ101" s="2">
        <v>1.0</v>
      </c>
      <c r="AK101" s="2">
        <v>1.0</v>
      </c>
      <c r="AL101" s="2">
        <v>0.0</v>
      </c>
      <c r="AM101" s="1" t="s">
        <v>51</v>
      </c>
      <c r="AN101" s="2">
        <v>7.22406196E8</v>
      </c>
      <c r="AP101" s="2">
        <v>4.8916466E8</v>
      </c>
      <c r="AQ101" s="1" t="s">
        <v>223</v>
      </c>
      <c r="AR101" s="2">
        <v>45807.217141203706</v>
      </c>
      <c r="AU101" s="1" t="s">
        <v>64</v>
      </c>
      <c r="AW101" s="1" t="s">
        <v>191</v>
      </c>
      <c r="AY101" s="2">
        <v>100.0</v>
      </c>
    </row>
    <row r="102">
      <c r="A102" s="1" t="s">
        <v>51</v>
      </c>
      <c r="C102" s="1" t="s">
        <v>52</v>
      </c>
      <c r="E102" s="1" t="s">
        <v>53</v>
      </c>
      <c r="F102" s="1" t="s">
        <v>54</v>
      </c>
      <c r="G102" s="2">
        <v>40.0</v>
      </c>
      <c r="H102" s="1" t="s">
        <v>55</v>
      </c>
      <c r="I102" s="1" t="s">
        <v>67</v>
      </c>
      <c r="J102" s="1" t="s">
        <v>86</v>
      </c>
      <c r="K102" s="1" t="s">
        <v>87</v>
      </c>
      <c r="M102" s="1" t="s">
        <v>58</v>
      </c>
      <c r="N102" s="1" t="s">
        <v>58</v>
      </c>
      <c r="O102" s="1" t="s">
        <v>69</v>
      </c>
      <c r="Q102" s="1" t="s">
        <v>69</v>
      </c>
      <c r="R102" s="1" t="s">
        <v>58</v>
      </c>
      <c r="S102" s="1" t="s">
        <v>69</v>
      </c>
      <c r="T102" s="1" t="s">
        <v>69</v>
      </c>
      <c r="U102" s="1" t="s">
        <v>58</v>
      </c>
      <c r="V102" s="1" t="s">
        <v>58</v>
      </c>
      <c r="W102" s="1" t="s">
        <v>69</v>
      </c>
      <c r="X102" s="1" t="s">
        <v>88</v>
      </c>
      <c r="Y102" s="1" t="s">
        <v>95</v>
      </c>
      <c r="Z102" s="1" t="s">
        <v>96</v>
      </c>
      <c r="AA102" s="2">
        <v>100.0</v>
      </c>
      <c r="AB102" s="1" t="s">
        <v>79</v>
      </c>
      <c r="AC102" s="1" t="s">
        <v>51</v>
      </c>
      <c r="AD102" s="1" t="s">
        <v>103</v>
      </c>
      <c r="AE102" s="1" t="s">
        <v>51</v>
      </c>
      <c r="AF102" s="1" t="s">
        <v>51</v>
      </c>
      <c r="AG102" s="1" t="s">
        <v>72</v>
      </c>
      <c r="AI102" s="2">
        <v>0.0</v>
      </c>
      <c r="AJ102" s="2">
        <v>1.0</v>
      </c>
      <c r="AK102" s="2">
        <v>0.0</v>
      </c>
      <c r="AL102" s="2">
        <v>0.0</v>
      </c>
      <c r="AM102" s="1" t="s">
        <v>51</v>
      </c>
      <c r="AN102" s="2">
        <v>7.49037713E8</v>
      </c>
      <c r="AP102" s="2">
        <v>4.89165434E8</v>
      </c>
      <c r="AQ102" s="1" t="s">
        <v>224</v>
      </c>
      <c r="AR102" s="2">
        <v>45807.21875</v>
      </c>
      <c r="AU102" s="1" t="s">
        <v>64</v>
      </c>
      <c r="AW102" s="1" t="s">
        <v>191</v>
      </c>
      <c r="AY102" s="2">
        <v>101.0</v>
      </c>
    </row>
    <row r="103">
      <c r="A103" s="1" t="s">
        <v>51</v>
      </c>
      <c r="C103" s="1" t="s">
        <v>53</v>
      </c>
      <c r="E103" s="1" t="s">
        <v>53</v>
      </c>
      <c r="F103" s="1" t="s">
        <v>225</v>
      </c>
      <c r="G103" s="2">
        <v>37.0</v>
      </c>
      <c r="H103" s="1" t="s">
        <v>66</v>
      </c>
      <c r="I103" s="1" t="s">
        <v>121</v>
      </c>
      <c r="J103" s="1" t="s">
        <v>56</v>
      </c>
      <c r="K103" s="1" t="s">
        <v>87</v>
      </c>
      <c r="M103" s="1" t="s">
        <v>58</v>
      </c>
      <c r="N103" s="1" t="s">
        <v>58</v>
      </c>
      <c r="O103" s="1" t="s">
        <v>58</v>
      </c>
      <c r="Q103" s="1" t="s">
        <v>69</v>
      </c>
      <c r="R103" s="1" t="s">
        <v>58</v>
      </c>
      <c r="S103" s="1" t="s">
        <v>58</v>
      </c>
      <c r="T103" s="1" t="s">
        <v>69</v>
      </c>
      <c r="U103" s="1" t="s">
        <v>58</v>
      </c>
      <c r="V103" s="1" t="s">
        <v>58</v>
      </c>
      <c r="W103" s="1" t="s">
        <v>69</v>
      </c>
      <c r="X103" s="1" t="s">
        <v>59</v>
      </c>
      <c r="Y103" s="1" t="s">
        <v>60</v>
      </c>
      <c r="Z103" s="1" t="s">
        <v>61</v>
      </c>
      <c r="AA103" s="2">
        <v>50.0</v>
      </c>
      <c r="AB103" s="1" t="s">
        <v>79</v>
      </c>
      <c r="AC103" s="1" t="s">
        <v>71</v>
      </c>
      <c r="AF103" s="1" t="s">
        <v>51</v>
      </c>
      <c r="AG103" s="1" t="s">
        <v>51</v>
      </c>
      <c r="AI103" s="2">
        <v>1.0</v>
      </c>
      <c r="AJ103" s="2">
        <v>1.0</v>
      </c>
      <c r="AK103" s="2">
        <v>1.0</v>
      </c>
      <c r="AL103" s="2">
        <v>0.0</v>
      </c>
      <c r="AM103" s="1" t="s">
        <v>51</v>
      </c>
      <c r="AN103" s="2">
        <v>7.63000151E8</v>
      </c>
      <c r="AP103" s="2">
        <v>4.89181341E8</v>
      </c>
      <c r="AQ103" s="1" t="s">
        <v>226</v>
      </c>
      <c r="AR103" s="2">
        <v>45807.250439814816</v>
      </c>
      <c r="AU103" s="1" t="s">
        <v>64</v>
      </c>
      <c r="AW103" s="1" t="s">
        <v>191</v>
      </c>
      <c r="AY103" s="2">
        <v>102.0</v>
      </c>
    </row>
    <row r="104">
      <c r="A104" s="1" t="s">
        <v>51</v>
      </c>
      <c r="C104" s="1" t="s">
        <v>151</v>
      </c>
      <c r="E104" s="1" t="s">
        <v>151</v>
      </c>
      <c r="G104" s="2">
        <v>39.0</v>
      </c>
      <c r="H104" s="1" t="s">
        <v>66</v>
      </c>
      <c r="J104" s="1" t="s">
        <v>86</v>
      </c>
      <c r="K104" s="1" t="s">
        <v>87</v>
      </c>
      <c r="M104" s="1" t="s">
        <v>58</v>
      </c>
      <c r="N104" s="1" t="s">
        <v>70</v>
      </c>
      <c r="O104" s="1" t="s">
        <v>69</v>
      </c>
      <c r="Q104" s="1" t="s">
        <v>69</v>
      </c>
      <c r="R104" s="1" t="s">
        <v>58</v>
      </c>
      <c r="S104" s="1" t="s">
        <v>69</v>
      </c>
      <c r="T104" s="1" t="s">
        <v>69</v>
      </c>
      <c r="U104" s="1" t="s">
        <v>58</v>
      </c>
      <c r="V104" s="1" t="s">
        <v>69</v>
      </c>
      <c r="W104" s="1" t="s">
        <v>69</v>
      </c>
      <c r="X104" s="1" t="s">
        <v>103</v>
      </c>
      <c r="Y104" s="1" t="s">
        <v>227</v>
      </c>
      <c r="Z104" s="1" t="s">
        <v>96</v>
      </c>
      <c r="AA104" s="2">
        <v>10.0</v>
      </c>
      <c r="AB104" s="1" t="s">
        <v>79</v>
      </c>
      <c r="AC104" s="1" t="s">
        <v>71</v>
      </c>
      <c r="AF104" s="1" t="s">
        <v>51</v>
      </c>
      <c r="AG104" s="1" t="s">
        <v>51</v>
      </c>
      <c r="AH104" s="2">
        <v>4000.0</v>
      </c>
      <c r="AI104" s="2">
        <v>1.0</v>
      </c>
      <c r="AJ104" s="2">
        <v>1.0</v>
      </c>
      <c r="AK104" s="2">
        <v>0.0</v>
      </c>
      <c r="AL104" s="2">
        <v>0.0</v>
      </c>
      <c r="AP104" s="2">
        <v>4.89189157E8</v>
      </c>
      <c r="AQ104" s="1" t="s">
        <v>228</v>
      </c>
      <c r="AR104" s="2">
        <v>45807.262337962966</v>
      </c>
      <c r="AU104" s="1" t="s">
        <v>64</v>
      </c>
      <c r="AW104" s="1" t="s">
        <v>191</v>
      </c>
      <c r="AY104" s="2">
        <v>103.0</v>
      </c>
    </row>
    <row r="105">
      <c r="A105" s="1" t="s">
        <v>51</v>
      </c>
      <c r="C105" s="1" t="s">
        <v>151</v>
      </c>
      <c r="E105" s="1" t="s">
        <v>151</v>
      </c>
      <c r="G105" s="2">
        <v>37.0</v>
      </c>
      <c r="H105" s="1" t="s">
        <v>55</v>
      </c>
      <c r="J105" s="1" t="s">
        <v>56</v>
      </c>
      <c r="K105" s="1" t="s">
        <v>92</v>
      </c>
      <c r="M105" s="1" t="s">
        <v>58</v>
      </c>
      <c r="N105" s="1" t="s">
        <v>58</v>
      </c>
      <c r="O105" s="1" t="s">
        <v>69</v>
      </c>
      <c r="Q105" s="1" t="s">
        <v>69</v>
      </c>
      <c r="R105" s="1" t="s">
        <v>58</v>
      </c>
      <c r="S105" s="1" t="s">
        <v>58</v>
      </c>
      <c r="T105" s="1" t="s">
        <v>58</v>
      </c>
      <c r="U105" s="1" t="s">
        <v>69</v>
      </c>
      <c r="V105" s="1" t="s">
        <v>58</v>
      </c>
      <c r="W105" s="1" t="s">
        <v>69</v>
      </c>
      <c r="X105" s="1" t="s">
        <v>81</v>
      </c>
      <c r="Y105" s="1" t="s">
        <v>60</v>
      </c>
      <c r="Z105" s="1" t="s">
        <v>89</v>
      </c>
      <c r="AA105" s="2">
        <v>100.0</v>
      </c>
      <c r="AB105" s="1" t="s">
        <v>62</v>
      </c>
      <c r="AC105" s="1" t="s">
        <v>71</v>
      </c>
      <c r="AF105" s="1" t="s">
        <v>51</v>
      </c>
      <c r="AG105" s="1" t="s">
        <v>72</v>
      </c>
      <c r="AI105" s="2">
        <v>0.0</v>
      </c>
      <c r="AJ105" s="2">
        <v>0.0</v>
      </c>
      <c r="AK105" s="2">
        <v>0.0</v>
      </c>
      <c r="AL105" s="2">
        <v>1.0</v>
      </c>
      <c r="AP105" s="2">
        <v>4.89193078E8</v>
      </c>
      <c r="AQ105" s="1" t="s">
        <v>229</v>
      </c>
      <c r="AR105" s="2">
        <v>45807.26929398148</v>
      </c>
      <c r="AU105" s="1" t="s">
        <v>64</v>
      </c>
      <c r="AW105" s="1" t="s">
        <v>191</v>
      </c>
      <c r="AY105" s="2">
        <v>104.0</v>
      </c>
    </row>
    <row r="106">
      <c r="A106" s="1" t="s">
        <v>51</v>
      </c>
      <c r="C106" s="1" t="s">
        <v>151</v>
      </c>
      <c r="E106" s="1" t="s">
        <v>53</v>
      </c>
      <c r="F106" s="1" t="s">
        <v>102</v>
      </c>
      <c r="G106" s="2">
        <v>39.0</v>
      </c>
      <c r="H106" s="1" t="s">
        <v>55</v>
      </c>
      <c r="I106" s="1" t="s">
        <v>67</v>
      </c>
      <c r="J106" s="1" t="s">
        <v>86</v>
      </c>
      <c r="K106" s="1" t="s">
        <v>87</v>
      </c>
      <c r="M106" s="1" t="s">
        <v>58</v>
      </c>
      <c r="N106" s="1" t="s">
        <v>58</v>
      </c>
      <c r="O106" s="1" t="s">
        <v>58</v>
      </c>
      <c r="Q106" s="1" t="s">
        <v>58</v>
      </c>
      <c r="R106" s="1" t="s">
        <v>58</v>
      </c>
      <c r="S106" s="1" t="s">
        <v>70</v>
      </c>
      <c r="T106" s="1" t="s">
        <v>70</v>
      </c>
      <c r="U106" s="1" t="s">
        <v>58</v>
      </c>
      <c r="V106" s="1" t="s">
        <v>58</v>
      </c>
      <c r="W106" s="1" t="s">
        <v>69</v>
      </c>
      <c r="X106" s="1" t="s">
        <v>59</v>
      </c>
      <c r="Y106" s="1" t="s">
        <v>95</v>
      </c>
      <c r="Z106" s="1" t="s">
        <v>89</v>
      </c>
      <c r="AA106" s="2">
        <v>100.0</v>
      </c>
      <c r="AB106" s="1" t="s">
        <v>79</v>
      </c>
      <c r="AC106" s="1" t="s">
        <v>71</v>
      </c>
      <c r="AF106" s="1" t="s">
        <v>51</v>
      </c>
      <c r="AG106" s="1" t="s">
        <v>72</v>
      </c>
      <c r="AI106" s="2">
        <v>0.0</v>
      </c>
      <c r="AJ106" s="2">
        <v>0.0</v>
      </c>
      <c r="AK106" s="2">
        <v>0.0</v>
      </c>
      <c r="AL106" s="2">
        <v>1.0</v>
      </c>
      <c r="AM106" s="1" t="s">
        <v>72</v>
      </c>
      <c r="AP106" s="2">
        <v>4.89233461E8</v>
      </c>
      <c r="AQ106" s="1" t="s">
        <v>230</v>
      </c>
      <c r="AR106" s="2">
        <v>45807.329305555555</v>
      </c>
      <c r="AU106" s="1" t="s">
        <v>64</v>
      </c>
      <c r="AW106" s="1" t="s">
        <v>191</v>
      </c>
      <c r="AY106" s="2">
        <v>105.0</v>
      </c>
    </row>
    <row r="107">
      <c r="A107" s="1" t="s">
        <v>51</v>
      </c>
      <c r="C107" s="1" t="s">
        <v>53</v>
      </c>
      <c r="E107" s="1" t="s">
        <v>53</v>
      </c>
      <c r="F107" s="1" t="s">
        <v>102</v>
      </c>
      <c r="G107" s="2">
        <v>20.0</v>
      </c>
      <c r="H107" s="1" t="s">
        <v>66</v>
      </c>
      <c r="I107" s="1" t="s">
        <v>121</v>
      </c>
      <c r="J107" s="1" t="s">
        <v>56</v>
      </c>
      <c r="K107" s="1" t="s">
        <v>74</v>
      </c>
      <c r="M107" s="1" t="s">
        <v>58</v>
      </c>
      <c r="N107" s="1" t="s">
        <v>58</v>
      </c>
      <c r="O107" s="1" t="s">
        <v>58</v>
      </c>
      <c r="Q107" s="1" t="s">
        <v>69</v>
      </c>
      <c r="R107" s="1" t="s">
        <v>70</v>
      </c>
      <c r="S107" s="1" t="s">
        <v>69</v>
      </c>
      <c r="T107" s="1" t="s">
        <v>69</v>
      </c>
      <c r="U107" s="1" t="s">
        <v>58</v>
      </c>
      <c r="V107" s="1" t="s">
        <v>58</v>
      </c>
      <c r="W107" s="1" t="s">
        <v>69</v>
      </c>
      <c r="X107" s="1" t="s">
        <v>81</v>
      </c>
      <c r="Y107" s="1" t="s">
        <v>82</v>
      </c>
      <c r="Z107" s="1" t="s">
        <v>89</v>
      </c>
      <c r="AA107" s="2">
        <v>50.0</v>
      </c>
      <c r="AB107" s="1" t="s">
        <v>79</v>
      </c>
      <c r="AC107" s="1" t="s">
        <v>51</v>
      </c>
      <c r="AD107" s="1" t="s">
        <v>81</v>
      </c>
      <c r="AE107" s="1" t="s">
        <v>72</v>
      </c>
      <c r="AF107" s="1" t="s">
        <v>51</v>
      </c>
      <c r="AG107" s="1" t="s">
        <v>51</v>
      </c>
      <c r="AH107" s="2">
        <v>15000.0</v>
      </c>
      <c r="AI107" s="2">
        <v>0.0</v>
      </c>
      <c r="AJ107" s="2">
        <v>1.0</v>
      </c>
      <c r="AK107" s="2">
        <v>0.0</v>
      </c>
      <c r="AL107" s="2">
        <v>0.0</v>
      </c>
      <c r="AM107" s="1" t="s">
        <v>51</v>
      </c>
      <c r="AN107" s="2">
        <v>7.9184213E7</v>
      </c>
      <c r="AP107" s="2">
        <v>4.89236468E8</v>
      </c>
      <c r="AQ107" s="1" t="s">
        <v>231</v>
      </c>
      <c r="AR107" s="2">
        <v>45807.3325462963</v>
      </c>
      <c r="AU107" s="1" t="s">
        <v>64</v>
      </c>
      <c r="AW107" s="1" t="s">
        <v>191</v>
      </c>
      <c r="AY107" s="2">
        <v>106.0</v>
      </c>
    </row>
    <row r="108">
      <c r="A108" s="1" t="s">
        <v>51</v>
      </c>
      <c r="C108" s="1" t="s">
        <v>151</v>
      </c>
      <c r="E108" s="1" t="s">
        <v>53</v>
      </c>
      <c r="F108" s="1" t="s">
        <v>232</v>
      </c>
      <c r="G108" s="2">
        <v>67.0</v>
      </c>
      <c r="H108" s="1" t="s">
        <v>233</v>
      </c>
      <c r="I108" s="1" t="s">
        <v>67</v>
      </c>
      <c r="J108" s="1" t="s">
        <v>68</v>
      </c>
      <c r="K108" s="1" t="s">
        <v>57</v>
      </c>
      <c r="M108" s="1" t="s">
        <v>58</v>
      </c>
      <c r="N108" s="1" t="s">
        <v>58</v>
      </c>
      <c r="O108" s="1" t="s">
        <v>69</v>
      </c>
      <c r="Q108" s="1" t="s">
        <v>70</v>
      </c>
      <c r="R108" s="1" t="s">
        <v>58</v>
      </c>
      <c r="S108" s="1" t="s">
        <v>70</v>
      </c>
      <c r="T108" s="1" t="s">
        <v>69</v>
      </c>
      <c r="U108" s="1" t="s">
        <v>70</v>
      </c>
      <c r="V108" s="1" t="s">
        <v>69</v>
      </c>
      <c r="W108" s="1" t="s">
        <v>58</v>
      </c>
      <c r="X108" s="1" t="s">
        <v>59</v>
      </c>
      <c r="Y108" s="1" t="s">
        <v>82</v>
      </c>
      <c r="Z108" s="1" t="s">
        <v>61</v>
      </c>
      <c r="AA108" s="2">
        <v>10.0</v>
      </c>
      <c r="AB108" s="1" t="s">
        <v>28</v>
      </c>
      <c r="AC108" s="1" t="s">
        <v>71</v>
      </c>
      <c r="AF108" s="1" t="s">
        <v>51</v>
      </c>
      <c r="AG108" s="1" t="s">
        <v>51</v>
      </c>
      <c r="AH108" s="2">
        <v>1000.0</v>
      </c>
      <c r="AI108" s="2">
        <v>0.0</v>
      </c>
      <c r="AJ108" s="2">
        <v>0.0</v>
      </c>
      <c r="AK108" s="2">
        <v>0.0</v>
      </c>
      <c r="AL108" s="2">
        <v>1.0</v>
      </c>
      <c r="AM108" s="1" t="s">
        <v>51</v>
      </c>
      <c r="AN108" s="2">
        <v>6.06449998E8</v>
      </c>
      <c r="AP108" s="2">
        <v>4.89241333E8</v>
      </c>
      <c r="AQ108" s="1" t="s">
        <v>234</v>
      </c>
      <c r="AR108" s="2">
        <v>45807.338796296295</v>
      </c>
      <c r="AU108" s="1" t="s">
        <v>64</v>
      </c>
      <c r="AW108" s="1" t="s">
        <v>191</v>
      </c>
      <c r="AY108" s="2">
        <v>107.0</v>
      </c>
    </row>
    <row r="109">
      <c r="A109" s="1" t="s">
        <v>51</v>
      </c>
      <c r="C109" s="1" t="s">
        <v>151</v>
      </c>
      <c r="E109" s="1" t="s">
        <v>151</v>
      </c>
      <c r="G109" s="2">
        <v>38.0</v>
      </c>
      <c r="H109" s="1" t="s">
        <v>66</v>
      </c>
      <c r="J109" s="1" t="s">
        <v>86</v>
      </c>
      <c r="K109" s="1" t="s">
        <v>87</v>
      </c>
      <c r="M109" s="1" t="s">
        <v>58</v>
      </c>
      <c r="N109" s="1" t="s">
        <v>58</v>
      </c>
      <c r="O109" s="1" t="s">
        <v>58</v>
      </c>
      <c r="Q109" s="1" t="s">
        <v>69</v>
      </c>
      <c r="R109" s="1" t="s">
        <v>69</v>
      </c>
      <c r="S109" s="1" t="s">
        <v>69</v>
      </c>
      <c r="T109" s="1" t="s">
        <v>69</v>
      </c>
      <c r="U109" s="1" t="s">
        <v>58</v>
      </c>
      <c r="V109" s="1" t="s">
        <v>69</v>
      </c>
      <c r="W109" s="1" t="s">
        <v>69</v>
      </c>
      <c r="X109" s="1" t="s">
        <v>81</v>
      </c>
      <c r="Y109" s="1" t="s">
        <v>82</v>
      </c>
      <c r="Z109" s="1" t="s">
        <v>89</v>
      </c>
      <c r="AA109" s="2">
        <v>100.0</v>
      </c>
      <c r="AB109" s="1" t="s">
        <v>28</v>
      </c>
      <c r="AC109" s="1" t="s">
        <v>51</v>
      </c>
      <c r="AD109" s="1" t="s">
        <v>81</v>
      </c>
      <c r="AE109" s="1" t="s">
        <v>51</v>
      </c>
      <c r="AF109" s="1" t="s">
        <v>51</v>
      </c>
      <c r="AG109" s="1" t="s">
        <v>51</v>
      </c>
      <c r="AH109" s="2">
        <v>2000.0</v>
      </c>
      <c r="AI109" s="2">
        <v>1.0</v>
      </c>
      <c r="AJ109" s="2">
        <v>1.0</v>
      </c>
      <c r="AK109" s="2">
        <v>0.0</v>
      </c>
      <c r="AL109" s="2">
        <v>0.0</v>
      </c>
      <c r="AP109" s="2">
        <v>4.89249492E8</v>
      </c>
      <c r="AQ109" s="1" t="s">
        <v>235</v>
      </c>
      <c r="AR109" s="2">
        <v>45807.348333333335</v>
      </c>
      <c r="AU109" s="1" t="s">
        <v>64</v>
      </c>
      <c r="AW109" s="1" t="s">
        <v>191</v>
      </c>
      <c r="AY109" s="2">
        <v>108.0</v>
      </c>
    </row>
    <row r="110">
      <c r="A110" s="1" t="s">
        <v>51</v>
      </c>
      <c r="C110" s="1" t="s">
        <v>170</v>
      </c>
      <c r="E110" s="1" t="s">
        <v>53</v>
      </c>
      <c r="F110" s="1" t="s">
        <v>102</v>
      </c>
      <c r="G110" s="2">
        <v>32.0</v>
      </c>
      <c r="I110" s="1" t="s">
        <v>67</v>
      </c>
      <c r="J110" s="1" t="s">
        <v>56</v>
      </c>
      <c r="K110" s="1" t="s">
        <v>74</v>
      </c>
      <c r="M110" s="1" t="s">
        <v>58</v>
      </c>
      <c r="N110" s="1" t="s">
        <v>58</v>
      </c>
      <c r="O110" s="1" t="s">
        <v>69</v>
      </c>
      <c r="Q110" s="1" t="s">
        <v>58</v>
      </c>
      <c r="R110" s="1" t="s">
        <v>58</v>
      </c>
      <c r="S110" s="1" t="s">
        <v>58</v>
      </c>
      <c r="T110" s="1" t="s">
        <v>70</v>
      </c>
      <c r="U110" s="1" t="s">
        <v>58</v>
      </c>
      <c r="V110" s="1" t="s">
        <v>70</v>
      </c>
      <c r="W110" s="1" t="s">
        <v>70</v>
      </c>
      <c r="X110" s="1" t="s">
        <v>81</v>
      </c>
      <c r="Y110" s="1" t="s">
        <v>82</v>
      </c>
      <c r="Z110" s="1" t="s">
        <v>89</v>
      </c>
      <c r="AA110" s="2">
        <v>10.0</v>
      </c>
      <c r="AB110" s="1" t="s">
        <v>79</v>
      </c>
      <c r="AC110" s="1" t="s">
        <v>51</v>
      </c>
      <c r="AD110" s="1" t="s">
        <v>81</v>
      </c>
      <c r="AE110" s="1" t="s">
        <v>51</v>
      </c>
      <c r="AF110" s="1" t="s">
        <v>51</v>
      </c>
      <c r="AG110" s="1" t="s">
        <v>51</v>
      </c>
      <c r="AH110" s="2">
        <v>500.0</v>
      </c>
      <c r="AI110" s="2">
        <v>0.0</v>
      </c>
      <c r="AJ110" s="2">
        <v>0.0</v>
      </c>
      <c r="AK110" s="2">
        <v>0.0</v>
      </c>
      <c r="AL110" s="2">
        <v>1.0</v>
      </c>
      <c r="AM110" s="1" t="s">
        <v>51</v>
      </c>
      <c r="AN110" s="2">
        <v>8.15520878E8</v>
      </c>
      <c r="AP110" s="2">
        <v>4.89250792E8</v>
      </c>
      <c r="AQ110" s="1" t="s">
        <v>236</v>
      </c>
      <c r="AR110" s="2">
        <v>45807.35</v>
      </c>
      <c r="AU110" s="1" t="s">
        <v>64</v>
      </c>
      <c r="AW110" s="1" t="s">
        <v>191</v>
      </c>
      <c r="AY110" s="2">
        <v>109.0</v>
      </c>
    </row>
    <row r="111">
      <c r="A111" s="1" t="s">
        <v>51</v>
      </c>
      <c r="C111" s="1" t="s">
        <v>53</v>
      </c>
      <c r="E111" s="1" t="s">
        <v>151</v>
      </c>
      <c r="G111" s="2">
        <v>28.0</v>
      </c>
      <c r="H111" s="1" t="s">
        <v>233</v>
      </c>
      <c r="J111" s="1" t="s">
        <v>56</v>
      </c>
      <c r="K111" s="1" t="s">
        <v>74</v>
      </c>
      <c r="M111" s="1" t="s">
        <v>58</v>
      </c>
      <c r="N111" s="1" t="s">
        <v>58</v>
      </c>
      <c r="O111" s="1" t="s">
        <v>58</v>
      </c>
      <c r="Q111" s="1" t="s">
        <v>58</v>
      </c>
      <c r="R111" s="1" t="s">
        <v>58</v>
      </c>
      <c r="S111" s="1" t="s">
        <v>70</v>
      </c>
      <c r="T111" s="1" t="s">
        <v>69</v>
      </c>
      <c r="U111" s="1" t="s">
        <v>58</v>
      </c>
      <c r="V111" s="1" t="s">
        <v>58</v>
      </c>
      <c r="W111" s="1" t="s">
        <v>69</v>
      </c>
      <c r="X111" s="1" t="s">
        <v>59</v>
      </c>
      <c r="Y111" s="1" t="s">
        <v>60</v>
      </c>
      <c r="Z111" s="1" t="s">
        <v>108</v>
      </c>
      <c r="AA111" s="2">
        <v>50.0</v>
      </c>
      <c r="AB111" s="1" t="s">
        <v>62</v>
      </c>
      <c r="AC111" s="1" t="s">
        <v>71</v>
      </c>
      <c r="AF111" s="1" t="s">
        <v>51</v>
      </c>
      <c r="AG111" s="1" t="s">
        <v>51</v>
      </c>
      <c r="AH111" s="2">
        <v>600.0</v>
      </c>
      <c r="AI111" s="2">
        <v>0.0</v>
      </c>
      <c r="AJ111" s="2">
        <v>1.0</v>
      </c>
      <c r="AK111" s="2">
        <v>1.0</v>
      </c>
      <c r="AL111" s="2">
        <v>0.0</v>
      </c>
      <c r="AP111" s="2">
        <v>4.89263708E8</v>
      </c>
      <c r="AQ111" s="1" t="s">
        <v>237</v>
      </c>
      <c r="AR111" s="2">
        <v>45807.36615740741</v>
      </c>
      <c r="AU111" s="1" t="s">
        <v>64</v>
      </c>
      <c r="AW111" s="1" t="s">
        <v>191</v>
      </c>
      <c r="AY111" s="2">
        <v>110.0</v>
      </c>
    </row>
    <row r="112">
      <c r="A112" s="1" t="s">
        <v>51</v>
      </c>
      <c r="C112" s="1" t="s">
        <v>151</v>
      </c>
      <c r="E112" s="1" t="s">
        <v>151</v>
      </c>
      <c r="G112" s="2">
        <v>25.0</v>
      </c>
      <c r="H112" s="1" t="s">
        <v>66</v>
      </c>
      <c r="J112" s="1" t="s">
        <v>111</v>
      </c>
      <c r="M112" s="1" t="s">
        <v>58</v>
      </c>
      <c r="N112" s="1" t="s">
        <v>58</v>
      </c>
      <c r="O112" s="1" t="s">
        <v>69</v>
      </c>
      <c r="Q112" s="1" t="s">
        <v>58</v>
      </c>
      <c r="R112" s="1" t="s">
        <v>58</v>
      </c>
      <c r="S112" s="1" t="s">
        <v>69</v>
      </c>
      <c r="T112" s="1" t="s">
        <v>69</v>
      </c>
      <c r="U112" s="1" t="s">
        <v>70</v>
      </c>
      <c r="V112" s="1" t="s">
        <v>58</v>
      </c>
      <c r="W112" s="1" t="s">
        <v>58</v>
      </c>
      <c r="X112" s="1" t="s">
        <v>81</v>
      </c>
      <c r="Y112" s="1" t="s">
        <v>60</v>
      </c>
      <c r="Z112" s="1" t="s">
        <v>61</v>
      </c>
      <c r="AA112" s="2">
        <v>10.0</v>
      </c>
      <c r="AB112" s="1" t="s">
        <v>62</v>
      </c>
      <c r="AC112" s="1" t="s">
        <v>51</v>
      </c>
      <c r="AD112" s="1" t="s">
        <v>81</v>
      </c>
      <c r="AE112" s="1" t="s">
        <v>51</v>
      </c>
      <c r="AF112" s="1" t="s">
        <v>51</v>
      </c>
      <c r="AG112" s="1" t="s">
        <v>51</v>
      </c>
      <c r="AH112" s="2">
        <v>200.0</v>
      </c>
      <c r="AI112" s="2">
        <v>1.0</v>
      </c>
      <c r="AJ112" s="2">
        <v>0.0</v>
      </c>
      <c r="AK112" s="2">
        <v>1.0</v>
      </c>
      <c r="AL112" s="2">
        <v>0.0</v>
      </c>
      <c r="AP112" s="2">
        <v>4.89268248E8</v>
      </c>
      <c r="AQ112" s="1" t="s">
        <v>238</v>
      </c>
      <c r="AR112" s="2">
        <v>45807.370717592596</v>
      </c>
      <c r="AU112" s="1" t="s">
        <v>64</v>
      </c>
      <c r="AW112" s="1" t="s">
        <v>191</v>
      </c>
      <c r="AY112" s="2">
        <v>111.0</v>
      </c>
    </row>
    <row r="113">
      <c r="A113" s="1" t="s">
        <v>51</v>
      </c>
      <c r="C113" s="1" t="s">
        <v>151</v>
      </c>
      <c r="E113" s="1" t="s">
        <v>53</v>
      </c>
      <c r="F113" s="1" t="s">
        <v>54</v>
      </c>
      <c r="G113" s="2">
        <v>26.0</v>
      </c>
      <c r="H113" s="1" t="s">
        <v>55</v>
      </c>
      <c r="I113" s="1" t="s">
        <v>67</v>
      </c>
      <c r="J113" s="1" t="s">
        <v>56</v>
      </c>
      <c r="K113" s="1" t="s">
        <v>87</v>
      </c>
      <c r="M113" s="1" t="s">
        <v>58</v>
      </c>
      <c r="N113" s="1" t="s">
        <v>58</v>
      </c>
      <c r="O113" s="1" t="s">
        <v>58</v>
      </c>
      <c r="Q113" s="1" t="s">
        <v>58</v>
      </c>
      <c r="R113" s="1" t="s">
        <v>58</v>
      </c>
      <c r="S113" s="1" t="s">
        <v>58</v>
      </c>
      <c r="T113" s="1" t="s">
        <v>58</v>
      </c>
      <c r="U113" s="1" t="s">
        <v>58</v>
      </c>
      <c r="V113" s="1" t="s">
        <v>58</v>
      </c>
      <c r="W113" s="1" t="s">
        <v>58</v>
      </c>
      <c r="X113" s="1" t="s">
        <v>59</v>
      </c>
      <c r="Y113" s="1" t="s">
        <v>60</v>
      </c>
      <c r="Z113" s="1" t="s">
        <v>89</v>
      </c>
      <c r="AA113" s="2">
        <v>10.0</v>
      </c>
      <c r="AB113" s="1" t="s">
        <v>79</v>
      </c>
      <c r="AC113" s="1" t="s">
        <v>51</v>
      </c>
      <c r="AD113" s="1" t="s">
        <v>81</v>
      </c>
      <c r="AE113" s="1" t="s">
        <v>51</v>
      </c>
      <c r="AF113" s="1" t="s">
        <v>51</v>
      </c>
      <c r="AG113" s="1" t="s">
        <v>51</v>
      </c>
      <c r="AH113" s="2">
        <v>1000.0</v>
      </c>
      <c r="AI113" s="2">
        <v>0.0</v>
      </c>
      <c r="AJ113" s="2">
        <v>1.0</v>
      </c>
      <c r="AK113" s="2">
        <v>0.0</v>
      </c>
      <c r="AL113" s="2">
        <v>0.0</v>
      </c>
      <c r="AM113" s="1" t="s">
        <v>51</v>
      </c>
      <c r="AN113" s="2">
        <v>6.32773846E8</v>
      </c>
      <c r="AP113" s="2">
        <v>4.89280512E8</v>
      </c>
      <c r="AQ113" s="1" t="s">
        <v>239</v>
      </c>
      <c r="AR113" s="2">
        <v>45807.384930555556</v>
      </c>
      <c r="AU113" s="1" t="s">
        <v>64</v>
      </c>
      <c r="AW113" s="1" t="s">
        <v>191</v>
      </c>
      <c r="AY113" s="2">
        <v>112.0</v>
      </c>
    </row>
    <row r="114">
      <c r="A114" s="1" t="s">
        <v>51</v>
      </c>
      <c r="C114" s="1" t="s">
        <v>154</v>
      </c>
      <c r="E114" s="1" t="s">
        <v>154</v>
      </c>
      <c r="G114" s="2">
        <v>38.0</v>
      </c>
      <c r="H114" s="1" t="s">
        <v>66</v>
      </c>
      <c r="J114" s="1" t="s">
        <v>86</v>
      </c>
      <c r="K114" s="1" t="s">
        <v>87</v>
      </c>
      <c r="M114" s="1" t="s">
        <v>58</v>
      </c>
      <c r="N114" s="1" t="s">
        <v>58</v>
      </c>
      <c r="O114" s="1" t="s">
        <v>69</v>
      </c>
      <c r="Q114" s="1" t="s">
        <v>69</v>
      </c>
      <c r="R114" s="1" t="s">
        <v>69</v>
      </c>
      <c r="S114" s="1" t="s">
        <v>58</v>
      </c>
      <c r="T114" s="1" t="s">
        <v>58</v>
      </c>
      <c r="U114" s="1" t="s">
        <v>70</v>
      </c>
      <c r="V114" s="1" t="s">
        <v>58</v>
      </c>
      <c r="W114" s="1" t="s">
        <v>70</v>
      </c>
      <c r="X114" s="1" t="s">
        <v>81</v>
      </c>
      <c r="Y114" s="1" t="s">
        <v>60</v>
      </c>
      <c r="Z114" s="1" t="s">
        <v>96</v>
      </c>
      <c r="AA114" s="2">
        <v>50.0</v>
      </c>
      <c r="AB114" s="1" t="s">
        <v>62</v>
      </c>
      <c r="AC114" s="1" t="s">
        <v>71</v>
      </c>
      <c r="AF114" s="1" t="s">
        <v>51</v>
      </c>
      <c r="AG114" s="1" t="s">
        <v>51</v>
      </c>
      <c r="AH114" s="2">
        <v>5000.0</v>
      </c>
      <c r="AI114" s="2">
        <v>0.0</v>
      </c>
      <c r="AJ114" s="2">
        <v>0.0</v>
      </c>
      <c r="AK114" s="2">
        <v>0.0</v>
      </c>
      <c r="AL114" s="2">
        <v>1.0</v>
      </c>
      <c r="AP114" s="2">
        <v>4.89360254E8</v>
      </c>
      <c r="AQ114" s="1" t="s">
        <v>240</v>
      </c>
      <c r="AR114" s="2">
        <v>45807.47440972222</v>
      </c>
      <c r="AU114" s="1" t="s">
        <v>64</v>
      </c>
      <c r="AW114" s="1" t="s">
        <v>191</v>
      </c>
      <c r="AY114" s="2">
        <v>113.0</v>
      </c>
    </row>
    <row r="115">
      <c r="A115" s="1" t="s">
        <v>51</v>
      </c>
      <c r="C115" s="1" t="s">
        <v>154</v>
      </c>
      <c r="E115" s="1" t="s">
        <v>154</v>
      </c>
      <c r="G115" s="2">
        <v>32.0</v>
      </c>
      <c r="H115" s="1" t="s">
        <v>66</v>
      </c>
      <c r="J115" s="1" t="s">
        <v>86</v>
      </c>
      <c r="K115" s="1" t="s">
        <v>87</v>
      </c>
      <c r="M115" s="1" t="s">
        <v>58</v>
      </c>
      <c r="N115" s="1" t="s">
        <v>58</v>
      </c>
      <c r="O115" s="1" t="s">
        <v>58</v>
      </c>
      <c r="Q115" s="1" t="s">
        <v>69</v>
      </c>
      <c r="R115" s="1" t="s">
        <v>58</v>
      </c>
      <c r="S115" s="1" t="s">
        <v>69</v>
      </c>
      <c r="T115" s="1" t="s">
        <v>69</v>
      </c>
      <c r="U115" s="1" t="s">
        <v>69</v>
      </c>
      <c r="V115" s="1" t="s">
        <v>69</v>
      </c>
      <c r="W115" s="1" t="s">
        <v>69</v>
      </c>
      <c r="X115" s="1" t="s">
        <v>59</v>
      </c>
      <c r="Y115" s="1" t="s">
        <v>95</v>
      </c>
      <c r="Z115" s="1" t="s">
        <v>89</v>
      </c>
      <c r="AA115" s="2">
        <v>100.0</v>
      </c>
      <c r="AB115" s="1" t="s">
        <v>28</v>
      </c>
      <c r="AC115" s="1" t="s">
        <v>71</v>
      </c>
      <c r="AF115" s="1" t="s">
        <v>51</v>
      </c>
      <c r="AG115" s="1" t="s">
        <v>51</v>
      </c>
      <c r="AH115" s="2">
        <v>500.0</v>
      </c>
      <c r="AI115" s="2">
        <v>1.0</v>
      </c>
      <c r="AJ115" s="2">
        <v>0.0</v>
      </c>
      <c r="AK115" s="2">
        <v>0.0</v>
      </c>
      <c r="AL115" s="2">
        <v>0.0</v>
      </c>
      <c r="AP115" s="2">
        <v>4.89382361E8</v>
      </c>
      <c r="AQ115" s="1" t="s">
        <v>241</v>
      </c>
      <c r="AR115" s="2">
        <v>45807.495983796296</v>
      </c>
      <c r="AU115" s="1" t="s">
        <v>64</v>
      </c>
      <c r="AW115" s="1" t="s">
        <v>191</v>
      </c>
      <c r="AY115" s="2">
        <v>114.0</v>
      </c>
    </row>
    <row r="116">
      <c r="A116" s="1" t="s">
        <v>51</v>
      </c>
      <c r="C116" s="1" t="s">
        <v>154</v>
      </c>
      <c r="E116" s="1" t="s">
        <v>154</v>
      </c>
      <c r="G116" s="2">
        <v>51.0</v>
      </c>
      <c r="H116" s="1" t="s">
        <v>66</v>
      </c>
      <c r="J116" s="1" t="s">
        <v>86</v>
      </c>
      <c r="K116" s="1" t="s">
        <v>87</v>
      </c>
      <c r="M116" s="1" t="s">
        <v>58</v>
      </c>
      <c r="N116" s="1" t="s">
        <v>58</v>
      </c>
      <c r="O116" s="1" t="s">
        <v>58</v>
      </c>
      <c r="Q116" s="1" t="s">
        <v>58</v>
      </c>
      <c r="R116" s="1" t="s">
        <v>58</v>
      </c>
      <c r="S116" s="1" t="s">
        <v>69</v>
      </c>
      <c r="T116" s="1" t="s">
        <v>69</v>
      </c>
      <c r="U116" s="1" t="s">
        <v>58</v>
      </c>
      <c r="V116" s="1" t="s">
        <v>58</v>
      </c>
      <c r="W116" s="1" t="s">
        <v>69</v>
      </c>
      <c r="X116" s="1" t="s">
        <v>59</v>
      </c>
      <c r="Y116" s="1" t="s">
        <v>82</v>
      </c>
      <c r="Z116" s="1" t="s">
        <v>89</v>
      </c>
      <c r="AA116" s="2">
        <v>30.0</v>
      </c>
      <c r="AB116" s="1" t="s">
        <v>79</v>
      </c>
      <c r="AC116" s="1" t="s">
        <v>51</v>
      </c>
      <c r="AD116" s="1" t="s">
        <v>59</v>
      </c>
      <c r="AE116" s="1" t="s">
        <v>51</v>
      </c>
      <c r="AF116" s="1" t="s">
        <v>51</v>
      </c>
      <c r="AG116" s="1" t="s">
        <v>51</v>
      </c>
      <c r="AH116" s="2">
        <v>500.0</v>
      </c>
      <c r="AI116" s="2">
        <v>1.0</v>
      </c>
      <c r="AJ116" s="2">
        <v>0.0</v>
      </c>
      <c r="AK116" s="2">
        <v>1.0</v>
      </c>
      <c r="AL116" s="2">
        <v>0.0</v>
      </c>
      <c r="AP116" s="2">
        <v>4.89384259E8</v>
      </c>
      <c r="AQ116" s="1" t="s">
        <v>242</v>
      </c>
      <c r="AR116" s="2">
        <v>45807.49796296296</v>
      </c>
      <c r="AU116" s="1" t="s">
        <v>64</v>
      </c>
      <c r="AW116" s="1" t="s">
        <v>191</v>
      </c>
      <c r="AY116" s="2">
        <v>115.0</v>
      </c>
    </row>
    <row r="117">
      <c r="A117" s="1" t="s">
        <v>51</v>
      </c>
      <c r="C117" s="1" t="s">
        <v>52</v>
      </c>
      <c r="E117" s="1" t="s">
        <v>154</v>
      </c>
      <c r="G117" s="2">
        <v>38.0</v>
      </c>
      <c r="H117" s="1" t="s">
        <v>55</v>
      </c>
      <c r="J117" s="1" t="s">
        <v>56</v>
      </c>
      <c r="K117" s="1" t="s">
        <v>87</v>
      </c>
      <c r="M117" s="1" t="s">
        <v>58</v>
      </c>
      <c r="N117" s="1" t="s">
        <v>58</v>
      </c>
      <c r="O117" s="1" t="s">
        <v>69</v>
      </c>
      <c r="Q117" s="1" t="s">
        <v>58</v>
      </c>
      <c r="R117" s="1" t="s">
        <v>58</v>
      </c>
      <c r="S117" s="1" t="s">
        <v>69</v>
      </c>
      <c r="T117" s="1" t="s">
        <v>69</v>
      </c>
      <c r="U117" s="1" t="s">
        <v>69</v>
      </c>
      <c r="V117" s="1" t="s">
        <v>58</v>
      </c>
      <c r="W117" s="1" t="s">
        <v>70</v>
      </c>
      <c r="X117" s="1" t="s">
        <v>88</v>
      </c>
      <c r="Y117" s="1" t="s">
        <v>95</v>
      </c>
      <c r="Z117" s="1" t="s">
        <v>108</v>
      </c>
      <c r="AA117" s="2">
        <v>100.0</v>
      </c>
      <c r="AB117" s="1" t="s">
        <v>62</v>
      </c>
      <c r="AC117" s="1" t="s">
        <v>51</v>
      </c>
      <c r="AD117" s="1" t="s">
        <v>59</v>
      </c>
      <c r="AE117" s="1" t="s">
        <v>51</v>
      </c>
      <c r="AF117" s="1" t="s">
        <v>51</v>
      </c>
      <c r="AG117" s="1" t="s">
        <v>72</v>
      </c>
      <c r="AI117" s="2">
        <v>1.0</v>
      </c>
      <c r="AJ117" s="2">
        <v>0.0</v>
      </c>
      <c r="AK117" s="2">
        <v>1.0</v>
      </c>
      <c r="AL117" s="2">
        <v>0.0</v>
      </c>
      <c r="AP117" s="2">
        <v>4.89387431E8</v>
      </c>
      <c r="AQ117" s="1" t="s">
        <v>243</v>
      </c>
      <c r="AR117" s="2">
        <v>45807.501284722224</v>
      </c>
      <c r="AU117" s="1" t="s">
        <v>64</v>
      </c>
      <c r="AW117" s="1" t="s">
        <v>191</v>
      </c>
      <c r="AY117" s="2">
        <v>116.0</v>
      </c>
    </row>
    <row r="118">
      <c r="A118" s="1" t="s">
        <v>51</v>
      </c>
      <c r="C118" s="1" t="s">
        <v>52</v>
      </c>
      <c r="E118" s="1" t="s">
        <v>53</v>
      </c>
      <c r="F118" s="1" t="s">
        <v>54</v>
      </c>
      <c r="G118" s="2">
        <v>29.0</v>
      </c>
      <c r="H118" s="1" t="s">
        <v>66</v>
      </c>
      <c r="I118" s="1" t="s">
        <v>67</v>
      </c>
      <c r="J118" s="1" t="s">
        <v>111</v>
      </c>
      <c r="K118" s="1" t="s">
        <v>87</v>
      </c>
      <c r="M118" s="1" t="s">
        <v>58</v>
      </c>
      <c r="N118" s="1" t="s">
        <v>58</v>
      </c>
      <c r="O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59</v>
      </c>
      <c r="Y118" s="1" t="s">
        <v>95</v>
      </c>
      <c r="Z118" s="1" t="s">
        <v>89</v>
      </c>
      <c r="AA118" s="2">
        <v>100.0</v>
      </c>
      <c r="AB118" s="1" t="s">
        <v>79</v>
      </c>
      <c r="AC118" s="1" t="s">
        <v>51</v>
      </c>
      <c r="AD118" s="1" t="s">
        <v>59</v>
      </c>
      <c r="AE118" s="1" t="s">
        <v>51</v>
      </c>
      <c r="AF118" s="1" t="s">
        <v>51</v>
      </c>
      <c r="AG118" s="1" t="s">
        <v>51</v>
      </c>
      <c r="AH118" s="2">
        <v>1000.0</v>
      </c>
      <c r="AI118" s="2">
        <v>0.0</v>
      </c>
      <c r="AJ118" s="2">
        <v>1.0</v>
      </c>
      <c r="AK118" s="2">
        <v>0.0</v>
      </c>
      <c r="AL118" s="2">
        <v>0.0</v>
      </c>
      <c r="AM118" s="1" t="s">
        <v>51</v>
      </c>
      <c r="AP118" s="2">
        <v>4.89403673E8</v>
      </c>
      <c r="AQ118" s="1" t="s">
        <v>244</v>
      </c>
      <c r="AR118" s="2">
        <v>45807.516435185185</v>
      </c>
      <c r="AU118" s="1" t="s">
        <v>64</v>
      </c>
      <c r="AW118" s="1" t="s">
        <v>191</v>
      </c>
      <c r="AY118" s="2">
        <v>117.0</v>
      </c>
    </row>
    <row r="119">
      <c r="A119" s="1" t="s">
        <v>51</v>
      </c>
      <c r="C119" s="1" t="s">
        <v>151</v>
      </c>
      <c r="E119" s="1" t="s">
        <v>151</v>
      </c>
      <c r="G119" s="2">
        <v>53.0</v>
      </c>
      <c r="H119" s="1" t="s">
        <v>55</v>
      </c>
      <c r="J119" s="1" t="s">
        <v>56</v>
      </c>
      <c r="K119" s="1" t="s">
        <v>74</v>
      </c>
      <c r="M119" s="1" t="s">
        <v>58</v>
      </c>
      <c r="N119" s="1" t="s">
        <v>58</v>
      </c>
      <c r="O119" s="1" t="s">
        <v>58</v>
      </c>
      <c r="Q119" s="1" t="s">
        <v>69</v>
      </c>
      <c r="S119" s="1" t="s">
        <v>58</v>
      </c>
      <c r="T119" s="1" t="s">
        <v>69</v>
      </c>
      <c r="U119" s="1" t="s">
        <v>70</v>
      </c>
      <c r="V119" s="1" t="s">
        <v>58</v>
      </c>
      <c r="W119" s="1" t="s">
        <v>58</v>
      </c>
      <c r="X119" s="1" t="s">
        <v>81</v>
      </c>
      <c r="Y119" s="1" t="s">
        <v>82</v>
      </c>
      <c r="Z119" s="1" t="s">
        <v>61</v>
      </c>
      <c r="AA119" s="2">
        <v>10.0</v>
      </c>
      <c r="AB119" s="1" t="s">
        <v>79</v>
      </c>
      <c r="AC119" s="1" t="s">
        <v>71</v>
      </c>
      <c r="AF119" s="1" t="s">
        <v>51</v>
      </c>
      <c r="AG119" s="1" t="s">
        <v>72</v>
      </c>
      <c r="AI119" s="2">
        <v>0.0</v>
      </c>
      <c r="AJ119" s="2">
        <v>0.0</v>
      </c>
      <c r="AK119" s="2">
        <v>0.0</v>
      </c>
      <c r="AL119" s="2">
        <v>1.0</v>
      </c>
      <c r="AP119" s="2">
        <v>4.89426769E8</v>
      </c>
      <c r="AQ119" s="1" t="s">
        <v>245</v>
      </c>
      <c r="AR119" s="2">
        <v>45807.5375</v>
      </c>
      <c r="AU119" s="1" t="s">
        <v>64</v>
      </c>
      <c r="AW119" s="1" t="s">
        <v>191</v>
      </c>
      <c r="AY119" s="2">
        <v>118.0</v>
      </c>
    </row>
    <row r="120">
      <c r="A120" s="1" t="s">
        <v>51</v>
      </c>
      <c r="C120" s="1" t="s">
        <v>52</v>
      </c>
      <c r="G120" s="2">
        <v>56.0</v>
      </c>
      <c r="H120" s="1" t="s">
        <v>66</v>
      </c>
      <c r="J120" s="1" t="s">
        <v>86</v>
      </c>
      <c r="K120" s="1" t="s">
        <v>87</v>
      </c>
      <c r="M120" s="1" t="s">
        <v>58</v>
      </c>
      <c r="N120" s="1" t="s">
        <v>58</v>
      </c>
      <c r="O120" s="1" t="s">
        <v>58</v>
      </c>
      <c r="Q120" s="1" t="s">
        <v>69</v>
      </c>
      <c r="R120" s="1" t="s">
        <v>58</v>
      </c>
      <c r="S120" s="1" t="s">
        <v>69</v>
      </c>
      <c r="T120" s="1" t="s">
        <v>58</v>
      </c>
      <c r="U120" s="1" t="s">
        <v>58</v>
      </c>
      <c r="V120" s="1" t="s">
        <v>58</v>
      </c>
      <c r="W120" s="1" t="s">
        <v>69</v>
      </c>
      <c r="X120" s="1" t="s">
        <v>88</v>
      </c>
      <c r="Y120" s="1" t="s">
        <v>95</v>
      </c>
      <c r="Z120" s="1" t="s">
        <v>89</v>
      </c>
      <c r="AA120" s="2">
        <v>100.0</v>
      </c>
      <c r="AB120" s="1" t="s">
        <v>79</v>
      </c>
      <c r="AC120" s="1" t="s">
        <v>51</v>
      </c>
      <c r="AD120" s="1" t="s">
        <v>88</v>
      </c>
      <c r="AE120" s="1" t="s">
        <v>72</v>
      </c>
      <c r="AF120" s="1" t="s">
        <v>51</v>
      </c>
      <c r="AG120" s="1" t="s">
        <v>72</v>
      </c>
      <c r="AI120" s="2">
        <v>0.0</v>
      </c>
      <c r="AJ120" s="2">
        <v>0.0</v>
      </c>
      <c r="AK120" s="2">
        <v>1.0</v>
      </c>
      <c r="AL120" s="2">
        <v>0.0</v>
      </c>
      <c r="AP120" s="2">
        <v>4.89436305E8</v>
      </c>
      <c r="AQ120" s="1" t="s">
        <v>246</v>
      </c>
      <c r="AR120" s="2">
        <v>45807.54646990741</v>
      </c>
      <c r="AU120" s="1" t="s">
        <v>64</v>
      </c>
      <c r="AW120" s="1" t="s">
        <v>191</v>
      </c>
      <c r="AY120" s="2">
        <v>119.0</v>
      </c>
    </row>
    <row r="121">
      <c r="A121" s="1" t="s">
        <v>51</v>
      </c>
      <c r="C121" s="1" t="s">
        <v>52</v>
      </c>
      <c r="E121" s="1" t="s">
        <v>53</v>
      </c>
      <c r="F121" s="1" t="s">
        <v>54</v>
      </c>
      <c r="G121" s="2">
        <v>43.0</v>
      </c>
      <c r="H121" s="1" t="s">
        <v>66</v>
      </c>
      <c r="I121" s="1" t="s">
        <v>67</v>
      </c>
      <c r="J121" s="1" t="s">
        <v>86</v>
      </c>
      <c r="K121" s="1" t="s">
        <v>87</v>
      </c>
      <c r="M121" s="1" t="s">
        <v>58</v>
      </c>
      <c r="N121" s="1" t="s">
        <v>58</v>
      </c>
      <c r="O121" s="1" t="s">
        <v>69</v>
      </c>
      <c r="Q121" s="1" t="s">
        <v>58</v>
      </c>
      <c r="R121" s="1" t="s">
        <v>58</v>
      </c>
      <c r="S121" s="1" t="s">
        <v>58</v>
      </c>
      <c r="U121" s="1" t="s">
        <v>58</v>
      </c>
      <c r="W121" s="1" t="s">
        <v>58</v>
      </c>
      <c r="X121" s="1" t="s">
        <v>88</v>
      </c>
      <c r="Y121" s="1" t="s">
        <v>95</v>
      </c>
      <c r="Z121" s="1" t="s">
        <v>61</v>
      </c>
      <c r="AA121" s="2">
        <v>100.0</v>
      </c>
      <c r="AB121" s="1" t="s">
        <v>79</v>
      </c>
      <c r="AC121" s="1" t="s">
        <v>71</v>
      </c>
      <c r="AF121" s="1" t="s">
        <v>72</v>
      </c>
      <c r="AG121" s="1" t="s">
        <v>72</v>
      </c>
      <c r="AI121" s="2">
        <v>0.0</v>
      </c>
      <c r="AJ121" s="2">
        <v>0.0</v>
      </c>
      <c r="AK121" s="2">
        <v>0.0</v>
      </c>
      <c r="AL121" s="2">
        <v>1.0</v>
      </c>
      <c r="AM121" s="1" t="s">
        <v>72</v>
      </c>
      <c r="AP121" s="2">
        <v>4.89486245E8</v>
      </c>
      <c r="AQ121" s="1" t="s">
        <v>247</v>
      </c>
      <c r="AR121" s="2">
        <v>45807.592002314814</v>
      </c>
      <c r="AU121" s="1" t="s">
        <v>64</v>
      </c>
      <c r="AW121" s="1" t="s">
        <v>191</v>
      </c>
      <c r="AY121" s="2">
        <v>120.0</v>
      </c>
    </row>
    <row r="122">
      <c r="A122" s="1" t="s">
        <v>51</v>
      </c>
      <c r="C122" s="1" t="s">
        <v>151</v>
      </c>
      <c r="E122" s="1" t="s">
        <v>105</v>
      </c>
      <c r="G122" s="2">
        <v>23.0</v>
      </c>
      <c r="H122" s="1" t="s">
        <v>66</v>
      </c>
      <c r="J122" s="1" t="s">
        <v>56</v>
      </c>
      <c r="K122" s="1" t="s">
        <v>74</v>
      </c>
      <c r="M122" s="1" t="s">
        <v>70</v>
      </c>
      <c r="N122" s="1" t="s">
        <v>70</v>
      </c>
      <c r="O122" s="1" t="s">
        <v>70</v>
      </c>
      <c r="Q122" s="1" t="s">
        <v>70</v>
      </c>
      <c r="R122" s="1" t="s">
        <v>70</v>
      </c>
      <c r="S122" s="1" t="s">
        <v>70</v>
      </c>
      <c r="T122" s="1" t="s">
        <v>70</v>
      </c>
      <c r="U122" s="1" t="s">
        <v>70</v>
      </c>
      <c r="V122" s="1" t="s">
        <v>70</v>
      </c>
      <c r="W122" s="1" t="s">
        <v>70</v>
      </c>
      <c r="X122" s="1" t="s">
        <v>103</v>
      </c>
      <c r="Y122" s="1" t="s">
        <v>227</v>
      </c>
      <c r="Z122" s="1" t="s">
        <v>96</v>
      </c>
      <c r="AA122" s="2">
        <v>10.0</v>
      </c>
      <c r="AB122" s="1" t="s">
        <v>62</v>
      </c>
      <c r="AC122" s="1" t="s">
        <v>71</v>
      </c>
      <c r="AF122" s="1" t="s">
        <v>72</v>
      </c>
      <c r="AG122" s="1" t="s">
        <v>72</v>
      </c>
      <c r="AI122" s="2">
        <v>0.0</v>
      </c>
      <c r="AJ122" s="2">
        <v>0.0</v>
      </c>
      <c r="AK122" s="2">
        <v>0.0</v>
      </c>
      <c r="AL122" s="2">
        <v>1.0</v>
      </c>
      <c r="AP122" s="2">
        <v>4.89492113E8</v>
      </c>
      <c r="AQ122" s="1" t="s">
        <v>248</v>
      </c>
      <c r="AR122" s="2">
        <v>45807.59732638889</v>
      </c>
      <c r="AU122" s="1" t="s">
        <v>64</v>
      </c>
      <c r="AW122" s="1" t="s">
        <v>191</v>
      </c>
      <c r="AY122" s="2">
        <v>121.0</v>
      </c>
    </row>
    <row r="123">
      <c r="A123" s="1" t="s">
        <v>51</v>
      </c>
      <c r="C123" s="1" t="s">
        <v>53</v>
      </c>
      <c r="E123" s="1" t="s">
        <v>53</v>
      </c>
      <c r="F123" s="1" t="s">
        <v>115</v>
      </c>
      <c r="G123" s="2">
        <v>19.0</v>
      </c>
      <c r="H123" s="1" t="s">
        <v>66</v>
      </c>
      <c r="I123" s="1" t="s">
        <v>121</v>
      </c>
      <c r="J123" s="1" t="s">
        <v>56</v>
      </c>
      <c r="K123" s="1" t="s">
        <v>74</v>
      </c>
      <c r="M123" s="1" t="s">
        <v>58</v>
      </c>
      <c r="N123" s="1" t="s">
        <v>58</v>
      </c>
      <c r="O123" s="1" t="s">
        <v>69</v>
      </c>
      <c r="Q123" s="1" t="s">
        <v>70</v>
      </c>
      <c r="R123" s="1" t="s">
        <v>58</v>
      </c>
      <c r="S123" s="1" t="s">
        <v>58</v>
      </c>
      <c r="T123" s="1" t="s">
        <v>70</v>
      </c>
      <c r="U123" s="1" t="s">
        <v>70</v>
      </c>
      <c r="V123" s="1" t="s">
        <v>70</v>
      </c>
      <c r="W123" s="1" t="s">
        <v>70</v>
      </c>
      <c r="X123" s="1" t="s">
        <v>81</v>
      </c>
      <c r="Y123" s="1" t="s">
        <v>60</v>
      </c>
      <c r="Z123" s="1" t="s">
        <v>96</v>
      </c>
      <c r="AA123" s="2">
        <v>10.0</v>
      </c>
      <c r="AB123" s="1" t="s">
        <v>62</v>
      </c>
      <c r="AC123" s="1" t="s">
        <v>71</v>
      </c>
      <c r="AF123" s="1" t="s">
        <v>51</v>
      </c>
      <c r="AG123" s="1" t="s">
        <v>51</v>
      </c>
      <c r="AH123" s="2">
        <v>1000.0</v>
      </c>
      <c r="AI123" s="2">
        <v>1.0</v>
      </c>
      <c r="AJ123" s="2">
        <v>1.0</v>
      </c>
      <c r="AK123" s="2">
        <v>1.0</v>
      </c>
      <c r="AL123" s="2">
        <v>1.0</v>
      </c>
      <c r="AM123" s="1" t="s">
        <v>51</v>
      </c>
      <c r="AN123" s="2">
        <v>7.69618784E8</v>
      </c>
      <c r="AP123" s="2">
        <v>4.89502223E8</v>
      </c>
      <c r="AQ123" s="1" t="s">
        <v>249</v>
      </c>
      <c r="AR123" s="2">
        <v>45807.605266203704</v>
      </c>
      <c r="AU123" s="1" t="s">
        <v>64</v>
      </c>
      <c r="AW123" s="1" t="s">
        <v>191</v>
      </c>
      <c r="AY123" s="2">
        <v>122.0</v>
      </c>
    </row>
    <row r="124">
      <c r="A124" s="1" t="s">
        <v>51</v>
      </c>
      <c r="C124" s="1" t="s">
        <v>151</v>
      </c>
      <c r="E124" s="1" t="s">
        <v>53</v>
      </c>
      <c r="F124" s="1" t="s">
        <v>183</v>
      </c>
      <c r="G124" s="2">
        <v>47.0</v>
      </c>
      <c r="H124" s="1" t="s">
        <v>66</v>
      </c>
      <c r="I124" s="1" t="s">
        <v>67</v>
      </c>
      <c r="J124" s="1" t="s">
        <v>86</v>
      </c>
      <c r="K124" s="1" t="s">
        <v>87</v>
      </c>
      <c r="M124" s="1" t="s">
        <v>58</v>
      </c>
      <c r="N124" s="1" t="s">
        <v>58</v>
      </c>
      <c r="O124" s="1" t="s">
        <v>69</v>
      </c>
      <c r="S124" s="1" t="s">
        <v>69</v>
      </c>
      <c r="U124" s="1" t="s">
        <v>70</v>
      </c>
      <c r="W124" s="1" t="s">
        <v>69</v>
      </c>
      <c r="X124" s="1" t="s">
        <v>88</v>
      </c>
      <c r="Y124" s="1" t="s">
        <v>95</v>
      </c>
      <c r="AB124" s="1" t="s">
        <v>62</v>
      </c>
      <c r="AC124" s="1" t="s">
        <v>71</v>
      </c>
      <c r="AF124" s="1" t="s">
        <v>72</v>
      </c>
      <c r="AG124" s="1" t="s">
        <v>72</v>
      </c>
      <c r="AI124" s="2">
        <v>0.0</v>
      </c>
      <c r="AJ124" s="2">
        <v>0.0</v>
      </c>
      <c r="AK124" s="2">
        <v>0.0</v>
      </c>
      <c r="AL124" s="2">
        <v>1.0</v>
      </c>
      <c r="AM124" s="1" t="s">
        <v>72</v>
      </c>
      <c r="AP124" s="2">
        <v>4.89520831E8</v>
      </c>
      <c r="AQ124" s="1" t="s">
        <v>250</v>
      </c>
      <c r="AR124" s="2">
        <v>45807.62122685185</v>
      </c>
      <c r="AU124" s="1" t="s">
        <v>64</v>
      </c>
      <c r="AW124" s="1" t="s">
        <v>191</v>
      </c>
      <c r="AY124" s="2">
        <v>123.0</v>
      </c>
    </row>
    <row r="125">
      <c r="A125" s="1" t="s">
        <v>51</v>
      </c>
      <c r="C125" s="1" t="s">
        <v>52</v>
      </c>
      <c r="E125" s="1" t="s">
        <v>52</v>
      </c>
      <c r="G125" s="2">
        <v>35.0</v>
      </c>
      <c r="H125" s="1" t="s">
        <v>66</v>
      </c>
      <c r="J125" s="1" t="s">
        <v>86</v>
      </c>
      <c r="K125" s="1" t="s">
        <v>87</v>
      </c>
      <c r="M125" s="1" t="s">
        <v>58</v>
      </c>
      <c r="N125" s="1" t="s">
        <v>58</v>
      </c>
      <c r="O125" s="1" t="s">
        <v>58</v>
      </c>
      <c r="Q125" s="1" t="s">
        <v>69</v>
      </c>
      <c r="R125" s="1" t="s">
        <v>58</v>
      </c>
      <c r="S125" s="1" t="s">
        <v>69</v>
      </c>
      <c r="T125" s="1" t="s">
        <v>69</v>
      </c>
      <c r="U125" s="1" t="s">
        <v>69</v>
      </c>
      <c r="V125" s="1" t="s">
        <v>69</v>
      </c>
      <c r="W125" s="1" t="s">
        <v>69</v>
      </c>
      <c r="X125" s="1" t="s">
        <v>59</v>
      </c>
      <c r="Y125" s="1" t="s">
        <v>95</v>
      </c>
      <c r="Z125" s="1" t="s">
        <v>89</v>
      </c>
      <c r="AA125" s="2">
        <v>30.0</v>
      </c>
      <c r="AB125" s="1" t="s">
        <v>79</v>
      </c>
      <c r="AC125" s="1" t="s">
        <v>71</v>
      </c>
      <c r="AF125" s="1" t="s">
        <v>51</v>
      </c>
      <c r="AG125" s="1" t="s">
        <v>72</v>
      </c>
      <c r="AI125" s="2">
        <v>0.0</v>
      </c>
      <c r="AJ125" s="2">
        <v>0.0</v>
      </c>
      <c r="AK125" s="2">
        <v>1.0</v>
      </c>
      <c r="AL125" s="2">
        <v>0.0</v>
      </c>
      <c r="AP125" s="2">
        <v>4.89573455E8</v>
      </c>
      <c r="AQ125" s="1" t="s">
        <v>251</v>
      </c>
      <c r="AR125" s="2">
        <v>45807.666863425926</v>
      </c>
      <c r="AU125" s="1" t="s">
        <v>64</v>
      </c>
      <c r="AW125" s="1" t="s">
        <v>191</v>
      </c>
      <c r="AY125" s="2">
        <v>124.0</v>
      </c>
    </row>
    <row r="126">
      <c r="A126" s="1" t="s">
        <v>51</v>
      </c>
      <c r="G126" s="2">
        <v>35.0</v>
      </c>
      <c r="AP126" s="2">
        <v>4.89573911E8</v>
      </c>
      <c r="AQ126" s="1" t="s">
        <v>252</v>
      </c>
      <c r="AR126" s="2">
        <v>45807.66736111111</v>
      </c>
      <c r="AU126" s="1" t="s">
        <v>64</v>
      </c>
      <c r="AW126" s="1" t="s">
        <v>191</v>
      </c>
      <c r="AY126" s="2">
        <v>125.0</v>
      </c>
    </row>
    <row r="127">
      <c r="A127" s="1" t="s">
        <v>51</v>
      </c>
      <c r="C127" s="1" t="s">
        <v>151</v>
      </c>
      <c r="E127" s="1" t="s">
        <v>151</v>
      </c>
      <c r="G127" s="2">
        <v>43.0</v>
      </c>
      <c r="H127" s="1" t="s">
        <v>66</v>
      </c>
      <c r="J127" s="1" t="s">
        <v>68</v>
      </c>
      <c r="K127" s="1" t="s">
        <v>92</v>
      </c>
      <c r="M127" s="1" t="s">
        <v>58</v>
      </c>
      <c r="N127" s="1" t="s">
        <v>58</v>
      </c>
      <c r="O127" s="1" t="s">
        <v>58</v>
      </c>
      <c r="Q127" s="1" t="s">
        <v>58</v>
      </c>
      <c r="R127" s="1" t="s">
        <v>58</v>
      </c>
      <c r="S127" s="1" t="s">
        <v>58</v>
      </c>
      <c r="T127" s="1" t="s">
        <v>58</v>
      </c>
      <c r="U127" s="1" t="s">
        <v>70</v>
      </c>
      <c r="V127" s="1" t="s">
        <v>58</v>
      </c>
      <c r="W127" s="1" t="s">
        <v>58</v>
      </c>
      <c r="X127" s="1" t="s">
        <v>81</v>
      </c>
      <c r="Y127" s="1" t="s">
        <v>82</v>
      </c>
      <c r="Z127" s="1" t="s">
        <v>61</v>
      </c>
      <c r="AA127" s="2">
        <v>10.0</v>
      </c>
      <c r="AB127" s="1" t="s">
        <v>79</v>
      </c>
      <c r="AC127" s="1" t="s">
        <v>71</v>
      </c>
      <c r="AF127" s="1" t="s">
        <v>51</v>
      </c>
      <c r="AG127" s="1" t="s">
        <v>51</v>
      </c>
      <c r="AH127" s="2">
        <v>200.0</v>
      </c>
      <c r="AI127" s="2">
        <v>0.0</v>
      </c>
      <c r="AJ127" s="2">
        <v>0.0</v>
      </c>
      <c r="AK127" s="2">
        <v>1.0</v>
      </c>
      <c r="AL127" s="2">
        <v>0.0</v>
      </c>
      <c r="AP127" s="2">
        <v>4.89588789E8</v>
      </c>
      <c r="AQ127" s="1" t="s">
        <v>253</v>
      </c>
      <c r="AR127" s="2">
        <v>45807.679606481484</v>
      </c>
      <c r="AU127" s="1" t="s">
        <v>64</v>
      </c>
      <c r="AW127" s="1" t="s">
        <v>191</v>
      </c>
      <c r="AY127" s="2">
        <v>126.0</v>
      </c>
    </row>
    <row r="128">
      <c r="A128" s="1" t="s">
        <v>51</v>
      </c>
      <c r="C128" s="1" t="s">
        <v>151</v>
      </c>
      <c r="E128" s="1" t="s">
        <v>151</v>
      </c>
      <c r="G128" s="2">
        <v>33.0</v>
      </c>
      <c r="H128" s="1" t="s">
        <v>66</v>
      </c>
      <c r="J128" s="1" t="s">
        <v>56</v>
      </c>
      <c r="K128" s="1" t="s">
        <v>78</v>
      </c>
      <c r="M128" s="1" t="s">
        <v>58</v>
      </c>
      <c r="N128" s="1" t="s">
        <v>58</v>
      </c>
      <c r="O128" s="1" t="s">
        <v>58</v>
      </c>
      <c r="Q128" s="1" t="s">
        <v>58</v>
      </c>
      <c r="R128" s="1" t="s">
        <v>70</v>
      </c>
      <c r="S128" s="1" t="s">
        <v>58</v>
      </c>
      <c r="T128" s="1" t="s">
        <v>70</v>
      </c>
      <c r="U128" s="1" t="s">
        <v>70</v>
      </c>
      <c r="V128" s="1" t="s">
        <v>70</v>
      </c>
      <c r="W128" s="1" t="s">
        <v>58</v>
      </c>
      <c r="X128" s="1" t="s">
        <v>81</v>
      </c>
      <c r="Z128" s="1" t="s">
        <v>61</v>
      </c>
      <c r="AA128" s="2">
        <v>10.0</v>
      </c>
      <c r="AB128" s="1" t="s">
        <v>28</v>
      </c>
      <c r="AC128" s="1" t="s">
        <v>71</v>
      </c>
      <c r="AF128" s="1" t="s">
        <v>72</v>
      </c>
      <c r="AG128" s="1" t="s">
        <v>51</v>
      </c>
      <c r="AH128" s="2">
        <v>1000.0</v>
      </c>
      <c r="AI128" s="2">
        <v>0.0</v>
      </c>
      <c r="AJ128" s="2">
        <v>0.0</v>
      </c>
      <c r="AK128" s="2">
        <v>0.0</v>
      </c>
      <c r="AL128" s="2">
        <v>1.0</v>
      </c>
      <c r="AP128" s="2">
        <v>4.89629902E8</v>
      </c>
      <c r="AQ128" s="1" t="s">
        <v>254</v>
      </c>
      <c r="AR128" s="2">
        <v>45807.71865740741</v>
      </c>
      <c r="AU128" s="1" t="s">
        <v>64</v>
      </c>
      <c r="AW128" s="1" t="s">
        <v>255</v>
      </c>
      <c r="AY128" s="2">
        <v>127.0</v>
      </c>
    </row>
    <row r="129">
      <c r="A129" s="1" t="s">
        <v>51</v>
      </c>
      <c r="C129" s="1" t="s">
        <v>52</v>
      </c>
      <c r="E129" s="1" t="s">
        <v>105</v>
      </c>
      <c r="G129" s="2">
        <v>45.0</v>
      </c>
      <c r="H129" s="1" t="s">
        <v>55</v>
      </c>
      <c r="J129" s="1" t="s">
        <v>86</v>
      </c>
      <c r="M129" s="1" t="s">
        <v>58</v>
      </c>
      <c r="N129" s="1" t="s">
        <v>58</v>
      </c>
      <c r="O129" s="1" t="s">
        <v>58</v>
      </c>
      <c r="Q129" s="1" t="s">
        <v>58</v>
      </c>
      <c r="R129" s="1" t="s">
        <v>58</v>
      </c>
      <c r="S129" s="1" t="s">
        <v>58</v>
      </c>
      <c r="T129" s="1" t="s">
        <v>58</v>
      </c>
      <c r="U129" s="1" t="s">
        <v>58</v>
      </c>
      <c r="V129" s="1" t="s">
        <v>58</v>
      </c>
      <c r="W129" s="1" t="s">
        <v>69</v>
      </c>
      <c r="X129" s="1" t="s">
        <v>88</v>
      </c>
      <c r="Y129" s="1" t="s">
        <v>95</v>
      </c>
      <c r="Z129" s="1" t="s">
        <v>108</v>
      </c>
      <c r="AA129" s="2">
        <v>100.0</v>
      </c>
      <c r="AB129" s="1" t="s">
        <v>79</v>
      </c>
      <c r="AC129" s="1" t="s">
        <v>51</v>
      </c>
      <c r="AD129" s="1" t="s">
        <v>88</v>
      </c>
      <c r="AE129" s="1" t="s">
        <v>51</v>
      </c>
      <c r="AF129" s="1" t="s">
        <v>51</v>
      </c>
      <c r="AG129" s="1" t="s">
        <v>51</v>
      </c>
      <c r="AH129" s="2">
        <v>10.0</v>
      </c>
      <c r="AI129" s="2">
        <v>1.0</v>
      </c>
      <c r="AJ129" s="2">
        <v>1.0</v>
      </c>
      <c r="AK129" s="2">
        <v>1.0</v>
      </c>
      <c r="AL129" s="2">
        <v>0.0</v>
      </c>
      <c r="AP129" s="2">
        <v>4.89787188E8</v>
      </c>
      <c r="AQ129" s="1" t="s">
        <v>256</v>
      </c>
      <c r="AR129" s="2">
        <v>45808.04665509259</v>
      </c>
      <c r="AU129" s="1" t="s">
        <v>64</v>
      </c>
      <c r="AW129" s="1" t="s">
        <v>255</v>
      </c>
      <c r="AY129" s="2">
        <v>128.0</v>
      </c>
    </row>
    <row r="130">
      <c r="A130" s="1" t="s">
        <v>51</v>
      </c>
      <c r="C130" s="1" t="s">
        <v>52</v>
      </c>
      <c r="E130" s="1" t="s">
        <v>105</v>
      </c>
      <c r="G130" s="2">
        <v>42.0</v>
      </c>
      <c r="H130" s="1" t="s">
        <v>66</v>
      </c>
      <c r="J130" s="1" t="s">
        <v>86</v>
      </c>
      <c r="K130" s="1" t="s">
        <v>87</v>
      </c>
      <c r="M130" s="1" t="s">
        <v>58</v>
      </c>
      <c r="N130" s="1" t="s">
        <v>58</v>
      </c>
      <c r="O130" s="1" t="s">
        <v>69</v>
      </c>
      <c r="Q130" s="1" t="s">
        <v>69</v>
      </c>
      <c r="R130" s="1" t="s">
        <v>69</v>
      </c>
      <c r="S130" s="1" t="s">
        <v>58</v>
      </c>
      <c r="T130" s="1" t="s">
        <v>69</v>
      </c>
      <c r="U130" s="1" t="s">
        <v>58</v>
      </c>
      <c r="V130" s="1" t="s">
        <v>58</v>
      </c>
      <c r="W130" s="1" t="s">
        <v>69</v>
      </c>
      <c r="X130" s="1" t="s">
        <v>81</v>
      </c>
      <c r="Y130" s="1" t="s">
        <v>95</v>
      </c>
      <c r="Z130" s="1" t="s">
        <v>89</v>
      </c>
      <c r="AA130" s="2">
        <v>100.0</v>
      </c>
      <c r="AB130" s="1" t="s">
        <v>79</v>
      </c>
      <c r="AC130" s="1" t="s">
        <v>51</v>
      </c>
      <c r="AD130" s="1" t="s">
        <v>81</v>
      </c>
      <c r="AE130" s="1" t="s">
        <v>51</v>
      </c>
      <c r="AF130" s="1" t="s">
        <v>51</v>
      </c>
      <c r="AG130" s="1" t="s">
        <v>72</v>
      </c>
      <c r="AI130" s="2">
        <v>0.0</v>
      </c>
      <c r="AJ130" s="2">
        <v>0.0</v>
      </c>
      <c r="AK130" s="2">
        <v>0.0</v>
      </c>
      <c r="AL130" s="2">
        <v>1.0</v>
      </c>
      <c r="AP130" s="2">
        <v>4.8982024E8</v>
      </c>
      <c r="AQ130" s="1" t="s">
        <v>257</v>
      </c>
      <c r="AR130" s="2">
        <v>45808.19664351852</v>
      </c>
      <c r="AU130" s="1" t="s">
        <v>64</v>
      </c>
      <c r="AW130" s="1" t="s">
        <v>255</v>
      </c>
      <c r="AY130" s="2">
        <v>129.0</v>
      </c>
    </row>
    <row r="131">
      <c r="A131" s="1" t="s">
        <v>51</v>
      </c>
      <c r="C131" s="1" t="s">
        <v>52</v>
      </c>
      <c r="E131" s="1" t="s">
        <v>53</v>
      </c>
      <c r="F131" s="1" t="s">
        <v>102</v>
      </c>
      <c r="G131" s="2">
        <v>45.0</v>
      </c>
      <c r="H131" s="1" t="s">
        <v>55</v>
      </c>
      <c r="I131" s="1" t="s">
        <v>67</v>
      </c>
      <c r="J131" s="1" t="s">
        <v>86</v>
      </c>
      <c r="K131" s="1" t="s">
        <v>87</v>
      </c>
      <c r="M131" s="1" t="s">
        <v>58</v>
      </c>
      <c r="N131" s="1" t="s">
        <v>58</v>
      </c>
      <c r="O131" s="1" t="s">
        <v>58</v>
      </c>
      <c r="Q131" s="1" t="s">
        <v>58</v>
      </c>
      <c r="R131" s="1" t="s">
        <v>58</v>
      </c>
      <c r="S131" s="1" t="s">
        <v>70</v>
      </c>
      <c r="T131" s="1" t="s">
        <v>70</v>
      </c>
      <c r="U131" s="1" t="s">
        <v>58</v>
      </c>
      <c r="V131" s="1" t="s">
        <v>58</v>
      </c>
      <c r="W131" s="1" t="s">
        <v>70</v>
      </c>
      <c r="X131" s="1" t="s">
        <v>88</v>
      </c>
      <c r="Y131" s="1" t="s">
        <v>60</v>
      </c>
      <c r="Z131" s="1" t="s">
        <v>108</v>
      </c>
      <c r="AA131" s="2">
        <v>100.0</v>
      </c>
      <c r="AB131" s="1" t="s">
        <v>62</v>
      </c>
      <c r="AC131" s="1" t="s">
        <v>71</v>
      </c>
      <c r="AF131" s="1" t="s">
        <v>51</v>
      </c>
      <c r="AG131" s="1" t="s">
        <v>72</v>
      </c>
      <c r="AI131" s="2">
        <v>0.0</v>
      </c>
      <c r="AJ131" s="2">
        <v>0.0</v>
      </c>
      <c r="AK131" s="2">
        <v>0.0</v>
      </c>
      <c r="AL131" s="2">
        <v>1.0</v>
      </c>
      <c r="AM131" s="1" t="s">
        <v>51</v>
      </c>
      <c r="AP131" s="2">
        <v>4.89842136E8</v>
      </c>
      <c r="AQ131" s="1" t="s">
        <v>258</v>
      </c>
      <c r="AR131" s="2">
        <v>45808.254583333335</v>
      </c>
      <c r="AU131" s="1" t="s">
        <v>64</v>
      </c>
      <c r="AW131" s="1" t="s">
        <v>255</v>
      </c>
      <c r="AY131" s="2">
        <v>130.0</v>
      </c>
    </row>
    <row r="132">
      <c r="A132" s="1" t="s">
        <v>51</v>
      </c>
      <c r="C132" s="1" t="s">
        <v>52</v>
      </c>
      <c r="E132" s="1" t="s">
        <v>53</v>
      </c>
      <c r="F132" s="1" t="s">
        <v>136</v>
      </c>
      <c r="G132" s="2">
        <v>46.0</v>
      </c>
      <c r="H132" s="1" t="s">
        <v>55</v>
      </c>
      <c r="I132" s="1" t="s">
        <v>67</v>
      </c>
      <c r="J132" s="1" t="s">
        <v>86</v>
      </c>
      <c r="K132" s="1" t="s">
        <v>87</v>
      </c>
      <c r="M132" s="1" t="s">
        <v>58</v>
      </c>
      <c r="N132" s="1" t="s">
        <v>58</v>
      </c>
      <c r="O132" s="1" t="s">
        <v>69</v>
      </c>
      <c r="Q132" s="1" t="s">
        <v>58</v>
      </c>
      <c r="R132" s="1" t="s">
        <v>58</v>
      </c>
      <c r="S132" s="1" t="s">
        <v>58</v>
      </c>
      <c r="T132" s="1" t="s">
        <v>69</v>
      </c>
      <c r="U132" s="1" t="s">
        <v>58</v>
      </c>
      <c r="V132" s="1" t="s">
        <v>58</v>
      </c>
      <c r="W132" s="1" t="s">
        <v>69</v>
      </c>
      <c r="X132" s="1" t="s">
        <v>88</v>
      </c>
      <c r="Y132" s="1" t="s">
        <v>95</v>
      </c>
      <c r="Z132" s="1" t="s">
        <v>89</v>
      </c>
      <c r="AA132" s="2">
        <v>50.0</v>
      </c>
      <c r="AB132" s="1" t="s">
        <v>62</v>
      </c>
      <c r="AC132" s="1" t="s">
        <v>71</v>
      </c>
      <c r="AF132" s="1" t="s">
        <v>51</v>
      </c>
      <c r="AG132" s="1" t="s">
        <v>72</v>
      </c>
      <c r="AI132" s="2">
        <v>0.0</v>
      </c>
      <c r="AJ132" s="2">
        <v>0.0</v>
      </c>
      <c r="AK132" s="2">
        <v>0.0</v>
      </c>
      <c r="AL132" s="2">
        <v>1.0</v>
      </c>
      <c r="AM132" s="1" t="s">
        <v>72</v>
      </c>
      <c r="AP132" s="2">
        <v>4.89848913E8</v>
      </c>
      <c r="AQ132" s="1" t="s">
        <v>259</v>
      </c>
      <c r="AR132" s="2">
        <v>45808.26868055556</v>
      </c>
      <c r="AU132" s="1" t="s">
        <v>64</v>
      </c>
      <c r="AW132" s="1" t="s">
        <v>255</v>
      </c>
      <c r="AY132" s="2">
        <v>131.0</v>
      </c>
    </row>
    <row r="133">
      <c r="A133" s="1" t="s">
        <v>51</v>
      </c>
      <c r="C133" s="1" t="s">
        <v>131</v>
      </c>
      <c r="E133" s="1" t="s">
        <v>53</v>
      </c>
      <c r="F133" s="1" t="s">
        <v>54</v>
      </c>
      <c r="G133" s="2">
        <v>30.0</v>
      </c>
      <c r="H133" s="1" t="s">
        <v>66</v>
      </c>
      <c r="I133" s="1" t="s">
        <v>67</v>
      </c>
      <c r="J133" s="1" t="s">
        <v>68</v>
      </c>
      <c r="K133" s="1" t="s">
        <v>74</v>
      </c>
      <c r="M133" s="1" t="s">
        <v>58</v>
      </c>
      <c r="N133" s="1" t="s">
        <v>58</v>
      </c>
      <c r="O133" s="1" t="s">
        <v>70</v>
      </c>
      <c r="Q133" s="1" t="s">
        <v>58</v>
      </c>
      <c r="R133" s="1" t="s">
        <v>58</v>
      </c>
      <c r="S133" s="1" t="s">
        <v>58</v>
      </c>
      <c r="T133" s="1" t="s">
        <v>58</v>
      </c>
      <c r="U133" s="1" t="s">
        <v>70</v>
      </c>
      <c r="V133" s="1" t="s">
        <v>69</v>
      </c>
      <c r="W133" s="1" t="s">
        <v>58</v>
      </c>
      <c r="X133" s="1" t="s">
        <v>81</v>
      </c>
      <c r="Y133" s="1" t="s">
        <v>82</v>
      </c>
      <c r="Z133" s="1" t="s">
        <v>96</v>
      </c>
      <c r="AA133" s="2">
        <v>10.0</v>
      </c>
      <c r="AB133" s="1" t="s">
        <v>79</v>
      </c>
      <c r="AC133" s="1" t="s">
        <v>72</v>
      </c>
      <c r="AF133" s="1" t="s">
        <v>51</v>
      </c>
      <c r="AG133" s="1" t="s">
        <v>72</v>
      </c>
      <c r="AI133" s="2">
        <v>1.0</v>
      </c>
      <c r="AJ133" s="2">
        <v>0.0</v>
      </c>
      <c r="AK133" s="2">
        <v>0.0</v>
      </c>
      <c r="AL133" s="2">
        <v>0.0</v>
      </c>
      <c r="AM133" s="1" t="s">
        <v>51</v>
      </c>
      <c r="AN133" s="2">
        <v>7.82860878E8</v>
      </c>
      <c r="AP133" s="2">
        <v>4.89854202E8</v>
      </c>
      <c r="AQ133" s="1" t="s">
        <v>260</v>
      </c>
      <c r="AR133" s="2">
        <v>45808.27946759259</v>
      </c>
      <c r="AU133" s="1" t="s">
        <v>64</v>
      </c>
      <c r="AW133" s="1" t="s">
        <v>255</v>
      </c>
      <c r="AY133" s="2">
        <v>132.0</v>
      </c>
    </row>
    <row r="134">
      <c r="A134" s="1" t="s">
        <v>51</v>
      </c>
      <c r="C134" s="1" t="s">
        <v>105</v>
      </c>
      <c r="D134" s="1" t="s">
        <v>261</v>
      </c>
      <c r="E134" s="1" t="s">
        <v>52</v>
      </c>
      <c r="G134" s="2">
        <v>45.0</v>
      </c>
      <c r="H134" s="1" t="s">
        <v>55</v>
      </c>
      <c r="J134" s="1" t="s">
        <v>111</v>
      </c>
      <c r="K134" s="1" t="s">
        <v>87</v>
      </c>
      <c r="M134" s="1" t="s">
        <v>58</v>
      </c>
      <c r="N134" s="1" t="s">
        <v>58</v>
      </c>
      <c r="O134" s="1" t="s">
        <v>58</v>
      </c>
      <c r="Q134" s="1" t="s">
        <v>58</v>
      </c>
      <c r="R134" s="1" t="s">
        <v>58</v>
      </c>
      <c r="S134" s="1" t="s">
        <v>58</v>
      </c>
      <c r="T134" s="1" t="s">
        <v>69</v>
      </c>
      <c r="U134" s="1" t="s">
        <v>58</v>
      </c>
      <c r="V134" s="1" t="s">
        <v>58</v>
      </c>
      <c r="W134" s="1" t="s">
        <v>69</v>
      </c>
      <c r="X134" s="1" t="s">
        <v>88</v>
      </c>
      <c r="Y134" s="1" t="s">
        <v>60</v>
      </c>
      <c r="Z134" s="1" t="s">
        <v>108</v>
      </c>
      <c r="AA134" s="2">
        <v>100.0</v>
      </c>
      <c r="AB134" s="1" t="s">
        <v>62</v>
      </c>
      <c r="AC134" s="1" t="s">
        <v>51</v>
      </c>
      <c r="AD134" s="1" t="s">
        <v>59</v>
      </c>
      <c r="AE134" s="1" t="s">
        <v>51</v>
      </c>
      <c r="AF134" s="1" t="s">
        <v>51</v>
      </c>
      <c r="AG134" s="1" t="s">
        <v>72</v>
      </c>
      <c r="AI134" s="2">
        <v>1.0</v>
      </c>
      <c r="AJ134" s="2">
        <v>1.0</v>
      </c>
      <c r="AK134" s="2">
        <v>1.0</v>
      </c>
      <c r="AL134" s="2">
        <v>0.0</v>
      </c>
      <c r="AP134" s="2">
        <v>4.89854452E8</v>
      </c>
      <c r="AQ134" s="1" t="s">
        <v>262</v>
      </c>
      <c r="AR134" s="2">
        <v>45808.27978009259</v>
      </c>
      <c r="AU134" s="1" t="s">
        <v>64</v>
      </c>
      <c r="AW134" s="1" t="s">
        <v>255</v>
      </c>
      <c r="AY134" s="2">
        <v>133.0</v>
      </c>
    </row>
    <row r="135">
      <c r="A135" s="1" t="s">
        <v>51</v>
      </c>
      <c r="C135" s="1" t="s">
        <v>118</v>
      </c>
      <c r="E135" s="1" t="s">
        <v>105</v>
      </c>
      <c r="G135" s="2">
        <v>25.0</v>
      </c>
      <c r="H135" s="1" t="s">
        <v>66</v>
      </c>
      <c r="J135" s="1" t="s">
        <v>68</v>
      </c>
      <c r="K135" s="1" t="s">
        <v>92</v>
      </c>
      <c r="M135" s="1" t="s">
        <v>58</v>
      </c>
      <c r="N135" s="1" t="s">
        <v>58</v>
      </c>
      <c r="O135" s="1" t="s">
        <v>58</v>
      </c>
      <c r="Q135" s="1" t="s">
        <v>58</v>
      </c>
      <c r="R135" s="1" t="s">
        <v>58</v>
      </c>
      <c r="S135" s="1" t="s">
        <v>58</v>
      </c>
      <c r="T135" s="1" t="s">
        <v>70</v>
      </c>
      <c r="U135" s="1" t="s">
        <v>58</v>
      </c>
      <c r="V135" s="1" t="s">
        <v>58</v>
      </c>
      <c r="W135" s="1" t="s">
        <v>69</v>
      </c>
      <c r="X135" s="1" t="s">
        <v>59</v>
      </c>
      <c r="Y135" s="1" t="s">
        <v>95</v>
      </c>
      <c r="Z135" s="1" t="s">
        <v>108</v>
      </c>
      <c r="AA135" s="2">
        <v>10.0</v>
      </c>
      <c r="AB135" s="1" t="s">
        <v>28</v>
      </c>
      <c r="AC135" s="1" t="s">
        <v>71</v>
      </c>
      <c r="AF135" s="1" t="s">
        <v>51</v>
      </c>
      <c r="AG135" s="1" t="s">
        <v>51</v>
      </c>
      <c r="AH135" s="2">
        <v>20.0</v>
      </c>
      <c r="AI135" s="2">
        <v>0.0</v>
      </c>
      <c r="AJ135" s="2">
        <v>0.0</v>
      </c>
      <c r="AK135" s="2">
        <v>0.0</v>
      </c>
      <c r="AL135" s="2">
        <v>1.0</v>
      </c>
      <c r="AP135" s="2">
        <v>4.89861321E8</v>
      </c>
      <c r="AQ135" s="1" t="s">
        <v>263</v>
      </c>
      <c r="AR135" s="2">
        <v>45808.29232638889</v>
      </c>
      <c r="AU135" s="1" t="s">
        <v>64</v>
      </c>
      <c r="AW135" s="1" t="s">
        <v>255</v>
      </c>
      <c r="AY135" s="2">
        <v>134.0</v>
      </c>
    </row>
    <row r="136">
      <c r="A136" s="1" t="s">
        <v>51</v>
      </c>
      <c r="C136" s="1" t="s">
        <v>53</v>
      </c>
      <c r="E136" s="1" t="s">
        <v>53</v>
      </c>
      <c r="F136" s="1" t="s">
        <v>102</v>
      </c>
      <c r="G136" s="2">
        <v>42.0</v>
      </c>
      <c r="H136" s="1" t="s">
        <v>66</v>
      </c>
      <c r="I136" s="1" t="s">
        <v>67</v>
      </c>
      <c r="J136" s="1" t="s">
        <v>86</v>
      </c>
      <c r="K136" s="1" t="s">
        <v>87</v>
      </c>
      <c r="M136" s="1" t="s">
        <v>58</v>
      </c>
      <c r="N136" s="1" t="s">
        <v>58</v>
      </c>
      <c r="O136" s="1" t="s">
        <v>58</v>
      </c>
      <c r="Q136" s="1" t="s">
        <v>69</v>
      </c>
      <c r="R136" s="1" t="s">
        <v>58</v>
      </c>
      <c r="S136" s="1" t="s">
        <v>58</v>
      </c>
      <c r="T136" s="1" t="s">
        <v>70</v>
      </c>
      <c r="U136" s="1" t="s">
        <v>58</v>
      </c>
      <c r="V136" s="1" t="s">
        <v>58</v>
      </c>
      <c r="W136" s="1" t="s">
        <v>69</v>
      </c>
      <c r="X136" s="1" t="s">
        <v>88</v>
      </c>
      <c r="Y136" s="1" t="s">
        <v>60</v>
      </c>
      <c r="Z136" s="1" t="s">
        <v>108</v>
      </c>
      <c r="AA136" s="2">
        <v>100.0</v>
      </c>
      <c r="AB136" s="1" t="s">
        <v>79</v>
      </c>
      <c r="AC136" s="1" t="s">
        <v>71</v>
      </c>
      <c r="AF136" s="1" t="s">
        <v>51</v>
      </c>
      <c r="AG136" s="1" t="s">
        <v>72</v>
      </c>
      <c r="AI136" s="2">
        <v>0.0</v>
      </c>
      <c r="AJ136" s="2">
        <v>1.0</v>
      </c>
      <c r="AK136" s="2">
        <v>1.0</v>
      </c>
      <c r="AL136" s="2">
        <v>0.0</v>
      </c>
      <c r="AM136" s="1" t="s">
        <v>72</v>
      </c>
      <c r="AP136" s="2">
        <v>4.89875662E8</v>
      </c>
      <c r="AQ136" s="1" t="s">
        <v>264</v>
      </c>
      <c r="AR136" s="2">
        <v>45808.31581018519</v>
      </c>
      <c r="AU136" s="1" t="s">
        <v>64</v>
      </c>
      <c r="AW136" s="1" t="s">
        <v>255</v>
      </c>
      <c r="AY136" s="2">
        <v>135.0</v>
      </c>
    </row>
    <row r="137">
      <c r="A137" s="1" t="s">
        <v>51</v>
      </c>
      <c r="C137" s="1" t="s">
        <v>118</v>
      </c>
      <c r="E137" s="1" t="s">
        <v>105</v>
      </c>
      <c r="G137" s="2">
        <v>43.0</v>
      </c>
      <c r="H137" s="1" t="s">
        <v>55</v>
      </c>
      <c r="K137" s="1" t="s">
        <v>87</v>
      </c>
      <c r="M137" s="1" t="s">
        <v>58</v>
      </c>
      <c r="N137" s="1" t="s">
        <v>58</v>
      </c>
      <c r="O137" s="1" t="s">
        <v>58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58</v>
      </c>
      <c r="W137" s="1" t="s">
        <v>69</v>
      </c>
      <c r="X137" s="1" t="s">
        <v>81</v>
      </c>
      <c r="Y137" s="1" t="s">
        <v>95</v>
      </c>
      <c r="Z137" s="1" t="s">
        <v>96</v>
      </c>
      <c r="AA137" s="2">
        <v>100.0</v>
      </c>
      <c r="AB137" s="1" t="s">
        <v>28</v>
      </c>
      <c r="AC137" s="1" t="s">
        <v>71</v>
      </c>
      <c r="AF137" s="1" t="s">
        <v>51</v>
      </c>
      <c r="AI137" s="2">
        <v>1.0</v>
      </c>
      <c r="AJ137" s="2">
        <v>0.0</v>
      </c>
      <c r="AK137" s="2">
        <v>0.0</v>
      </c>
      <c r="AL137" s="2">
        <v>0.0</v>
      </c>
      <c r="AP137" s="2">
        <v>4.89879065E8</v>
      </c>
      <c r="AQ137" s="1" t="s">
        <v>265</v>
      </c>
      <c r="AR137" s="2">
        <v>45808.32135416667</v>
      </c>
      <c r="AU137" s="1" t="s">
        <v>64</v>
      </c>
      <c r="AW137" s="1" t="s">
        <v>255</v>
      </c>
      <c r="AY137" s="2">
        <v>136.0</v>
      </c>
    </row>
    <row r="138">
      <c r="A138" s="1" t="s">
        <v>51</v>
      </c>
      <c r="C138" s="1" t="s">
        <v>131</v>
      </c>
      <c r="E138" s="1" t="s">
        <v>53</v>
      </c>
      <c r="F138" s="1" t="s">
        <v>54</v>
      </c>
      <c r="G138" s="2">
        <v>23.0</v>
      </c>
      <c r="H138" s="1" t="s">
        <v>66</v>
      </c>
      <c r="I138" s="1" t="s">
        <v>100</v>
      </c>
      <c r="J138" s="1" t="s">
        <v>68</v>
      </c>
      <c r="K138" s="1" t="s">
        <v>74</v>
      </c>
      <c r="M138" s="1" t="s">
        <v>58</v>
      </c>
      <c r="N138" s="1" t="s">
        <v>58</v>
      </c>
      <c r="O138" s="1" t="s">
        <v>69</v>
      </c>
      <c r="Q138" s="1" t="s">
        <v>58</v>
      </c>
      <c r="R138" s="1" t="s">
        <v>58</v>
      </c>
      <c r="S138" s="1" t="s">
        <v>70</v>
      </c>
      <c r="T138" s="1" t="s">
        <v>58</v>
      </c>
      <c r="U138" s="1" t="s">
        <v>70</v>
      </c>
      <c r="V138" s="1" t="s">
        <v>58</v>
      </c>
      <c r="W138" s="1" t="s">
        <v>58</v>
      </c>
      <c r="X138" s="1" t="s">
        <v>81</v>
      </c>
      <c r="Y138" s="1" t="s">
        <v>172</v>
      </c>
      <c r="Z138" s="1" t="s">
        <v>96</v>
      </c>
      <c r="AA138" s="2">
        <v>50.0</v>
      </c>
      <c r="AB138" s="1" t="s">
        <v>79</v>
      </c>
      <c r="AC138" s="1" t="s">
        <v>72</v>
      </c>
      <c r="AG138" s="1" t="s">
        <v>51</v>
      </c>
      <c r="AI138" s="2">
        <v>0.0</v>
      </c>
      <c r="AJ138" s="2">
        <v>0.0</v>
      </c>
      <c r="AK138" s="2">
        <v>0.0</v>
      </c>
      <c r="AL138" s="2">
        <v>1.0</v>
      </c>
      <c r="AM138" s="1" t="s">
        <v>51</v>
      </c>
      <c r="AN138" s="2">
        <v>6.55789034E8</v>
      </c>
      <c r="AP138" s="2">
        <v>4.898922E8</v>
      </c>
      <c r="AQ138" s="1" t="s">
        <v>266</v>
      </c>
      <c r="AR138" s="2">
        <v>45808.342997685184</v>
      </c>
      <c r="AU138" s="1" t="s">
        <v>64</v>
      </c>
      <c r="AW138" s="1" t="s">
        <v>255</v>
      </c>
      <c r="AY138" s="2">
        <v>137.0</v>
      </c>
    </row>
    <row r="139">
      <c r="A139" s="1" t="s">
        <v>51</v>
      </c>
      <c r="C139" s="1" t="s">
        <v>131</v>
      </c>
      <c r="E139" s="1" t="s">
        <v>53</v>
      </c>
      <c r="F139" s="1" t="s">
        <v>54</v>
      </c>
      <c r="G139" s="2">
        <v>27.0</v>
      </c>
      <c r="H139" s="1" t="s">
        <v>55</v>
      </c>
      <c r="I139" s="1" t="s">
        <v>67</v>
      </c>
      <c r="J139" s="1" t="s">
        <v>68</v>
      </c>
      <c r="K139" s="1" t="s">
        <v>57</v>
      </c>
      <c r="M139" s="1" t="s">
        <v>58</v>
      </c>
      <c r="N139" s="1" t="s">
        <v>58</v>
      </c>
      <c r="O139" s="1" t="s">
        <v>69</v>
      </c>
      <c r="Q139" s="1" t="s">
        <v>58</v>
      </c>
      <c r="R139" s="1" t="s">
        <v>58</v>
      </c>
      <c r="S139" s="1" t="s">
        <v>58</v>
      </c>
      <c r="T139" s="1" t="s">
        <v>58</v>
      </c>
      <c r="V139" s="1" t="s">
        <v>58</v>
      </c>
      <c r="W139" s="1" t="s">
        <v>58</v>
      </c>
      <c r="X139" s="1" t="s">
        <v>81</v>
      </c>
      <c r="Y139" s="1" t="s">
        <v>172</v>
      </c>
      <c r="AA139" s="2">
        <v>100.0</v>
      </c>
      <c r="AB139" s="1" t="s">
        <v>79</v>
      </c>
      <c r="AC139" s="1" t="s">
        <v>72</v>
      </c>
      <c r="AF139" s="1" t="s">
        <v>51</v>
      </c>
      <c r="AG139" s="1" t="s">
        <v>51</v>
      </c>
      <c r="AH139" s="2">
        <v>20.0</v>
      </c>
      <c r="AI139" s="2">
        <v>0.0</v>
      </c>
      <c r="AJ139" s="2">
        <v>0.0</v>
      </c>
      <c r="AK139" s="2">
        <v>0.0</v>
      </c>
      <c r="AL139" s="2">
        <v>1.0</v>
      </c>
      <c r="AM139" s="1" t="s">
        <v>51</v>
      </c>
      <c r="AN139" s="2">
        <v>7.04538078E8</v>
      </c>
      <c r="AP139" s="2">
        <v>4.89895622E8</v>
      </c>
      <c r="AQ139" s="1" t="s">
        <v>267</v>
      </c>
      <c r="AR139" s="2">
        <v>45808.34820601852</v>
      </c>
      <c r="AU139" s="1" t="s">
        <v>64</v>
      </c>
      <c r="AW139" s="1" t="s">
        <v>255</v>
      </c>
      <c r="AY139" s="2">
        <v>138.0</v>
      </c>
    </row>
    <row r="140">
      <c r="A140" s="1" t="s">
        <v>51</v>
      </c>
      <c r="C140" s="1" t="s">
        <v>53</v>
      </c>
      <c r="E140" s="1" t="s">
        <v>105</v>
      </c>
      <c r="G140" s="2">
        <v>48.0</v>
      </c>
      <c r="H140" s="1" t="s">
        <v>66</v>
      </c>
      <c r="J140" s="1" t="s">
        <v>86</v>
      </c>
      <c r="K140" s="1" t="s">
        <v>87</v>
      </c>
      <c r="M140" s="1" t="s">
        <v>58</v>
      </c>
      <c r="N140" s="1" t="s">
        <v>69</v>
      </c>
      <c r="O140" s="1" t="s">
        <v>58</v>
      </c>
      <c r="Q140" s="1" t="s">
        <v>58</v>
      </c>
      <c r="R140" s="1" t="s">
        <v>58</v>
      </c>
      <c r="S140" s="1" t="s">
        <v>58</v>
      </c>
      <c r="T140" s="1" t="s">
        <v>58</v>
      </c>
      <c r="U140" s="1" t="s">
        <v>58</v>
      </c>
      <c r="V140" s="1" t="s">
        <v>58</v>
      </c>
      <c r="W140" s="1" t="s">
        <v>58</v>
      </c>
      <c r="X140" s="1" t="s">
        <v>81</v>
      </c>
      <c r="Y140" s="1" t="s">
        <v>95</v>
      </c>
      <c r="Z140" s="1" t="s">
        <v>89</v>
      </c>
      <c r="AA140" s="2">
        <v>20.0</v>
      </c>
      <c r="AB140" s="1" t="s">
        <v>79</v>
      </c>
      <c r="AC140" s="1" t="s">
        <v>51</v>
      </c>
      <c r="AD140" s="1" t="s">
        <v>81</v>
      </c>
      <c r="AE140" s="1" t="s">
        <v>51</v>
      </c>
      <c r="AF140" s="1" t="s">
        <v>51</v>
      </c>
      <c r="AG140" s="1" t="s">
        <v>72</v>
      </c>
      <c r="AI140" s="2">
        <v>1.0</v>
      </c>
      <c r="AJ140" s="2">
        <v>0.0</v>
      </c>
      <c r="AK140" s="2">
        <v>0.0</v>
      </c>
      <c r="AL140" s="2">
        <v>0.0</v>
      </c>
      <c r="AP140" s="2">
        <v>4.89899236E8</v>
      </c>
      <c r="AQ140" s="1" t="s">
        <v>268</v>
      </c>
      <c r="AR140" s="2">
        <v>45808.35460648148</v>
      </c>
      <c r="AU140" s="1" t="s">
        <v>64</v>
      </c>
      <c r="AW140" s="1" t="s">
        <v>255</v>
      </c>
      <c r="AY140" s="2">
        <v>139.0</v>
      </c>
    </row>
    <row r="141">
      <c r="A141" s="1" t="s">
        <v>51</v>
      </c>
      <c r="C141" s="1" t="s">
        <v>269</v>
      </c>
      <c r="E141" s="1" t="s">
        <v>105</v>
      </c>
      <c r="G141" s="2">
        <v>37.0</v>
      </c>
      <c r="H141" s="1" t="s">
        <v>66</v>
      </c>
      <c r="J141" s="1" t="s">
        <v>86</v>
      </c>
      <c r="K141" s="1" t="s">
        <v>87</v>
      </c>
      <c r="M141" s="1" t="s">
        <v>58</v>
      </c>
      <c r="N141" s="1" t="s">
        <v>58</v>
      </c>
      <c r="O141" s="1" t="s">
        <v>58</v>
      </c>
      <c r="Q141" s="1" t="s">
        <v>69</v>
      </c>
      <c r="R141" s="1" t="s">
        <v>58</v>
      </c>
      <c r="S141" s="1" t="s">
        <v>58</v>
      </c>
      <c r="T141" s="1" t="s">
        <v>70</v>
      </c>
      <c r="U141" s="1" t="s">
        <v>70</v>
      </c>
      <c r="V141" s="1" t="s">
        <v>58</v>
      </c>
      <c r="W141" s="1" t="s">
        <v>69</v>
      </c>
      <c r="X141" s="1" t="s">
        <v>88</v>
      </c>
      <c r="Y141" s="1" t="s">
        <v>95</v>
      </c>
      <c r="Z141" s="1" t="s">
        <v>96</v>
      </c>
      <c r="AA141" s="2">
        <v>50.0</v>
      </c>
      <c r="AB141" s="1" t="s">
        <v>79</v>
      </c>
      <c r="AC141" s="1" t="s">
        <v>71</v>
      </c>
      <c r="AF141" s="1" t="s">
        <v>51</v>
      </c>
      <c r="AG141" s="1" t="s">
        <v>72</v>
      </c>
      <c r="AI141" s="2">
        <v>0.0</v>
      </c>
      <c r="AJ141" s="2">
        <v>0.0</v>
      </c>
      <c r="AK141" s="2">
        <v>0.0</v>
      </c>
      <c r="AL141" s="2">
        <v>1.0</v>
      </c>
      <c r="AP141" s="2">
        <v>4.89908744E8</v>
      </c>
      <c r="AQ141" s="1" t="s">
        <v>270</v>
      </c>
      <c r="AR141" s="2">
        <v>45808.36929398148</v>
      </c>
      <c r="AU141" s="1" t="s">
        <v>64</v>
      </c>
      <c r="AW141" s="1" t="s">
        <v>255</v>
      </c>
      <c r="AY141" s="2">
        <v>140.0</v>
      </c>
    </row>
    <row r="142">
      <c r="A142" s="1" t="s">
        <v>51</v>
      </c>
      <c r="C142" s="1" t="s">
        <v>151</v>
      </c>
      <c r="E142" s="1" t="s">
        <v>151</v>
      </c>
      <c r="G142" s="2">
        <v>19.0</v>
      </c>
      <c r="H142" s="1" t="s">
        <v>66</v>
      </c>
      <c r="J142" s="1" t="s">
        <v>56</v>
      </c>
      <c r="K142" s="1" t="s">
        <v>74</v>
      </c>
      <c r="M142" s="1" t="s">
        <v>58</v>
      </c>
      <c r="N142" s="1" t="s">
        <v>58</v>
      </c>
      <c r="O142" s="1" t="s">
        <v>58</v>
      </c>
      <c r="Q142" s="1" t="s">
        <v>70</v>
      </c>
      <c r="R142" s="1" t="s">
        <v>70</v>
      </c>
      <c r="S142" s="1" t="s">
        <v>69</v>
      </c>
      <c r="T142" s="1" t="s">
        <v>69</v>
      </c>
      <c r="U142" s="1" t="s">
        <v>58</v>
      </c>
      <c r="V142" s="1" t="s">
        <v>58</v>
      </c>
      <c r="W142" s="1" t="s">
        <v>69</v>
      </c>
      <c r="X142" s="1" t="s">
        <v>81</v>
      </c>
      <c r="Y142" s="1" t="s">
        <v>82</v>
      </c>
      <c r="Z142" s="1" t="s">
        <v>61</v>
      </c>
      <c r="AA142" s="2">
        <v>10.0</v>
      </c>
      <c r="AB142" s="1" t="s">
        <v>79</v>
      </c>
      <c r="AC142" s="1" t="s">
        <v>71</v>
      </c>
      <c r="AF142" s="1" t="s">
        <v>51</v>
      </c>
      <c r="AG142" s="1" t="s">
        <v>51</v>
      </c>
      <c r="AH142" s="2">
        <v>500.0</v>
      </c>
      <c r="AI142" s="2">
        <v>1.0</v>
      </c>
      <c r="AJ142" s="2">
        <v>1.0</v>
      </c>
      <c r="AK142" s="2">
        <v>1.0</v>
      </c>
      <c r="AL142" s="2">
        <v>1.0</v>
      </c>
      <c r="AP142" s="2">
        <v>4.89927291E8</v>
      </c>
      <c r="AQ142" s="1" t="s">
        <v>271</v>
      </c>
      <c r="AR142" s="2">
        <v>45808.39879629629</v>
      </c>
      <c r="AU142" s="1" t="s">
        <v>64</v>
      </c>
      <c r="AW142" s="1" t="s">
        <v>255</v>
      </c>
      <c r="AY142" s="2">
        <v>141.0</v>
      </c>
    </row>
    <row r="143">
      <c r="A143" s="1" t="s">
        <v>51</v>
      </c>
      <c r="C143" s="1" t="s">
        <v>131</v>
      </c>
      <c r="E143" s="1" t="s">
        <v>53</v>
      </c>
      <c r="F143" s="1" t="s">
        <v>85</v>
      </c>
      <c r="G143" s="2">
        <v>24.0</v>
      </c>
      <c r="H143" s="1" t="s">
        <v>66</v>
      </c>
      <c r="I143" s="1" t="s">
        <v>100</v>
      </c>
      <c r="J143" s="1" t="s">
        <v>56</v>
      </c>
      <c r="K143" s="1" t="s">
        <v>74</v>
      </c>
      <c r="M143" s="1" t="s">
        <v>58</v>
      </c>
      <c r="N143" s="1" t="s">
        <v>58</v>
      </c>
      <c r="O143" s="1" t="s">
        <v>58</v>
      </c>
      <c r="Q143" s="1" t="s">
        <v>58</v>
      </c>
      <c r="R143" s="1" t="s">
        <v>58</v>
      </c>
      <c r="S143" s="1" t="s">
        <v>58</v>
      </c>
      <c r="T143" s="1" t="s">
        <v>58</v>
      </c>
      <c r="U143" s="1" t="s">
        <v>58</v>
      </c>
      <c r="V143" s="1" t="s">
        <v>58</v>
      </c>
      <c r="W143" s="1" t="s">
        <v>58</v>
      </c>
      <c r="X143" s="1" t="s">
        <v>81</v>
      </c>
      <c r="Y143" s="1" t="s">
        <v>60</v>
      </c>
      <c r="Z143" s="1" t="s">
        <v>96</v>
      </c>
      <c r="AA143" s="2">
        <v>20.0</v>
      </c>
      <c r="AB143" s="1" t="s">
        <v>79</v>
      </c>
      <c r="AC143" s="1" t="s">
        <v>51</v>
      </c>
      <c r="AD143" s="1" t="s">
        <v>81</v>
      </c>
      <c r="AE143" s="1" t="s">
        <v>51</v>
      </c>
      <c r="AF143" s="1" t="s">
        <v>51</v>
      </c>
      <c r="AG143" s="1" t="s">
        <v>51</v>
      </c>
      <c r="AH143" s="2">
        <v>200.0</v>
      </c>
      <c r="AI143" s="2">
        <v>1.0</v>
      </c>
      <c r="AJ143" s="2">
        <v>0.0</v>
      </c>
      <c r="AK143" s="2">
        <v>0.0</v>
      </c>
      <c r="AL143" s="2">
        <v>0.0</v>
      </c>
      <c r="AM143" s="1" t="s">
        <v>51</v>
      </c>
      <c r="AN143" s="2">
        <v>7.16325173E8</v>
      </c>
      <c r="AP143" s="2">
        <v>4.89931787E8</v>
      </c>
      <c r="AQ143" s="1" t="s">
        <v>272</v>
      </c>
      <c r="AR143" s="2">
        <v>45808.40630787037</v>
      </c>
      <c r="AU143" s="1" t="s">
        <v>64</v>
      </c>
      <c r="AW143" s="1" t="s">
        <v>255</v>
      </c>
      <c r="AY143" s="2">
        <v>142.0</v>
      </c>
    </row>
    <row r="144">
      <c r="A144" s="1" t="s">
        <v>51</v>
      </c>
      <c r="C144" s="1" t="s">
        <v>53</v>
      </c>
      <c r="E144" s="1" t="s">
        <v>131</v>
      </c>
      <c r="G144" s="2">
        <v>27.0</v>
      </c>
      <c r="H144" s="1" t="s">
        <v>66</v>
      </c>
      <c r="J144" s="1" t="s">
        <v>56</v>
      </c>
      <c r="K144" s="1" t="s">
        <v>57</v>
      </c>
      <c r="M144" s="1" t="s">
        <v>58</v>
      </c>
      <c r="N144" s="1" t="s">
        <v>58</v>
      </c>
      <c r="O144" s="1" t="s">
        <v>58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58</v>
      </c>
      <c r="V144" s="1" t="s">
        <v>58</v>
      </c>
      <c r="W144" s="1" t="s">
        <v>58</v>
      </c>
      <c r="X144" s="1" t="s">
        <v>103</v>
      </c>
      <c r="Y144" s="1" t="s">
        <v>82</v>
      </c>
      <c r="Z144" s="1" t="s">
        <v>89</v>
      </c>
      <c r="AA144" s="2">
        <v>30.0</v>
      </c>
      <c r="AB144" s="1" t="s">
        <v>62</v>
      </c>
      <c r="AC144" s="1" t="s">
        <v>51</v>
      </c>
      <c r="AD144" s="1" t="s">
        <v>81</v>
      </c>
      <c r="AE144" s="1" t="s">
        <v>51</v>
      </c>
      <c r="AF144" s="1" t="s">
        <v>51</v>
      </c>
      <c r="AG144" s="1" t="s">
        <v>51</v>
      </c>
      <c r="AH144" s="2">
        <v>50.0</v>
      </c>
      <c r="AI144" s="2">
        <v>0.0</v>
      </c>
      <c r="AJ144" s="2">
        <v>1.0</v>
      </c>
      <c r="AK144" s="2">
        <v>0.0</v>
      </c>
      <c r="AL144" s="2">
        <v>1.0</v>
      </c>
      <c r="AP144" s="2">
        <v>4.89933658E8</v>
      </c>
      <c r="AQ144" s="1" t="s">
        <v>273</v>
      </c>
      <c r="AR144" s="2">
        <v>45808.40959490741</v>
      </c>
      <c r="AU144" s="1" t="s">
        <v>64</v>
      </c>
      <c r="AW144" s="1" t="s">
        <v>255</v>
      </c>
      <c r="AY144" s="2">
        <v>143.0</v>
      </c>
    </row>
    <row r="145">
      <c r="A145" s="1" t="s">
        <v>51</v>
      </c>
      <c r="C145" s="1" t="s">
        <v>53</v>
      </c>
      <c r="E145" s="1" t="s">
        <v>131</v>
      </c>
      <c r="G145" s="2">
        <v>27.0</v>
      </c>
      <c r="H145" s="1" t="s">
        <v>55</v>
      </c>
      <c r="J145" s="1" t="s">
        <v>86</v>
      </c>
      <c r="K145" s="1" t="s">
        <v>57</v>
      </c>
      <c r="M145" s="1" t="s">
        <v>58</v>
      </c>
      <c r="N145" s="1" t="s">
        <v>58</v>
      </c>
      <c r="O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81</v>
      </c>
      <c r="Y145" s="1" t="s">
        <v>60</v>
      </c>
      <c r="Z145" s="1" t="s">
        <v>89</v>
      </c>
      <c r="AA145" s="2">
        <v>30.0</v>
      </c>
      <c r="AB145" s="1" t="s">
        <v>62</v>
      </c>
      <c r="AC145" s="1" t="s">
        <v>51</v>
      </c>
      <c r="AD145" s="1" t="s">
        <v>81</v>
      </c>
      <c r="AE145" s="1" t="s">
        <v>51</v>
      </c>
      <c r="AF145" s="1" t="s">
        <v>51</v>
      </c>
      <c r="AG145" s="1" t="s">
        <v>51</v>
      </c>
      <c r="AH145" s="2">
        <v>50.0</v>
      </c>
      <c r="AI145" s="2">
        <v>0.0</v>
      </c>
      <c r="AJ145" s="2">
        <v>1.0</v>
      </c>
      <c r="AK145" s="2">
        <v>0.0</v>
      </c>
      <c r="AL145" s="2">
        <v>0.0</v>
      </c>
      <c r="AP145" s="2">
        <v>4.89935516E8</v>
      </c>
      <c r="AQ145" s="1" t="s">
        <v>274</v>
      </c>
      <c r="AR145" s="2">
        <v>45808.41211805555</v>
      </c>
      <c r="AU145" s="1" t="s">
        <v>64</v>
      </c>
      <c r="AW145" s="1" t="s">
        <v>255</v>
      </c>
      <c r="AY145" s="2">
        <v>144.0</v>
      </c>
    </row>
    <row r="146">
      <c r="A146" s="1" t="s">
        <v>51</v>
      </c>
      <c r="C146" s="1" t="s">
        <v>131</v>
      </c>
      <c r="E146" s="1" t="s">
        <v>131</v>
      </c>
      <c r="G146" s="2">
        <v>33.0</v>
      </c>
      <c r="H146" s="1" t="s">
        <v>55</v>
      </c>
      <c r="J146" s="1" t="s">
        <v>86</v>
      </c>
      <c r="K146" s="1" t="s">
        <v>57</v>
      </c>
      <c r="M146" s="1" t="s">
        <v>58</v>
      </c>
      <c r="N146" s="1" t="s">
        <v>58</v>
      </c>
      <c r="O146" s="1" t="s">
        <v>69</v>
      </c>
      <c r="Q146" s="1" t="s">
        <v>58</v>
      </c>
      <c r="R146" s="1" t="s">
        <v>58</v>
      </c>
      <c r="S146" s="1" t="s">
        <v>58</v>
      </c>
      <c r="T146" s="1" t="s">
        <v>70</v>
      </c>
      <c r="U146" s="1" t="s">
        <v>70</v>
      </c>
      <c r="V146" s="1" t="s">
        <v>69</v>
      </c>
      <c r="W146" s="1" t="s">
        <v>69</v>
      </c>
      <c r="X146" s="1" t="s">
        <v>59</v>
      </c>
      <c r="Y146" s="1" t="s">
        <v>172</v>
      </c>
      <c r="Z146" s="1" t="s">
        <v>108</v>
      </c>
      <c r="AA146" s="2">
        <v>100.0</v>
      </c>
      <c r="AB146" s="1" t="s">
        <v>79</v>
      </c>
      <c r="AC146" s="1" t="s">
        <v>72</v>
      </c>
      <c r="AF146" s="1" t="s">
        <v>51</v>
      </c>
      <c r="AG146" s="1" t="s">
        <v>51</v>
      </c>
      <c r="AH146" s="2">
        <v>10.0</v>
      </c>
      <c r="AI146" s="2">
        <v>0.0</v>
      </c>
      <c r="AJ146" s="2">
        <v>0.0</v>
      </c>
      <c r="AK146" s="2">
        <v>0.0</v>
      </c>
      <c r="AL146" s="2">
        <v>1.0</v>
      </c>
      <c r="AP146" s="2">
        <v>4.89936782E8</v>
      </c>
      <c r="AQ146" s="1" t="s">
        <v>275</v>
      </c>
      <c r="AR146" s="2">
        <v>45808.41376157408</v>
      </c>
      <c r="AU146" s="1" t="s">
        <v>64</v>
      </c>
      <c r="AW146" s="1" t="s">
        <v>255</v>
      </c>
      <c r="AY146" s="2">
        <v>145.0</v>
      </c>
    </row>
    <row r="147">
      <c r="A147" s="1" t="s">
        <v>51</v>
      </c>
      <c r="C147" s="1" t="s">
        <v>131</v>
      </c>
      <c r="E147" s="1" t="s">
        <v>53</v>
      </c>
      <c r="F147" s="1" t="s">
        <v>102</v>
      </c>
      <c r="G147" s="2">
        <v>31.0</v>
      </c>
      <c r="H147" s="1" t="s">
        <v>55</v>
      </c>
      <c r="I147" s="1" t="s">
        <v>67</v>
      </c>
      <c r="J147" s="1" t="s">
        <v>86</v>
      </c>
      <c r="K147" s="1" t="s">
        <v>57</v>
      </c>
      <c r="M147" s="1" t="s">
        <v>58</v>
      </c>
      <c r="N147" s="1" t="s">
        <v>58</v>
      </c>
      <c r="O147" s="1" t="s">
        <v>69</v>
      </c>
      <c r="Q147" s="1" t="s">
        <v>69</v>
      </c>
      <c r="R147" s="1" t="s">
        <v>69</v>
      </c>
      <c r="S147" s="1" t="s">
        <v>58</v>
      </c>
      <c r="T147" s="1" t="s">
        <v>69</v>
      </c>
      <c r="V147" s="1" t="s">
        <v>69</v>
      </c>
      <c r="W147" s="1" t="s">
        <v>69</v>
      </c>
      <c r="X147" s="1" t="s">
        <v>59</v>
      </c>
      <c r="Y147" s="1" t="s">
        <v>172</v>
      </c>
      <c r="Z147" s="1" t="s">
        <v>96</v>
      </c>
      <c r="AA147" s="2">
        <v>100.0</v>
      </c>
      <c r="AB147" s="1" t="s">
        <v>79</v>
      </c>
      <c r="AC147" s="1" t="s">
        <v>72</v>
      </c>
      <c r="AF147" s="1" t="s">
        <v>51</v>
      </c>
      <c r="AG147" s="1" t="s">
        <v>72</v>
      </c>
      <c r="AI147" s="2">
        <v>0.0</v>
      </c>
      <c r="AJ147" s="2">
        <v>0.0</v>
      </c>
      <c r="AK147" s="2">
        <v>0.0</v>
      </c>
      <c r="AL147" s="2">
        <v>1.0</v>
      </c>
      <c r="AM147" s="1" t="s">
        <v>51</v>
      </c>
      <c r="AN147" s="2">
        <v>6.03754007E8</v>
      </c>
      <c r="AP147" s="2">
        <v>4.89939487E8</v>
      </c>
      <c r="AQ147" s="1" t="s">
        <v>276</v>
      </c>
      <c r="AR147" s="2">
        <v>45808.41780092593</v>
      </c>
      <c r="AU147" s="1" t="s">
        <v>64</v>
      </c>
      <c r="AW147" s="1" t="s">
        <v>255</v>
      </c>
      <c r="AY147" s="2">
        <v>146.0</v>
      </c>
    </row>
    <row r="148">
      <c r="A148" s="1" t="s">
        <v>51</v>
      </c>
      <c r="C148" s="1" t="s">
        <v>52</v>
      </c>
      <c r="E148" s="1" t="s">
        <v>53</v>
      </c>
      <c r="F148" s="1" t="s">
        <v>102</v>
      </c>
      <c r="G148" s="2">
        <v>40.0</v>
      </c>
      <c r="H148" s="1" t="s">
        <v>66</v>
      </c>
      <c r="I148" s="1" t="s">
        <v>67</v>
      </c>
      <c r="J148" s="1" t="s">
        <v>86</v>
      </c>
      <c r="K148" s="1" t="s">
        <v>74</v>
      </c>
      <c r="M148" s="1" t="s">
        <v>58</v>
      </c>
      <c r="N148" s="1" t="s">
        <v>58</v>
      </c>
      <c r="O148" s="1" t="s">
        <v>58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70</v>
      </c>
      <c r="V148" s="1" t="s">
        <v>58</v>
      </c>
      <c r="W148" s="1" t="s">
        <v>69</v>
      </c>
      <c r="X148" s="1" t="s">
        <v>59</v>
      </c>
      <c r="Y148" s="1" t="s">
        <v>82</v>
      </c>
      <c r="Z148" s="1" t="s">
        <v>89</v>
      </c>
      <c r="AA148" s="2">
        <v>50.0</v>
      </c>
      <c r="AB148" s="1" t="s">
        <v>62</v>
      </c>
      <c r="AC148" s="1" t="s">
        <v>72</v>
      </c>
      <c r="AF148" s="1" t="s">
        <v>51</v>
      </c>
      <c r="AG148" s="1" t="s">
        <v>51</v>
      </c>
      <c r="AH148" s="2">
        <v>20.0</v>
      </c>
      <c r="AI148" s="2">
        <v>0.0</v>
      </c>
      <c r="AJ148" s="2">
        <v>0.0</v>
      </c>
      <c r="AK148" s="2">
        <v>0.0</v>
      </c>
      <c r="AL148" s="2">
        <v>1.0</v>
      </c>
      <c r="AM148" s="1" t="s">
        <v>51</v>
      </c>
      <c r="AN148" s="2">
        <v>8.46416597E8</v>
      </c>
      <c r="AP148" s="2">
        <v>4.89951561E8</v>
      </c>
      <c r="AQ148" s="1" t="s">
        <v>277</v>
      </c>
      <c r="AR148" s="2">
        <v>45808.433796296296</v>
      </c>
      <c r="AU148" s="1" t="s">
        <v>64</v>
      </c>
      <c r="AW148" s="1" t="s">
        <v>255</v>
      </c>
      <c r="AY148" s="2">
        <v>147.0</v>
      </c>
    </row>
    <row r="149">
      <c r="A149" s="1" t="s">
        <v>51</v>
      </c>
      <c r="C149" s="1" t="s">
        <v>52</v>
      </c>
      <c r="E149" s="1" t="s">
        <v>53</v>
      </c>
      <c r="F149" s="1" t="s">
        <v>85</v>
      </c>
      <c r="G149" s="2">
        <v>25.0</v>
      </c>
      <c r="H149" s="1" t="s">
        <v>66</v>
      </c>
      <c r="I149" s="1" t="s">
        <v>67</v>
      </c>
      <c r="J149" s="1" t="s">
        <v>56</v>
      </c>
      <c r="K149" s="1" t="s">
        <v>92</v>
      </c>
      <c r="M149" s="1" t="s">
        <v>58</v>
      </c>
      <c r="N149" s="1" t="s">
        <v>58</v>
      </c>
      <c r="O149" s="1" t="s">
        <v>58</v>
      </c>
      <c r="Q149" s="1" t="s">
        <v>70</v>
      </c>
      <c r="R149" s="1" t="s">
        <v>58</v>
      </c>
      <c r="S149" s="1" t="s">
        <v>69</v>
      </c>
      <c r="T149" s="1" t="s">
        <v>69</v>
      </c>
      <c r="U149" s="1" t="s">
        <v>58</v>
      </c>
      <c r="V149" s="1" t="s">
        <v>69</v>
      </c>
      <c r="W149" s="1" t="s">
        <v>69</v>
      </c>
      <c r="X149" s="1" t="s">
        <v>81</v>
      </c>
      <c r="Y149" s="1" t="s">
        <v>82</v>
      </c>
      <c r="Z149" s="1" t="s">
        <v>61</v>
      </c>
      <c r="AA149" s="2">
        <v>50.0</v>
      </c>
      <c r="AB149" s="1" t="s">
        <v>28</v>
      </c>
      <c r="AC149" s="1" t="s">
        <v>71</v>
      </c>
      <c r="AF149" s="1" t="s">
        <v>51</v>
      </c>
      <c r="AG149" s="1" t="s">
        <v>72</v>
      </c>
      <c r="AI149" s="2">
        <v>0.0</v>
      </c>
      <c r="AJ149" s="2">
        <v>0.0</v>
      </c>
      <c r="AK149" s="2">
        <v>0.0</v>
      </c>
      <c r="AL149" s="2">
        <v>1.0</v>
      </c>
      <c r="AM149" s="1" t="s">
        <v>72</v>
      </c>
      <c r="AP149" s="2">
        <v>4.899521E8</v>
      </c>
      <c r="AQ149" s="1" t="s">
        <v>278</v>
      </c>
      <c r="AR149" s="2">
        <v>45808.4346875</v>
      </c>
      <c r="AU149" s="1" t="s">
        <v>64</v>
      </c>
      <c r="AW149" s="1" t="s">
        <v>255</v>
      </c>
      <c r="AY149" s="2">
        <v>148.0</v>
      </c>
    </row>
    <row r="150">
      <c r="A150" s="1" t="s">
        <v>51</v>
      </c>
      <c r="C150" s="1" t="s">
        <v>151</v>
      </c>
      <c r="E150" s="1" t="s">
        <v>151</v>
      </c>
      <c r="G150" s="2">
        <v>21.0</v>
      </c>
      <c r="H150" s="1" t="s">
        <v>66</v>
      </c>
      <c r="J150" s="1" t="s">
        <v>56</v>
      </c>
      <c r="K150" s="1" t="s">
        <v>87</v>
      </c>
      <c r="M150" s="1" t="s">
        <v>58</v>
      </c>
      <c r="N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81</v>
      </c>
      <c r="Y150" s="1" t="s">
        <v>60</v>
      </c>
      <c r="Z150" s="1" t="s">
        <v>61</v>
      </c>
      <c r="AA150" s="2">
        <v>30.0</v>
      </c>
      <c r="AB150" s="1" t="s">
        <v>62</v>
      </c>
      <c r="AC150" s="1" t="s">
        <v>51</v>
      </c>
      <c r="AD150" s="1" t="s">
        <v>81</v>
      </c>
      <c r="AE150" s="1" t="s">
        <v>51</v>
      </c>
      <c r="AF150" s="1" t="s">
        <v>51</v>
      </c>
      <c r="AG150" s="1" t="s">
        <v>51</v>
      </c>
      <c r="AI150" s="2">
        <v>1.0</v>
      </c>
      <c r="AJ150" s="2">
        <v>0.0</v>
      </c>
      <c r="AK150" s="2">
        <v>0.0</v>
      </c>
      <c r="AL150" s="2">
        <v>0.0</v>
      </c>
      <c r="AP150" s="2">
        <v>4.89973054E8</v>
      </c>
      <c r="AQ150" s="1" t="s">
        <v>279</v>
      </c>
      <c r="AR150" s="2">
        <v>45808.46388888889</v>
      </c>
      <c r="AU150" s="1" t="s">
        <v>64</v>
      </c>
      <c r="AW150" s="1" t="s">
        <v>255</v>
      </c>
      <c r="AY150" s="2">
        <v>149.0</v>
      </c>
    </row>
    <row r="151">
      <c r="A151" s="1" t="s">
        <v>51</v>
      </c>
      <c r="C151" s="1" t="s">
        <v>170</v>
      </c>
      <c r="E151" s="1" t="s">
        <v>170</v>
      </c>
      <c r="G151" s="2">
        <v>42.0</v>
      </c>
      <c r="H151" s="1" t="s">
        <v>66</v>
      </c>
      <c r="J151" s="1" t="s">
        <v>68</v>
      </c>
      <c r="K151" s="1" t="s">
        <v>57</v>
      </c>
      <c r="M151" s="1" t="s">
        <v>70</v>
      </c>
      <c r="N151" s="1" t="s">
        <v>70</v>
      </c>
      <c r="O151" s="1" t="s">
        <v>58</v>
      </c>
      <c r="Q151" s="1" t="s">
        <v>58</v>
      </c>
      <c r="R151" s="1" t="s">
        <v>58</v>
      </c>
      <c r="S151" s="1" t="s">
        <v>58</v>
      </c>
      <c r="T151" s="1" t="s">
        <v>58</v>
      </c>
      <c r="U151" s="1" t="s">
        <v>58</v>
      </c>
      <c r="V151" s="1" t="s">
        <v>58</v>
      </c>
      <c r="W151" s="1" t="s">
        <v>58</v>
      </c>
      <c r="X151" s="1" t="s">
        <v>59</v>
      </c>
      <c r="Y151" s="1" t="s">
        <v>82</v>
      </c>
      <c r="Z151" s="1" t="s">
        <v>61</v>
      </c>
      <c r="AA151" s="2">
        <v>10.0</v>
      </c>
      <c r="AB151" s="1" t="s">
        <v>79</v>
      </c>
      <c r="AC151" s="1" t="s">
        <v>51</v>
      </c>
      <c r="AD151" s="1" t="s">
        <v>59</v>
      </c>
      <c r="AE151" s="1" t="s">
        <v>72</v>
      </c>
      <c r="AF151" s="1" t="s">
        <v>51</v>
      </c>
      <c r="AG151" s="1" t="s">
        <v>51</v>
      </c>
      <c r="AI151" s="2">
        <v>0.0</v>
      </c>
      <c r="AJ151" s="2">
        <v>0.0</v>
      </c>
      <c r="AK151" s="2">
        <v>1.0</v>
      </c>
      <c r="AL151" s="2">
        <v>0.0</v>
      </c>
      <c r="AP151" s="2">
        <v>4.8998635E8</v>
      </c>
      <c r="AQ151" s="1" t="s">
        <v>280</v>
      </c>
      <c r="AR151" s="2">
        <v>45808.481724537036</v>
      </c>
      <c r="AU151" s="1" t="s">
        <v>64</v>
      </c>
      <c r="AW151" s="1" t="s">
        <v>255</v>
      </c>
      <c r="AY151" s="2">
        <v>150.0</v>
      </c>
    </row>
    <row r="152">
      <c r="A152" s="1" t="s">
        <v>51</v>
      </c>
      <c r="C152" s="1" t="s">
        <v>151</v>
      </c>
      <c r="E152" s="1" t="s">
        <v>151</v>
      </c>
      <c r="G152" s="2">
        <v>30.0</v>
      </c>
      <c r="H152" s="1" t="s">
        <v>55</v>
      </c>
      <c r="J152" s="1" t="s">
        <v>86</v>
      </c>
      <c r="K152" s="1" t="s">
        <v>74</v>
      </c>
      <c r="M152" s="1" t="s">
        <v>58</v>
      </c>
      <c r="N152" s="1" t="s">
        <v>58</v>
      </c>
      <c r="O152" s="1" t="s">
        <v>69</v>
      </c>
      <c r="Q152" s="1" t="s">
        <v>58</v>
      </c>
      <c r="R152" s="1" t="s">
        <v>69</v>
      </c>
      <c r="S152" s="1" t="s">
        <v>69</v>
      </c>
      <c r="T152" s="1" t="s">
        <v>58</v>
      </c>
      <c r="U152" s="1" t="s">
        <v>58</v>
      </c>
      <c r="V152" s="1" t="s">
        <v>58</v>
      </c>
      <c r="W152" s="1" t="s">
        <v>69</v>
      </c>
      <c r="X152" s="1" t="s">
        <v>81</v>
      </c>
      <c r="Y152" s="1" t="s">
        <v>227</v>
      </c>
      <c r="Z152" s="1" t="s">
        <v>61</v>
      </c>
      <c r="AA152" s="2">
        <v>50.0</v>
      </c>
      <c r="AB152" s="1" t="s">
        <v>79</v>
      </c>
      <c r="AC152" s="1" t="s">
        <v>51</v>
      </c>
      <c r="AD152" s="1" t="s">
        <v>81</v>
      </c>
      <c r="AE152" s="1" t="s">
        <v>51</v>
      </c>
      <c r="AF152" s="1" t="s">
        <v>51</v>
      </c>
      <c r="AG152" s="1" t="s">
        <v>51</v>
      </c>
      <c r="AH152" s="2">
        <v>300.0</v>
      </c>
      <c r="AI152" s="2">
        <v>1.0</v>
      </c>
      <c r="AJ152" s="2">
        <v>0.0</v>
      </c>
      <c r="AK152" s="2">
        <v>0.0</v>
      </c>
      <c r="AL152" s="2">
        <v>0.0</v>
      </c>
      <c r="AP152" s="2">
        <v>4.89995757E8</v>
      </c>
      <c r="AQ152" s="1" t="s">
        <v>281</v>
      </c>
      <c r="AR152" s="2">
        <v>45808.49559027778</v>
      </c>
      <c r="AU152" s="1" t="s">
        <v>64</v>
      </c>
      <c r="AW152" s="1" t="s">
        <v>191</v>
      </c>
      <c r="AY152" s="2">
        <v>151.0</v>
      </c>
    </row>
    <row r="153">
      <c r="A153" s="1" t="s">
        <v>51</v>
      </c>
      <c r="C153" s="1" t="s">
        <v>53</v>
      </c>
      <c r="E153" s="1" t="s">
        <v>131</v>
      </c>
      <c r="G153" s="2">
        <v>27.0</v>
      </c>
      <c r="H153" s="1" t="s">
        <v>55</v>
      </c>
      <c r="J153" s="1" t="s">
        <v>86</v>
      </c>
      <c r="K153" s="1" t="s">
        <v>57</v>
      </c>
      <c r="M153" s="1" t="s">
        <v>58</v>
      </c>
      <c r="N153" s="1" t="s">
        <v>58</v>
      </c>
      <c r="O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58</v>
      </c>
      <c r="V153" s="1" t="s">
        <v>58</v>
      </c>
      <c r="W153" s="1" t="s">
        <v>58</v>
      </c>
      <c r="X153" s="1" t="s">
        <v>81</v>
      </c>
      <c r="Y153" s="1" t="s">
        <v>60</v>
      </c>
      <c r="Z153" s="1" t="s">
        <v>89</v>
      </c>
      <c r="AA153" s="2">
        <v>20.0</v>
      </c>
      <c r="AB153" s="1" t="s">
        <v>62</v>
      </c>
      <c r="AC153" s="1" t="s">
        <v>51</v>
      </c>
      <c r="AD153" s="1" t="s">
        <v>81</v>
      </c>
      <c r="AE153" s="1" t="s">
        <v>51</v>
      </c>
      <c r="AF153" s="1" t="s">
        <v>51</v>
      </c>
      <c r="AG153" s="1" t="s">
        <v>51</v>
      </c>
      <c r="AH153" s="2">
        <v>50.0</v>
      </c>
      <c r="AI153" s="2">
        <v>0.0</v>
      </c>
      <c r="AJ153" s="2">
        <v>1.0</v>
      </c>
      <c r="AK153" s="2">
        <v>0.0</v>
      </c>
      <c r="AL153" s="2">
        <v>0.0</v>
      </c>
      <c r="AP153" s="2">
        <v>4.89995822E8</v>
      </c>
      <c r="AQ153" s="1" t="s">
        <v>282</v>
      </c>
      <c r="AR153" s="2">
        <v>45808.49568287037</v>
      </c>
      <c r="AU153" s="1" t="s">
        <v>64</v>
      </c>
      <c r="AW153" s="1" t="s">
        <v>255</v>
      </c>
      <c r="AY153" s="2">
        <v>152.0</v>
      </c>
    </row>
    <row r="154">
      <c r="A154" s="1" t="s">
        <v>51</v>
      </c>
      <c r="C154" s="1" t="s">
        <v>53</v>
      </c>
      <c r="E154" s="1" t="s">
        <v>131</v>
      </c>
      <c r="G154" s="2">
        <v>27.0</v>
      </c>
      <c r="H154" s="1" t="s">
        <v>55</v>
      </c>
      <c r="J154" s="1" t="s">
        <v>86</v>
      </c>
      <c r="K154" s="1" t="s">
        <v>57</v>
      </c>
      <c r="M154" s="1" t="s">
        <v>58</v>
      </c>
      <c r="N154" s="1" t="s">
        <v>58</v>
      </c>
      <c r="O154" s="1" t="s">
        <v>58</v>
      </c>
      <c r="Q154" s="1" t="s">
        <v>58</v>
      </c>
      <c r="R154" s="1" t="s">
        <v>58</v>
      </c>
      <c r="S154" s="1" t="s">
        <v>58</v>
      </c>
      <c r="T154" s="1" t="s">
        <v>58</v>
      </c>
      <c r="U154" s="1" t="s">
        <v>58</v>
      </c>
      <c r="V154" s="1" t="s">
        <v>58</v>
      </c>
      <c r="W154" s="1" t="s">
        <v>58</v>
      </c>
      <c r="X154" s="1" t="s">
        <v>81</v>
      </c>
      <c r="Y154" s="1" t="s">
        <v>60</v>
      </c>
      <c r="Z154" s="1" t="s">
        <v>89</v>
      </c>
      <c r="AA154" s="2">
        <v>30.0</v>
      </c>
      <c r="AB154" s="1" t="s">
        <v>62</v>
      </c>
      <c r="AC154" s="1" t="s">
        <v>51</v>
      </c>
      <c r="AF154" s="1" t="s">
        <v>51</v>
      </c>
      <c r="AG154" s="1" t="s">
        <v>51</v>
      </c>
      <c r="AI154" s="2">
        <v>0.0</v>
      </c>
      <c r="AJ154" s="2">
        <v>1.0</v>
      </c>
      <c r="AK154" s="2">
        <v>0.0</v>
      </c>
      <c r="AL154" s="2">
        <v>0.0</v>
      </c>
      <c r="AP154" s="2">
        <v>4.89999395E8</v>
      </c>
      <c r="AQ154" s="1" t="s">
        <v>283</v>
      </c>
      <c r="AR154" s="2">
        <v>45808.50059027778</v>
      </c>
      <c r="AU154" s="1" t="s">
        <v>64</v>
      </c>
      <c r="AW154" s="1" t="s">
        <v>255</v>
      </c>
      <c r="AY154" s="2">
        <v>153.0</v>
      </c>
    </row>
    <row r="155">
      <c r="A155" s="1" t="s">
        <v>51</v>
      </c>
      <c r="C155" s="1" t="s">
        <v>53</v>
      </c>
      <c r="E155" s="1" t="s">
        <v>131</v>
      </c>
      <c r="G155" s="2">
        <v>28.0</v>
      </c>
      <c r="H155" s="1" t="s">
        <v>66</v>
      </c>
      <c r="J155" s="1" t="s">
        <v>86</v>
      </c>
      <c r="K155" s="1" t="s">
        <v>57</v>
      </c>
      <c r="M155" s="1" t="s">
        <v>58</v>
      </c>
      <c r="N155" s="1" t="s">
        <v>58</v>
      </c>
      <c r="O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X155" s="1" t="s">
        <v>81</v>
      </c>
      <c r="Y155" s="1" t="s">
        <v>82</v>
      </c>
      <c r="Z155" s="1" t="s">
        <v>89</v>
      </c>
      <c r="AA155" s="2">
        <v>40.0</v>
      </c>
      <c r="AB155" s="1" t="s">
        <v>79</v>
      </c>
      <c r="AC155" s="1" t="s">
        <v>51</v>
      </c>
      <c r="AD155" s="1" t="s">
        <v>81</v>
      </c>
      <c r="AE155" s="1" t="s">
        <v>51</v>
      </c>
      <c r="AF155" s="1" t="s">
        <v>51</v>
      </c>
      <c r="AG155" s="1" t="s">
        <v>51</v>
      </c>
      <c r="AH155" s="2">
        <v>50.0</v>
      </c>
      <c r="AI155" s="2">
        <v>0.0</v>
      </c>
      <c r="AJ155" s="2">
        <v>1.0</v>
      </c>
      <c r="AK155" s="2">
        <v>0.0</v>
      </c>
      <c r="AL155" s="2">
        <v>0.0</v>
      </c>
      <c r="AP155" s="2">
        <v>4.90001163E8</v>
      </c>
      <c r="AQ155" s="1" t="s">
        <v>284</v>
      </c>
      <c r="AR155" s="2">
        <v>45808.50234953704</v>
      </c>
      <c r="AU155" s="1" t="s">
        <v>64</v>
      </c>
      <c r="AW155" s="1" t="s">
        <v>255</v>
      </c>
      <c r="AY155" s="2">
        <v>154.0</v>
      </c>
    </row>
    <row r="156">
      <c r="A156" s="1" t="s">
        <v>51</v>
      </c>
      <c r="C156" s="1" t="s">
        <v>131</v>
      </c>
      <c r="E156" s="1" t="s">
        <v>53</v>
      </c>
      <c r="F156" s="1" t="s">
        <v>85</v>
      </c>
      <c r="G156" s="2">
        <v>28.0</v>
      </c>
      <c r="H156" s="1" t="s">
        <v>66</v>
      </c>
      <c r="I156" s="1" t="s">
        <v>100</v>
      </c>
      <c r="J156" s="1" t="s">
        <v>86</v>
      </c>
      <c r="K156" s="1" t="s">
        <v>57</v>
      </c>
      <c r="M156" s="1" t="s">
        <v>58</v>
      </c>
      <c r="N156" s="1" t="s">
        <v>58</v>
      </c>
      <c r="O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1" t="s">
        <v>81</v>
      </c>
      <c r="Y156" s="1" t="s">
        <v>60</v>
      </c>
      <c r="Z156" s="1" t="s">
        <v>89</v>
      </c>
      <c r="AA156" s="2">
        <v>30.0</v>
      </c>
      <c r="AB156" s="1" t="s">
        <v>62</v>
      </c>
      <c r="AC156" s="1" t="s">
        <v>51</v>
      </c>
      <c r="AF156" s="1" t="s">
        <v>51</v>
      </c>
      <c r="AG156" s="1" t="s">
        <v>51</v>
      </c>
      <c r="AI156" s="2">
        <v>0.0</v>
      </c>
      <c r="AJ156" s="2">
        <v>1.0</v>
      </c>
      <c r="AK156" s="2">
        <v>0.0</v>
      </c>
      <c r="AL156" s="2">
        <v>0.0</v>
      </c>
      <c r="AM156" s="1" t="s">
        <v>51</v>
      </c>
      <c r="AN156" s="2">
        <v>7.3408723E8</v>
      </c>
      <c r="AP156" s="2">
        <v>4.90002951E8</v>
      </c>
      <c r="AQ156" s="1" t="s">
        <v>285</v>
      </c>
      <c r="AR156" s="2">
        <v>45808.50498842593</v>
      </c>
      <c r="AU156" s="1" t="s">
        <v>64</v>
      </c>
      <c r="AW156" s="1" t="s">
        <v>255</v>
      </c>
      <c r="AY156" s="2">
        <v>155.0</v>
      </c>
    </row>
    <row r="157">
      <c r="A157" s="1" t="s">
        <v>51</v>
      </c>
      <c r="C157" s="1" t="s">
        <v>286</v>
      </c>
      <c r="E157" s="1" t="s">
        <v>53</v>
      </c>
      <c r="F157" s="1" t="s">
        <v>102</v>
      </c>
      <c r="G157" s="2">
        <v>35.0</v>
      </c>
      <c r="H157" s="1" t="s">
        <v>66</v>
      </c>
      <c r="I157" s="1" t="s">
        <v>76</v>
      </c>
      <c r="J157" s="1" t="s">
        <v>68</v>
      </c>
      <c r="K157" s="1" t="s">
        <v>78</v>
      </c>
      <c r="M157" s="1" t="s">
        <v>58</v>
      </c>
      <c r="N157" s="1" t="s">
        <v>70</v>
      </c>
      <c r="O157" s="1" t="s">
        <v>69</v>
      </c>
      <c r="Q157" s="1" t="s">
        <v>58</v>
      </c>
      <c r="R157" s="1" t="s">
        <v>58</v>
      </c>
      <c r="S157" s="1" t="s">
        <v>69</v>
      </c>
      <c r="T157" s="1" t="s">
        <v>69</v>
      </c>
      <c r="U157" s="1" t="s">
        <v>69</v>
      </c>
      <c r="V157" s="1" t="s">
        <v>69</v>
      </c>
      <c r="W157" s="1" t="s">
        <v>69</v>
      </c>
      <c r="X157" s="1" t="s">
        <v>81</v>
      </c>
      <c r="Y157" s="1" t="s">
        <v>172</v>
      </c>
      <c r="Z157" s="1" t="s">
        <v>89</v>
      </c>
      <c r="AA157" s="2">
        <v>10.0</v>
      </c>
      <c r="AB157" s="1" t="s">
        <v>28</v>
      </c>
      <c r="AC157" s="1" t="s">
        <v>71</v>
      </c>
      <c r="AF157" s="1" t="s">
        <v>51</v>
      </c>
      <c r="AG157" s="1" t="s">
        <v>51</v>
      </c>
      <c r="AH157" s="2">
        <v>20.0</v>
      </c>
      <c r="AI157" s="2">
        <v>0.0</v>
      </c>
      <c r="AJ157" s="2">
        <v>0.0</v>
      </c>
      <c r="AK157" s="2">
        <v>0.0</v>
      </c>
      <c r="AL157" s="2">
        <v>1.0</v>
      </c>
      <c r="AM157" s="1" t="s">
        <v>72</v>
      </c>
      <c r="AP157" s="2">
        <v>4.90003314E8</v>
      </c>
      <c r="AQ157" s="1" t="s">
        <v>287</v>
      </c>
      <c r="AR157" s="2">
        <v>45808.50548611111</v>
      </c>
      <c r="AU157" s="1" t="s">
        <v>64</v>
      </c>
      <c r="AW157" s="1" t="s">
        <v>255</v>
      </c>
      <c r="AY157" s="2">
        <v>156.0</v>
      </c>
    </row>
    <row r="158">
      <c r="A158" s="1" t="s">
        <v>51</v>
      </c>
      <c r="C158" s="1" t="s">
        <v>53</v>
      </c>
      <c r="E158" s="1" t="s">
        <v>131</v>
      </c>
      <c r="G158" s="2">
        <v>29.0</v>
      </c>
      <c r="H158" s="1" t="s">
        <v>55</v>
      </c>
      <c r="J158" s="1" t="s">
        <v>86</v>
      </c>
      <c r="K158" s="1" t="s">
        <v>78</v>
      </c>
      <c r="M158" s="1" t="s">
        <v>58</v>
      </c>
      <c r="N158" s="1" t="s">
        <v>58</v>
      </c>
      <c r="O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81</v>
      </c>
      <c r="Y158" s="1" t="s">
        <v>60</v>
      </c>
      <c r="Z158" s="1" t="s">
        <v>89</v>
      </c>
      <c r="AA158" s="2">
        <v>50.0</v>
      </c>
      <c r="AB158" s="1" t="s">
        <v>79</v>
      </c>
      <c r="AC158" s="1" t="s">
        <v>51</v>
      </c>
      <c r="AD158" s="1" t="s">
        <v>81</v>
      </c>
      <c r="AE158" s="1" t="s">
        <v>51</v>
      </c>
      <c r="AF158" s="1" t="s">
        <v>51</v>
      </c>
      <c r="AG158" s="1" t="s">
        <v>51</v>
      </c>
      <c r="AI158" s="2">
        <v>0.0</v>
      </c>
      <c r="AJ158" s="2">
        <v>1.0</v>
      </c>
      <c r="AK158" s="2">
        <v>0.0</v>
      </c>
      <c r="AL158" s="2">
        <v>0.0</v>
      </c>
      <c r="AP158" s="2">
        <v>4.90004742E8</v>
      </c>
      <c r="AQ158" s="1" t="s">
        <v>288</v>
      </c>
      <c r="AR158" s="2">
        <v>45808.50743055555</v>
      </c>
      <c r="AU158" s="1" t="s">
        <v>64</v>
      </c>
      <c r="AW158" s="1" t="s">
        <v>255</v>
      </c>
      <c r="AY158" s="2">
        <v>157.0</v>
      </c>
    </row>
    <row r="159">
      <c r="A159" s="1" t="s">
        <v>51</v>
      </c>
      <c r="C159" s="1" t="s">
        <v>131</v>
      </c>
      <c r="E159" s="1" t="s">
        <v>53</v>
      </c>
      <c r="F159" s="1" t="s">
        <v>85</v>
      </c>
      <c r="G159" s="2">
        <v>28.0</v>
      </c>
      <c r="H159" s="1" t="s">
        <v>66</v>
      </c>
      <c r="I159" s="1" t="s">
        <v>100</v>
      </c>
      <c r="J159" s="1" t="s">
        <v>86</v>
      </c>
      <c r="K159" s="1" t="s">
        <v>74</v>
      </c>
      <c r="M159" s="1" t="s">
        <v>58</v>
      </c>
      <c r="N159" s="1" t="s">
        <v>58</v>
      </c>
      <c r="O159" s="1" t="s">
        <v>58</v>
      </c>
      <c r="Q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81</v>
      </c>
      <c r="Y159" s="1" t="s">
        <v>82</v>
      </c>
      <c r="Z159" s="1" t="s">
        <v>127</v>
      </c>
      <c r="AA159" s="2">
        <v>10.0</v>
      </c>
      <c r="AB159" s="1" t="s">
        <v>79</v>
      </c>
      <c r="AC159" s="1" t="s">
        <v>51</v>
      </c>
      <c r="AF159" s="1" t="s">
        <v>51</v>
      </c>
      <c r="AG159" s="1" t="s">
        <v>51</v>
      </c>
      <c r="AI159" s="2">
        <v>1.0</v>
      </c>
      <c r="AJ159" s="2">
        <v>0.0</v>
      </c>
      <c r="AK159" s="2">
        <v>0.0</v>
      </c>
      <c r="AL159" s="2">
        <v>0.0</v>
      </c>
      <c r="AM159" s="1" t="s">
        <v>51</v>
      </c>
      <c r="AN159" s="2">
        <v>6.40004045E8</v>
      </c>
      <c r="AP159" s="2">
        <v>4.90013637E8</v>
      </c>
      <c r="AQ159" s="1" t="s">
        <v>289</v>
      </c>
      <c r="AR159" s="2">
        <v>45808.51943287037</v>
      </c>
      <c r="AU159" s="1" t="s">
        <v>64</v>
      </c>
      <c r="AW159" s="1" t="s">
        <v>255</v>
      </c>
      <c r="AY159" s="2">
        <v>158.0</v>
      </c>
    </row>
    <row r="160">
      <c r="A160" s="1" t="s">
        <v>51</v>
      </c>
      <c r="C160" s="1" t="s">
        <v>131</v>
      </c>
      <c r="E160" s="1" t="s">
        <v>53</v>
      </c>
      <c r="F160" s="1" t="s">
        <v>85</v>
      </c>
      <c r="G160" s="2">
        <v>22.0</v>
      </c>
      <c r="H160" s="1" t="s">
        <v>55</v>
      </c>
      <c r="I160" s="1" t="s">
        <v>100</v>
      </c>
      <c r="J160" s="1" t="s">
        <v>86</v>
      </c>
      <c r="K160" s="1" t="s">
        <v>57</v>
      </c>
      <c r="M160" s="1" t="s">
        <v>58</v>
      </c>
      <c r="N160" s="1" t="s">
        <v>58</v>
      </c>
      <c r="O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W160" s="1" t="s">
        <v>58</v>
      </c>
      <c r="X160" s="1" t="s">
        <v>81</v>
      </c>
      <c r="Y160" s="1" t="s">
        <v>82</v>
      </c>
      <c r="Z160" s="1" t="s">
        <v>127</v>
      </c>
      <c r="AA160" s="2">
        <v>30.0</v>
      </c>
      <c r="AB160" s="1" t="s">
        <v>79</v>
      </c>
      <c r="AC160" s="1" t="s">
        <v>51</v>
      </c>
      <c r="AD160" s="1" t="s">
        <v>81</v>
      </c>
      <c r="AE160" s="1" t="s">
        <v>51</v>
      </c>
      <c r="AF160" s="1" t="s">
        <v>51</v>
      </c>
      <c r="AG160" s="1" t="s">
        <v>51</v>
      </c>
      <c r="AH160" s="2">
        <v>50.0</v>
      </c>
      <c r="AI160" s="2">
        <v>0.0</v>
      </c>
      <c r="AJ160" s="2">
        <v>1.0</v>
      </c>
      <c r="AK160" s="2">
        <v>0.0</v>
      </c>
      <c r="AL160" s="2">
        <v>0.0</v>
      </c>
      <c r="AM160" s="1" t="s">
        <v>51</v>
      </c>
      <c r="AN160" s="2">
        <v>6.73748437E8</v>
      </c>
      <c r="AP160" s="2">
        <v>4.90015156E8</v>
      </c>
      <c r="AQ160" s="1" t="s">
        <v>290</v>
      </c>
      <c r="AR160" s="2">
        <v>45808.52165509259</v>
      </c>
      <c r="AU160" s="1" t="s">
        <v>64</v>
      </c>
      <c r="AW160" s="1" t="s">
        <v>255</v>
      </c>
      <c r="AY160" s="2">
        <v>159.0</v>
      </c>
    </row>
    <row r="161">
      <c r="A161" s="1" t="s">
        <v>51</v>
      </c>
      <c r="C161" s="1" t="s">
        <v>131</v>
      </c>
      <c r="E161" s="1" t="s">
        <v>53</v>
      </c>
      <c r="F161" s="1" t="s">
        <v>291</v>
      </c>
      <c r="G161" s="2">
        <v>24.0</v>
      </c>
      <c r="H161" s="1" t="s">
        <v>55</v>
      </c>
      <c r="I161" s="1" t="s">
        <v>100</v>
      </c>
      <c r="J161" s="1" t="s">
        <v>86</v>
      </c>
      <c r="K161" s="1" t="s">
        <v>57</v>
      </c>
      <c r="M161" s="1" t="s">
        <v>58</v>
      </c>
      <c r="N161" s="1" t="s">
        <v>58</v>
      </c>
      <c r="O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81</v>
      </c>
      <c r="Y161" s="1" t="s">
        <v>60</v>
      </c>
      <c r="Z161" s="1" t="s">
        <v>108</v>
      </c>
      <c r="AA161" s="2">
        <v>20.0</v>
      </c>
      <c r="AB161" s="1" t="s">
        <v>62</v>
      </c>
      <c r="AC161" s="1" t="s">
        <v>51</v>
      </c>
      <c r="AD161" s="1" t="s">
        <v>81</v>
      </c>
      <c r="AE161" s="1" t="s">
        <v>51</v>
      </c>
      <c r="AF161" s="1" t="s">
        <v>51</v>
      </c>
      <c r="AG161" s="1" t="s">
        <v>51</v>
      </c>
      <c r="AH161" s="2">
        <v>2.0</v>
      </c>
      <c r="AI161" s="2">
        <v>0.0</v>
      </c>
      <c r="AJ161" s="2">
        <v>1.0</v>
      </c>
      <c r="AK161" s="2">
        <v>0.0</v>
      </c>
      <c r="AL161" s="2">
        <v>0.0</v>
      </c>
      <c r="AM161" s="1" t="s">
        <v>51</v>
      </c>
      <c r="AN161" s="2">
        <v>6.92541294E8</v>
      </c>
      <c r="AP161" s="2">
        <v>4.90021647E8</v>
      </c>
      <c r="AQ161" s="1" t="s">
        <v>292</v>
      </c>
      <c r="AR161" s="2">
        <v>45808.52943287037</v>
      </c>
      <c r="AU161" s="1" t="s">
        <v>64</v>
      </c>
      <c r="AW161" s="1" t="s">
        <v>255</v>
      </c>
      <c r="AY161" s="2">
        <v>160.0</v>
      </c>
    </row>
    <row r="162">
      <c r="A162" s="1" t="s">
        <v>51</v>
      </c>
      <c r="C162" s="1" t="s">
        <v>131</v>
      </c>
      <c r="E162" s="1" t="s">
        <v>53</v>
      </c>
      <c r="F162" s="1" t="s">
        <v>291</v>
      </c>
      <c r="G162" s="2">
        <v>23.0</v>
      </c>
      <c r="H162" s="1" t="s">
        <v>66</v>
      </c>
      <c r="I162" s="1" t="s">
        <v>100</v>
      </c>
      <c r="J162" s="1" t="s">
        <v>86</v>
      </c>
      <c r="K162" s="1" t="s">
        <v>57</v>
      </c>
      <c r="M162" s="1" t="s">
        <v>58</v>
      </c>
      <c r="N162" s="1" t="s">
        <v>58</v>
      </c>
      <c r="O162" s="1" t="s">
        <v>58</v>
      </c>
      <c r="Q162" s="1" t="s">
        <v>58</v>
      </c>
      <c r="R162" s="1" t="s">
        <v>58</v>
      </c>
      <c r="S162" s="1" t="s">
        <v>58</v>
      </c>
      <c r="T162" s="1" t="s">
        <v>58</v>
      </c>
      <c r="U162" s="1" t="s">
        <v>58</v>
      </c>
      <c r="V162" s="1" t="s">
        <v>58</v>
      </c>
      <c r="W162" s="1" t="s">
        <v>58</v>
      </c>
      <c r="X162" s="1" t="s">
        <v>59</v>
      </c>
      <c r="Y162" s="1" t="s">
        <v>60</v>
      </c>
      <c r="Z162" s="1" t="s">
        <v>108</v>
      </c>
      <c r="AA162" s="2">
        <v>20.0</v>
      </c>
      <c r="AB162" s="1" t="s">
        <v>79</v>
      </c>
      <c r="AC162" s="1" t="s">
        <v>51</v>
      </c>
      <c r="AD162" s="1" t="s">
        <v>59</v>
      </c>
      <c r="AE162" s="1" t="s">
        <v>51</v>
      </c>
      <c r="AF162" s="1" t="s">
        <v>51</v>
      </c>
      <c r="AG162" s="1" t="s">
        <v>51</v>
      </c>
      <c r="AH162" s="2">
        <v>3.0</v>
      </c>
      <c r="AI162" s="2">
        <v>0.0</v>
      </c>
      <c r="AJ162" s="2">
        <v>1.0</v>
      </c>
      <c r="AK162" s="2">
        <v>0.0</v>
      </c>
      <c r="AL162" s="2">
        <v>0.0</v>
      </c>
      <c r="AM162" s="1" t="s">
        <v>51</v>
      </c>
      <c r="AN162" s="2">
        <v>7.32109955E8</v>
      </c>
      <c r="AP162" s="2">
        <v>4.90023205E8</v>
      </c>
      <c r="AQ162" s="1" t="s">
        <v>293</v>
      </c>
      <c r="AR162" s="2">
        <v>45808.531331018516</v>
      </c>
      <c r="AU162" s="1" t="s">
        <v>64</v>
      </c>
      <c r="AW162" s="1" t="s">
        <v>255</v>
      </c>
      <c r="AY162" s="2">
        <v>161.0</v>
      </c>
    </row>
    <row r="163">
      <c r="A163" s="1" t="s">
        <v>51</v>
      </c>
      <c r="C163" s="1" t="s">
        <v>131</v>
      </c>
      <c r="E163" s="1" t="s">
        <v>53</v>
      </c>
      <c r="F163" s="1" t="s">
        <v>291</v>
      </c>
      <c r="G163" s="2">
        <v>20.0</v>
      </c>
      <c r="H163" s="1" t="s">
        <v>66</v>
      </c>
      <c r="I163" s="1" t="s">
        <v>76</v>
      </c>
      <c r="J163" s="1" t="s">
        <v>86</v>
      </c>
      <c r="K163" s="1" t="s">
        <v>78</v>
      </c>
      <c r="M163" s="1" t="s">
        <v>58</v>
      </c>
      <c r="N163" s="1" t="s">
        <v>58</v>
      </c>
      <c r="O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88</v>
      </c>
      <c r="Y163" s="1" t="s">
        <v>82</v>
      </c>
      <c r="Z163" s="1" t="s">
        <v>89</v>
      </c>
      <c r="AA163" s="2">
        <v>30.0</v>
      </c>
      <c r="AB163" s="1" t="s">
        <v>62</v>
      </c>
      <c r="AC163" s="1" t="s">
        <v>51</v>
      </c>
      <c r="AD163" s="1" t="s">
        <v>88</v>
      </c>
      <c r="AE163" s="1" t="s">
        <v>51</v>
      </c>
      <c r="AF163" s="1" t="s">
        <v>51</v>
      </c>
      <c r="AG163" s="1" t="s">
        <v>51</v>
      </c>
      <c r="AH163" s="2">
        <v>2.0</v>
      </c>
      <c r="AI163" s="2">
        <v>0.0</v>
      </c>
      <c r="AJ163" s="2">
        <v>1.0</v>
      </c>
      <c r="AK163" s="2">
        <v>0.0</v>
      </c>
      <c r="AL163" s="2">
        <v>0.0</v>
      </c>
      <c r="AM163" s="1" t="s">
        <v>51</v>
      </c>
      <c r="AN163" s="2">
        <v>7.3293382E7</v>
      </c>
      <c r="AP163" s="2">
        <v>4.90024645E8</v>
      </c>
      <c r="AQ163" s="1" t="s">
        <v>294</v>
      </c>
      <c r="AR163" s="2">
        <v>45808.53369212963</v>
      </c>
      <c r="AU163" s="1" t="s">
        <v>64</v>
      </c>
      <c r="AW163" s="1" t="s">
        <v>255</v>
      </c>
      <c r="AY163" s="2">
        <v>162.0</v>
      </c>
    </row>
    <row r="164">
      <c r="A164" s="1" t="s">
        <v>51</v>
      </c>
      <c r="C164" s="1" t="s">
        <v>131</v>
      </c>
      <c r="E164" s="1" t="s">
        <v>53</v>
      </c>
      <c r="F164" s="1" t="s">
        <v>291</v>
      </c>
      <c r="G164" s="2">
        <v>21.0</v>
      </c>
      <c r="H164" s="1" t="s">
        <v>55</v>
      </c>
      <c r="I164" s="1" t="s">
        <v>67</v>
      </c>
      <c r="J164" s="1" t="s">
        <v>86</v>
      </c>
      <c r="K164" s="1" t="s">
        <v>74</v>
      </c>
      <c r="M164" s="1" t="s">
        <v>58</v>
      </c>
      <c r="N164" s="1" t="s">
        <v>58</v>
      </c>
      <c r="O164" s="1" t="s">
        <v>58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59</v>
      </c>
      <c r="Y164" s="1" t="s">
        <v>82</v>
      </c>
      <c r="Z164" s="1" t="s">
        <v>108</v>
      </c>
      <c r="AA164" s="2">
        <v>30.0</v>
      </c>
      <c r="AB164" s="1" t="s">
        <v>62</v>
      </c>
      <c r="AC164" s="1" t="s">
        <v>51</v>
      </c>
      <c r="AD164" s="1" t="s">
        <v>59</v>
      </c>
      <c r="AE164" s="1" t="s">
        <v>51</v>
      </c>
      <c r="AF164" s="1" t="s">
        <v>51</v>
      </c>
      <c r="AG164" s="1" t="s">
        <v>51</v>
      </c>
      <c r="AH164" s="2">
        <v>3.0</v>
      </c>
      <c r="AI164" s="2">
        <v>0.0</v>
      </c>
      <c r="AJ164" s="2">
        <v>1.0</v>
      </c>
      <c r="AK164" s="2">
        <v>0.0</v>
      </c>
      <c r="AL164" s="2">
        <v>0.0</v>
      </c>
      <c r="AM164" s="1" t="s">
        <v>51</v>
      </c>
      <c r="AN164" s="2">
        <v>8.37472508E8</v>
      </c>
      <c r="AP164" s="2">
        <v>4.90025968E8</v>
      </c>
      <c r="AQ164" s="1" t="s">
        <v>295</v>
      </c>
      <c r="AR164" s="2">
        <v>45808.53591435185</v>
      </c>
      <c r="AU164" s="1" t="s">
        <v>64</v>
      </c>
      <c r="AW164" s="1" t="s">
        <v>255</v>
      </c>
      <c r="AY164" s="2">
        <v>163.0</v>
      </c>
    </row>
    <row r="165">
      <c r="A165" s="1" t="s">
        <v>51</v>
      </c>
      <c r="C165" s="1" t="s">
        <v>131</v>
      </c>
      <c r="E165" s="1" t="s">
        <v>53</v>
      </c>
      <c r="F165" s="1" t="s">
        <v>291</v>
      </c>
      <c r="G165" s="2">
        <v>21.0</v>
      </c>
      <c r="H165" s="1" t="s">
        <v>55</v>
      </c>
      <c r="I165" s="1" t="s">
        <v>67</v>
      </c>
      <c r="J165" s="1" t="s">
        <v>86</v>
      </c>
      <c r="K165" s="1" t="s">
        <v>74</v>
      </c>
      <c r="M165" s="1" t="s">
        <v>58</v>
      </c>
      <c r="N165" s="1" t="s">
        <v>58</v>
      </c>
      <c r="O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59</v>
      </c>
      <c r="Y165" s="1" t="s">
        <v>82</v>
      </c>
      <c r="Z165" s="1" t="s">
        <v>108</v>
      </c>
      <c r="AA165" s="2">
        <v>40.0</v>
      </c>
      <c r="AB165" s="1" t="s">
        <v>62</v>
      </c>
      <c r="AC165" s="1" t="s">
        <v>51</v>
      </c>
      <c r="AD165" s="1" t="s">
        <v>59</v>
      </c>
      <c r="AE165" s="1" t="s">
        <v>51</v>
      </c>
      <c r="AF165" s="1" t="s">
        <v>51</v>
      </c>
      <c r="AG165" s="1" t="s">
        <v>51</v>
      </c>
      <c r="AH165" s="2">
        <v>2.0</v>
      </c>
      <c r="AI165" s="2">
        <v>1.0</v>
      </c>
      <c r="AJ165" s="2">
        <v>0.0</v>
      </c>
      <c r="AK165" s="2">
        <v>0.0</v>
      </c>
      <c r="AL165" s="2">
        <v>0.0</v>
      </c>
      <c r="AM165" s="1" t="s">
        <v>51</v>
      </c>
      <c r="AN165" s="2">
        <v>6.04141344E8</v>
      </c>
      <c r="AP165" s="2">
        <v>4.90028048E8</v>
      </c>
      <c r="AQ165" s="1" t="s">
        <v>296</v>
      </c>
      <c r="AR165" s="2">
        <v>45808.53858796296</v>
      </c>
      <c r="AU165" s="1" t="s">
        <v>64</v>
      </c>
      <c r="AW165" s="1" t="s">
        <v>255</v>
      </c>
      <c r="AY165" s="2">
        <v>164.0</v>
      </c>
    </row>
    <row r="166">
      <c r="A166" s="1" t="s">
        <v>51</v>
      </c>
      <c r="C166" s="1" t="s">
        <v>131</v>
      </c>
      <c r="E166" s="1" t="s">
        <v>53</v>
      </c>
      <c r="F166" s="1" t="s">
        <v>85</v>
      </c>
      <c r="G166" s="2">
        <v>22.0</v>
      </c>
      <c r="H166" s="1" t="s">
        <v>55</v>
      </c>
      <c r="I166" s="1" t="s">
        <v>76</v>
      </c>
      <c r="J166" s="1" t="s">
        <v>111</v>
      </c>
      <c r="K166" s="1" t="s">
        <v>57</v>
      </c>
      <c r="M166" s="1" t="s">
        <v>58</v>
      </c>
      <c r="N166" s="1" t="s">
        <v>58</v>
      </c>
      <c r="O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 t="s">
        <v>58</v>
      </c>
      <c r="X166" s="1" t="s">
        <v>59</v>
      </c>
      <c r="Y166" s="1" t="s">
        <v>82</v>
      </c>
      <c r="Z166" s="1" t="s">
        <v>108</v>
      </c>
      <c r="AA166" s="2">
        <v>20.0</v>
      </c>
      <c r="AB166" s="1" t="s">
        <v>62</v>
      </c>
      <c r="AC166" s="1" t="s">
        <v>51</v>
      </c>
      <c r="AD166" s="1" t="s">
        <v>59</v>
      </c>
      <c r="AE166" s="1" t="s">
        <v>51</v>
      </c>
      <c r="AF166" s="1" t="s">
        <v>51</v>
      </c>
      <c r="AG166" s="1" t="s">
        <v>51</v>
      </c>
      <c r="AH166" s="2">
        <v>2.0</v>
      </c>
      <c r="AI166" s="2">
        <v>0.0</v>
      </c>
      <c r="AJ166" s="2">
        <v>1.0</v>
      </c>
      <c r="AK166" s="2">
        <v>0.0</v>
      </c>
      <c r="AL166" s="2">
        <v>0.0</v>
      </c>
      <c r="AM166" s="1" t="s">
        <v>51</v>
      </c>
      <c r="AN166" s="2">
        <v>7.86258839E8</v>
      </c>
      <c r="AP166" s="2">
        <v>4.90029902E8</v>
      </c>
      <c r="AQ166" s="1" t="s">
        <v>297</v>
      </c>
      <c r="AR166" s="2">
        <v>45808.54121527778</v>
      </c>
      <c r="AU166" s="1" t="s">
        <v>64</v>
      </c>
      <c r="AW166" s="1" t="s">
        <v>255</v>
      </c>
      <c r="AY166" s="2">
        <v>165.0</v>
      </c>
    </row>
    <row r="167">
      <c r="A167" s="1" t="s">
        <v>51</v>
      </c>
      <c r="C167" s="1" t="s">
        <v>52</v>
      </c>
      <c r="E167" s="1" t="s">
        <v>53</v>
      </c>
      <c r="F167" s="1" t="s">
        <v>102</v>
      </c>
      <c r="G167" s="2">
        <v>40.0</v>
      </c>
      <c r="H167" s="1" t="s">
        <v>66</v>
      </c>
      <c r="I167" s="1" t="s">
        <v>100</v>
      </c>
      <c r="J167" s="1" t="s">
        <v>111</v>
      </c>
      <c r="K167" s="1" t="s">
        <v>87</v>
      </c>
      <c r="M167" s="1" t="s">
        <v>58</v>
      </c>
      <c r="N167" s="1" t="s">
        <v>58</v>
      </c>
      <c r="O167" s="1" t="s">
        <v>70</v>
      </c>
      <c r="Q167" s="1" t="s">
        <v>58</v>
      </c>
      <c r="R167" s="1" t="s">
        <v>58</v>
      </c>
      <c r="S167" s="1" t="s">
        <v>70</v>
      </c>
      <c r="T167" s="1" t="s">
        <v>70</v>
      </c>
      <c r="U167" s="1" t="s">
        <v>58</v>
      </c>
      <c r="V167" s="1" t="s">
        <v>58</v>
      </c>
      <c r="W167" s="1" t="s">
        <v>58</v>
      </c>
      <c r="Y167" s="1" t="s">
        <v>95</v>
      </c>
      <c r="Z167" s="1" t="s">
        <v>89</v>
      </c>
      <c r="AA167" s="2">
        <v>100.0</v>
      </c>
      <c r="AB167" s="1" t="s">
        <v>79</v>
      </c>
      <c r="AC167" s="1" t="s">
        <v>71</v>
      </c>
      <c r="AF167" s="1" t="s">
        <v>51</v>
      </c>
      <c r="AG167" s="1" t="s">
        <v>72</v>
      </c>
      <c r="AI167" s="2">
        <v>0.0</v>
      </c>
      <c r="AJ167" s="2">
        <v>0.0</v>
      </c>
      <c r="AK167" s="2">
        <v>0.0</v>
      </c>
      <c r="AL167" s="2">
        <v>1.0</v>
      </c>
      <c r="AM167" s="1" t="s">
        <v>51</v>
      </c>
      <c r="AN167" s="2">
        <v>6.12535762E8</v>
      </c>
      <c r="AP167" s="2">
        <v>4.90034639E8</v>
      </c>
      <c r="AQ167" s="1" t="s">
        <v>298</v>
      </c>
      <c r="AR167" s="2">
        <v>45808.5465625</v>
      </c>
      <c r="AU167" s="1" t="s">
        <v>64</v>
      </c>
      <c r="AW167" s="1" t="s">
        <v>255</v>
      </c>
      <c r="AY167" s="2">
        <v>166.0</v>
      </c>
    </row>
    <row r="168">
      <c r="A168" s="1" t="s">
        <v>51</v>
      </c>
      <c r="C168" s="1" t="s">
        <v>52</v>
      </c>
      <c r="E168" s="1" t="s">
        <v>53</v>
      </c>
      <c r="F168" s="1" t="s">
        <v>102</v>
      </c>
      <c r="G168" s="2">
        <v>43.0</v>
      </c>
      <c r="H168" s="1" t="s">
        <v>66</v>
      </c>
      <c r="I168" s="1" t="s">
        <v>67</v>
      </c>
      <c r="J168" s="1" t="s">
        <v>86</v>
      </c>
      <c r="K168" s="1" t="s">
        <v>87</v>
      </c>
      <c r="M168" s="1" t="s">
        <v>58</v>
      </c>
      <c r="N168" s="1" t="s">
        <v>70</v>
      </c>
      <c r="O168" s="1" t="s">
        <v>58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70</v>
      </c>
      <c r="V168" s="1" t="s">
        <v>58</v>
      </c>
      <c r="W168" s="1" t="s">
        <v>70</v>
      </c>
      <c r="X168" s="1" t="s">
        <v>88</v>
      </c>
      <c r="Y168" s="1" t="s">
        <v>60</v>
      </c>
      <c r="Z168" s="1" t="s">
        <v>61</v>
      </c>
      <c r="AA168" s="2">
        <v>100.0</v>
      </c>
      <c r="AB168" s="1" t="s">
        <v>62</v>
      </c>
      <c r="AC168" s="1" t="s">
        <v>71</v>
      </c>
      <c r="AF168" s="1" t="s">
        <v>51</v>
      </c>
      <c r="AG168" s="1" t="s">
        <v>51</v>
      </c>
      <c r="AH168" s="2">
        <v>3000.0</v>
      </c>
      <c r="AI168" s="2">
        <v>0.0</v>
      </c>
      <c r="AJ168" s="2">
        <v>0.0</v>
      </c>
      <c r="AK168" s="2">
        <v>0.0</v>
      </c>
      <c r="AL168" s="2">
        <v>1.0</v>
      </c>
      <c r="AM168" s="1" t="s">
        <v>51</v>
      </c>
      <c r="AN168" s="2">
        <v>7.94237527E8</v>
      </c>
      <c r="AP168" s="2">
        <v>4.90035398E8</v>
      </c>
      <c r="AQ168" s="1" t="s">
        <v>299</v>
      </c>
      <c r="AR168" s="2">
        <v>45808.54729166667</v>
      </c>
      <c r="AU168" s="1" t="s">
        <v>64</v>
      </c>
      <c r="AW168" s="1" t="s">
        <v>255</v>
      </c>
      <c r="AY168" s="2">
        <v>167.0</v>
      </c>
    </row>
    <row r="169">
      <c r="A169" s="1" t="s">
        <v>51</v>
      </c>
      <c r="C169" s="1" t="s">
        <v>52</v>
      </c>
      <c r="E169" s="1" t="s">
        <v>53</v>
      </c>
      <c r="F169" s="1" t="s">
        <v>94</v>
      </c>
      <c r="G169" s="2">
        <v>51.0</v>
      </c>
      <c r="H169" s="1" t="s">
        <v>55</v>
      </c>
      <c r="I169" s="1" t="s">
        <v>67</v>
      </c>
      <c r="J169" s="1" t="s">
        <v>68</v>
      </c>
      <c r="K169" s="1" t="s">
        <v>92</v>
      </c>
      <c r="M169" s="1" t="s">
        <v>58</v>
      </c>
      <c r="N169" s="1" t="s">
        <v>58</v>
      </c>
      <c r="O169" s="1" t="s">
        <v>69</v>
      </c>
      <c r="Q169" s="1" t="s">
        <v>58</v>
      </c>
      <c r="R169" s="1" t="s">
        <v>58</v>
      </c>
      <c r="S169" s="1" t="s">
        <v>69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88</v>
      </c>
      <c r="Y169" s="1" t="s">
        <v>60</v>
      </c>
      <c r="Z169" s="1" t="s">
        <v>89</v>
      </c>
      <c r="AA169" s="2">
        <v>100.0</v>
      </c>
      <c r="AB169" s="1" t="s">
        <v>79</v>
      </c>
      <c r="AC169" s="1" t="s">
        <v>71</v>
      </c>
      <c r="AF169" s="1" t="s">
        <v>51</v>
      </c>
      <c r="AG169" s="1" t="s">
        <v>51</v>
      </c>
      <c r="AH169" s="2">
        <v>500.0</v>
      </c>
      <c r="AI169" s="2">
        <v>0.0</v>
      </c>
      <c r="AJ169" s="2">
        <v>1.0</v>
      </c>
      <c r="AK169" s="2">
        <v>1.0</v>
      </c>
      <c r="AL169" s="2">
        <v>1.0</v>
      </c>
      <c r="AM169" s="1" t="s">
        <v>51</v>
      </c>
      <c r="AN169" s="2">
        <v>7.61652799E8</v>
      </c>
      <c r="AP169" s="2">
        <v>4.90050303E8</v>
      </c>
      <c r="AQ169" s="1" t="s">
        <v>300</v>
      </c>
      <c r="AR169" s="2">
        <v>45808.5659375</v>
      </c>
      <c r="AU169" s="1" t="s">
        <v>64</v>
      </c>
      <c r="AW169" s="1" t="s">
        <v>255</v>
      </c>
      <c r="AY169" s="2">
        <v>168.0</v>
      </c>
    </row>
    <row r="170">
      <c r="A170" s="1" t="s">
        <v>51</v>
      </c>
      <c r="C170" s="1" t="s">
        <v>52</v>
      </c>
      <c r="E170" s="1" t="s">
        <v>53</v>
      </c>
      <c r="F170" s="1" t="s">
        <v>301</v>
      </c>
      <c r="G170" s="2">
        <v>26.0</v>
      </c>
      <c r="H170" s="1" t="s">
        <v>66</v>
      </c>
      <c r="I170" s="1" t="s">
        <v>100</v>
      </c>
      <c r="J170" s="1" t="s">
        <v>56</v>
      </c>
      <c r="K170" s="1" t="s">
        <v>87</v>
      </c>
      <c r="M170" s="1" t="s">
        <v>58</v>
      </c>
      <c r="N170" s="1" t="s">
        <v>58</v>
      </c>
      <c r="O170" s="1" t="s">
        <v>58</v>
      </c>
      <c r="Q170" s="1" t="s">
        <v>69</v>
      </c>
      <c r="R170" s="1" t="s">
        <v>58</v>
      </c>
      <c r="S170" s="1" t="s">
        <v>69</v>
      </c>
      <c r="T170" s="1" t="s">
        <v>58</v>
      </c>
      <c r="U170" s="1" t="s">
        <v>58</v>
      </c>
      <c r="V170" s="1" t="s">
        <v>58</v>
      </c>
      <c r="W170" s="1" t="s">
        <v>69</v>
      </c>
      <c r="X170" s="1" t="s">
        <v>88</v>
      </c>
      <c r="Y170" s="1" t="s">
        <v>95</v>
      </c>
      <c r="Z170" s="1" t="s">
        <v>96</v>
      </c>
      <c r="AA170" s="2">
        <v>100.0</v>
      </c>
      <c r="AB170" s="1" t="s">
        <v>62</v>
      </c>
      <c r="AC170" s="1" t="s">
        <v>71</v>
      </c>
      <c r="AF170" s="1" t="s">
        <v>51</v>
      </c>
      <c r="AG170" s="1" t="s">
        <v>72</v>
      </c>
      <c r="AI170" s="2">
        <v>0.0</v>
      </c>
      <c r="AJ170" s="2">
        <v>0.0</v>
      </c>
      <c r="AK170" s="2">
        <v>1.0</v>
      </c>
      <c r="AL170" s="2">
        <v>0.0</v>
      </c>
      <c r="AM170" s="1" t="s">
        <v>51</v>
      </c>
      <c r="AP170" s="2">
        <v>4.90054197E8</v>
      </c>
      <c r="AQ170" s="1" t="s">
        <v>302</v>
      </c>
      <c r="AR170" s="2">
        <v>45808.57083333333</v>
      </c>
      <c r="AU170" s="1" t="s">
        <v>64</v>
      </c>
      <c r="AW170" s="1" t="s">
        <v>255</v>
      </c>
      <c r="AY170" s="2">
        <v>169.0</v>
      </c>
    </row>
    <row r="171">
      <c r="A171" s="1" t="s">
        <v>51</v>
      </c>
      <c r="C171" s="1" t="s">
        <v>131</v>
      </c>
      <c r="E171" s="1" t="s">
        <v>53</v>
      </c>
      <c r="F171" s="1" t="s">
        <v>54</v>
      </c>
      <c r="G171" s="2">
        <v>34.0</v>
      </c>
      <c r="H171" s="1" t="s">
        <v>55</v>
      </c>
      <c r="I171" s="1" t="s">
        <v>100</v>
      </c>
      <c r="J171" s="1" t="s">
        <v>56</v>
      </c>
      <c r="K171" s="1" t="s">
        <v>74</v>
      </c>
      <c r="M171" s="1" t="s">
        <v>58</v>
      </c>
      <c r="N171" s="1" t="s">
        <v>58</v>
      </c>
      <c r="O171" s="1" t="s">
        <v>69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81</v>
      </c>
      <c r="Y171" s="1" t="s">
        <v>82</v>
      </c>
      <c r="Z171" s="1" t="s">
        <v>108</v>
      </c>
      <c r="AA171" s="2">
        <v>50.0</v>
      </c>
      <c r="AB171" s="1" t="s">
        <v>28</v>
      </c>
      <c r="AC171" s="1" t="s">
        <v>71</v>
      </c>
      <c r="AF171" s="1" t="s">
        <v>51</v>
      </c>
      <c r="AG171" s="1" t="s">
        <v>72</v>
      </c>
      <c r="AI171" s="2">
        <v>0.0</v>
      </c>
      <c r="AJ171" s="2">
        <v>0.0</v>
      </c>
      <c r="AK171" s="2">
        <v>0.0</v>
      </c>
      <c r="AL171" s="2">
        <v>1.0</v>
      </c>
      <c r="AM171" s="1" t="s">
        <v>51</v>
      </c>
      <c r="AN171" s="2">
        <v>7.30603166E8</v>
      </c>
      <c r="AP171" s="2">
        <v>4.90058033E8</v>
      </c>
      <c r="AQ171" s="1" t="s">
        <v>303</v>
      </c>
      <c r="AR171" s="2">
        <v>45808.575162037036</v>
      </c>
      <c r="AU171" s="1" t="s">
        <v>64</v>
      </c>
      <c r="AW171" s="1" t="s">
        <v>255</v>
      </c>
      <c r="AY171" s="2">
        <v>170.0</v>
      </c>
    </row>
    <row r="172">
      <c r="AP172" s="2">
        <v>4.90059101E8</v>
      </c>
      <c r="AQ172" s="1" t="s">
        <v>530</v>
      </c>
      <c r="AR172" s="2">
        <v>45808.57641203704</v>
      </c>
      <c r="AU172" s="1" t="s">
        <v>64</v>
      </c>
      <c r="AW172" s="1" t="s">
        <v>255</v>
      </c>
      <c r="AY172" s="2">
        <v>171.0</v>
      </c>
    </row>
    <row r="173">
      <c r="A173" s="1" t="s">
        <v>51</v>
      </c>
      <c r="C173" s="1" t="s">
        <v>131</v>
      </c>
      <c r="E173" s="1" t="s">
        <v>53</v>
      </c>
      <c r="F173" s="1" t="s">
        <v>54</v>
      </c>
      <c r="G173" s="2">
        <v>20.0</v>
      </c>
      <c r="H173" s="1" t="s">
        <v>55</v>
      </c>
      <c r="I173" s="1" t="s">
        <v>100</v>
      </c>
      <c r="J173" s="1" t="s">
        <v>111</v>
      </c>
      <c r="K173" s="1" t="s">
        <v>78</v>
      </c>
      <c r="M173" s="1" t="s">
        <v>58</v>
      </c>
      <c r="N173" s="1" t="s">
        <v>58</v>
      </c>
      <c r="O173" s="1" t="s">
        <v>58</v>
      </c>
      <c r="Q173" s="1" t="s">
        <v>58</v>
      </c>
      <c r="R173" s="1" t="s">
        <v>58</v>
      </c>
      <c r="S173" s="1" t="s">
        <v>58</v>
      </c>
      <c r="T173" s="1" t="s">
        <v>58</v>
      </c>
      <c r="U173" s="1" t="s">
        <v>58</v>
      </c>
      <c r="V173" s="1" t="s">
        <v>70</v>
      </c>
      <c r="W173" s="1" t="s">
        <v>58</v>
      </c>
      <c r="X173" s="1" t="s">
        <v>81</v>
      </c>
      <c r="Y173" s="1" t="s">
        <v>60</v>
      </c>
      <c r="Z173" s="1" t="s">
        <v>96</v>
      </c>
      <c r="AA173" s="2">
        <v>100.0</v>
      </c>
      <c r="AB173" s="1" t="s">
        <v>62</v>
      </c>
      <c r="AC173" s="1" t="s">
        <v>51</v>
      </c>
      <c r="AD173" s="1" t="s">
        <v>81</v>
      </c>
      <c r="AE173" s="1" t="s">
        <v>72</v>
      </c>
      <c r="AF173" s="1" t="s">
        <v>51</v>
      </c>
      <c r="AG173" s="1" t="s">
        <v>72</v>
      </c>
      <c r="AI173" s="2">
        <v>0.0</v>
      </c>
      <c r="AJ173" s="2">
        <v>1.0</v>
      </c>
      <c r="AK173" s="2">
        <v>0.0</v>
      </c>
      <c r="AL173" s="2">
        <v>0.0</v>
      </c>
      <c r="AM173" s="1" t="s">
        <v>51</v>
      </c>
      <c r="AP173" s="2">
        <v>4.90060926E8</v>
      </c>
      <c r="AQ173" s="1" t="s">
        <v>304</v>
      </c>
      <c r="AR173" s="2">
        <v>45808.57849537037</v>
      </c>
      <c r="AU173" s="1" t="s">
        <v>64</v>
      </c>
      <c r="AW173" s="1" t="s">
        <v>255</v>
      </c>
      <c r="AY173" s="2">
        <v>172.0</v>
      </c>
    </row>
    <row r="174">
      <c r="A174" s="1" t="s">
        <v>51</v>
      </c>
      <c r="C174" s="1" t="s">
        <v>131</v>
      </c>
      <c r="E174" s="1" t="s">
        <v>53</v>
      </c>
      <c r="F174" s="1" t="s">
        <v>54</v>
      </c>
      <c r="G174" s="2">
        <v>27.0</v>
      </c>
      <c r="H174" s="1" t="s">
        <v>55</v>
      </c>
      <c r="I174" s="1" t="s">
        <v>67</v>
      </c>
      <c r="J174" s="1" t="s">
        <v>68</v>
      </c>
      <c r="K174" s="1" t="s">
        <v>78</v>
      </c>
      <c r="M174" s="1" t="s">
        <v>58</v>
      </c>
      <c r="N174" s="1" t="s">
        <v>58</v>
      </c>
      <c r="O174" s="1" t="s">
        <v>58</v>
      </c>
      <c r="Q174" s="1" t="s">
        <v>58</v>
      </c>
      <c r="R174" s="1" t="s">
        <v>58</v>
      </c>
      <c r="S174" s="1" t="s">
        <v>58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81</v>
      </c>
      <c r="Y174" s="1" t="s">
        <v>82</v>
      </c>
      <c r="Z174" s="1" t="s">
        <v>89</v>
      </c>
      <c r="AA174" s="2">
        <v>50.0</v>
      </c>
      <c r="AB174" s="1" t="s">
        <v>28</v>
      </c>
      <c r="AC174" s="1" t="s">
        <v>51</v>
      </c>
      <c r="AE174" s="1" t="s">
        <v>51</v>
      </c>
      <c r="AF174" s="1" t="s">
        <v>51</v>
      </c>
      <c r="AG174" s="1" t="s">
        <v>51</v>
      </c>
      <c r="AH174" s="2">
        <v>200.0</v>
      </c>
      <c r="AI174" s="2">
        <v>0.0</v>
      </c>
      <c r="AJ174" s="2">
        <v>1.0</v>
      </c>
      <c r="AK174" s="2">
        <v>0.0</v>
      </c>
      <c r="AL174" s="2">
        <v>0.0</v>
      </c>
      <c r="AM174" s="1" t="s">
        <v>51</v>
      </c>
      <c r="AN174" s="2">
        <v>8.20589777E8</v>
      </c>
      <c r="AP174" s="2">
        <v>4.90062455E8</v>
      </c>
      <c r="AQ174" s="1" t="s">
        <v>305</v>
      </c>
      <c r="AR174" s="2">
        <v>45808.58027777778</v>
      </c>
      <c r="AU174" s="1" t="s">
        <v>64</v>
      </c>
      <c r="AW174" s="1" t="s">
        <v>255</v>
      </c>
      <c r="AY174" s="2">
        <v>173.0</v>
      </c>
    </row>
    <row r="175">
      <c r="AP175" s="2">
        <v>4.90062906E8</v>
      </c>
      <c r="AQ175" s="1" t="s">
        <v>531</v>
      </c>
      <c r="AR175" s="2">
        <v>45808.58064814815</v>
      </c>
      <c r="AU175" s="1" t="s">
        <v>64</v>
      </c>
      <c r="AW175" s="1" t="s">
        <v>255</v>
      </c>
      <c r="AY175" s="2">
        <v>174.0</v>
      </c>
    </row>
    <row r="176">
      <c r="A176" s="1" t="s">
        <v>51</v>
      </c>
      <c r="C176" s="1" t="s">
        <v>131</v>
      </c>
      <c r="E176" s="1" t="s">
        <v>53</v>
      </c>
      <c r="F176" s="1" t="s">
        <v>102</v>
      </c>
      <c r="G176" s="2">
        <v>33.0</v>
      </c>
      <c r="H176" s="1" t="s">
        <v>55</v>
      </c>
      <c r="I176" s="1" t="s">
        <v>67</v>
      </c>
      <c r="J176" s="1" t="s">
        <v>68</v>
      </c>
      <c r="K176" s="1" t="s">
        <v>78</v>
      </c>
      <c r="M176" s="1" t="s">
        <v>58</v>
      </c>
      <c r="N176" s="1" t="s">
        <v>58</v>
      </c>
      <c r="O176" s="1" t="s">
        <v>58</v>
      </c>
      <c r="Q176" s="1" t="s">
        <v>58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1" t="s">
        <v>58</v>
      </c>
      <c r="X176" s="1" t="s">
        <v>81</v>
      </c>
      <c r="Y176" s="1" t="s">
        <v>227</v>
      </c>
      <c r="Z176" s="1" t="s">
        <v>96</v>
      </c>
      <c r="AA176" s="2">
        <v>100.0</v>
      </c>
      <c r="AB176" s="1" t="s">
        <v>62</v>
      </c>
      <c r="AC176" s="1" t="s">
        <v>51</v>
      </c>
      <c r="AD176" s="1" t="s">
        <v>81</v>
      </c>
      <c r="AE176" s="1" t="s">
        <v>51</v>
      </c>
      <c r="AF176" s="1" t="s">
        <v>51</v>
      </c>
      <c r="AG176" s="1" t="s">
        <v>51</v>
      </c>
      <c r="AH176" s="2">
        <v>100.0</v>
      </c>
      <c r="AI176" s="2">
        <v>0.0</v>
      </c>
      <c r="AJ176" s="2">
        <v>0.0</v>
      </c>
      <c r="AK176" s="2">
        <v>0.0</v>
      </c>
      <c r="AL176" s="2">
        <v>1.0</v>
      </c>
      <c r="AM176" s="1" t="s">
        <v>51</v>
      </c>
      <c r="AN176" s="1" t="s">
        <v>306</v>
      </c>
      <c r="AP176" s="2">
        <v>4.90063325E8</v>
      </c>
      <c r="AQ176" s="1" t="s">
        <v>307</v>
      </c>
      <c r="AR176" s="2">
        <v>45808.58094907407</v>
      </c>
      <c r="AU176" s="1" t="s">
        <v>64</v>
      </c>
      <c r="AW176" s="1" t="s">
        <v>255</v>
      </c>
      <c r="AY176" s="2">
        <v>175.0</v>
      </c>
    </row>
    <row r="177">
      <c r="A177" s="1" t="s">
        <v>51</v>
      </c>
      <c r="C177" s="1" t="s">
        <v>131</v>
      </c>
      <c r="E177" s="1" t="s">
        <v>53</v>
      </c>
      <c r="F177" s="1" t="s">
        <v>54</v>
      </c>
      <c r="G177" s="2">
        <v>27.0</v>
      </c>
      <c r="H177" s="1" t="s">
        <v>55</v>
      </c>
      <c r="I177" s="1" t="s">
        <v>100</v>
      </c>
      <c r="J177" s="1" t="s">
        <v>111</v>
      </c>
      <c r="K177" s="1" t="s">
        <v>57</v>
      </c>
      <c r="M177" s="1" t="s">
        <v>58</v>
      </c>
      <c r="N177" s="1" t="s">
        <v>58</v>
      </c>
      <c r="O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 t="s">
        <v>58</v>
      </c>
      <c r="W177" s="1" t="s">
        <v>58</v>
      </c>
      <c r="X177" s="1" t="s">
        <v>81</v>
      </c>
      <c r="Y177" s="1" t="s">
        <v>172</v>
      </c>
      <c r="Z177" s="1" t="s">
        <v>89</v>
      </c>
      <c r="AA177" s="2">
        <v>30.0</v>
      </c>
      <c r="AB177" s="1" t="s">
        <v>28</v>
      </c>
      <c r="AC177" s="1" t="s">
        <v>71</v>
      </c>
      <c r="AF177" s="1" t="s">
        <v>51</v>
      </c>
      <c r="AG177" s="1" t="s">
        <v>51</v>
      </c>
      <c r="AI177" s="2">
        <v>0.0</v>
      </c>
      <c r="AJ177" s="2">
        <v>0.0</v>
      </c>
      <c r="AK177" s="2">
        <v>0.0</v>
      </c>
      <c r="AL177" s="2">
        <v>1.0</v>
      </c>
      <c r="AM177" s="1" t="s">
        <v>51</v>
      </c>
      <c r="AN177" s="2">
        <v>8.33947976E8</v>
      </c>
      <c r="AP177" s="2">
        <v>4.90064388E8</v>
      </c>
      <c r="AQ177" s="1" t="s">
        <v>308</v>
      </c>
      <c r="AR177" s="2">
        <v>45808.582141203704</v>
      </c>
      <c r="AU177" s="1" t="s">
        <v>64</v>
      </c>
      <c r="AW177" s="1" t="s">
        <v>255</v>
      </c>
      <c r="AY177" s="2">
        <v>176.0</v>
      </c>
    </row>
    <row r="178">
      <c r="AP178" s="2">
        <v>4.90064615E8</v>
      </c>
      <c r="AQ178" s="1" t="s">
        <v>532</v>
      </c>
      <c r="AR178" s="2">
        <v>45808.582349537035</v>
      </c>
      <c r="AU178" s="1" t="s">
        <v>64</v>
      </c>
      <c r="AW178" s="1" t="s">
        <v>255</v>
      </c>
      <c r="AY178" s="2">
        <v>177.0</v>
      </c>
    </row>
    <row r="179">
      <c r="A179" s="1" t="s">
        <v>51</v>
      </c>
      <c r="E179" s="1" t="s">
        <v>53</v>
      </c>
      <c r="F179" s="1" t="s">
        <v>54</v>
      </c>
      <c r="G179" s="2">
        <v>29.0</v>
      </c>
      <c r="H179" s="1" t="s">
        <v>66</v>
      </c>
      <c r="I179" s="1" t="s">
        <v>67</v>
      </c>
      <c r="J179" s="1" t="s">
        <v>56</v>
      </c>
      <c r="K179" s="1" t="s">
        <v>57</v>
      </c>
      <c r="M179" s="1" t="s">
        <v>58</v>
      </c>
      <c r="N179" s="1" t="s">
        <v>58</v>
      </c>
      <c r="O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81</v>
      </c>
      <c r="Y179" s="1" t="s">
        <v>172</v>
      </c>
      <c r="Z179" s="1" t="s">
        <v>96</v>
      </c>
      <c r="AA179" s="2">
        <v>50.0</v>
      </c>
      <c r="AB179" s="1" t="s">
        <v>28</v>
      </c>
      <c r="AC179" s="1" t="s">
        <v>71</v>
      </c>
      <c r="AF179" s="1" t="s">
        <v>51</v>
      </c>
      <c r="AG179" s="1" t="s">
        <v>51</v>
      </c>
      <c r="AI179" s="2">
        <v>1.0</v>
      </c>
      <c r="AJ179" s="2">
        <v>0.0</v>
      </c>
      <c r="AK179" s="2">
        <v>0.0</v>
      </c>
      <c r="AL179" s="2">
        <v>0.0</v>
      </c>
      <c r="AM179" s="1" t="s">
        <v>51</v>
      </c>
      <c r="AN179" s="2">
        <v>7.98581807E8</v>
      </c>
      <c r="AP179" s="2">
        <v>4.90065965E8</v>
      </c>
      <c r="AQ179" s="1" t="s">
        <v>309</v>
      </c>
      <c r="AR179" s="2">
        <v>45808.58390046296</v>
      </c>
      <c r="AU179" s="1" t="s">
        <v>64</v>
      </c>
      <c r="AW179" s="1" t="s">
        <v>255</v>
      </c>
      <c r="AY179" s="2">
        <v>178.0</v>
      </c>
    </row>
    <row r="180">
      <c r="A180" s="1" t="s">
        <v>51</v>
      </c>
      <c r="C180" s="1" t="s">
        <v>131</v>
      </c>
      <c r="E180" s="1" t="s">
        <v>53</v>
      </c>
      <c r="F180" s="1" t="s">
        <v>54</v>
      </c>
      <c r="G180" s="2">
        <v>30.0</v>
      </c>
      <c r="H180" s="1" t="s">
        <v>55</v>
      </c>
      <c r="I180" s="1" t="s">
        <v>100</v>
      </c>
      <c r="J180" s="1" t="s">
        <v>56</v>
      </c>
      <c r="K180" s="1" t="s">
        <v>57</v>
      </c>
      <c r="M180" s="1" t="s">
        <v>58</v>
      </c>
      <c r="N180" s="1" t="s">
        <v>58</v>
      </c>
      <c r="O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1" t="s">
        <v>58</v>
      </c>
      <c r="X180" s="1" t="s">
        <v>81</v>
      </c>
      <c r="Y180" s="1" t="s">
        <v>82</v>
      </c>
      <c r="Z180" s="1" t="s">
        <v>89</v>
      </c>
      <c r="AA180" s="2">
        <v>20.0</v>
      </c>
      <c r="AB180" s="1" t="s">
        <v>28</v>
      </c>
      <c r="AC180" s="1" t="s">
        <v>71</v>
      </c>
      <c r="AF180" s="1" t="s">
        <v>51</v>
      </c>
      <c r="AG180" s="1" t="s">
        <v>51</v>
      </c>
      <c r="AI180" s="2">
        <v>1.0</v>
      </c>
      <c r="AJ180" s="2">
        <v>0.0</v>
      </c>
      <c r="AK180" s="2">
        <v>0.0</v>
      </c>
      <c r="AL180" s="2">
        <v>0.0</v>
      </c>
      <c r="AM180" s="1" t="s">
        <v>51</v>
      </c>
      <c r="AN180" s="2">
        <v>6.81216241E8</v>
      </c>
      <c r="AP180" s="2">
        <v>4.90067473E8</v>
      </c>
      <c r="AQ180" s="1" t="s">
        <v>310</v>
      </c>
      <c r="AR180" s="2">
        <v>45808.58574074074</v>
      </c>
      <c r="AU180" s="1" t="s">
        <v>64</v>
      </c>
      <c r="AW180" s="1" t="s">
        <v>255</v>
      </c>
      <c r="AY180" s="2">
        <v>179.0</v>
      </c>
    </row>
    <row r="181">
      <c r="A181" s="1" t="s">
        <v>51</v>
      </c>
      <c r="C181" s="1" t="s">
        <v>131</v>
      </c>
      <c r="E181" s="1" t="s">
        <v>53</v>
      </c>
      <c r="F181" s="1" t="s">
        <v>54</v>
      </c>
      <c r="G181" s="2">
        <v>32.0</v>
      </c>
      <c r="H181" s="1" t="s">
        <v>55</v>
      </c>
      <c r="J181" s="1" t="s">
        <v>111</v>
      </c>
      <c r="K181" s="1" t="s">
        <v>74</v>
      </c>
      <c r="M181" s="1" t="s">
        <v>58</v>
      </c>
      <c r="N181" s="1" t="s">
        <v>58</v>
      </c>
      <c r="O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 t="s">
        <v>58</v>
      </c>
      <c r="X181" s="1" t="s">
        <v>81</v>
      </c>
      <c r="Y181" s="1" t="s">
        <v>82</v>
      </c>
      <c r="Z181" s="1" t="s">
        <v>108</v>
      </c>
      <c r="AA181" s="2">
        <v>20.0</v>
      </c>
      <c r="AB181" s="1" t="s">
        <v>28</v>
      </c>
      <c r="AC181" s="1" t="s">
        <v>71</v>
      </c>
      <c r="AF181" s="1" t="s">
        <v>51</v>
      </c>
      <c r="AG181" s="1" t="s">
        <v>51</v>
      </c>
      <c r="AI181" s="2">
        <v>1.0</v>
      </c>
      <c r="AJ181" s="2">
        <v>0.0</v>
      </c>
      <c r="AK181" s="2">
        <v>0.0</v>
      </c>
      <c r="AL181" s="2">
        <v>0.0</v>
      </c>
      <c r="AM181" s="1" t="s">
        <v>51</v>
      </c>
      <c r="AN181" s="2">
        <v>7.84739697E8</v>
      </c>
      <c r="AP181" s="2">
        <v>4.9006882E8</v>
      </c>
      <c r="AQ181" s="1" t="s">
        <v>311</v>
      </c>
      <c r="AR181" s="2">
        <v>45808.587164351855</v>
      </c>
      <c r="AU181" s="1" t="s">
        <v>64</v>
      </c>
      <c r="AW181" s="1" t="s">
        <v>255</v>
      </c>
      <c r="AY181" s="2">
        <v>180.0</v>
      </c>
    </row>
    <row r="182">
      <c r="A182" s="1" t="s">
        <v>51</v>
      </c>
      <c r="C182" s="1" t="s">
        <v>131</v>
      </c>
      <c r="E182" s="1" t="s">
        <v>53</v>
      </c>
      <c r="F182" s="1" t="s">
        <v>54</v>
      </c>
      <c r="G182" s="2">
        <v>29.0</v>
      </c>
      <c r="H182" s="1" t="s">
        <v>66</v>
      </c>
      <c r="I182" s="1" t="s">
        <v>67</v>
      </c>
      <c r="J182" s="1" t="s">
        <v>68</v>
      </c>
      <c r="K182" s="1" t="s">
        <v>74</v>
      </c>
      <c r="M182" s="1" t="s">
        <v>58</v>
      </c>
      <c r="N182" s="1" t="s">
        <v>58</v>
      </c>
      <c r="O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 t="s">
        <v>58</v>
      </c>
      <c r="X182" s="1" t="s">
        <v>81</v>
      </c>
      <c r="Y182" s="1" t="s">
        <v>172</v>
      </c>
      <c r="Z182" s="1" t="s">
        <v>96</v>
      </c>
      <c r="AA182" s="2">
        <v>50.0</v>
      </c>
      <c r="AB182" s="1" t="s">
        <v>62</v>
      </c>
      <c r="AC182" s="1" t="s">
        <v>51</v>
      </c>
      <c r="AD182" s="1" t="s">
        <v>81</v>
      </c>
      <c r="AE182" s="1" t="s">
        <v>51</v>
      </c>
      <c r="AF182" s="1" t="s">
        <v>51</v>
      </c>
      <c r="AG182" s="1" t="s">
        <v>51</v>
      </c>
      <c r="AI182" s="2">
        <v>1.0</v>
      </c>
      <c r="AJ182" s="2">
        <v>0.0</v>
      </c>
      <c r="AK182" s="2">
        <v>0.0</v>
      </c>
      <c r="AL182" s="2">
        <v>0.0</v>
      </c>
      <c r="AM182" s="1" t="s">
        <v>51</v>
      </c>
      <c r="AN182" s="2">
        <v>8.12338828E8</v>
      </c>
      <c r="AP182" s="2">
        <v>4.90071211E8</v>
      </c>
      <c r="AQ182" s="1" t="s">
        <v>312</v>
      </c>
      <c r="AR182" s="2">
        <v>45808.58969907407</v>
      </c>
      <c r="AU182" s="1" t="s">
        <v>64</v>
      </c>
      <c r="AW182" s="1" t="s">
        <v>255</v>
      </c>
      <c r="AY182" s="2">
        <v>181.0</v>
      </c>
    </row>
    <row r="183">
      <c r="A183" s="1" t="s">
        <v>51</v>
      </c>
      <c r="C183" s="1" t="s">
        <v>131</v>
      </c>
      <c r="E183" s="1" t="s">
        <v>53</v>
      </c>
      <c r="F183" s="1" t="s">
        <v>54</v>
      </c>
      <c r="G183" s="2">
        <v>31.0</v>
      </c>
      <c r="H183" s="1" t="s">
        <v>55</v>
      </c>
      <c r="I183" s="1" t="s">
        <v>100</v>
      </c>
      <c r="J183" s="1" t="s">
        <v>68</v>
      </c>
      <c r="K183" s="1" t="s">
        <v>74</v>
      </c>
      <c r="M183" s="1" t="s">
        <v>58</v>
      </c>
      <c r="N183" s="1" t="s">
        <v>58</v>
      </c>
      <c r="O183" s="1" t="s">
        <v>58</v>
      </c>
      <c r="Q183" s="1" t="s">
        <v>58</v>
      </c>
      <c r="R183" s="1" t="s">
        <v>58</v>
      </c>
      <c r="S183" s="1" t="s">
        <v>58</v>
      </c>
      <c r="T183" s="1" t="s">
        <v>58</v>
      </c>
      <c r="U183" s="1" t="s">
        <v>58</v>
      </c>
      <c r="V183" s="1" t="s">
        <v>58</v>
      </c>
      <c r="W183" s="1" t="s">
        <v>58</v>
      </c>
      <c r="X183" s="1" t="s">
        <v>81</v>
      </c>
      <c r="Y183" s="1" t="s">
        <v>82</v>
      </c>
      <c r="Z183" s="1" t="s">
        <v>96</v>
      </c>
      <c r="AA183" s="2">
        <v>100.0</v>
      </c>
      <c r="AB183" s="1" t="s">
        <v>62</v>
      </c>
      <c r="AC183" s="1" t="s">
        <v>71</v>
      </c>
      <c r="AF183" s="1" t="s">
        <v>51</v>
      </c>
      <c r="AG183" s="1" t="s">
        <v>51</v>
      </c>
      <c r="AH183" s="2">
        <v>7.26534262E8</v>
      </c>
      <c r="AI183" s="2">
        <v>1.0</v>
      </c>
      <c r="AJ183" s="2">
        <v>0.0</v>
      </c>
      <c r="AK183" s="2">
        <v>0.0</v>
      </c>
      <c r="AL183" s="2">
        <v>0.0</v>
      </c>
      <c r="AM183" s="1" t="s">
        <v>51</v>
      </c>
      <c r="AN183" s="2">
        <v>6.82234632E8</v>
      </c>
      <c r="AP183" s="2">
        <v>4.9007346E8</v>
      </c>
      <c r="AQ183" s="1" t="s">
        <v>313</v>
      </c>
      <c r="AR183" s="2">
        <v>45808.59204861111</v>
      </c>
      <c r="AU183" s="1" t="s">
        <v>64</v>
      </c>
      <c r="AW183" s="1" t="s">
        <v>255</v>
      </c>
      <c r="AY183" s="2">
        <v>182.0</v>
      </c>
    </row>
    <row r="184">
      <c r="A184" s="1" t="s">
        <v>51</v>
      </c>
      <c r="C184" s="1" t="s">
        <v>131</v>
      </c>
      <c r="E184" s="1" t="s">
        <v>53</v>
      </c>
      <c r="F184" s="1" t="s">
        <v>54</v>
      </c>
      <c r="G184" s="2">
        <v>30.0</v>
      </c>
      <c r="H184" s="1" t="s">
        <v>55</v>
      </c>
      <c r="I184" s="1" t="s">
        <v>100</v>
      </c>
      <c r="K184" s="1" t="s">
        <v>74</v>
      </c>
      <c r="M184" s="1" t="s">
        <v>58</v>
      </c>
      <c r="N184" s="1" t="s">
        <v>58</v>
      </c>
      <c r="O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1" t="s">
        <v>81</v>
      </c>
      <c r="Y184" s="1" t="s">
        <v>172</v>
      </c>
      <c r="Z184" s="1" t="s">
        <v>96</v>
      </c>
      <c r="AA184" s="2">
        <v>100.0</v>
      </c>
      <c r="AB184" s="1" t="s">
        <v>28</v>
      </c>
      <c r="AC184" s="1" t="s">
        <v>71</v>
      </c>
      <c r="AF184" s="1" t="s">
        <v>51</v>
      </c>
      <c r="AG184" s="1" t="s">
        <v>51</v>
      </c>
      <c r="AH184" s="2">
        <v>300.0</v>
      </c>
      <c r="AI184" s="2">
        <v>1.0</v>
      </c>
      <c r="AJ184" s="2">
        <v>0.0</v>
      </c>
      <c r="AK184" s="2">
        <v>0.0</v>
      </c>
      <c r="AL184" s="2">
        <v>0.0</v>
      </c>
      <c r="AM184" s="1" t="s">
        <v>51</v>
      </c>
      <c r="AN184" s="2">
        <v>6.71652514E8</v>
      </c>
      <c r="AP184" s="2">
        <v>4.90075045E8</v>
      </c>
      <c r="AQ184" s="1" t="s">
        <v>314</v>
      </c>
      <c r="AR184" s="2">
        <v>45808.593680555554</v>
      </c>
      <c r="AU184" s="1" t="s">
        <v>64</v>
      </c>
      <c r="AW184" s="1" t="s">
        <v>255</v>
      </c>
      <c r="AY184" s="2">
        <v>183.0</v>
      </c>
    </row>
    <row r="185">
      <c r="A185" s="1" t="s">
        <v>51</v>
      </c>
      <c r="C185" s="1" t="s">
        <v>53</v>
      </c>
      <c r="E185" s="1" t="s">
        <v>53</v>
      </c>
      <c r="F185" s="1" t="s">
        <v>54</v>
      </c>
      <c r="G185" s="2">
        <v>25.0</v>
      </c>
      <c r="H185" s="1" t="s">
        <v>55</v>
      </c>
      <c r="I185" s="1" t="s">
        <v>100</v>
      </c>
      <c r="J185" s="1" t="s">
        <v>68</v>
      </c>
      <c r="K185" s="1" t="s">
        <v>57</v>
      </c>
      <c r="M185" s="1" t="s">
        <v>58</v>
      </c>
      <c r="N185" s="1" t="s">
        <v>58</v>
      </c>
      <c r="O185" s="1" t="s">
        <v>70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1" t="s">
        <v>81</v>
      </c>
      <c r="Y185" s="1" t="s">
        <v>172</v>
      </c>
      <c r="Z185" s="1" t="s">
        <v>89</v>
      </c>
      <c r="AA185" s="2">
        <v>30.0</v>
      </c>
      <c r="AB185" s="1" t="s">
        <v>62</v>
      </c>
      <c r="AC185" s="1" t="s">
        <v>71</v>
      </c>
      <c r="AM185" s="1" t="s">
        <v>51</v>
      </c>
      <c r="AN185" s="2">
        <v>6.58674749E8</v>
      </c>
      <c r="AP185" s="2">
        <v>4.90082004E8</v>
      </c>
      <c r="AQ185" s="1" t="s">
        <v>315</v>
      </c>
      <c r="AR185" s="2">
        <v>45808.60283564815</v>
      </c>
      <c r="AU185" s="1" t="s">
        <v>64</v>
      </c>
      <c r="AW185" s="1" t="s">
        <v>255</v>
      </c>
      <c r="AY185" s="2">
        <v>184.0</v>
      </c>
    </row>
    <row r="186">
      <c r="A186" s="1" t="s">
        <v>51</v>
      </c>
      <c r="C186" s="1" t="s">
        <v>131</v>
      </c>
      <c r="E186" s="1" t="s">
        <v>53</v>
      </c>
      <c r="F186" s="1" t="s">
        <v>54</v>
      </c>
      <c r="G186" s="2">
        <v>26.0</v>
      </c>
      <c r="H186" s="1" t="s">
        <v>55</v>
      </c>
      <c r="I186" s="1" t="s">
        <v>100</v>
      </c>
      <c r="J186" s="1" t="s">
        <v>111</v>
      </c>
      <c r="K186" s="1" t="s">
        <v>57</v>
      </c>
      <c r="M186" s="1" t="s">
        <v>58</v>
      </c>
      <c r="N186" s="1" t="s">
        <v>58</v>
      </c>
      <c r="O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81</v>
      </c>
      <c r="Y186" s="1" t="s">
        <v>172</v>
      </c>
      <c r="Z186" s="1" t="s">
        <v>108</v>
      </c>
      <c r="AA186" s="2">
        <v>40.0</v>
      </c>
      <c r="AB186" s="1" t="s">
        <v>62</v>
      </c>
      <c r="AC186" s="1" t="s">
        <v>72</v>
      </c>
      <c r="AF186" s="1" t="s">
        <v>51</v>
      </c>
      <c r="AG186" s="1" t="s">
        <v>51</v>
      </c>
      <c r="AH186" s="2">
        <v>350.0</v>
      </c>
      <c r="AI186" s="2">
        <v>1.0</v>
      </c>
      <c r="AJ186" s="2">
        <v>0.0</v>
      </c>
      <c r="AK186" s="2">
        <v>0.0</v>
      </c>
      <c r="AL186" s="2">
        <v>0.0</v>
      </c>
      <c r="AM186" s="1" t="s">
        <v>51</v>
      </c>
      <c r="AN186" s="2">
        <v>7.27923016E8</v>
      </c>
      <c r="AP186" s="2">
        <v>4.90091445E8</v>
      </c>
      <c r="AQ186" s="1" t="s">
        <v>316</v>
      </c>
      <c r="AR186" s="2">
        <v>45808.61429398148</v>
      </c>
      <c r="AU186" s="1" t="s">
        <v>64</v>
      </c>
      <c r="AW186" s="1" t="s">
        <v>255</v>
      </c>
      <c r="AY186" s="2">
        <v>185.0</v>
      </c>
    </row>
    <row r="187">
      <c r="A187" s="1" t="s">
        <v>51</v>
      </c>
      <c r="C187" s="1" t="s">
        <v>131</v>
      </c>
      <c r="E187" s="1" t="s">
        <v>53</v>
      </c>
      <c r="F187" s="1" t="s">
        <v>54</v>
      </c>
      <c r="G187" s="2">
        <v>36.0</v>
      </c>
      <c r="H187" s="1" t="s">
        <v>55</v>
      </c>
      <c r="I187" s="1" t="s">
        <v>100</v>
      </c>
      <c r="J187" s="1" t="s">
        <v>111</v>
      </c>
      <c r="K187" s="1" t="s">
        <v>57</v>
      </c>
      <c r="M187" s="1" t="s">
        <v>58</v>
      </c>
      <c r="N187" s="1" t="s">
        <v>58</v>
      </c>
      <c r="O187" s="1" t="s">
        <v>70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70</v>
      </c>
      <c r="W187" s="1" t="s">
        <v>58</v>
      </c>
      <c r="X187" s="1" t="s">
        <v>81</v>
      </c>
      <c r="Y187" s="1" t="s">
        <v>82</v>
      </c>
      <c r="Z187" s="1" t="s">
        <v>96</v>
      </c>
      <c r="AA187" s="2">
        <v>100.0</v>
      </c>
      <c r="AB187" s="1" t="s">
        <v>79</v>
      </c>
      <c r="AC187" s="1" t="s">
        <v>51</v>
      </c>
      <c r="AD187" s="1" t="s">
        <v>81</v>
      </c>
      <c r="AE187" s="1" t="s">
        <v>51</v>
      </c>
      <c r="AF187" s="1" t="s">
        <v>51</v>
      </c>
      <c r="AG187" s="1" t="s">
        <v>51</v>
      </c>
      <c r="AI187" s="2">
        <v>1.0</v>
      </c>
      <c r="AJ187" s="2">
        <v>0.0</v>
      </c>
      <c r="AK187" s="2">
        <v>0.0</v>
      </c>
      <c r="AL187" s="2">
        <v>0.0</v>
      </c>
      <c r="AM187" s="1" t="s">
        <v>51</v>
      </c>
      <c r="AN187" s="2">
        <v>6.99134499E8</v>
      </c>
      <c r="AP187" s="2">
        <v>4.90093111E8</v>
      </c>
      <c r="AQ187" s="1" t="s">
        <v>317</v>
      </c>
      <c r="AR187" s="2">
        <v>45808.616261574076</v>
      </c>
      <c r="AU187" s="1" t="s">
        <v>64</v>
      </c>
      <c r="AW187" s="1" t="s">
        <v>255</v>
      </c>
      <c r="AY187" s="2">
        <v>186.0</v>
      </c>
    </row>
    <row r="188">
      <c r="A188" s="1" t="s">
        <v>51</v>
      </c>
      <c r="C188" s="1" t="s">
        <v>131</v>
      </c>
      <c r="E188" s="1" t="s">
        <v>53</v>
      </c>
      <c r="F188" s="1" t="s">
        <v>54</v>
      </c>
      <c r="G188" s="2">
        <v>24.0</v>
      </c>
      <c r="H188" s="1" t="s">
        <v>55</v>
      </c>
      <c r="I188" s="1" t="s">
        <v>100</v>
      </c>
      <c r="J188" s="1" t="s">
        <v>68</v>
      </c>
      <c r="K188" s="1" t="s">
        <v>57</v>
      </c>
      <c r="M188" s="1" t="s">
        <v>58</v>
      </c>
      <c r="N188" s="1" t="s">
        <v>58</v>
      </c>
      <c r="O188" s="1" t="s">
        <v>58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  <c r="W188" s="1" t="s">
        <v>58</v>
      </c>
      <c r="X188" s="1" t="s">
        <v>81</v>
      </c>
      <c r="Y188" s="1" t="s">
        <v>60</v>
      </c>
      <c r="Z188" s="1" t="s">
        <v>96</v>
      </c>
      <c r="AA188" s="2">
        <v>50.0</v>
      </c>
      <c r="AB188" s="1" t="s">
        <v>62</v>
      </c>
      <c r="AC188" s="1" t="s">
        <v>71</v>
      </c>
      <c r="AF188" s="1" t="s">
        <v>51</v>
      </c>
      <c r="AG188" s="1" t="s">
        <v>51</v>
      </c>
      <c r="AH188" s="2">
        <v>400.0</v>
      </c>
      <c r="AI188" s="2">
        <v>1.0</v>
      </c>
      <c r="AJ188" s="2">
        <v>0.0</v>
      </c>
      <c r="AK188" s="2">
        <v>0.0</v>
      </c>
      <c r="AL188" s="2">
        <v>0.0</v>
      </c>
      <c r="AM188" s="1" t="s">
        <v>51</v>
      </c>
      <c r="AN188" s="2">
        <v>8.13580094E8</v>
      </c>
      <c r="AP188" s="2">
        <v>4.90094558E8</v>
      </c>
      <c r="AQ188" s="1" t="s">
        <v>318</v>
      </c>
      <c r="AR188" s="2">
        <v>45808.618101851855</v>
      </c>
      <c r="AU188" s="1" t="s">
        <v>64</v>
      </c>
      <c r="AW188" s="1" t="s">
        <v>255</v>
      </c>
      <c r="AY188" s="2">
        <v>187.0</v>
      </c>
    </row>
    <row r="189">
      <c r="A189" s="1" t="s">
        <v>51</v>
      </c>
      <c r="C189" s="1" t="s">
        <v>131</v>
      </c>
      <c r="E189" s="1" t="s">
        <v>53</v>
      </c>
      <c r="F189" s="1" t="s">
        <v>54</v>
      </c>
      <c r="G189" s="2">
        <v>23.0</v>
      </c>
      <c r="H189" s="1" t="s">
        <v>55</v>
      </c>
      <c r="I189" s="1" t="s">
        <v>100</v>
      </c>
      <c r="J189" s="1" t="s">
        <v>68</v>
      </c>
      <c r="K189" s="1" t="s">
        <v>74</v>
      </c>
      <c r="M189" s="1" t="s">
        <v>58</v>
      </c>
      <c r="N189" s="1" t="s">
        <v>58</v>
      </c>
      <c r="O189" s="1" t="s">
        <v>70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58</v>
      </c>
      <c r="W189" s="1" t="s">
        <v>58</v>
      </c>
      <c r="X189" s="1" t="s">
        <v>81</v>
      </c>
      <c r="Y189" s="1" t="s">
        <v>172</v>
      </c>
      <c r="Z189" s="1" t="s">
        <v>127</v>
      </c>
      <c r="AA189" s="2">
        <v>50.0</v>
      </c>
      <c r="AB189" s="1" t="s">
        <v>79</v>
      </c>
      <c r="AC189" s="1" t="s">
        <v>71</v>
      </c>
      <c r="AF189" s="1" t="s">
        <v>51</v>
      </c>
      <c r="AG189" s="1" t="s">
        <v>51</v>
      </c>
      <c r="AH189" s="2">
        <v>300.0</v>
      </c>
      <c r="AI189" s="2">
        <v>1.0</v>
      </c>
      <c r="AJ189" s="2">
        <v>0.0</v>
      </c>
      <c r="AK189" s="2">
        <v>0.0</v>
      </c>
      <c r="AL189" s="2">
        <v>0.0</v>
      </c>
      <c r="AM189" s="1" t="s">
        <v>51</v>
      </c>
      <c r="AN189" s="2">
        <v>8.10851251E8</v>
      </c>
      <c r="AP189" s="2">
        <v>4.90099662E8</v>
      </c>
      <c r="AQ189" s="1" t="s">
        <v>319</v>
      </c>
      <c r="AR189" s="2">
        <v>45808.624085648145</v>
      </c>
      <c r="AU189" s="1" t="s">
        <v>64</v>
      </c>
      <c r="AW189" s="1" t="s">
        <v>255</v>
      </c>
      <c r="AY189" s="2">
        <v>188.0</v>
      </c>
    </row>
    <row r="190">
      <c r="A190" s="1" t="s">
        <v>51</v>
      </c>
      <c r="C190" s="1" t="s">
        <v>131</v>
      </c>
      <c r="E190" s="1" t="s">
        <v>53</v>
      </c>
      <c r="F190" s="1" t="s">
        <v>54</v>
      </c>
      <c r="G190" s="2">
        <v>34.0</v>
      </c>
      <c r="H190" s="1" t="s">
        <v>55</v>
      </c>
      <c r="I190" s="1" t="s">
        <v>100</v>
      </c>
      <c r="J190" s="1" t="s">
        <v>68</v>
      </c>
      <c r="K190" s="1" t="s">
        <v>74</v>
      </c>
      <c r="M190" s="1" t="s">
        <v>58</v>
      </c>
      <c r="N190" s="1" t="s">
        <v>58</v>
      </c>
      <c r="O190" s="1" t="s">
        <v>58</v>
      </c>
      <c r="Q190" s="1" t="s">
        <v>58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81</v>
      </c>
      <c r="Y190" s="1" t="s">
        <v>172</v>
      </c>
      <c r="Z190" s="1" t="s">
        <v>127</v>
      </c>
      <c r="AA190" s="2">
        <v>50.0</v>
      </c>
      <c r="AB190" s="1" t="s">
        <v>79</v>
      </c>
      <c r="AC190" s="1" t="s">
        <v>71</v>
      </c>
      <c r="AF190" s="1" t="s">
        <v>51</v>
      </c>
      <c r="AG190" s="1" t="s">
        <v>51</v>
      </c>
      <c r="AH190" s="2">
        <v>200.0</v>
      </c>
      <c r="AI190" s="2">
        <v>1.0</v>
      </c>
      <c r="AJ190" s="2">
        <v>0.0</v>
      </c>
      <c r="AK190" s="2">
        <v>0.0</v>
      </c>
      <c r="AL190" s="2">
        <v>0.0</v>
      </c>
      <c r="AM190" s="1" t="s">
        <v>51</v>
      </c>
      <c r="AN190" s="2">
        <v>8.10851251E8</v>
      </c>
      <c r="AP190" s="2">
        <v>4.9010102E8</v>
      </c>
      <c r="AQ190" s="1" t="s">
        <v>320</v>
      </c>
      <c r="AR190" s="2">
        <v>45808.62568287037</v>
      </c>
      <c r="AU190" s="1" t="s">
        <v>64</v>
      </c>
      <c r="AW190" s="1" t="s">
        <v>255</v>
      </c>
      <c r="AY190" s="2">
        <v>189.0</v>
      </c>
    </row>
    <row r="191">
      <c r="A191" s="1" t="s">
        <v>51</v>
      </c>
      <c r="C191" s="1" t="s">
        <v>52</v>
      </c>
      <c r="E191" s="1" t="s">
        <v>53</v>
      </c>
      <c r="F191" s="1" t="s">
        <v>54</v>
      </c>
      <c r="G191" s="2">
        <v>43.0</v>
      </c>
      <c r="H191" s="1" t="s">
        <v>66</v>
      </c>
      <c r="I191" s="1" t="s">
        <v>67</v>
      </c>
      <c r="J191" s="1" t="s">
        <v>111</v>
      </c>
      <c r="K191" s="1" t="s">
        <v>74</v>
      </c>
      <c r="M191" s="1" t="s">
        <v>58</v>
      </c>
      <c r="N191" s="1" t="s">
        <v>58</v>
      </c>
      <c r="O191" s="1" t="s">
        <v>69</v>
      </c>
      <c r="Q191" s="1" t="s">
        <v>58</v>
      </c>
      <c r="R191" s="1" t="s">
        <v>58</v>
      </c>
      <c r="S191" s="1" t="s">
        <v>69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88</v>
      </c>
      <c r="Y191" s="1" t="s">
        <v>60</v>
      </c>
      <c r="Z191" s="1" t="s">
        <v>89</v>
      </c>
      <c r="AA191" s="2">
        <v>30.0</v>
      </c>
      <c r="AB191" s="1" t="s">
        <v>79</v>
      </c>
      <c r="AC191" s="1" t="s">
        <v>71</v>
      </c>
      <c r="AF191" s="1" t="s">
        <v>51</v>
      </c>
      <c r="AG191" s="1" t="s">
        <v>51</v>
      </c>
      <c r="AH191" s="2">
        <v>7000.0</v>
      </c>
      <c r="AI191" s="2">
        <v>1.0</v>
      </c>
      <c r="AJ191" s="2">
        <v>1.0</v>
      </c>
      <c r="AK191" s="2">
        <v>1.0</v>
      </c>
      <c r="AL191" s="2">
        <v>0.0</v>
      </c>
      <c r="AM191" s="1" t="s">
        <v>51</v>
      </c>
      <c r="AN191" s="2">
        <v>6.18065596E8</v>
      </c>
      <c r="AP191" s="2">
        <v>4.90101083E8</v>
      </c>
      <c r="AQ191" s="1" t="s">
        <v>321</v>
      </c>
      <c r="AR191" s="2">
        <v>45808.625763888886</v>
      </c>
      <c r="AU191" s="1" t="s">
        <v>64</v>
      </c>
      <c r="AW191" s="1" t="s">
        <v>255</v>
      </c>
      <c r="AY191" s="2">
        <v>190.0</v>
      </c>
    </row>
    <row r="192">
      <c r="A192" s="1" t="s">
        <v>51</v>
      </c>
      <c r="C192" s="1" t="s">
        <v>131</v>
      </c>
      <c r="E192" s="1" t="s">
        <v>53</v>
      </c>
      <c r="F192" s="1" t="s">
        <v>54</v>
      </c>
      <c r="G192" s="2">
        <v>23.0</v>
      </c>
      <c r="H192" s="1" t="s">
        <v>55</v>
      </c>
      <c r="I192" s="1" t="s">
        <v>100</v>
      </c>
      <c r="J192" s="1" t="s">
        <v>68</v>
      </c>
      <c r="K192" s="1" t="s">
        <v>57</v>
      </c>
      <c r="M192" s="1" t="s">
        <v>58</v>
      </c>
      <c r="N192" s="1" t="s">
        <v>58</v>
      </c>
      <c r="O192" s="1" t="s">
        <v>58</v>
      </c>
      <c r="Q192" s="1" t="s">
        <v>58</v>
      </c>
      <c r="R192" s="1" t="s">
        <v>58</v>
      </c>
      <c r="T192" s="1" t="s">
        <v>58</v>
      </c>
      <c r="U192" s="1" t="s">
        <v>58</v>
      </c>
      <c r="V192" s="1" t="s">
        <v>58</v>
      </c>
      <c r="W192" s="1" t="s">
        <v>58</v>
      </c>
      <c r="X192" s="1" t="s">
        <v>81</v>
      </c>
      <c r="Y192" s="1" t="s">
        <v>172</v>
      </c>
      <c r="Z192" s="1" t="s">
        <v>96</v>
      </c>
      <c r="AA192" s="2">
        <v>50.0</v>
      </c>
      <c r="AB192" s="1" t="s">
        <v>62</v>
      </c>
      <c r="AC192" s="1" t="s">
        <v>71</v>
      </c>
      <c r="AF192" s="1" t="s">
        <v>51</v>
      </c>
      <c r="AG192" s="1" t="s">
        <v>72</v>
      </c>
      <c r="AI192" s="2">
        <v>0.0</v>
      </c>
      <c r="AJ192" s="2">
        <v>0.0</v>
      </c>
      <c r="AK192" s="2">
        <v>1.0</v>
      </c>
      <c r="AL192" s="2">
        <v>0.0</v>
      </c>
      <c r="AP192" s="2">
        <v>4.90102926E8</v>
      </c>
      <c r="AQ192" s="1" t="s">
        <v>322</v>
      </c>
      <c r="AR192" s="2">
        <v>45808.62768518519</v>
      </c>
      <c r="AU192" s="1" t="s">
        <v>64</v>
      </c>
      <c r="AW192" s="1" t="s">
        <v>255</v>
      </c>
      <c r="AY192" s="2">
        <v>191.0</v>
      </c>
    </row>
    <row r="193">
      <c r="A193" s="1" t="s">
        <v>51</v>
      </c>
      <c r="C193" s="1" t="s">
        <v>131</v>
      </c>
      <c r="E193" s="1" t="s">
        <v>53</v>
      </c>
      <c r="F193" s="1" t="s">
        <v>54</v>
      </c>
      <c r="G193" s="2">
        <v>34.0</v>
      </c>
      <c r="H193" s="1" t="s">
        <v>55</v>
      </c>
      <c r="I193" s="1" t="s">
        <v>100</v>
      </c>
      <c r="J193" s="1" t="s">
        <v>68</v>
      </c>
      <c r="K193" s="1" t="s">
        <v>57</v>
      </c>
      <c r="M193" s="1" t="s">
        <v>58</v>
      </c>
      <c r="N193" s="1" t="s">
        <v>58</v>
      </c>
      <c r="O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81</v>
      </c>
      <c r="Y193" s="1" t="s">
        <v>172</v>
      </c>
      <c r="Z193" s="1" t="s">
        <v>96</v>
      </c>
      <c r="AA193" s="2">
        <v>100.0</v>
      </c>
      <c r="AB193" s="1" t="s">
        <v>62</v>
      </c>
      <c r="AC193" s="1" t="s">
        <v>71</v>
      </c>
      <c r="AF193" s="1" t="s">
        <v>51</v>
      </c>
      <c r="AG193" s="1" t="s">
        <v>51</v>
      </c>
      <c r="AH193" s="2">
        <v>300.0</v>
      </c>
      <c r="AI193" s="2">
        <v>1.0</v>
      </c>
      <c r="AJ193" s="2">
        <v>0.0</v>
      </c>
      <c r="AK193" s="2">
        <v>0.0</v>
      </c>
      <c r="AL193" s="2">
        <v>0.0</v>
      </c>
      <c r="AM193" s="1" t="s">
        <v>51</v>
      </c>
      <c r="AN193" s="2">
        <v>6.37907157E8</v>
      </c>
      <c r="AP193" s="2">
        <v>4.90106648E8</v>
      </c>
      <c r="AQ193" s="1" t="s">
        <v>323</v>
      </c>
      <c r="AR193" s="2">
        <v>45808.63197916667</v>
      </c>
      <c r="AU193" s="1" t="s">
        <v>64</v>
      </c>
      <c r="AW193" s="1" t="s">
        <v>255</v>
      </c>
      <c r="AY193" s="2">
        <v>192.0</v>
      </c>
    </row>
    <row r="194">
      <c r="A194" s="1" t="s">
        <v>51</v>
      </c>
      <c r="C194" s="1" t="s">
        <v>131</v>
      </c>
      <c r="E194" s="1" t="s">
        <v>53</v>
      </c>
      <c r="F194" s="1" t="s">
        <v>54</v>
      </c>
      <c r="G194" s="2">
        <v>34.0</v>
      </c>
      <c r="H194" s="1" t="s">
        <v>55</v>
      </c>
      <c r="I194" s="1" t="s">
        <v>67</v>
      </c>
      <c r="J194" s="1" t="s">
        <v>68</v>
      </c>
      <c r="K194" s="1" t="s">
        <v>57</v>
      </c>
      <c r="M194" s="1" t="s">
        <v>58</v>
      </c>
      <c r="N194" s="1" t="s">
        <v>58</v>
      </c>
      <c r="O194" s="1" t="s">
        <v>58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81</v>
      </c>
      <c r="Y194" s="1" t="s">
        <v>172</v>
      </c>
      <c r="Z194" s="1" t="s">
        <v>96</v>
      </c>
      <c r="AA194" s="2">
        <v>50.0</v>
      </c>
      <c r="AB194" s="1" t="s">
        <v>28</v>
      </c>
      <c r="AC194" s="1" t="s">
        <v>71</v>
      </c>
      <c r="AF194" s="1" t="s">
        <v>51</v>
      </c>
      <c r="AG194" s="1" t="s">
        <v>51</v>
      </c>
      <c r="AH194" s="2">
        <v>250.0</v>
      </c>
      <c r="AI194" s="2">
        <v>0.0</v>
      </c>
      <c r="AJ194" s="2">
        <v>0.0</v>
      </c>
      <c r="AK194" s="2">
        <v>0.0</v>
      </c>
      <c r="AL194" s="2">
        <v>1.0</v>
      </c>
      <c r="AM194" s="1" t="s">
        <v>51</v>
      </c>
      <c r="AN194" s="2">
        <v>6.83234535E8</v>
      </c>
      <c r="AP194" s="2">
        <v>4.90108381E8</v>
      </c>
      <c r="AQ194" s="1" t="s">
        <v>324</v>
      </c>
      <c r="AR194" s="2">
        <v>45808.63402777778</v>
      </c>
      <c r="AU194" s="1" t="s">
        <v>64</v>
      </c>
      <c r="AW194" s="1" t="s">
        <v>255</v>
      </c>
      <c r="AY194" s="2">
        <v>193.0</v>
      </c>
    </row>
    <row r="195">
      <c r="A195" s="1" t="s">
        <v>51</v>
      </c>
      <c r="C195" s="1" t="s">
        <v>131</v>
      </c>
      <c r="E195" s="1" t="s">
        <v>53</v>
      </c>
      <c r="F195" s="1" t="s">
        <v>54</v>
      </c>
      <c r="G195" s="2">
        <v>23.0</v>
      </c>
      <c r="H195" s="1" t="s">
        <v>66</v>
      </c>
      <c r="I195" s="1" t="s">
        <v>100</v>
      </c>
      <c r="J195" s="1" t="s">
        <v>111</v>
      </c>
      <c r="K195" s="1" t="s">
        <v>57</v>
      </c>
      <c r="M195" s="1" t="s">
        <v>58</v>
      </c>
      <c r="N195" s="1" t="s">
        <v>58</v>
      </c>
      <c r="O195" s="1" t="s">
        <v>58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 t="s">
        <v>58</v>
      </c>
      <c r="X195" s="1" t="s">
        <v>81</v>
      </c>
      <c r="Y195" s="1" t="s">
        <v>60</v>
      </c>
      <c r="Z195" s="1" t="s">
        <v>96</v>
      </c>
      <c r="AA195" s="2">
        <v>100.0</v>
      </c>
      <c r="AB195" s="1" t="s">
        <v>79</v>
      </c>
      <c r="AC195" s="1" t="s">
        <v>51</v>
      </c>
      <c r="AD195" s="1" t="s">
        <v>81</v>
      </c>
      <c r="AE195" s="1" t="s">
        <v>51</v>
      </c>
      <c r="AF195" s="1" t="s">
        <v>51</v>
      </c>
      <c r="AG195" s="1" t="s">
        <v>51</v>
      </c>
      <c r="AH195" s="2">
        <v>350.0</v>
      </c>
      <c r="AI195" s="2">
        <v>1.0</v>
      </c>
      <c r="AJ195" s="2">
        <v>0.0</v>
      </c>
      <c r="AK195" s="2">
        <v>0.0</v>
      </c>
      <c r="AL195" s="2">
        <v>0.0</v>
      </c>
      <c r="AM195" s="1" t="s">
        <v>51</v>
      </c>
      <c r="AN195" s="2">
        <v>6.05896906E8</v>
      </c>
      <c r="AP195" s="2">
        <v>4.90110505E8</v>
      </c>
      <c r="AQ195" s="1" t="s">
        <v>325</v>
      </c>
      <c r="AR195" s="2">
        <v>45808.63599537037</v>
      </c>
      <c r="AU195" s="1" t="s">
        <v>64</v>
      </c>
      <c r="AW195" s="1" t="s">
        <v>255</v>
      </c>
      <c r="AY195" s="2">
        <v>194.0</v>
      </c>
    </row>
    <row r="196">
      <c r="A196" s="1" t="s">
        <v>51</v>
      </c>
      <c r="C196" s="1" t="s">
        <v>131</v>
      </c>
      <c r="E196" s="1" t="s">
        <v>53</v>
      </c>
      <c r="F196" s="1" t="s">
        <v>54</v>
      </c>
      <c r="G196" s="2">
        <v>37.0</v>
      </c>
      <c r="H196" s="1" t="s">
        <v>55</v>
      </c>
      <c r="I196" s="1" t="s">
        <v>100</v>
      </c>
      <c r="J196" s="1" t="s">
        <v>56</v>
      </c>
      <c r="K196" s="1" t="s">
        <v>74</v>
      </c>
      <c r="M196" s="1" t="s">
        <v>58</v>
      </c>
      <c r="N196" s="1" t="s">
        <v>58</v>
      </c>
      <c r="O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81</v>
      </c>
      <c r="Y196" s="1" t="s">
        <v>172</v>
      </c>
      <c r="Z196" s="1" t="s">
        <v>96</v>
      </c>
      <c r="AA196" s="2">
        <v>100.0</v>
      </c>
      <c r="AB196" s="1" t="s">
        <v>79</v>
      </c>
      <c r="AC196" s="1" t="s">
        <v>51</v>
      </c>
      <c r="AD196" s="1" t="s">
        <v>81</v>
      </c>
      <c r="AF196" s="1" t="s">
        <v>51</v>
      </c>
      <c r="AG196" s="1" t="s">
        <v>51</v>
      </c>
      <c r="AH196" s="2">
        <v>300.0</v>
      </c>
      <c r="AI196" s="2">
        <v>1.0</v>
      </c>
      <c r="AJ196" s="2">
        <v>0.0</v>
      </c>
      <c r="AK196" s="2">
        <v>0.0</v>
      </c>
      <c r="AL196" s="2">
        <v>0.0</v>
      </c>
      <c r="AM196" s="1" t="s">
        <v>51</v>
      </c>
      <c r="AN196" s="2">
        <v>7.47761012E8</v>
      </c>
      <c r="AP196" s="2">
        <v>4.90112113E8</v>
      </c>
      <c r="AQ196" s="1" t="s">
        <v>326</v>
      </c>
      <c r="AR196" s="2">
        <v>45808.63810185185</v>
      </c>
      <c r="AU196" s="1" t="s">
        <v>64</v>
      </c>
      <c r="AW196" s="1" t="s">
        <v>255</v>
      </c>
      <c r="AY196" s="2">
        <v>195.0</v>
      </c>
    </row>
    <row r="197">
      <c r="A197" s="1" t="s">
        <v>51</v>
      </c>
      <c r="C197" s="1" t="s">
        <v>131</v>
      </c>
      <c r="E197" s="1" t="s">
        <v>53</v>
      </c>
      <c r="F197" s="1" t="s">
        <v>54</v>
      </c>
      <c r="G197" s="2">
        <v>43.0</v>
      </c>
      <c r="H197" s="1" t="s">
        <v>55</v>
      </c>
      <c r="I197" s="1" t="s">
        <v>67</v>
      </c>
      <c r="J197" s="1" t="s">
        <v>68</v>
      </c>
      <c r="K197" s="1" t="s">
        <v>74</v>
      </c>
      <c r="M197" s="1" t="s">
        <v>58</v>
      </c>
      <c r="N197" s="1" t="s">
        <v>58</v>
      </c>
      <c r="O197" s="1" t="s">
        <v>58</v>
      </c>
      <c r="Q197" s="1" t="s">
        <v>58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81</v>
      </c>
      <c r="Y197" s="1" t="s">
        <v>60</v>
      </c>
      <c r="Z197" s="1" t="s">
        <v>96</v>
      </c>
      <c r="AA197" s="2">
        <v>100.0</v>
      </c>
      <c r="AB197" s="1" t="s">
        <v>28</v>
      </c>
      <c r="AC197" s="1" t="s">
        <v>51</v>
      </c>
      <c r="AD197" s="1" t="s">
        <v>81</v>
      </c>
      <c r="AE197" s="1" t="s">
        <v>51</v>
      </c>
      <c r="AF197" s="1" t="s">
        <v>51</v>
      </c>
      <c r="AG197" s="1" t="s">
        <v>51</v>
      </c>
      <c r="AI197" s="2">
        <v>0.0</v>
      </c>
      <c r="AJ197" s="2">
        <v>0.0</v>
      </c>
      <c r="AK197" s="2">
        <v>0.0</v>
      </c>
      <c r="AL197" s="2">
        <v>1.0</v>
      </c>
      <c r="AM197" s="1" t="s">
        <v>51</v>
      </c>
      <c r="AN197" s="2">
        <v>6.56652996E8</v>
      </c>
      <c r="AP197" s="2">
        <v>4.9011343E8</v>
      </c>
      <c r="AQ197" s="1" t="s">
        <v>327</v>
      </c>
      <c r="AR197" s="2">
        <v>45808.639398148145</v>
      </c>
      <c r="AU197" s="1" t="s">
        <v>64</v>
      </c>
      <c r="AW197" s="1" t="s">
        <v>255</v>
      </c>
      <c r="AY197" s="2">
        <v>196.0</v>
      </c>
    </row>
    <row r="198">
      <c r="AP198" s="2">
        <v>4.90113652E8</v>
      </c>
      <c r="AQ198" s="1" t="s">
        <v>533</v>
      </c>
      <c r="AR198" s="2">
        <v>45808.63960648148</v>
      </c>
      <c r="AU198" s="1" t="s">
        <v>64</v>
      </c>
      <c r="AW198" s="1" t="s">
        <v>255</v>
      </c>
      <c r="AY198" s="2">
        <v>197.0</v>
      </c>
    </row>
    <row r="199">
      <c r="A199" s="1" t="s">
        <v>51</v>
      </c>
      <c r="C199" s="1" t="s">
        <v>131</v>
      </c>
      <c r="E199" s="1" t="s">
        <v>53</v>
      </c>
      <c r="F199" s="1" t="s">
        <v>54</v>
      </c>
      <c r="G199" s="2">
        <v>32.0</v>
      </c>
      <c r="H199" s="1" t="s">
        <v>55</v>
      </c>
      <c r="I199" s="1" t="s">
        <v>100</v>
      </c>
      <c r="J199" s="1" t="s">
        <v>68</v>
      </c>
      <c r="K199" s="1" t="s">
        <v>57</v>
      </c>
      <c r="M199" s="1" t="s">
        <v>58</v>
      </c>
      <c r="N199" s="1" t="s">
        <v>58</v>
      </c>
      <c r="O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81</v>
      </c>
      <c r="Y199" s="1" t="s">
        <v>60</v>
      </c>
      <c r="Z199" s="1" t="s">
        <v>96</v>
      </c>
      <c r="AA199" s="2">
        <v>100.0</v>
      </c>
      <c r="AB199" s="1" t="s">
        <v>79</v>
      </c>
      <c r="AC199" s="1" t="s">
        <v>51</v>
      </c>
      <c r="AD199" s="1" t="s">
        <v>81</v>
      </c>
      <c r="AE199" s="1" t="s">
        <v>51</v>
      </c>
      <c r="AF199" s="1" t="s">
        <v>51</v>
      </c>
      <c r="AG199" s="1" t="s">
        <v>51</v>
      </c>
      <c r="AI199" s="2">
        <v>0.0</v>
      </c>
      <c r="AJ199" s="2">
        <v>1.0</v>
      </c>
      <c r="AK199" s="2">
        <v>0.0</v>
      </c>
      <c r="AL199" s="2">
        <v>0.0</v>
      </c>
      <c r="AM199" s="1" t="s">
        <v>51</v>
      </c>
      <c r="AN199" s="2">
        <v>8.37345408E8</v>
      </c>
      <c r="AP199" s="2">
        <v>4.90115535E8</v>
      </c>
      <c r="AQ199" s="1" t="s">
        <v>328</v>
      </c>
      <c r="AR199" s="2">
        <v>45808.64135416667</v>
      </c>
      <c r="AU199" s="1" t="s">
        <v>64</v>
      </c>
      <c r="AW199" s="1" t="s">
        <v>255</v>
      </c>
      <c r="AY199" s="2">
        <v>198.0</v>
      </c>
    </row>
    <row r="200">
      <c r="A200" s="1" t="s">
        <v>51</v>
      </c>
      <c r="C200" s="1" t="s">
        <v>131</v>
      </c>
      <c r="E200" s="1" t="s">
        <v>53</v>
      </c>
      <c r="F200" s="1" t="s">
        <v>54</v>
      </c>
      <c r="G200" s="2">
        <v>26.0</v>
      </c>
      <c r="H200" s="1" t="s">
        <v>66</v>
      </c>
      <c r="I200" s="1" t="s">
        <v>100</v>
      </c>
      <c r="J200" s="1" t="s">
        <v>56</v>
      </c>
      <c r="K200" s="1" t="s">
        <v>57</v>
      </c>
      <c r="M200" s="1" t="s">
        <v>58</v>
      </c>
      <c r="N200" s="1" t="s">
        <v>58</v>
      </c>
      <c r="O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81</v>
      </c>
      <c r="Y200" s="1" t="s">
        <v>82</v>
      </c>
      <c r="Z200" s="1" t="s">
        <v>127</v>
      </c>
      <c r="AA200" s="2">
        <v>50.0</v>
      </c>
      <c r="AB200" s="1" t="s">
        <v>79</v>
      </c>
      <c r="AC200" s="1" t="s">
        <v>71</v>
      </c>
      <c r="AF200" s="1" t="s">
        <v>51</v>
      </c>
      <c r="AG200" s="1" t="s">
        <v>51</v>
      </c>
      <c r="AI200" s="2">
        <v>1.0</v>
      </c>
      <c r="AJ200" s="2">
        <v>0.0</v>
      </c>
      <c r="AK200" s="2">
        <v>0.0</v>
      </c>
      <c r="AL200" s="2">
        <v>0.0</v>
      </c>
      <c r="AM200" s="1" t="s">
        <v>51</v>
      </c>
      <c r="AN200" s="2">
        <v>8.37345408E8</v>
      </c>
      <c r="AP200" s="2">
        <v>4.90116971E8</v>
      </c>
      <c r="AQ200" s="1" t="s">
        <v>329</v>
      </c>
      <c r="AR200" s="2">
        <v>45808.64273148148</v>
      </c>
      <c r="AU200" s="1" t="s">
        <v>64</v>
      </c>
      <c r="AW200" s="1" t="s">
        <v>255</v>
      </c>
      <c r="AY200" s="2">
        <v>199.0</v>
      </c>
    </row>
    <row r="201">
      <c r="A201" s="1" t="s">
        <v>51</v>
      </c>
      <c r="C201" s="1" t="s">
        <v>52</v>
      </c>
      <c r="E201" s="1" t="s">
        <v>53</v>
      </c>
      <c r="F201" s="1" t="s">
        <v>54</v>
      </c>
      <c r="G201" s="2">
        <v>31.0</v>
      </c>
      <c r="H201" s="1" t="s">
        <v>55</v>
      </c>
      <c r="I201" s="1" t="s">
        <v>67</v>
      </c>
      <c r="J201" s="1" t="s">
        <v>68</v>
      </c>
      <c r="K201" s="1" t="s">
        <v>74</v>
      </c>
      <c r="M201" s="1" t="s">
        <v>58</v>
      </c>
      <c r="N201" s="1" t="s">
        <v>58</v>
      </c>
      <c r="O201" s="1" t="s">
        <v>70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70</v>
      </c>
      <c r="W201" s="1" t="s">
        <v>70</v>
      </c>
      <c r="X201" s="1" t="s">
        <v>81</v>
      </c>
      <c r="Y201" s="1" t="s">
        <v>172</v>
      </c>
      <c r="Z201" s="1" t="s">
        <v>108</v>
      </c>
      <c r="AA201" s="2">
        <v>100.0</v>
      </c>
      <c r="AB201" s="1" t="s">
        <v>62</v>
      </c>
      <c r="AC201" s="1" t="s">
        <v>51</v>
      </c>
      <c r="AD201" s="1" t="s">
        <v>81</v>
      </c>
      <c r="AE201" s="1" t="s">
        <v>51</v>
      </c>
      <c r="AF201" s="1" t="s">
        <v>51</v>
      </c>
      <c r="AG201" s="1" t="s">
        <v>51</v>
      </c>
      <c r="AH201" s="2">
        <v>350.0</v>
      </c>
      <c r="AI201" s="2">
        <v>0.0</v>
      </c>
      <c r="AJ201" s="2">
        <v>0.0</v>
      </c>
      <c r="AK201" s="2">
        <v>0.0</v>
      </c>
      <c r="AL201" s="2">
        <v>1.0</v>
      </c>
      <c r="AM201" s="1" t="s">
        <v>51</v>
      </c>
      <c r="AN201" s="2">
        <v>6.97663225E8</v>
      </c>
      <c r="AP201" s="2">
        <v>4.90118314E8</v>
      </c>
      <c r="AQ201" s="1" t="s">
        <v>330</v>
      </c>
      <c r="AR201" s="2">
        <v>45808.644282407404</v>
      </c>
      <c r="AU201" s="1" t="s">
        <v>64</v>
      </c>
      <c r="AW201" s="1" t="s">
        <v>255</v>
      </c>
      <c r="AY201" s="2">
        <v>200.0</v>
      </c>
    </row>
    <row r="202">
      <c r="AP202" s="2">
        <v>4.90118405E8</v>
      </c>
      <c r="AQ202" s="1" t="s">
        <v>534</v>
      </c>
      <c r="AR202" s="2">
        <v>45808.64443287037</v>
      </c>
      <c r="AU202" s="1" t="s">
        <v>64</v>
      </c>
      <c r="AW202" s="1" t="s">
        <v>255</v>
      </c>
      <c r="AY202" s="2">
        <v>201.0</v>
      </c>
    </row>
    <row r="203">
      <c r="A203" s="1" t="s">
        <v>51</v>
      </c>
      <c r="C203" s="1" t="s">
        <v>53</v>
      </c>
      <c r="E203" s="1" t="s">
        <v>53</v>
      </c>
      <c r="F203" s="1" t="s">
        <v>54</v>
      </c>
      <c r="G203" s="2">
        <v>45.0</v>
      </c>
      <c r="H203" s="1" t="s">
        <v>66</v>
      </c>
      <c r="I203" s="1" t="s">
        <v>121</v>
      </c>
      <c r="J203" s="1" t="s">
        <v>86</v>
      </c>
      <c r="K203" s="1" t="s">
        <v>87</v>
      </c>
      <c r="M203" s="1" t="s">
        <v>58</v>
      </c>
      <c r="N203" s="1" t="s">
        <v>58</v>
      </c>
      <c r="O203" s="1" t="s">
        <v>58</v>
      </c>
      <c r="Q203" s="1" t="s">
        <v>69</v>
      </c>
      <c r="R203" s="1" t="s">
        <v>58</v>
      </c>
      <c r="S203" s="1" t="s">
        <v>69</v>
      </c>
      <c r="T203" s="1" t="s">
        <v>58</v>
      </c>
      <c r="U203" s="1" t="s">
        <v>58</v>
      </c>
      <c r="V203" s="1" t="s">
        <v>58</v>
      </c>
      <c r="W203" s="1" t="s">
        <v>69</v>
      </c>
      <c r="X203" s="1" t="s">
        <v>59</v>
      </c>
      <c r="Y203" s="1" t="s">
        <v>95</v>
      </c>
      <c r="Z203" s="1" t="s">
        <v>96</v>
      </c>
      <c r="AA203" s="2">
        <v>40.0</v>
      </c>
      <c r="AB203" s="1" t="s">
        <v>62</v>
      </c>
      <c r="AC203" s="1" t="s">
        <v>51</v>
      </c>
      <c r="AD203" s="1" t="s">
        <v>59</v>
      </c>
      <c r="AE203" s="1" t="s">
        <v>51</v>
      </c>
      <c r="AF203" s="1" t="s">
        <v>51</v>
      </c>
      <c r="AG203" s="1" t="s">
        <v>51</v>
      </c>
      <c r="AH203" s="2">
        <v>50.0</v>
      </c>
      <c r="AI203" s="2">
        <v>0.0</v>
      </c>
      <c r="AJ203" s="2">
        <v>0.0</v>
      </c>
      <c r="AK203" s="2">
        <v>0.0</v>
      </c>
      <c r="AL203" s="2">
        <v>1.0</v>
      </c>
      <c r="AM203" s="1" t="s">
        <v>51</v>
      </c>
      <c r="AN203" s="2">
        <v>7.63237797E8</v>
      </c>
      <c r="AP203" s="2">
        <v>4.9012673E8</v>
      </c>
      <c r="AQ203" s="1" t="s">
        <v>331</v>
      </c>
      <c r="AR203" s="2">
        <v>45808.65414351852</v>
      </c>
      <c r="AU203" s="1" t="s">
        <v>64</v>
      </c>
      <c r="AW203" s="1" t="s">
        <v>255</v>
      </c>
      <c r="AY203" s="2">
        <v>202.0</v>
      </c>
    </row>
    <row r="204">
      <c r="A204" s="1" t="s">
        <v>51</v>
      </c>
      <c r="C204" s="1" t="s">
        <v>53</v>
      </c>
      <c r="E204" s="1" t="s">
        <v>53</v>
      </c>
      <c r="F204" s="1" t="s">
        <v>54</v>
      </c>
      <c r="G204" s="2">
        <v>23.0</v>
      </c>
      <c r="H204" s="1" t="s">
        <v>66</v>
      </c>
      <c r="I204" s="1" t="s">
        <v>121</v>
      </c>
      <c r="J204" s="1" t="s">
        <v>56</v>
      </c>
      <c r="K204" s="1" t="s">
        <v>87</v>
      </c>
      <c r="M204" s="1" t="s">
        <v>58</v>
      </c>
      <c r="N204" s="1" t="s">
        <v>58</v>
      </c>
      <c r="O204" s="1" t="s">
        <v>69</v>
      </c>
      <c r="Q204" s="1" t="s">
        <v>58</v>
      </c>
      <c r="R204" s="1" t="s">
        <v>58</v>
      </c>
      <c r="S204" s="1" t="s">
        <v>58</v>
      </c>
      <c r="T204" s="1" t="s">
        <v>69</v>
      </c>
      <c r="U204" s="1" t="s">
        <v>58</v>
      </c>
      <c r="V204" s="1" t="s">
        <v>58</v>
      </c>
      <c r="W204" s="1" t="s">
        <v>58</v>
      </c>
      <c r="X204" s="1" t="s">
        <v>59</v>
      </c>
      <c r="Y204" s="1" t="s">
        <v>82</v>
      </c>
      <c r="Z204" s="1" t="s">
        <v>127</v>
      </c>
      <c r="AA204" s="2">
        <v>20.0</v>
      </c>
      <c r="AB204" s="1" t="s">
        <v>62</v>
      </c>
      <c r="AC204" s="1" t="s">
        <v>51</v>
      </c>
      <c r="AD204" s="1" t="s">
        <v>59</v>
      </c>
      <c r="AE204" s="1" t="s">
        <v>51</v>
      </c>
      <c r="AF204" s="1" t="s">
        <v>51</v>
      </c>
      <c r="AG204" s="1" t="s">
        <v>51</v>
      </c>
      <c r="AH204" s="2">
        <v>200.0</v>
      </c>
      <c r="AI204" s="2">
        <v>0.0</v>
      </c>
      <c r="AJ204" s="2">
        <v>0.0</v>
      </c>
      <c r="AK204" s="2">
        <v>0.0</v>
      </c>
      <c r="AL204" s="2">
        <v>1.0</v>
      </c>
      <c r="AM204" s="1" t="s">
        <v>51</v>
      </c>
      <c r="AN204" s="2">
        <v>7.90141579E8</v>
      </c>
      <c r="AP204" s="2">
        <v>4.9013096E8</v>
      </c>
      <c r="AQ204" s="1" t="s">
        <v>332</v>
      </c>
      <c r="AR204" s="2">
        <v>45808.65866898148</v>
      </c>
      <c r="AU204" s="1" t="s">
        <v>64</v>
      </c>
      <c r="AW204" s="1" t="s">
        <v>255</v>
      </c>
      <c r="AY204" s="2">
        <v>203.0</v>
      </c>
    </row>
    <row r="205">
      <c r="A205" s="1" t="s">
        <v>51</v>
      </c>
      <c r="C205" s="1" t="s">
        <v>52</v>
      </c>
      <c r="E205" s="1" t="s">
        <v>53</v>
      </c>
      <c r="F205" s="1" t="s">
        <v>102</v>
      </c>
      <c r="G205" s="2">
        <v>38.0</v>
      </c>
      <c r="H205" s="1" t="s">
        <v>66</v>
      </c>
      <c r="I205" s="1" t="s">
        <v>67</v>
      </c>
      <c r="J205" s="1" t="s">
        <v>111</v>
      </c>
      <c r="K205" s="1" t="s">
        <v>87</v>
      </c>
      <c r="M205" s="1" t="s">
        <v>58</v>
      </c>
      <c r="N205" s="1" t="s">
        <v>58</v>
      </c>
      <c r="O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58</v>
      </c>
      <c r="V205" s="1" t="s">
        <v>58</v>
      </c>
      <c r="W205" s="1" t="s">
        <v>58</v>
      </c>
      <c r="X205" s="1" t="s">
        <v>103</v>
      </c>
      <c r="Y205" s="1" t="s">
        <v>60</v>
      </c>
      <c r="Z205" s="1" t="s">
        <v>61</v>
      </c>
      <c r="AA205" s="2">
        <v>50.0</v>
      </c>
      <c r="AB205" s="1" t="s">
        <v>28</v>
      </c>
      <c r="AC205" s="1" t="s">
        <v>51</v>
      </c>
      <c r="AD205" s="1" t="s">
        <v>81</v>
      </c>
      <c r="AE205" s="1" t="s">
        <v>51</v>
      </c>
      <c r="AF205" s="1" t="s">
        <v>51</v>
      </c>
      <c r="AG205" s="1" t="s">
        <v>72</v>
      </c>
      <c r="AI205" s="2">
        <v>0.0</v>
      </c>
      <c r="AJ205" s="2">
        <v>1.0</v>
      </c>
      <c r="AK205" s="2">
        <v>0.0</v>
      </c>
      <c r="AL205" s="2">
        <v>0.0</v>
      </c>
      <c r="AM205" s="1" t="s">
        <v>72</v>
      </c>
      <c r="AP205" s="2">
        <v>4.90134861E8</v>
      </c>
      <c r="AQ205" s="1" t="s">
        <v>333</v>
      </c>
      <c r="AR205" s="2">
        <v>45808.66370370371</v>
      </c>
      <c r="AU205" s="1" t="s">
        <v>64</v>
      </c>
      <c r="AW205" s="1" t="s">
        <v>255</v>
      </c>
      <c r="AY205" s="2">
        <v>204.0</v>
      </c>
    </row>
    <row r="206">
      <c r="AP206" s="2">
        <v>4.90135024E8</v>
      </c>
      <c r="AQ206" s="1" t="s">
        <v>535</v>
      </c>
      <c r="AR206" s="2">
        <v>45808.66384259259</v>
      </c>
      <c r="AU206" s="1" t="s">
        <v>64</v>
      </c>
      <c r="AW206" s="1" t="s">
        <v>255</v>
      </c>
      <c r="AY206" s="2">
        <v>205.0</v>
      </c>
    </row>
    <row r="207">
      <c r="A207" s="1" t="s">
        <v>51</v>
      </c>
      <c r="C207" s="1" t="s">
        <v>52</v>
      </c>
      <c r="E207" s="1" t="s">
        <v>52</v>
      </c>
      <c r="G207" s="2">
        <v>53.0</v>
      </c>
      <c r="H207" s="1" t="s">
        <v>55</v>
      </c>
      <c r="J207" s="1" t="s">
        <v>68</v>
      </c>
      <c r="K207" s="1" t="s">
        <v>74</v>
      </c>
      <c r="M207" s="1" t="s">
        <v>58</v>
      </c>
      <c r="N207" s="1" t="s">
        <v>58</v>
      </c>
      <c r="O207" s="1" t="s">
        <v>58</v>
      </c>
      <c r="Q207" s="1" t="s">
        <v>58</v>
      </c>
      <c r="R207" s="1" t="s">
        <v>58</v>
      </c>
      <c r="S207" s="1" t="s">
        <v>58</v>
      </c>
      <c r="T207" s="1" t="s">
        <v>58</v>
      </c>
      <c r="U207" s="1" t="s">
        <v>58</v>
      </c>
      <c r="V207" s="1" t="s">
        <v>58</v>
      </c>
      <c r="W207" s="1" t="s">
        <v>58</v>
      </c>
      <c r="X207" s="1" t="s">
        <v>88</v>
      </c>
      <c r="Y207" s="1" t="s">
        <v>82</v>
      </c>
      <c r="Z207" s="1" t="s">
        <v>89</v>
      </c>
      <c r="AA207" s="2">
        <v>40.0</v>
      </c>
      <c r="AB207" s="1" t="s">
        <v>79</v>
      </c>
      <c r="AC207" s="1" t="s">
        <v>72</v>
      </c>
      <c r="AF207" s="1" t="s">
        <v>51</v>
      </c>
      <c r="AG207" s="1" t="s">
        <v>51</v>
      </c>
      <c r="AH207" s="2">
        <v>4000.0</v>
      </c>
      <c r="AI207" s="2">
        <v>0.0</v>
      </c>
      <c r="AJ207" s="2">
        <v>0.0</v>
      </c>
      <c r="AK207" s="2">
        <v>0.0</v>
      </c>
      <c r="AL207" s="2">
        <v>1.0</v>
      </c>
      <c r="AP207" s="2">
        <v>4.90144601E8</v>
      </c>
      <c r="AQ207" s="1" t="s">
        <v>334</v>
      </c>
      <c r="AR207" s="2">
        <v>45808.67371527778</v>
      </c>
      <c r="AU207" s="1" t="s">
        <v>64</v>
      </c>
      <c r="AW207" s="1" t="s">
        <v>255</v>
      </c>
      <c r="AY207" s="2">
        <v>206.0</v>
      </c>
    </row>
    <row r="208">
      <c r="A208" s="1" t="s">
        <v>51</v>
      </c>
      <c r="C208" s="1" t="s">
        <v>53</v>
      </c>
      <c r="E208" s="1" t="s">
        <v>53</v>
      </c>
      <c r="G208" s="2">
        <v>40.0</v>
      </c>
      <c r="H208" s="1" t="s">
        <v>55</v>
      </c>
      <c r="I208" s="1" t="s">
        <v>121</v>
      </c>
      <c r="J208" s="1" t="s">
        <v>86</v>
      </c>
      <c r="K208" s="1" t="s">
        <v>87</v>
      </c>
      <c r="M208" s="1" t="s">
        <v>58</v>
      </c>
      <c r="N208" s="1" t="s">
        <v>58</v>
      </c>
      <c r="O208" s="1" t="s">
        <v>69</v>
      </c>
      <c r="Q208" s="1" t="s">
        <v>69</v>
      </c>
      <c r="R208" s="1" t="s">
        <v>58</v>
      </c>
      <c r="S208" s="1" t="s">
        <v>69</v>
      </c>
      <c r="T208" s="1" t="s">
        <v>69</v>
      </c>
      <c r="U208" s="1" t="s">
        <v>58</v>
      </c>
      <c r="V208" s="1" t="s">
        <v>70</v>
      </c>
      <c r="W208" s="1" t="s">
        <v>69</v>
      </c>
      <c r="X208" s="1" t="s">
        <v>81</v>
      </c>
      <c r="Y208" s="1" t="s">
        <v>95</v>
      </c>
      <c r="Z208" s="1" t="s">
        <v>89</v>
      </c>
      <c r="AA208" s="2">
        <v>10.0</v>
      </c>
      <c r="AB208" s="1" t="s">
        <v>28</v>
      </c>
      <c r="AC208" s="1" t="s">
        <v>71</v>
      </c>
      <c r="AF208" s="1" t="s">
        <v>72</v>
      </c>
      <c r="AG208" s="1" t="s">
        <v>72</v>
      </c>
      <c r="AI208" s="2">
        <v>0.0</v>
      </c>
      <c r="AJ208" s="2">
        <v>0.0</v>
      </c>
      <c r="AK208" s="2">
        <v>0.0</v>
      </c>
      <c r="AL208" s="2">
        <v>1.0</v>
      </c>
      <c r="AM208" s="1" t="s">
        <v>72</v>
      </c>
      <c r="AP208" s="2">
        <v>4.90148133E8</v>
      </c>
      <c r="AQ208" s="1" t="s">
        <v>335</v>
      </c>
      <c r="AR208" s="2">
        <v>45808.67863425926</v>
      </c>
      <c r="AU208" s="1" t="s">
        <v>64</v>
      </c>
      <c r="AW208" s="1" t="s">
        <v>255</v>
      </c>
      <c r="AY208" s="2">
        <v>207.0</v>
      </c>
    </row>
    <row r="209">
      <c r="A209" s="1" t="s">
        <v>51</v>
      </c>
      <c r="C209" s="1" t="s">
        <v>52</v>
      </c>
      <c r="E209" s="1" t="s">
        <v>53</v>
      </c>
      <c r="F209" s="1" t="s">
        <v>149</v>
      </c>
      <c r="G209" s="2">
        <v>47.0</v>
      </c>
      <c r="H209" s="1" t="s">
        <v>66</v>
      </c>
      <c r="I209" s="1" t="s">
        <v>67</v>
      </c>
      <c r="J209" s="1" t="s">
        <v>56</v>
      </c>
      <c r="K209" s="1" t="s">
        <v>87</v>
      </c>
      <c r="M209" s="1" t="s">
        <v>58</v>
      </c>
      <c r="N209" s="1" t="s">
        <v>58</v>
      </c>
      <c r="O209" s="1" t="s">
        <v>69</v>
      </c>
      <c r="Q209" s="1" t="s">
        <v>58</v>
      </c>
      <c r="R209" s="1" t="s">
        <v>58</v>
      </c>
      <c r="S209" s="1" t="s">
        <v>58</v>
      </c>
      <c r="T209" s="1" t="s">
        <v>69</v>
      </c>
      <c r="U209" s="1" t="s">
        <v>70</v>
      </c>
      <c r="V209" s="1" t="s">
        <v>69</v>
      </c>
      <c r="W209" s="1" t="s">
        <v>69</v>
      </c>
      <c r="X209" s="1" t="s">
        <v>81</v>
      </c>
      <c r="Y209" s="1" t="s">
        <v>60</v>
      </c>
      <c r="Z209" s="1" t="s">
        <v>127</v>
      </c>
      <c r="AA209" s="2">
        <v>100.0</v>
      </c>
      <c r="AB209" s="1" t="s">
        <v>79</v>
      </c>
      <c r="AC209" s="1" t="s">
        <v>71</v>
      </c>
      <c r="AF209" s="1" t="s">
        <v>51</v>
      </c>
      <c r="AG209" s="1" t="s">
        <v>72</v>
      </c>
      <c r="AI209" s="2">
        <v>0.0</v>
      </c>
      <c r="AJ209" s="2">
        <v>0.0</v>
      </c>
      <c r="AK209" s="2">
        <v>0.0</v>
      </c>
      <c r="AL209" s="2">
        <v>1.0</v>
      </c>
      <c r="AM209" s="1" t="s">
        <v>72</v>
      </c>
      <c r="AP209" s="2">
        <v>4.90165111E8</v>
      </c>
      <c r="AQ209" s="1" t="s">
        <v>336</v>
      </c>
      <c r="AR209" s="2">
        <v>45808.69988425926</v>
      </c>
      <c r="AU209" s="1" t="s">
        <v>64</v>
      </c>
      <c r="AW209" s="1" t="s">
        <v>255</v>
      </c>
      <c r="AY209" s="2">
        <v>208.0</v>
      </c>
    </row>
    <row r="210">
      <c r="A210" s="1" t="s">
        <v>51</v>
      </c>
      <c r="C210" s="1" t="s">
        <v>131</v>
      </c>
      <c r="E210" s="1" t="s">
        <v>53</v>
      </c>
      <c r="F210" s="1" t="s">
        <v>291</v>
      </c>
      <c r="G210" s="2">
        <v>25.0</v>
      </c>
      <c r="H210" s="1" t="s">
        <v>55</v>
      </c>
      <c r="I210" s="1" t="s">
        <v>100</v>
      </c>
      <c r="J210" s="1" t="s">
        <v>86</v>
      </c>
      <c r="K210" s="1" t="s">
        <v>57</v>
      </c>
      <c r="M210" s="1" t="s">
        <v>58</v>
      </c>
      <c r="N210" s="1" t="s">
        <v>58</v>
      </c>
      <c r="O210" s="1" t="s">
        <v>58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  <c r="W210" s="1" t="s">
        <v>58</v>
      </c>
      <c r="X210" s="1" t="s">
        <v>59</v>
      </c>
      <c r="Y210" s="1" t="s">
        <v>82</v>
      </c>
      <c r="Z210" s="1" t="s">
        <v>89</v>
      </c>
      <c r="AA210" s="2">
        <v>20.0</v>
      </c>
      <c r="AB210" s="1" t="s">
        <v>62</v>
      </c>
      <c r="AC210" s="1" t="s">
        <v>51</v>
      </c>
      <c r="AD210" s="1" t="s">
        <v>81</v>
      </c>
      <c r="AE210" s="1" t="s">
        <v>51</v>
      </c>
      <c r="AF210" s="1" t="s">
        <v>51</v>
      </c>
      <c r="AG210" s="1" t="s">
        <v>51</v>
      </c>
      <c r="AH210" s="2">
        <v>3.0</v>
      </c>
      <c r="AI210" s="2">
        <v>1.0</v>
      </c>
      <c r="AJ210" s="2">
        <v>1.0</v>
      </c>
      <c r="AK210" s="2">
        <v>0.0</v>
      </c>
      <c r="AL210" s="2">
        <v>0.0</v>
      </c>
      <c r="AM210" s="1" t="s">
        <v>51</v>
      </c>
      <c r="AN210" s="2">
        <v>8.24731825E8</v>
      </c>
      <c r="AP210" s="2">
        <v>4.90188824E8</v>
      </c>
      <c r="AQ210" s="1" t="s">
        <v>337</v>
      </c>
      <c r="AR210" s="2">
        <v>45808.72751157408</v>
      </c>
      <c r="AU210" s="1" t="s">
        <v>64</v>
      </c>
      <c r="AW210" s="1" t="s">
        <v>255</v>
      </c>
      <c r="AY210" s="2">
        <v>209.0</v>
      </c>
    </row>
    <row r="211">
      <c r="A211" s="1" t="s">
        <v>51</v>
      </c>
      <c r="C211" s="1" t="s">
        <v>131</v>
      </c>
      <c r="E211" s="1" t="s">
        <v>53</v>
      </c>
      <c r="F211" s="1" t="s">
        <v>85</v>
      </c>
      <c r="G211" s="2">
        <v>20.0</v>
      </c>
      <c r="H211" s="1" t="s">
        <v>55</v>
      </c>
      <c r="I211" s="1" t="s">
        <v>67</v>
      </c>
      <c r="J211" s="1" t="s">
        <v>68</v>
      </c>
      <c r="K211" s="1" t="s">
        <v>57</v>
      </c>
      <c r="M211" s="1" t="s">
        <v>58</v>
      </c>
      <c r="N211" s="1" t="s">
        <v>58</v>
      </c>
      <c r="O211" s="1" t="s">
        <v>58</v>
      </c>
      <c r="Q211" s="1" t="s">
        <v>58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  <c r="W211" s="1" t="s">
        <v>58</v>
      </c>
      <c r="X211" s="1" t="s">
        <v>59</v>
      </c>
      <c r="Y211" s="1" t="s">
        <v>82</v>
      </c>
      <c r="Z211" s="1" t="s">
        <v>89</v>
      </c>
      <c r="AA211" s="2">
        <v>40.0</v>
      </c>
      <c r="AB211" s="1" t="s">
        <v>79</v>
      </c>
      <c r="AC211" s="1" t="s">
        <v>51</v>
      </c>
      <c r="AD211" s="1" t="s">
        <v>59</v>
      </c>
      <c r="AE211" s="1" t="s">
        <v>51</v>
      </c>
      <c r="AF211" s="1" t="s">
        <v>51</v>
      </c>
      <c r="AG211" s="1" t="s">
        <v>51</v>
      </c>
      <c r="AH211" s="2">
        <v>2.0</v>
      </c>
      <c r="AI211" s="2">
        <v>1.0</v>
      </c>
      <c r="AJ211" s="2">
        <v>0.0</v>
      </c>
      <c r="AK211" s="2">
        <v>0.0</v>
      </c>
      <c r="AL211" s="2">
        <v>0.0</v>
      </c>
      <c r="AM211" s="1" t="s">
        <v>51</v>
      </c>
      <c r="AN211" s="2">
        <v>7.82201442E8</v>
      </c>
      <c r="AP211" s="2">
        <v>4.90190123E8</v>
      </c>
      <c r="AQ211" s="1" t="s">
        <v>338</v>
      </c>
      <c r="AR211" s="2">
        <v>45808.729097222225</v>
      </c>
      <c r="AU211" s="1" t="s">
        <v>64</v>
      </c>
      <c r="AW211" s="1" t="s">
        <v>255</v>
      </c>
      <c r="AY211" s="2">
        <v>210.0</v>
      </c>
    </row>
    <row r="212">
      <c r="A212" s="1" t="s">
        <v>51</v>
      </c>
      <c r="C212" s="1" t="s">
        <v>131</v>
      </c>
      <c r="E212" s="1" t="s">
        <v>53</v>
      </c>
      <c r="F212" s="1" t="s">
        <v>85</v>
      </c>
      <c r="G212" s="2">
        <v>24.0</v>
      </c>
      <c r="H212" s="1" t="s">
        <v>66</v>
      </c>
      <c r="I212" s="1" t="s">
        <v>67</v>
      </c>
      <c r="J212" s="1" t="s">
        <v>68</v>
      </c>
      <c r="K212" s="1" t="s">
        <v>74</v>
      </c>
      <c r="M212" s="1" t="s">
        <v>58</v>
      </c>
      <c r="N212" s="1" t="s">
        <v>58</v>
      </c>
      <c r="O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59</v>
      </c>
      <c r="Y212" s="1" t="s">
        <v>82</v>
      </c>
      <c r="Z212" s="1" t="s">
        <v>89</v>
      </c>
      <c r="AA212" s="2">
        <v>50.0</v>
      </c>
      <c r="AB212" s="1" t="s">
        <v>79</v>
      </c>
      <c r="AC212" s="1" t="s">
        <v>51</v>
      </c>
      <c r="AD212" s="1" t="s">
        <v>59</v>
      </c>
      <c r="AE212" s="1" t="s">
        <v>51</v>
      </c>
      <c r="AF212" s="1" t="s">
        <v>51</v>
      </c>
      <c r="AG212" s="1" t="s">
        <v>51</v>
      </c>
      <c r="AH212" s="2">
        <v>6.0</v>
      </c>
      <c r="AI212" s="2">
        <v>0.0</v>
      </c>
      <c r="AJ212" s="2">
        <v>1.0</v>
      </c>
      <c r="AK212" s="2">
        <v>0.0</v>
      </c>
      <c r="AL212" s="2">
        <v>0.0</v>
      </c>
      <c r="AM212" s="1" t="s">
        <v>51</v>
      </c>
      <c r="AN212" s="2">
        <v>8.351742E8</v>
      </c>
      <c r="AP212" s="2">
        <v>4.90191795E8</v>
      </c>
      <c r="AQ212" s="1" t="s">
        <v>339</v>
      </c>
      <c r="AR212" s="2">
        <v>45808.73111111111</v>
      </c>
      <c r="AU212" s="1" t="s">
        <v>64</v>
      </c>
      <c r="AW212" s="1" t="s">
        <v>255</v>
      </c>
      <c r="AY212" s="2">
        <v>211.0</v>
      </c>
    </row>
    <row r="213">
      <c r="A213" s="1" t="s">
        <v>51</v>
      </c>
      <c r="C213" s="1" t="s">
        <v>131</v>
      </c>
      <c r="E213" s="1" t="s">
        <v>53</v>
      </c>
      <c r="F213" s="1" t="s">
        <v>291</v>
      </c>
      <c r="G213" s="2">
        <v>19.0</v>
      </c>
      <c r="H213" s="1" t="s">
        <v>66</v>
      </c>
      <c r="I213" s="1" t="s">
        <v>76</v>
      </c>
      <c r="J213" s="1" t="s">
        <v>111</v>
      </c>
      <c r="K213" s="1" t="s">
        <v>74</v>
      </c>
      <c r="M213" s="1" t="s">
        <v>58</v>
      </c>
      <c r="N213" s="1" t="s">
        <v>58</v>
      </c>
      <c r="O213" s="1" t="s">
        <v>58</v>
      </c>
      <c r="Q213" s="1" t="s">
        <v>58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  <c r="W213" s="1" t="s">
        <v>58</v>
      </c>
      <c r="X213" s="1" t="s">
        <v>59</v>
      </c>
      <c r="Y213" s="1" t="s">
        <v>60</v>
      </c>
      <c r="Z213" s="1" t="s">
        <v>89</v>
      </c>
      <c r="AA213" s="2">
        <v>50.0</v>
      </c>
      <c r="AB213" s="1" t="s">
        <v>62</v>
      </c>
      <c r="AC213" s="1" t="s">
        <v>51</v>
      </c>
      <c r="AD213" s="1" t="s">
        <v>59</v>
      </c>
      <c r="AE213" s="1" t="s">
        <v>51</v>
      </c>
      <c r="AF213" s="1" t="s">
        <v>51</v>
      </c>
      <c r="AG213" s="1" t="s">
        <v>51</v>
      </c>
      <c r="AH213" s="2">
        <v>2.0</v>
      </c>
      <c r="AI213" s="2">
        <v>1.0</v>
      </c>
      <c r="AJ213" s="2">
        <v>0.0</v>
      </c>
      <c r="AK213" s="2">
        <v>0.0</v>
      </c>
      <c r="AL213" s="2">
        <v>0.0</v>
      </c>
      <c r="AM213" s="1" t="s">
        <v>51</v>
      </c>
      <c r="AN213" s="2">
        <v>7.16325173E8</v>
      </c>
      <c r="AP213" s="2">
        <v>4.90193602E8</v>
      </c>
      <c r="AQ213" s="1" t="s">
        <v>340</v>
      </c>
      <c r="AR213" s="2">
        <v>45808.73310185185</v>
      </c>
      <c r="AU213" s="1" t="s">
        <v>64</v>
      </c>
      <c r="AW213" s="1" t="s">
        <v>255</v>
      </c>
      <c r="AY213" s="2">
        <v>212.0</v>
      </c>
    </row>
    <row r="214">
      <c r="A214" s="1" t="s">
        <v>51</v>
      </c>
      <c r="C214" s="1" t="s">
        <v>131</v>
      </c>
      <c r="E214" s="1" t="s">
        <v>53</v>
      </c>
      <c r="F214" s="1" t="s">
        <v>291</v>
      </c>
      <c r="G214" s="2">
        <v>24.0</v>
      </c>
      <c r="H214" s="1" t="s">
        <v>55</v>
      </c>
      <c r="I214" s="1" t="s">
        <v>100</v>
      </c>
      <c r="J214" s="1" t="s">
        <v>111</v>
      </c>
      <c r="K214" s="1" t="s">
        <v>57</v>
      </c>
      <c r="M214" s="1" t="s">
        <v>58</v>
      </c>
      <c r="N214" s="1" t="s">
        <v>58</v>
      </c>
      <c r="O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59</v>
      </c>
      <c r="Y214" s="1" t="s">
        <v>60</v>
      </c>
      <c r="Z214" s="1" t="s">
        <v>127</v>
      </c>
      <c r="AA214" s="2">
        <v>20.0</v>
      </c>
      <c r="AB214" s="1" t="s">
        <v>79</v>
      </c>
      <c r="AC214" s="1" t="s">
        <v>51</v>
      </c>
      <c r="AD214" s="1" t="s">
        <v>59</v>
      </c>
      <c r="AE214" s="1" t="s">
        <v>51</v>
      </c>
      <c r="AF214" s="1" t="s">
        <v>51</v>
      </c>
      <c r="AG214" s="1" t="s">
        <v>51</v>
      </c>
      <c r="AH214" s="2">
        <v>3.0</v>
      </c>
      <c r="AI214" s="2">
        <v>1.0</v>
      </c>
      <c r="AJ214" s="2">
        <v>0.0</v>
      </c>
      <c r="AK214" s="2">
        <v>0.0</v>
      </c>
      <c r="AL214" s="2">
        <v>0.0</v>
      </c>
      <c r="AM214" s="1" t="s">
        <v>51</v>
      </c>
      <c r="AN214" s="2">
        <v>8.44112654E8</v>
      </c>
      <c r="AP214" s="2">
        <v>4.90194764E8</v>
      </c>
      <c r="AQ214" s="1" t="s">
        <v>341</v>
      </c>
      <c r="AR214" s="2">
        <v>45808.73469907408</v>
      </c>
      <c r="AU214" s="1" t="s">
        <v>64</v>
      </c>
      <c r="AW214" s="1" t="s">
        <v>255</v>
      </c>
      <c r="AY214" s="2">
        <v>213.0</v>
      </c>
    </row>
    <row r="215">
      <c r="A215" s="1" t="s">
        <v>51</v>
      </c>
      <c r="C215" s="1" t="s">
        <v>131</v>
      </c>
      <c r="E215" s="1" t="s">
        <v>53</v>
      </c>
      <c r="F215" s="1" t="s">
        <v>85</v>
      </c>
      <c r="G215" s="2">
        <v>22.0</v>
      </c>
      <c r="H215" s="1" t="s">
        <v>55</v>
      </c>
      <c r="I215" s="1" t="s">
        <v>67</v>
      </c>
      <c r="J215" s="1" t="s">
        <v>86</v>
      </c>
      <c r="K215" s="1" t="s">
        <v>74</v>
      </c>
      <c r="M215" s="1" t="s">
        <v>58</v>
      </c>
      <c r="N215" s="1" t="s">
        <v>58</v>
      </c>
      <c r="O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59</v>
      </c>
      <c r="Y215" s="1" t="s">
        <v>82</v>
      </c>
      <c r="Z215" s="1" t="s">
        <v>108</v>
      </c>
      <c r="AA215" s="2">
        <v>20.0</v>
      </c>
      <c r="AB215" s="1" t="s">
        <v>79</v>
      </c>
      <c r="AC215" s="1" t="s">
        <v>51</v>
      </c>
      <c r="AD215" s="1" t="s">
        <v>59</v>
      </c>
      <c r="AE215" s="1" t="s">
        <v>51</v>
      </c>
      <c r="AF215" s="1" t="s">
        <v>51</v>
      </c>
      <c r="AG215" s="1" t="s">
        <v>51</v>
      </c>
      <c r="AH215" s="2">
        <v>4.0</v>
      </c>
      <c r="AI215" s="2">
        <v>1.0</v>
      </c>
      <c r="AJ215" s="2">
        <v>0.0</v>
      </c>
      <c r="AK215" s="2">
        <v>0.0</v>
      </c>
      <c r="AL215" s="2">
        <v>0.0</v>
      </c>
      <c r="AM215" s="1" t="s">
        <v>51</v>
      </c>
      <c r="AN215" s="2">
        <v>8.3324428E7</v>
      </c>
      <c r="AP215" s="2">
        <v>4.90195712E8</v>
      </c>
      <c r="AQ215" s="1" t="s">
        <v>342</v>
      </c>
      <c r="AR215" s="2">
        <v>45808.73625</v>
      </c>
      <c r="AU215" s="1" t="s">
        <v>64</v>
      </c>
      <c r="AW215" s="1" t="s">
        <v>255</v>
      </c>
      <c r="AY215" s="2">
        <v>214.0</v>
      </c>
    </row>
    <row r="216">
      <c r="A216" s="1" t="s">
        <v>51</v>
      </c>
      <c r="C216" s="1" t="s">
        <v>131</v>
      </c>
      <c r="E216" s="1" t="s">
        <v>53</v>
      </c>
      <c r="F216" s="1" t="s">
        <v>85</v>
      </c>
      <c r="G216" s="2">
        <v>23.0</v>
      </c>
      <c r="H216" s="1" t="s">
        <v>55</v>
      </c>
      <c r="I216" s="1" t="s">
        <v>76</v>
      </c>
      <c r="J216" s="1" t="s">
        <v>111</v>
      </c>
      <c r="K216" s="1" t="s">
        <v>78</v>
      </c>
      <c r="M216" s="1" t="s">
        <v>58</v>
      </c>
      <c r="N216" s="1" t="s">
        <v>58</v>
      </c>
      <c r="O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58</v>
      </c>
      <c r="V216" s="1" t="s">
        <v>58</v>
      </c>
      <c r="W216" s="1" t="s">
        <v>58</v>
      </c>
      <c r="X216" s="1" t="s">
        <v>88</v>
      </c>
      <c r="Y216" s="1" t="s">
        <v>82</v>
      </c>
      <c r="Z216" s="1" t="s">
        <v>127</v>
      </c>
      <c r="AA216" s="2">
        <v>20.0</v>
      </c>
      <c r="AB216" s="1" t="s">
        <v>79</v>
      </c>
      <c r="AC216" s="1" t="s">
        <v>51</v>
      </c>
      <c r="AD216" s="1" t="s">
        <v>88</v>
      </c>
      <c r="AE216" s="1" t="s">
        <v>51</v>
      </c>
      <c r="AF216" s="1" t="s">
        <v>51</v>
      </c>
      <c r="AG216" s="1" t="s">
        <v>51</v>
      </c>
      <c r="AH216" s="2">
        <v>6.0</v>
      </c>
      <c r="AI216" s="2">
        <v>1.0</v>
      </c>
      <c r="AJ216" s="2">
        <v>0.0</v>
      </c>
      <c r="AK216" s="2">
        <v>0.0</v>
      </c>
      <c r="AL216" s="2">
        <v>0.0</v>
      </c>
      <c r="AM216" s="1" t="s">
        <v>51</v>
      </c>
      <c r="AN216" s="2">
        <v>6.39293953E8</v>
      </c>
      <c r="AP216" s="2">
        <v>4.90196718E8</v>
      </c>
      <c r="AQ216" s="1" t="s">
        <v>343</v>
      </c>
      <c r="AR216" s="2">
        <v>45808.73804398148</v>
      </c>
      <c r="AU216" s="1" t="s">
        <v>64</v>
      </c>
      <c r="AW216" s="1" t="s">
        <v>255</v>
      </c>
      <c r="AY216" s="2">
        <v>215.0</v>
      </c>
    </row>
    <row r="217">
      <c r="A217" s="1" t="s">
        <v>51</v>
      </c>
      <c r="C217" s="1" t="s">
        <v>52</v>
      </c>
      <c r="E217" s="1" t="s">
        <v>52</v>
      </c>
      <c r="G217" s="2">
        <v>44.0</v>
      </c>
      <c r="K217" s="1" t="s">
        <v>87</v>
      </c>
      <c r="N217" s="1" t="s">
        <v>58</v>
      </c>
      <c r="O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70</v>
      </c>
      <c r="V217" s="1" t="s">
        <v>58</v>
      </c>
      <c r="W217" s="1" t="s">
        <v>58</v>
      </c>
      <c r="X217" s="1" t="s">
        <v>81</v>
      </c>
      <c r="Y217" s="1" t="s">
        <v>60</v>
      </c>
      <c r="Z217" s="1" t="s">
        <v>89</v>
      </c>
      <c r="AA217" s="2">
        <v>100.0</v>
      </c>
      <c r="AB217" s="1" t="s">
        <v>62</v>
      </c>
      <c r="AC217" s="1" t="s">
        <v>71</v>
      </c>
      <c r="AF217" s="1" t="s">
        <v>51</v>
      </c>
      <c r="AG217" s="1" t="s">
        <v>72</v>
      </c>
      <c r="AI217" s="2">
        <v>1.0</v>
      </c>
      <c r="AJ217" s="2">
        <v>1.0</v>
      </c>
      <c r="AK217" s="2">
        <v>1.0</v>
      </c>
      <c r="AL217" s="2">
        <v>0.0</v>
      </c>
      <c r="AP217" s="2">
        <v>4.90197763E8</v>
      </c>
      <c r="AQ217" s="1" t="s">
        <v>344</v>
      </c>
      <c r="AR217" s="2">
        <v>45808.739583333336</v>
      </c>
      <c r="AU217" s="1" t="s">
        <v>64</v>
      </c>
      <c r="AW217" s="1" t="s">
        <v>255</v>
      </c>
      <c r="AY217" s="2">
        <v>216.0</v>
      </c>
    </row>
    <row r="218">
      <c r="A218" s="1" t="s">
        <v>51</v>
      </c>
      <c r="C218" s="1" t="s">
        <v>131</v>
      </c>
      <c r="E218" s="1" t="s">
        <v>53</v>
      </c>
      <c r="F218" s="1" t="s">
        <v>345</v>
      </c>
      <c r="G218" s="2">
        <v>25.0</v>
      </c>
      <c r="H218" s="1" t="s">
        <v>66</v>
      </c>
      <c r="I218" s="1" t="s">
        <v>100</v>
      </c>
      <c r="J218" s="1" t="s">
        <v>111</v>
      </c>
      <c r="K218" s="1" t="s">
        <v>78</v>
      </c>
      <c r="M218" s="1" t="s">
        <v>58</v>
      </c>
      <c r="N218" s="1" t="s">
        <v>58</v>
      </c>
      <c r="O218" s="1" t="s">
        <v>58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88</v>
      </c>
      <c r="Y218" s="1" t="s">
        <v>95</v>
      </c>
      <c r="Z218" s="1" t="s">
        <v>89</v>
      </c>
      <c r="AA218" s="2">
        <v>10.0</v>
      </c>
      <c r="AB218" s="1" t="s">
        <v>62</v>
      </c>
      <c r="AC218" s="1" t="s">
        <v>51</v>
      </c>
      <c r="AD218" s="1" t="s">
        <v>59</v>
      </c>
      <c r="AE218" s="1" t="s">
        <v>51</v>
      </c>
      <c r="AF218" s="1" t="s">
        <v>51</v>
      </c>
      <c r="AG218" s="1" t="s">
        <v>51</v>
      </c>
      <c r="AH218" s="2">
        <v>2.0</v>
      </c>
      <c r="AI218" s="2">
        <v>1.0</v>
      </c>
      <c r="AJ218" s="2">
        <v>0.0</v>
      </c>
      <c r="AK218" s="2">
        <v>0.0</v>
      </c>
      <c r="AL218" s="2">
        <v>0.0</v>
      </c>
      <c r="AM218" s="1" t="s">
        <v>51</v>
      </c>
      <c r="AN218" s="2">
        <v>7.35090851E8</v>
      </c>
      <c r="AP218" s="2">
        <v>4.90197869E8</v>
      </c>
      <c r="AQ218" s="1" t="s">
        <v>346</v>
      </c>
      <c r="AR218" s="2">
        <v>45808.73974537037</v>
      </c>
      <c r="AU218" s="1" t="s">
        <v>64</v>
      </c>
      <c r="AW218" s="1" t="s">
        <v>255</v>
      </c>
      <c r="AY218" s="2">
        <v>217.0</v>
      </c>
    </row>
    <row r="219">
      <c r="A219" s="1" t="s">
        <v>51</v>
      </c>
      <c r="C219" s="1" t="s">
        <v>347</v>
      </c>
      <c r="E219" s="1" t="s">
        <v>154</v>
      </c>
      <c r="G219" s="2">
        <v>38.0</v>
      </c>
      <c r="H219" s="1" t="s">
        <v>55</v>
      </c>
      <c r="J219" s="1" t="s">
        <v>86</v>
      </c>
      <c r="K219" s="1" t="s">
        <v>87</v>
      </c>
      <c r="M219" s="1" t="s">
        <v>58</v>
      </c>
      <c r="N219" s="1" t="s">
        <v>58</v>
      </c>
      <c r="O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59</v>
      </c>
      <c r="Y219" s="1" t="s">
        <v>227</v>
      </c>
      <c r="Z219" s="1" t="s">
        <v>89</v>
      </c>
      <c r="AA219" s="2">
        <v>100.0</v>
      </c>
      <c r="AB219" s="1" t="s">
        <v>62</v>
      </c>
      <c r="AC219" s="1" t="s">
        <v>51</v>
      </c>
      <c r="AD219" s="1" t="s">
        <v>81</v>
      </c>
      <c r="AE219" s="1" t="s">
        <v>51</v>
      </c>
      <c r="AF219" s="1" t="s">
        <v>51</v>
      </c>
      <c r="AG219" s="1" t="s">
        <v>51</v>
      </c>
      <c r="AH219" s="2">
        <v>100.0</v>
      </c>
      <c r="AI219" s="2">
        <v>0.0</v>
      </c>
      <c r="AJ219" s="2">
        <v>0.0</v>
      </c>
      <c r="AK219" s="2">
        <v>0.0</v>
      </c>
      <c r="AL219" s="2">
        <v>1.0</v>
      </c>
      <c r="AP219" s="2">
        <v>4.90198157E8</v>
      </c>
      <c r="AQ219" s="1" t="s">
        <v>348</v>
      </c>
      <c r="AR219" s="2">
        <v>45808.74019675926</v>
      </c>
      <c r="AU219" s="1" t="s">
        <v>64</v>
      </c>
      <c r="AW219" s="1" t="s">
        <v>255</v>
      </c>
      <c r="AY219" s="2">
        <v>218.0</v>
      </c>
    </row>
    <row r="220">
      <c r="A220" s="1" t="s">
        <v>51</v>
      </c>
      <c r="C220" s="1" t="s">
        <v>131</v>
      </c>
      <c r="E220" s="1" t="s">
        <v>53</v>
      </c>
      <c r="F220" s="1" t="s">
        <v>291</v>
      </c>
      <c r="G220" s="2">
        <v>27.0</v>
      </c>
      <c r="H220" s="1" t="s">
        <v>55</v>
      </c>
      <c r="I220" s="1" t="s">
        <v>67</v>
      </c>
      <c r="J220" s="1" t="s">
        <v>111</v>
      </c>
      <c r="K220" s="1" t="s">
        <v>78</v>
      </c>
      <c r="M220" s="1" t="s">
        <v>58</v>
      </c>
      <c r="N220" s="1" t="s">
        <v>58</v>
      </c>
      <c r="O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59</v>
      </c>
      <c r="Y220" s="1" t="s">
        <v>172</v>
      </c>
      <c r="Z220" s="1" t="s">
        <v>127</v>
      </c>
      <c r="AA220" s="2">
        <v>30.0</v>
      </c>
      <c r="AB220" s="1" t="s">
        <v>62</v>
      </c>
      <c r="AC220" s="1" t="s">
        <v>51</v>
      </c>
      <c r="AD220" s="1" t="s">
        <v>59</v>
      </c>
      <c r="AE220" s="1" t="s">
        <v>51</v>
      </c>
      <c r="AF220" s="1" t="s">
        <v>51</v>
      </c>
      <c r="AI220" s="2">
        <v>1.0</v>
      </c>
      <c r="AJ220" s="2">
        <v>0.0</v>
      </c>
      <c r="AK220" s="2">
        <v>0.0</v>
      </c>
      <c r="AL220" s="2">
        <v>0.0</v>
      </c>
      <c r="AM220" s="1" t="s">
        <v>51</v>
      </c>
      <c r="AN220" s="2">
        <v>6.9329315E8</v>
      </c>
      <c r="AP220" s="2">
        <v>4.90199022E8</v>
      </c>
      <c r="AQ220" s="1" t="s">
        <v>349</v>
      </c>
      <c r="AR220" s="2">
        <v>45808.741527777776</v>
      </c>
      <c r="AU220" s="1" t="s">
        <v>64</v>
      </c>
      <c r="AW220" s="1" t="s">
        <v>255</v>
      </c>
      <c r="AY220" s="2">
        <v>219.0</v>
      </c>
    </row>
    <row r="221">
      <c r="A221" s="1" t="s">
        <v>51</v>
      </c>
      <c r="C221" s="1" t="s">
        <v>131</v>
      </c>
      <c r="E221" s="1" t="s">
        <v>53</v>
      </c>
      <c r="F221" s="1" t="s">
        <v>350</v>
      </c>
      <c r="G221" s="2">
        <v>29.0</v>
      </c>
      <c r="H221" s="1" t="s">
        <v>66</v>
      </c>
      <c r="I221" s="1" t="s">
        <v>67</v>
      </c>
      <c r="J221" s="1" t="s">
        <v>111</v>
      </c>
      <c r="K221" s="1" t="s">
        <v>57</v>
      </c>
      <c r="M221" s="1" t="s">
        <v>58</v>
      </c>
      <c r="N221" s="1" t="s">
        <v>70</v>
      </c>
      <c r="O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88</v>
      </c>
      <c r="Y221" s="1" t="s">
        <v>82</v>
      </c>
      <c r="Z221" s="1" t="s">
        <v>89</v>
      </c>
      <c r="AA221" s="2">
        <v>10.0</v>
      </c>
      <c r="AB221" s="1" t="s">
        <v>79</v>
      </c>
      <c r="AC221" s="1" t="s">
        <v>51</v>
      </c>
      <c r="AD221" s="1" t="s">
        <v>88</v>
      </c>
      <c r="AF221" s="1" t="s">
        <v>51</v>
      </c>
      <c r="AG221" s="1" t="s">
        <v>51</v>
      </c>
      <c r="AI221" s="2">
        <v>1.0</v>
      </c>
      <c r="AJ221" s="2">
        <v>0.0</v>
      </c>
      <c r="AK221" s="2">
        <v>0.0</v>
      </c>
      <c r="AL221" s="2">
        <v>0.0</v>
      </c>
      <c r="AM221" s="1" t="s">
        <v>51</v>
      </c>
      <c r="AN221" s="2">
        <v>7.69616023E8</v>
      </c>
      <c r="AP221" s="2">
        <v>4.90201666E8</v>
      </c>
      <c r="AQ221" s="1" t="s">
        <v>351</v>
      </c>
      <c r="AR221" s="2">
        <v>45808.74564814815</v>
      </c>
      <c r="AU221" s="1" t="s">
        <v>64</v>
      </c>
      <c r="AW221" s="1" t="s">
        <v>255</v>
      </c>
      <c r="AY221" s="2">
        <v>220.0</v>
      </c>
    </row>
    <row r="222">
      <c r="A222" s="1" t="s">
        <v>51</v>
      </c>
      <c r="C222" s="1" t="s">
        <v>131</v>
      </c>
      <c r="E222" s="1" t="s">
        <v>53</v>
      </c>
      <c r="F222" s="1" t="s">
        <v>85</v>
      </c>
      <c r="G222" s="2">
        <v>21.0</v>
      </c>
      <c r="H222" s="1" t="s">
        <v>55</v>
      </c>
      <c r="I222" s="1" t="s">
        <v>100</v>
      </c>
      <c r="K222" s="1" t="s">
        <v>57</v>
      </c>
      <c r="M222" s="1" t="s">
        <v>70</v>
      </c>
      <c r="N222" s="1" t="s">
        <v>58</v>
      </c>
      <c r="O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70</v>
      </c>
      <c r="V222" s="1" t="s">
        <v>58</v>
      </c>
      <c r="X222" s="1" t="s">
        <v>88</v>
      </c>
      <c r="Y222" s="1" t="s">
        <v>82</v>
      </c>
      <c r="Z222" s="1" t="s">
        <v>89</v>
      </c>
      <c r="AA222" s="2">
        <v>20.0</v>
      </c>
      <c r="AB222" s="1" t="s">
        <v>62</v>
      </c>
      <c r="AC222" s="1" t="s">
        <v>51</v>
      </c>
      <c r="AD222" s="1" t="s">
        <v>59</v>
      </c>
      <c r="AE222" s="1" t="s">
        <v>51</v>
      </c>
      <c r="AF222" s="1" t="s">
        <v>51</v>
      </c>
      <c r="AG222" s="1" t="s">
        <v>51</v>
      </c>
      <c r="AH222" s="2">
        <v>4.0</v>
      </c>
      <c r="AI222" s="2">
        <v>1.0</v>
      </c>
      <c r="AJ222" s="2">
        <v>0.0</v>
      </c>
      <c r="AK222" s="2">
        <v>0.0</v>
      </c>
      <c r="AL222" s="2">
        <v>0.0</v>
      </c>
      <c r="AM222" s="1" t="s">
        <v>51</v>
      </c>
      <c r="AN222" s="2">
        <v>6.58208359E8</v>
      </c>
      <c r="AP222" s="2">
        <v>4.90202815E8</v>
      </c>
      <c r="AQ222" s="1" t="s">
        <v>352</v>
      </c>
      <c r="AR222" s="2">
        <v>45808.747453703705</v>
      </c>
      <c r="AU222" s="1" t="s">
        <v>64</v>
      </c>
      <c r="AW222" s="1" t="s">
        <v>255</v>
      </c>
      <c r="AY222" s="2">
        <v>221.0</v>
      </c>
    </row>
    <row r="223">
      <c r="A223" s="1" t="s">
        <v>51</v>
      </c>
      <c r="C223" s="1" t="s">
        <v>131</v>
      </c>
      <c r="E223" s="1" t="s">
        <v>53</v>
      </c>
      <c r="F223" s="1" t="s">
        <v>85</v>
      </c>
      <c r="G223" s="2">
        <v>26.0</v>
      </c>
      <c r="H223" s="1" t="s">
        <v>55</v>
      </c>
      <c r="I223" s="1" t="s">
        <v>100</v>
      </c>
      <c r="J223" s="1" t="s">
        <v>68</v>
      </c>
      <c r="K223" s="1" t="s">
        <v>57</v>
      </c>
      <c r="M223" s="1" t="s">
        <v>58</v>
      </c>
      <c r="N223" s="1" t="s">
        <v>58</v>
      </c>
      <c r="O223" s="1" t="s">
        <v>58</v>
      </c>
      <c r="Q223" s="1" t="s">
        <v>58</v>
      </c>
      <c r="R223" s="1" t="s">
        <v>58</v>
      </c>
      <c r="S223" s="1" t="s">
        <v>58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81</v>
      </c>
      <c r="Y223" s="1" t="s">
        <v>82</v>
      </c>
      <c r="Z223" s="1" t="s">
        <v>89</v>
      </c>
      <c r="AA223" s="2">
        <v>40.0</v>
      </c>
      <c r="AB223" s="1" t="s">
        <v>62</v>
      </c>
      <c r="AC223" s="1" t="s">
        <v>51</v>
      </c>
      <c r="AD223" s="1" t="s">
        <v>81</v>
      </c>
      <c r="AE223" s="1" t="s">
        <v>51</v>
      </c>
      <c r="AF223" s="1" t="s">
        <v>51</v>
      </c>
      <c r="AG223" s="1" t="s">
        <v>51</v>
      </c>
      <c r="AH223" s="2">
        <v>3.0</v>
      </c>
      <c r="AI223" s="2">
        <v>1.0</v>
      </c>
      <c r="AJ223" s="2">
        <v>0.0</v>
      </c>
      <c r="AK223" s="2">
        <v>0.0</v>
      </c>
      <c r="AL223" s="2">
        <v>0.0</v>
      </c>
      <c r="AM223" s="1" t="s">
        <v>51</v>
      </c>
      <c r="AN223" s="2">
        <v>7.33428072E8</v>
      </c>
      <c r="AP223" s="2">
        <v>4.9020474E8</v>
      </c>
      <c r="AQ223" s="1" t="s">
        <v>353</v>
      </c>
      <c r="AR223" s="2">
        <v>45808.75047453704</v>
      </c>
      <c r="AU223" s="1" t="s">
        <v>64</v>
      </c>
      <c r="AW223" s="1" t="s">
        <v>255</v>
      </c>
      <c r="AY223" s="2">
        <v>222.0</v>
      </c>
    </row>
    <row r="224">
      <c r="A224" s="1" t="s">
        <v>51</v>
      </c>
      <c r="C224" s="1" t="s">
        <v>131</v>
      </c>
      <c r="E224" s="1" t="s">
        <v>53</v>
      </c>
      <c r="F224" s="1" t="s">
        <v>85</v>
      </c>
      <c r="G224" s="2">
        <v>25.0</v>
      </c>
      <c r="H224" s="1" t="s">
        <v>55</v>
      </c>
      <c r="I224" s="1" t="s">
        <v>67</v>
      </c>
      <c r="J224" s="1" t="s">
        <v>111</v>
      </c>
      <c r="K224" s="1" t="s">
        <v>57</v>
      </c>
      <c r="M224" s="1" t="s">
        <v>58</v>
      </c>
      <c r="N224" s="1" t="s">
        <v>58</v>
      </c>
      <c r="O224" s="1" t="s">
        <v>58</v>
      </c>
      <c r="Q224" s="1" t="s">
        <v>58</v>
      </c>
      <c r="R224" s="1" t="s">
        <v>70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88</v>
      </c>
      <c r="Y224" s="1" t="s">
        <v>82</v>
      </c>
      <c r="Z224" s="1" t="s">
        <v>89</v>
      </c>
      <c r="AA224" s="2">
        <v>20.0</v>
      </c>
      <c r="AB224" s="1" t="s">
        <v>79</v>
      </c>
      <c r="AC224" s="1" t="s">
        <v>51</v>
      </c>
      <c r="AD224" s="1" t="s">
        <v>59</v>
      </c>
      <c r="AE224" s="1" t="s">
        <v>51</v>
      </c>
      <c r="AF224" s="1" t="s">
        <v>51</v>
      </c>
      <c r="AG224" s="1" t="s">
        <v>51</v>
      </c>
      <c r="AH224" s="2">
        <v>20.0</v>
      </c>
      <c r="AI224" s="2">
        <v>1.0</v>
      </c>
      <c r="AJ224" s="2">
        <v>0.0</v>
      </c>
      <c r="AK224" s="2">
        <v>0.0</v>
      </c>
      <c r="AL224" s="2">
        <v>0.0</v>
      </c>
      <c r="AM224" s="1" t="s">
        <v>51</v>
      </c>
      <c r="AN224" s="2">
        <v>7.10434171E8</v>
      </c>
      <c r="AP224" s="2">
        <v>4.90206995E8</v>
      </c>
      <c r="AQ224" s="1" t="s">
        <v>354</v>
      </c>
      <c r="AR224" s="2">
        <v>45808.75423611111</v>
      </c>
      <c r="AU224" s="1" t="s">
        <v>64</v>
      </c>
      <c r="AW224" s="1" t="s">
        <v>255</v>
      </c>
      <c r="AY224" s="2">
        <v>223.0</v>
      </c>
    </row>
    <row r="225">
      <c r="A225" s="1" t="s">
        <v>51</v>
      </c>
      <c r="C225" s="1" t="s">
        <v>131</v>
      </c>
      <c r="E225" s="1" t="s">
        <v>53</v>
      </c>
      <c r="F225" s="1" t="s">
        <v>85</v>
      </c>
      <c r="G225" s="2">
        <v>21.0</v>
      </c>
      <c r="H225" s="1" t="s">
        <v>66</v>
      </c>
      <c r="I225" s="1" t="s">
        <v>100</v>
      </c>
      <c r="J225" s="1" t="s">
        <v>111</v>
      </c>
      <c r="K225" s="1" t="s">
        <v>57</v>
      </c>
      <c r="M225" s="1" t="s">
        <v>58</v>
      </c>
      <c r="N225" s="1" t="s">
        <v>58</v>
      </c>
      <c r="O225" s="1" t="s">
        <v>58</v>
      </c>
      <c r="Q225" s="1" t="s">
        <v>58</v>
      </c>
      <c r="R225" s="1" t="s">
        <v>58</v>
      </c>
      <c r="S225" s="1" t="s">
        <v>58</v>
      </c>
      <c r="T225" s="1" t="s">
        <v>58</v>
      </c>
      <c r="U225" s="1" t="s">
        <v>58</v>
      </c>
      <c r="V225" s="1" t="s">
        <v>58</v>
      </c>
      <c r="W225" s="1" t="s">
        <v>58</v>
      </c>
      <c r="X225" s="1" t="s">
        <v>59</v>
      </c>
      <c r="Y225" s="1" t="s">
        <v>60</v>
      </c>
      <c r="AA225" s="2">
        <v>20.0</v>
      </c>
      <c r="AB225" s="1" t="s">
        <v>62</v>
      </c>
      <c r="AC225" s="1" t="s">
        <v>51</v>
      </c>
      <c r="AD225" s="1" t="s">
        <v>88</v>
      </c>
      <c r="AE225" s="1" t="s">
        <v>51</v>
      </c>
      <c r="AF225" s="1" t="s">
        <v>51</v>
      </c>
      <c r="AG225" s="1" t="s">
        <v>51</v>
      </c>
      <c r="AH225" s="2">
        <v>20.0</v>
      </c>
      <c r="AI225" s="2">
        <v>1.0</v>
      </c>
      <c r="AJ225" s="2">
        <v>0.0</v>
      </c>
      <c r="AK225" s="2">
        <v>0.0</v>
      </c>
      <c r="AL225" s="2">
        <v>0.0</v>
      </c>
      <c r="AM225" s="1" t="s">
        <v>51</v>
      </c>
      <c r="AN225" s="2">
        <v>6.311026E8</v>
      </c>
      <c r="AP225" s="2">
        <v>4.90208705E8</v>
      </c>
      <c r="AQ225" s="1" t="s">
        <v>355</v>
      </c>
      <c r="AR225" s="2">
        <v>45808.75724537037</v>
      </c>
      <c r="AU225" s="1" t="s">
        <v>64</v>
      </c>
      <c r="AW225" s="1" t="s">
        <v>255</v>
      </c>
      <c r="AY225" s="2">
        <v>224.0</v>
      </c>
    </row>
    <row r="226">
      <c r="AP226" s="2">
        <v>4.90208874E8</v>
      </c>
      <c r="AQ226" s="1" t="s">
        <v>536</v>
      </c>
      <c r="AR226" s="2">
        <v>45808.75746527778</v>
      </c>
      <c r="AU226" s="1" t="s">
        <v>64</v>
      </c>
      <c r="AW226" s="1" t="s">
        <v>255</v>
      </c>
      <c r="AY226" s="2">
        <v>225.0</v>
      </c>
    </row>
    <row r="227">
      <c r="A227" s="1" t="s">
        <v>51</v>
      </c>
      <c r="C227" s="1" t="s">
        <v>52</v>
      </c>
      <c r="E227" s="1" t="s">
        <v>52</v>
      </c>
      <c r="G227" s="2">
        <v>29.0</v>
      </c>
      <c r="H227" s="1" t="s">
        <v>66</v>
      </c>
      <c r="J227" s="1" t="s">
        <v>56</v>
      </c>
      <c r="K227" s="1" t="s">
        <v>87</v>
      </c>
      <c r="M227" s="1" t="s">
        <v>58</v>
      </c>
      <c r="N227" s="1" t="s">
        <v>58</v>
      </c>
      <c r="O227" s="1" t="s">
        <v>58</v>
      </c>
      <c r="Q227" s="1" t="s">
        <v>58</v>
      </c>
      <c r="R227" s="1" t="s">
        <v>58</v>
      </c>
      <c r="S227" s="1" t="s">
        <v>69</v>
      </c>
      <c r="T227" s="1" t="s">
        <v>69</v>
      </c>
      <c r="U227" s="1" t="s">
        <v>58</v>
      </c>
      <c r="V227" s="1" t="s">
        <v>69</v>
      </c>
      <c r="W227" s="1" t="s">
        <v>69</v>
      </c>
      <c r="X227" s="1" t="s">
        <v>88</v>
      </c>
      <c r="Y227" s="1" t="s">
        <v>95</v>
      </c>
      <c r="Z227" s="1" t="s">
        <v>89</v>
      </c>
      <c r="AA227" s="2">
        <v>30.0</v>
      </c>
      <c r="AB227" s="1" t="s">
        <v>62</v>
      </c>
      <c r="AC227" s="1" t="s">
        <v>51</v>
      </c>
      <c r="AD227" s="1" t="s">
        <v>81</v>
      </c>
      <c r="AE227" s="1" t="s">
        <v>72</v>
      </c>
      <c r="AF227" s="1" t="s">
        <v>51</v>
      </c>
      <c r="AG227" s="1" t="s">
        <v>51</v>
      </c>
      <c r="AH227" s="2">
        <v>5000.0</v>
      </c>
      <c r="AI227" s="2">
        <v>0.0</v>
      </c>
      <c r="AJ227" s="2">
        <v>0.0</v>
      </c>
      <c r="AK227" s="2">
        <v>1.0</v>
      </c>
      <c r="AL227" s="2">
        <v>0.0</v>
      </c>
      <c r="AP227" s="2">
        <v>4.9022804E8</v>
      </c>
      <c r="AQ227" s="1" t="s">
        <v>356</v>
      </c>
      <c r="AR227" s="2">
        <v>45808.79471064815</v>
      </c>
      <c r="AU227" s="1" t="s">
        <v>64</v>
      </c>
      <c r="AW227" s="1" t="s">
        <v>255</v>
      </c>
      <c r="AY227" s="2">
        <v>226.0</v>
      </c>
    </row>
    <row r="228">
      <c r="A228" s="1" t="s">
        <v>51</v>
      </c>
      <c r="C228" s="1" t="s">
        <v>53</v>
      </c>
      <c r="E228" s="1" t="s">
        <v>53</v>
      </c>
      <c r="F228" s="1" t="s">
        <v>54</v>
      </c>
      <c r="G228" s="2">
        <v>29.0</v>
      </c>
      <c r="H228" s="1" t="s">
        <v>55</v>
      </c>
      <c r="I228" s="1" t="s">
        <v>121</v>
      </c>
      <c r="J228" s="1" t="s">
        <v>86</v>
      </c>
      <c r="K228" s="1" t="s">
        <v>87</v>
      </c>
      <c r="M228" s="1" t="s">
        <v>58</v>
      </c>
      <c r="N228" s="1" t="s">
        <v>58</v>
      </c>
      <c r="O228" s="1" t="s">
        <v>58</v>
      </c>
      <c r="Q228" s="1" t="s">
        <v>58</v>
      </c>
      <c r="R228" s="1" t="s">
        <v>58</v>
      </c>
      <c r="S228" s="1" t="s">
        <v>69</v>
      </c>
      <c r="T228" s="1" t="s">
        <v>58</v>
      </c>
      <c r="U228" s="1" t="s">
        <v>58</v>
      </c>
      <c r="V228" s="1" t="s">
        <v>58</v>
      </c>
      <c r="W228" s="1" t="s">
        <v>69</v>
      </c>
      <c r="X228" s="1" t="s">
        <v>81</v>
      </c>
      <c r="Y228" s="1" t="s">
        <v>227</v>
      </c>
      <c r="Z228" s="1" t="s">
        <v>89</v>
      </c>
      <c r="AA228" s="2">
        <v>100.0</v>
      </c>
      <c r="AB228" s="1" t="s">
        <v>79</v>
      </c>
      <c r="AC228" s="1" t="s">
        <v>71</v>
      </c>
      <c r="AF228" s="1" t="s">
        <v>51</v>
      </c>
      <c r="AG228" s="1" t="s">
        <v>51</v>
      </c>
      <c r="AH228" s="2">
        <v>2000.0</v>
      </c>
      <c r="AI228" s="2">
        <v>1.0</v>
      </c>
      <c r="AJ228" s="2">
        <v>1.0</v>
      </c>
      <c r="AK228" s="2">
        <v>1.0</v>
      </c>
      <c r="AL228" s="2">
        <v>1.0</v>
      </c>
      <c r="AM228" s="1" t="s">
        <v>51</v>
      </c>
      <c r="AN228" s="2">
        <v>7.11949267E8</v>
      </c>
      <c r="AP228" s="2">
        <v>4.90254059E8</v>
      </c>
      <c r="AQ228" s="1" t="s">
        <v>357</v>
      </c>
      <c r="AR228" s="2">
        <v>45808.8659375</v>
      </c>
      <c r="AU228" s="1" t="s">
        <v>64</v>
      </c>
      <c r="AW228" s="1" t="s">
        <v>255</v>
      </c>
      <c r="AY228" s="2">
        <v>227.0</v>
      </c>
    </row>
    <row r="229">
      <c r="A229" s="1" t="s">
        <v>51</v>
      </c>
      <c r="C229" s="1" t="s">
        <v>52</v>
      </c>
      <c r="E229" s="1" t="s">
        <v>53</v>
      </c>
      <c r="F229" s="1" t="s">
        <v>54</v>
      </c>
      <c r="G229" s="2">
        <v>48.0</v>
      </c>
      <c r="H229" s="1" t="s">
        <v>66</v>
      </c>
      <c r="I229" s="1" t="s">
        <v>67</v>
      </c>
      <c r="J229" s="1" t="s">
        <v>86</v>
      </c>
      <c r="K229" s="1" t="s">
        <v>87</v>
      </c>
      <c r="M229" s="1" t="s">
        <v>58</v>
      </c>
      <c r="N229" s="1" t="s">
        <v>58</v>
      </c>
      <c r="O229" s="1" t="s">
        <v>58</v>
      </c>
      <c r="Q229" s="1" t="s">
        <v>69</v>
      </c>
      <c r="R229" s="1" t="s">
        <v>58</v>
      </c>
      <c r="S229" s="1" t="s">
        <v>69</v>
      </c>
      <c r="T229" s="1" t="s">
        <v>58</v>
      </c>
      <c r="U229" s="1" t="s">
        <v>69</v>
      </c>
      <c r="V229" s="1" t="s">
        <v>58</v>
      </c>
      <c r="W229" s="1" t="s">
        <v>69</v>
      </c>
      <c r="X229" s="1" t="s">
        <v>88</v>
      </c>
      <c r="Y229" s="1" t="s">
        <v>95</v>
      </c>
      <c r="AC229" s="1" t="s">
        <v>71</v>
      </c>
      <c r="AF229" s="1" t="s">
        <v>51</v>
      </c>
      <c r="AI229" s="2">
        <v>0.0</v>
      </c>
      <c r="AJ229" s="2">
        <v>0.0</v>
      </c>
      <c r="AK229" s="2">
        <v>0.0</v>
      </c>
      <c r="AL229" s="2">
        <v>1.0</v>
      </c>
      <c r="AM229" s="1" t="s">
        <v>51</v>
      </c>
      <c r="AN229" s="2">
        <v>7.35260674E8</v>
      </c>
      <c r="AP229" s="2">
        <v>4.90347458E8</v>
      </c>
      <c r="AQ229" s="1" t="s">
        <v>358</v>
      </c>
      <c r="AR229" s="2">
        <v>45809.29672453704</v>
      </c>
      <c r="AU229" s="1" t="s">
        <v>64</v>
      </c>
      <c r="AW229" s="1" t="s">
        <v>255</v>
      </c>
      <c r="AY229" s="2">
        <v>228.0</v>
      </c>
    </row>
    <row r="230">
      <c r="A230" s="1" t="s">
        <v>51</v>
      </c>
      <c r="C230" s="1" t="s">
        <v>52</v>
      </c>
      <c r="E230" s="1" t="s">
        <v>53</v>
      </c>
      <c r="F230" s="1" t="s">
        <v>94</v>
      </c>
      <c r="G230" s="2">
        <v>32.0</v>
      </c>
      <c r="H230" s="1" t="s">
        <v>55</v>
      </c>
      <c r="I230" s="1" t="s">
        <v>67</v>
      </c>
      <c r="J230" s="1" t="s">
        <v>111</v>
      </c>
      <c r="K230" s="1" t="s">
        <v>87</v>
      </c>
      <c r="M230" s="1" t="s">
        <v>58</v>
      </c>
      <c r="N230" s="1" t="s">
        <v>58</v>
      </c>
      <c r="O230" s="1" t="s">
        <v>58</v>
      </c>
      <c r="Q230" s="1" t="s">
        <v>58</v>
      </c>
      <c r="R230" s="1" t="s">
        <v>58</v>
      </c>
      <c r="S230" s="1" t="s">
        <v>58</v>
      </c>
      <c r="T230" s="1" t="s">
        <v>58</v>
      </c>
      <c r="U230" s="1" t="s">
        <v>58</v>
      </c>
      <c r="V230" s="1" t="s">
        <v>58</v>
      </c>
      <c r="W230" s="1" t="s">
        <v>58</v>
      </c>
      <c r="X230" s="1" t="s">
        <v>103</v>
      </c>
      <c r="Y230" s="1" t="s">
        <v>60</v>
      </c>
      <c r="Z230" s="1" t="s">
        <v>61</v>
      </c>
      <c r="AA230" s="2">
        <v>100.0</v>
      </c>
      <c r="AB230" s="1" t="s">
        <v>79</v>
      </c>
      <c r="AC230" s="1" t="s">
        <v>72</v>
      </c>
      <c r="AF230" s="1" t="s">
        <v>51</v>
      </c>
      <c r="AG230" s="1" t="s">
        <v>72</v>
      </c>
      <c r="AI230" s="2">
        <v>0.0</v>
      </c>
      <c r="AJ230" s="2">
        <v>0.0</v>
      </c>
      <c r="AK230" s="2">
        <v>0.0</v>
      </c>
      <c r="AL230" s="2">
        <v>1.0</v>
      </c>
      <c r="AM230" s="1" t="s">
        <v>51</v>
      </c>
      <c r="AN230" s="1" t="s">
        <v>359</v>
      </c>
      <c r="AP230" s="2">
        <v>4.90355534E8</v>
      </c>
      <c r="AQ230" s="1" t="s">
        <v>360</v>
      </c>
      <c r="AR230" s="2">
        <v>45809.317928240744</v>
      </c>
      <c r="AU230" s="1" t="s">
        <v>64</v>
      </c>
      <c r="AW230" s="1" t="s">
        <v>255</v>
      </c>
      <c r="AY230" s="2">
        <v>229.0</v>
      </c>
    </row>
    <row r="231">
      <c r="A231" s="1" t="s">
        <v>51</v>
      </c>
      <c r="C231" s="1" t="s">
        <v>151</v>
      </c>
      <c r="E231" s="1" t="s">
        <v>151</v>
      </c>
      <c r="G231" s="2">
        <v>36.0</v>
      </c>
      <c r="H231" s="1" t="s">
        <v>66</v>
      </c>
      <c r="J231" s="1" t="s">
        <v>86</v>
      </c>
      <c r="K231" s="1" t="s">
        <v>87</v>
      </c>
      <c r="M231" s="1" t="s">
        <v>58</v>
      </c>
      <c r="N231" s="1" t="s">
        <v>58</v>
      </c>
      <c r="O231" s="1" t="s">
        <v>58</v>
      </c>
      <c r="Q231" s="1" t="s">
        <v>58</v>
      </c>
      <c r="R231" s="1" t="s">
        <v>58</v>
      </c>
      <c r="S231" s="1" t="s">
        <v>69</v>
      </c>
      <c r="T231" s="1" t="s">
        <v>69</v>
      </c>
      <c r="U231" s="1" t="s">
        <v>58</v>
      </c>
      <c r="V231" s="1" t="s">
        <v>58</v>
      </c>
      <c r="W231" s="1" t="s">
        <v>69</v>
      </c>
      <c r="X231" s="1" t="s">
        <v>81</v>
      </c>
      <c r="Y231" s="1" t="s">
        <v>60</v>
      </c>
      <c r="Z231" s="1" t="s">
        <v>89</v>
      </c>
      <c r="AA231" s="2">
        <v>50.0</v>
      </c>
      <c r="AB231" s="1" t="s">
        <v>79</v>
      </c>
      <c r="AC231" s="1" t="s">
        <v>71</v>
      </c>
      <c r="AF231" s="1" t="s">
        <v>51</v>
      </c>
      <c r="AG231" s="1" t="s">
        <v>72</v>
      </c>
      <c r="AI231" s="2">
        <v>1.0</v>
      </c>
      <c r="AJ231" s="2">
        <v>0.0</v>
      </c>
      <c r="AK231" s="2">
        <v>0.0</v>
      </c>
      <c r="AL231" s="2">
        <v>0.0</v>
      </c>
      <c r="AP231" s="2">
        <v>4.90371203E8</v>
      </c>
      <c r="AQ231" s="1" t="s">
        <v>361</v>
      </c>
      <c r="AR231" s="2">
        <v>45809.35847222222</v>
      </c>
      <c r="AU231" s="1" t="s">
        <v>64</v>
      </c>
      <c r="AW231" s="1" t="s">
        <v>255</v>
      </c>
      <c r="AY231" s="2">
        <v>230.0</v>
      </c>
    </row>
    <row r="232">
      <c r="A232" s="1" t="s">
        <v>51</v>
      </c>
      <c r="C232" s="1" t="s">
        <v>151</v>
      </c>
      <c r="E232" s="1" t="s">
        <v>53</v>
      </c>
      <c r="F232" s="1" t="s">
        <v>232</v>
      </c>
      <c r="G232" s="2">
        <v>37.0</v>
      </c>
      <c r="H232" s="1" t="s">
        <v>55</v>
      </c>
      <c r="I232" s="1" t="s">
        <v>67</v>
      </c>
      <c r="J232" s="1" t="s">
        <v>111</v>
      </c>
      <c r="K232" s="1" t="s">
        <v>74</v>
      </c>
      <c r="M232" s="1" t="s">
        <v>58</v>
      </c>
      <c r="N232" s="1" t="s">
        <v>58</v>
      </c>
      <c r="O232" s="1" t="s">
        <v>69</v>
      </c>
      <c r="Q232" s="1" t="s">
        <v>69</v>
      </c>
      <c r="R232" s="1" t="s">
        <v>58</v>
      </c>
      <c r="S232" s="1" t="s">
        <v>58</v>
      </c>
      <c r="T232" s="1" t="s">
        <v>69</v>
      </c>
      <c r="U232" s="1" t="s">
        <v>70</v>
      </c>
      <c r="V232" s="1" t="s">
        <v>58</v>
      </c>
      <c r="W232" s="1" t="s">
        <v>69</v>
      </c>
      <c r="X232" s="1" t="s">
        <v>81</v>
      </c>
      <c r="Y232" s="1" t="s">
        <v>82</v>
      </c>
      <c r="Z232" s="1" t="s">
        <v>89</v>
      </c>
      <c r="AA232" s="2">
        <v>100.0</v>
      </c>
      <c r="AB232" s="1" t="s">
        <v>62</v>
      </c>
      <c r="AC232" s="1" t="s">
        <v>51</v>
      </c>
      <c r="AD232" s="1" t="s">
        <v>81</v>
      </c>
      <c r="AE232" s="1" t="s">
        <v>51</v>
      </c>
      <c r="AF232" s="1" t="s">
        <v>51</v>
      </c>
      <c r="AG232" s="1" t="s">
        <v>72</v>
      </c>
      <c r="AI232" s="2">
        <v>1.0</v>
      </c>
      <c r="AJ232" s="2">
        <v>1.0</v>
      </c>
      <c r="AK232" s="2">
        <v>1.0</v>
      </c>
      <c r="AL232" s="2">
        <v>0.0</v>
      </c>
      <c r="AM232" s="1" t="s">
        <v>51</v>
      </c>
      <c r="AN232" s="2">
        <v>7.83579949E8</v>
      </c>
      <c r="AP232" s="2">
        <v>4.90398613E8</v>
      </c>
      <c r="AQ232" s="1" t="s">
        <v>362</v>
      </c>
      <c r="AR232" s="2">
        <v>45809.41784722222</v>
      </c>
      <c r="AU232" s="1" t="s">
        <v>64</v>
      </c>
      <c r="AW232" s="1" t="s">
        <v>191</v>
      </c>
      <c r="AY232" s="2">
        <v>231.0</v>
      </c>
    </row>
    <row r="233">
      <c r="A233" s="1" t="s">
        <v>51</v>
      </c>
      <c r="C233" s="1" t="s">
        <v>131</v>
      </c>
      <c r="E233" s="1" t="s">
        <v>53</v>
      </c>
      <c r="F233" s="1" t="s">
        <v>54</v>
      </c>
      <c r="G233" s="2">
        <v>34.0</v>
      </c>
      <c r="H233" s="1" t="s">
        <v>66</v>
      </c>
      <c r="I233" s="1" t="s">
        <v>67</v>
      </c>
      <c r="J233" s="1" t="s">
        <v>56</v>
      </c>
      <c r="K233" s="1" t="s">
        <v>74</v>
      </c>
      <c r="M233" s="1" t="s">
        <v>58</v>
      </c>
      <c r="N233" s="1" t="s">
        <v>58</v>
      </c>
      <c r="O233" s="1" t="s">
        <v>69</v>
      </c>
      <c r="Q233" s="1" t="s">
        <v>58</v>
      </c>
      <c r="R233" s="1" t="s">
        <v>58</v>
      </c>
      <c r="S233" s="1" t="s">
        <v>70</v>
      </c>
      <c r="T233" s="1" t="s">
        <v>70</v>
      </c>
      <c r="U233" s="1" t="s">
        <v>58</v>
      </c>
      <c r="V233" s="1" t="s">
        <v>58</v>
      </c>
      <c r="W233" s="1" t="s">
        <v>69</v>
      </c>
      <c r="X233" s="1" t="s">
        <v>81</v>
      </c>
      <c r="Y233" s="1" t="s">
        <v>172</v>
      </c>
      <c r="Z233" s="1" t="s">
        <v>108</v>
      </c>
      <c r="AA233" s="2">
        <v>50.0</v>
      </c>
      <c r="AB233" s="1" t="s">
        <v>79</v>
      </c>
      <c r="AC233" s="1" t="s">
        <v>71</v>
      </c>
      <c r="AF233" s="1" t="s">
        <v>51</v>
      </c>
      <c r="AG233" s="1" t="s">
        <v>51</v>
      </c>
      <c r="AH233" s="2">
        <v>300.0</v>
      </c>
      <c r="AI233" s="2">
        <v>0.0</v>
      </c>
      <c r="AJ233" s="2">
        <v>0.0</v>
      </c>
      <c r="AK233" s="2">
        <v>1.0</v>
      </c>
      <c r="AL233" s="2">
        <v>0.0</v>
      </c>
      <c r="AM233" s="1" t="s">
        <v>51</v>
      </c>
      <c r="AN233" s="2">
        <v>7.87607612E8</v>
      </c>
      <c r="AP233" s="2">
        <v>4.90400697E8</v>
      </c>
      <c r="AQ233" s="1" t="s">
        <v>363</v>
      </c>
      <c r="AR233" s="2">
        <v>45809.421006944445</v>
      </c>
      <c r="AU233" s="1" t="s">
        <v>64</v>
      </c>
      <c r="AW233" s="1" t="s">
        <v>255</v>
      </c>
      <c r="AY233" s="2">
        <v>232.0</v>
      </c>
    </row>
    <row r="234">
      <c r="A234" s="1" t="s">
        <v>51</v>
      </c>
      <c r="C234" s="1" t="s">
        <v>151</v>
      </c>
      <c r="E234" s="1" t="s">
        <v>53</v>
      </c>
      <c r="F234" s="1" t="s">
        <v>102</v>
      </c>
      <c r="G234" s="2">
        <v>24.0</v>
      </c>
      <c r="H234" s="1" t="s">
        <v>66</v>
      </c>
      <c r="I234" s="1" t="s">
        <v>100</v>
      </c>
      <c r="J234" s="1" t="s">
        <v>68</v>
      </c>
      <c r="K234" s="1" t="s">
        <v>74</v>
      </c>
      <c r="M234" s="1" t="s">
        <v>58</v>
      </c>
      <c r="N234" s="1" t="s">
        <v>58</v>
      </c>
      <c r="O234" s="1" t="s">
        <v>69</v>
      </c>
      <c r="Q234" s="1" t="s">
        <v>69</v>
      </c>
      <c r="R234" s="1" t="s">
        <v>69</v>
      </c>
      <c r="S234" s="1" t="s">
        <v>69</v>
      </c>
      <c r="T234" s="1" t="s">
        <v>69</v>
      </c>
      <c r="U234" s="1" t="s">
        <v>70</v>
      </c>
      <c r="V234" s="1" t="s">
        <v>58</v>
      </c>
      <c r="W234" s="1" t="s">
        <v>69</v>
      </c>
      <c r="X234" s="1" t="s">
        <v>81</v>
      </c>
      <c r="Y234" s="1" t="s">
        <v>60</v>
      </c>
      <c r="Z234" s="1" t="s">
        <v>61</v>
      </c>
      <c r="AA234" s="2">
        <v>10.0</v>
      </c>
      <c r="AB234" s="1" t="s">
        <v>79</v>
      </c>
      <c r="AC234" s="1" t="s">
        <v>71</v>
      </c>
      <c r="AF234" s="1" t="s">
        <v>51</v>
      </c>
      <c r="AG234" s="1" t="s">
        <v>51</v>
      </c>
      <c r="AH234" s="2">
        <v>1000.0</v>
      </c>
      <c r="AI234" s="2">
        <v>0.0</v>
      </c>
      <c r="AJ234" s="2">
        <v>0.0</v>
      </c>
      <c r="AK234" s="2">
        <v>0.0</v>
      </c>
      <c r="AL234" s="2">
        <v>1.0</v>
      </c>
      <c r="AM234" s="1" t="s">
        <v>51</v>
      </c>
      <c r="AN234" s="2">
        <v>6.05632909E8</v>
      </c>
      <c r="AP234" s="2">
        <v>4.9040118E8</v>
      </c>
      <c r="AQ234" s="1" t="s">
        <v>364</v>
      </c>
      <c r="AR234" s="2">
        <v>45809.42184027778</v>
      </c>
      <c r="AU234" s="1" t="s">
        <v>64</v>
      </c>
      <c r="AW234" s="1" t="s">
        <v>255</v>
      </c>
      <c r="AY234" s="2">
        <v>233.0</v>
      </c>
    </row>
    <row r="235">
      <c r="A235" s="1" t="s">
        <v>51</v>
      </c>
      <c r="C235" s="1" t="s">
        <v>131</v>
      </c>
      <c r="E235" s="1" t="s">
        <v>53</v>
      </c>
      <c r="F235" s="1" t="s">
        <v>54</v>
      </c>
      <c r="G235" s="2">
        <v>25.0</v>
      </c>
      <c r="H235" s="1" t="s">
        <v>55</v>
      </c>
      <c r="I235" s="1" t="s">
        <v>100</v>
      </c>
      <c r="J235" s="1" t="s">
        <v>56</v>
      </c>
      <c r="K235" s="1" t="s">
        <v>74</v>
      </c>
      <c r="M235" s="1" t="s">
        <v>58</v>
      </c>
      <c r="N235" s="1" t="s">
        <v>58</v>
      </c>
      <c r="O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X235" s="1" t="s">
        <v>81</v>
      </c>
      <c r="Y235" s="1" t="s">
        <v>60</v>
      </c>
      <c r="Z235" s="1" t="s">
        <v>108</v>
      </c>
      <c r="AA235" s="2">
        <v>50.0</v>
      </c>
      <c r="AB235" s="1" t="s">
        <v>28</v>
      </c>
      <c r="AC235" s="1" t="s">
        <v>71</v>
      </c>
      <c r="AF235" s="1" t="s">
        <v>51</v>
      </c>
      <c r="AG235" s="1" t="s">
        <v>51</v>
      </c>
      <c r="AH235" s="2">
        <v>250.0</v>
      </c>
      <c r="AI235" s="2">
        <v>0.0</v>
      </c>
      <c r="AJ235" s="2">
        <v>0.0</v>
      </c>
      <c r="AK235" s="2">
        <v>0.0</v>
      </c>
      <c r="AL235" s="2">
        <v>1.0</v>
      </c>
      <c r="AM235" s="1" t="s">
        <v>51</v>
      </c>
      <c r="AN235" s="2">
        <v>6.74566012E8</v>
      </c>
      <c r="AP235" s="2">
        <v>4.90402922E8</v>
      </c>
      <c r="AQ235" s="1" t="s">
        <v>365</v>
      </c>
      <c r="AR235" s="2">
        <v>45809.4252662037</v>
      </c>
      <c r="AU235" s="1" t="s">
        <v>64</v>
      </c>
      <c r="AW235" s="1" t="s">
        <v>255</v>
      </c>
      <c r="AY235" s="2">
        <v>234.0</v>
      </c>
    </row>
    <row r="236">
      <c r="A236" s="1" t="s">
        <v>51</v>
      </c>
      <c r="C236" s="1" t="s">
        <v>131</v>
      </c>
      <c r="E236" s="1" t="s">
        <v>53</v>
      </c>
      <c r="F236" s="1" t="s">
        <v>54</v>
      </c>
      <c r="G236" s="2">
        <v>39.0</v>
      </c>
      <c r="H236" s="1" t="s">
        <v>55</v>
      </c>
      <c r="I236" s="1" t="s">
        <v>67</v>
      </c>
      <c r="J236" s="1" t="s">
        <v>68</v>
      </c>
      <c r="K236" s="1" t="s">
        <v>74</v>
      </c>
      <c r="M236" s="1" t="s">
        <v>58</v>
      </c>
      <c r="N236" s="1" t="s">
        <v>58</v>
      </c>
      <c r="O236" s="1" t="s">
        <v>69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81</v>
      </c>
      <c r="Y236" s="1" t="s">
        <v>172</v>
      </c>
      <c r="Z236" s="1" t="s">
        <v>127</v>
      </c>
      <c r="AA236" s="2">
        <v>100.0</v>
      </c>
      <c r="AB236" s="1" t="s">
        <v>79</v>
      </c>
      <c r="AC236" s="1" t="s">
        <v>71</v>
      </c>
      <c r="AF236" s="1" t="s">
        <v>51</v>
      </c>
      <c r="AG236" s="1" t="s">
        <v>51</v>
      </c>
      <c r="AH236" s="2">
        <v>200.0</v>
      </c>
      <c r="AI236" s="2">
        <v>0.0</v>
      </c>
      <c r="AJ236" s="2">
        <v>0.0</v>
      </c>
      <c r="AK236" s="2">
        <v>0.0</v>
      </c>
      <c r="AL236" s="2">
        <v>1.0</v>
      </c>
      <c r="AM236" s="1" t="s">
        <v>51</v>
      </c>
      <c r="AN236" s="2">
        <v>7.86258839E8</v>
      </c>
      <c r="AP236" s="2">
        <v>4.90403501E8</v>
      </c>
      <c r="AQ236" s="1" t="s">
        <v>366</v>
      </c>
      <c r="AR236" s="2">
        <v>45809.42668981481</v>
      </c>
      <c r="AU236" s="1" t="s">
        <v>64</v>
      </c>
      <c r="AW236" s="1" t="s">
        <v>255</v>
      </c>
      <c r="AY236" s="2">
        <v>235.0</v>
      </c>
    </row>
    <row r="237">
      <c r="A237" s="1" t="s">
        <v>51</v>
      </c>
      <c r="C237" s="1" t="s">
        <v>151</v>
      </c>
      <c r="E237" s="1" t="s">
        <v>53</v>
      </c>
      <c r="F237" s="1" t="s">
        <v>102</v>
      </c>
      <c r="G237" s="2">
        <v>27.0</v>
      </c>
      <c r="H237" s="1" t="s">
        <v>55</v>
      </c>
      <c r="I237" s="1" t="s">
        <v>100</v>
      </c>
      <c r="J237" s="1" t="s">
        <v>56</v>
      </c>
      <c r="M237" s="1" t="s">
        <v>58</v>
      </c>
      <c r="N237" s="1" t="s">
        <v>58</v>
      </c>
      <c r="O237" s="1" t="s">
        <v>69</v>
      </c>
      <c r="Q237" s="1" t="s">
        <v>69</v>
      </c>
      <c r="R237" s="1" t="s">
        <v>69</v>
      </c>
      <c r="S237" s="1" t="s">
        <v>69</v>
      </c>
      <c r="T237" s="1" t="s">
        <v>69</v>
      </c>
      <c r="U237" s="1" t="s">
        <v>70</v>
      </c>
      <c r="V237" s="1" t="s">
        <v>58</v>
      </c>
      <c r="W237" s="1" t="s">
        <v>69</v>
      </c>
      <c r="X237" s="1" t="s">
        <v>81</v>
      </c>
      <c r="Y237" s="1" t="s">
        <v>82</v>
      </c>
      <c r="Z237" s="1" t="s">
        <v>61</v>
      </c>
      <c r="AA237" s="2">
        <v>50.0</v>
      </c>
      <c r="AB237" s="1" t="s">
        <v>79</v>
      </c>
      <c r="AC237" s="1" t="s">
        <v>71</v>
      </c>
      <c r="AF237" s="1" t="s">
        <v>51</v>
      </c>
      <c r="AG237" s="1" t="s">
        <v>51</v>
      </c>
      <c r="AH237" s="2">
        <v>500.0</v>
      </c>
      <c r="AI237" s="2">
        <v>1.0</v>
      </c>
      <c r="AJ237" s="2">
        <v>1.0</v>
      </c>
      <c r="AK237" s="2">
        <v>1.0</v>
      </c>
      <c r="AL237" s="2">
        <v>1.0</v>
      </c>
      <c r="AM237" s="1" t="s">
        <v>51</v>
      </c>
      <c r="AN237" s="2">
        <v>7.52289743E8</v>
      </c>
      <c r="AP237" s="2">
        <v>4.9040369E8</v>
      </c>
      <c r="AQ237" s="1" t="s">
        <v>367</v>
      </c>
      <c r="AR237" s="2">
        <v>45809.42711805556</v>
      </c>
      <c r="AU237" s="1" t="s">
        <v>64</v>
      </c>
      <c r="AW237" s="1" t="s">
        <v>255</v>
      </c>
      <c r="AY237" s="2">
        <v>236.0</v>
      </c>
    </row>
    <row r="238">
      <c r="A238" s="1" t="s">
        <v>51</v>
      </c>
      <c r="C238" s="1" t="s">
        <v>131</v>
      </c>
      <c r="E238" s="1" t="s">
        <v>53</v>
      </c>
      <c r="F238" s="1" t="s">
        <v>54</v>
      </c>
      <c r="G238" s="2">
        <v>31.0</v>
      </c>
      <c r="H238" s="1" t="s">
        <v>55</v>
      </c>
      <c r="I238" s="1" t="s">
        <v>100</v>
      </c>
      <c r="J238" s="1" t="s">
        <v>111</v>
      </c>
      <c r="K238" s="1" t="s">
        <v>74</v>
      </c>
      <c r="M238" s="1" t="s">
        <v>58</v>
      </c>
      <c r="N238" s="1" t="s">
        <v>58</v>
      </c>
      <c r="O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81</v>
      </c>
      <c r="Y238" s="1" t="s">
        <v>172</v>
      </c>
      <c r="Z238" s="1" t="s">
        <v>89</v>
      </c>
      <c r="AA238" s="2">
        <v>30.0</v>
      </c>
      <c r="AB238" s="1" t="s">
        <v>79</v>
      </c>
      <c r="AC238" s="1" t="s">
        <v>71</v>
      </c>
      <c r="AF238" s="1" t="s">
        <v>51</v>
      </c>
      <c r="AG238" s="1" t="s">
        <v>51</v>
      </c>
      <c r="AH238" s="2">
        <v>300.0</v>
      </c>
      <c r="AI238" s="2">
        <v>0.0</v>
      </c>
      <c r="AJ238" s="2">
        <v>0.0</v>
      </c>
      <c r="AK238" s="2">
        <v>0.0</v>
      </c>
      <c r="AL238" s="2">
        <v>1.0</v>
      </c>
      <c r="AM238" s="1" t="s">
        <v>51</v>
      </c>
      <c r="AN238" s="2">
        <v>6.99109406E8</v>
      </c>
      <c r="AP238" s="2">
        <v>4.90404323E8</v>
      </c>
      <c r="AQ238" s="1" t="s">
        <v>368</v>
      </c>
      <c r="AR238" s="2">
        <v>45809.42836805555</v>
      </c>
      <c r="AU238" s="1" t="s">
        <v>64</v>
      </c>
      <c r="AW238" s="1" t="s">
        <v>255</v>
      </c>
      <c r="AY238" s="2">
        <v>237.0</v>
      </c>
    </row>
    <row r="239">
      <c r="A239" s="1" t="s">
        <v>51</v>
      </c>
      <c r="C239" s="1" t="s">
        <v>131</v>
      </c>
      <c r="E239" s="1" t="s">
        <v>53</v>
      </c>
      <c r="F239" s="1" t="s">
        <v>54</v>
      </c>
      <c r="G239" s="2">
        <v>29.0</v>
      </c>
      <c r="H239" s="1" t="s">
        <v>66</v>
      </c>
      <c r="I239" s="1" t="s">
        <v>100</v>
      </c>
      <c r="J239" s="1" t="s">
        <v>111</v>
      </c>
      <c r="K239" s="1" t="s">
        <v>74</v>
      </c>
      <c r="M239" s="1" t="s">
        <v>58</v>
      </c>
      <c r="N239" s="1" t="s">
        <v>58</v>
      </c>
      <c r="O239" s="1" t="s">
        <v>58</v>
      </c>
      <c r="Q239" s="1" t="s">
        <v>58</v>
      </c>
      <c r="R239" s="1" t="s">
        <v>58</v>
      </c>
      <c r="S239" s="1" t="s">
        <v>58</v>
      </c>
      <c r="T239" s="1" t="s">
        <v>58</v>
      </c>
      <c r="U239" s="1" t="s">
        <v>58</v>
      </c>
      <c r="V239" s="1" t="s">
        <v>58</v>
      </c>
      <c r="W239" s="1" t="s">
        <v>58</v>
      </c>
      <c r="X239" s="1" t="s">
        <v>81</v>
      </c>
      <c r="Y239" s="1" t="s">
        <v>172</v>
      </c>
      <c r="Z239" s="1" t="s">
        <v>108</v>
      </c>
      <c r="AA239" s="2">
        <v>50.0</v>
      </c>
      <c r="AB239" s="1" t="s">
        <v>79</v>
      </c>
      <c r="AC239" s="1" t="s">
        <v>71</v>
      </c>
      <c r="AF239" s="1" t="s">
        <v>51</v>
      </c>
      <c r="AG239" s="1" t="s">
        <v>51</v>
      </c>
      <c r="AH239" s="2">
        <v>400.0</v>
      </c>
      <c r="AI239" s="2">
        <v>0.0</v>
      </c>
      <c r="AJ239" s="2">
        <v>1.0</v>
      </c>
      <c r="AK239" s="2">
        <v>0.0</v>
      </c>
      <c r="AL239" s="2">
        <v>0.0</v>
      </c>
      <c r="AM239" s="1" t="s">
        <v>51</v>
      </c>
      <c r="AN239" s="2">
        <v>7.16268779E8</v>
      </c>
      <c r="AP239" s="2">
        <v>4.90404925E8</v>
      </c>
      <c r="AQ239" s="1" t="s">
        <v>369</v>
      </c>
      <c r="AR239" s="2">
        <v>45809.429618055554</v>
      </c>
      <c r="AU239" s="1" t="s">
        <v>64</v>
      </c>
      <c r="AW239" s="1" t="s">
        <v>255</v>
      </c>
      <c r="AY239" s="2">
        <v>238.0</v>
      </c>
    </row>
    <row r="240">
      <c r="A240" s="1" t="s">
        <v>51</v>
      </c>
      <c r="C240" s="1" t="s">
        <v>131</v>
      </c>
      <c r="E240" s="1" t="s">
        <v>53</v>
      </c>
      <c r="F240" s="1" t="s">
        <v>54</v>
      </c>
      <c r="G240" s="2">
        <v>36.0</v>
      </c>
      <c r="H240" s="1" t="s">
        <v>55</v>
      </c>
      <c r="I240" s="1" t="s">
        <v>100</v>
      </c>
      <c r="J240" s="1" t="s">
        <v>111</v>
      </c>
      <c r="K240" s="1" t="s">
        <v>74</v>
      </c>
      <c r="M240" s="1" t="s">
        <v>58</v>
      </c>
      <c r="N240" s="1" t="s">
        <v>58</v>
      </c>
      <c r="O240" s="1" t="s">
        <v>58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  <c r="W240" s="1" t="s">
        <v>58</v>
      </c>
      <c r="X240" s="1" t="s">
        <v>81</v>
      </c>
      <c r="Y240" s="1" t="s">
        <v>60</v>
      </c>
      <c r="Z240" s="1" t="s">
        <v>89</v>
      </c>
      <c r="AA240" s="2">
        <v>50.0</v>
      </c>
      <c r="AB240" s="1" t="s">
        <v>79</v>
      </c>
      <c r="AC240" s="1" t="s">
        <v>51</v>
      </c>
      <c r="AD240" s="1" t="s">
        <v>81</v>
      </c>
      <c r="AE240" s="1" t="s">
        <v>51</v>
      </c>
      <c r="AF240" s="1" t="s">
        <v>51</v>
      </c>
      <c r="AG240" s="1" t="s">
        <v>51</v>
      </c>
      <c r="AH240" s="2">
        <v>500.0</v>
      </c>
      <c r="AI240" s="2">
        <v>1.0</v>
      </c>
      <c r="AJ240" s="2">
        <v>0.0</v>
      </c>
      <c r="AK240" s="2">
        <v>0.0</v>
      </c>
      <c r="AL240" s="2">
        <v>0.0</v>
      </c>
      <c r="AM240" s="1" t="s">
        <v>51</v>
      </c>
      <c r="AN240" s="2">
        <v>6.93327725E8</v>
      </c>
      <c r="AP240" s="2">
        <v>4.90405777E8</v>
      </c>
      <c r="AQ240" s="1" t="s">
        <v>370</v>
      </c>
      <c r="AR240" s="2">
        <v>45809.43125</v>
      </c>
      <c r="AU240" s="1" t="s">
        <v>64</v>
      </c>
      <c r="AW240" s="1" t="s">
        <v>255</v>
      </c>
      <c r="AY240" s="2">
        <v>239.0</v>
      </c>
    </row>
    <row r="241">
      <c r="A241" s="1" t="s">
        <v>51</v>
      </c>
      <c r="C241" s="1" t="s">
        <v>131</v>
      </c>
      <c r="E241" s="1" t="s">
        <v>53</v>
      </c>
      <c r="F241" s="1" t="s">
        <v>54</v>
      </c>
      <c r="G241" s="2">
        <v>23.0</v>
      </c>
      <c r="H241" s="1" t="s">
        <v>55</v>
      </c>
      <c r="I241" s="1" t="s">
        <v>100</v>
      </c>
      <c r="J241" s="1" t="s">
        <v>68</v>
      </c>
      <c r="K241" s="1" t="s">
        <v>57</v>
      </c>
      <c r="M241" s="1" t="s">
        <v>58</v>
      </c>
      <c r="N241" s="1" t="s">
        <v>58</v>
      </c>
      <c r="O241" s="1" t="s">
        <v>70</v>
      </c>
      <c r="Q241" s="1" t="s">
        <v>58</v>
      </c>
      <c r="R241" s="1" t="s">
        <v>58</v>
      </c>
      <c r="S241" s="1" t="s">
        <v>70</v>
      </c>
      <c r="T241" s="1" t="s">
        <v>70</v>
      </c>
      <c r="U241" s="1" t="s">
        <v>58</v>
      </c>
      <c r="V241" s="1" t="s">
        <v>58</v>
      </c>
      <c r="W241" s="1" t="s">
        <v>58</v>
      </c>
      <c r="X241" s="1" t="s">
        <v>81</v>
      </c>
      <c r="Y241" s="1" t="s">
        <v>60</v>
      </c>
      <c r="Z241" s="1" t="s">
        <v>96</v>
      </c>
      <c r="AA241" s="2">
        <v>100.0</v>
      </c>
      <c r="AB241" s="1" t="s">
        <v>79</v>
      </c>
      <c r="AC241" s="1" t="s">
        <v>71</v>
      </c>
      <c r="AF241" s="1" t="s">
        <v>51</v>
      </c>
      <c r="AG241" s="1" t="s">
        <v>51</v>
      </c>
      <c r="AH241" s="2">
        <v>400.0</v>
      </c>
      <c r="AI241" s="2">
        <v>0.0</v>
      </c>
      <c r="AJ241" s="2">
        <v>0.0</v>
      </c>
      <c r="AK241" s="2">
        <v>0.0</v>
      </c>
      <c r="AL241" s="2">
        <v>1.0</v>
      </c>
      <c r="AM241" s="1" t="s">
        <v>51</v>
      </c>
      <c r="AN241" s="2">
        <v>8.33399373E8</v>
      </c>
      <c r="AP241" s="2">
        <v>4.90406456E8</v>
      </c>
      <c r="AQ241" s="1" t="s">
        <v>371</v>
      </c>
      <c r="AR241" s="2">
        <v>45809.432604166665</v>
      </c>
      <c r="AU241" s="1" t="s">
        <v>64</v>
      </c>
      <c r="AW241" s="1" t="s">
        <v>255</v>
      </c>
      <c r="AY241" s="2">
        <v>240.0</v>
      </c>
    </row>
    <row r="242">
      <c r="A242" s="1" t="s">
        <v>51</v>
      </c>
      <c r="C242" s="1" t="s">
        <v>131</v>
      </c>
      <c r="E242" s="1" t="s">
        <v>53</v>
      </c>
      <c r="F242" s="1" t="s">
        <v>54</v>
      </c>
      <c r="G242" s="2">
        <v>32.0</v>
      </c>
      <c r="H242" s="1" t="s">
        <v>55</v>
      </c>
      <c r="I242" s="1" t="s">
        <v>100</v>
      </c>
      <c r="J242" s="1" t="s">
        <v>68</v>
      </c>
      <c r="K242" s="1" t="s">
        <v>74</v>
      </c>
      <c r="M242" s="1" t="s">
        <v>58</v>
      </c>
      <c r="N242" s="1" t="s">
        <v>58</v>
      </c>
      <c r="O242" s="1" t="s">
        <v>69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81</v>
      </c>
      <c r="Y242" s="1" t="s">
        <v>172</v>
      </c>
      <c r="Z242" s="1" t="s">
        <v>96</v>
      </c>
      <c r="AA242" s="2">
        <v>50.0</v>
      </c>
      <c r="AB242" s="1" t="s">
        <v>79</v>
      </c>
      <c r="AC242" s="1" t="s">
        <v>71</v>
      </c>
      <c r="AF242" s="1" t="s">
        <v>51</v>
      </c>
      <c r="AG242" s="1" t="s">
        <v>51</v>
      </c>
      <c r="AH242" s="2">
        <v>300.0</v>
      </c>
      <c r="AI242" s="2">
        <v>1.0</v>
      </c>
      <c r="AJ242" s="2">
        <v>0.0</v>
      </c>
      <c r="AK242" s="2">
        <v>0.0</v>
      </c>
      <c r="AL242" s="2">
        <v>0.0</v>
      </c>
      <c r="AM242" s="1" t="s">
        <v>51</v>
      </c>
      <c r="AN242" s="2">
        <v>6.65478753E8</v>
      </c>
      <c r="AP242" s="2">
        <v>4.90407148E8</v>
      </c>
      <c r="AQ242" s="1" t="s">
        <v>372</v>
      </c>
      <c r="AR242" s="2">
        <v>45809.43402777778</v>
      </c>
      <c r="AU242" s="1" t="s">
        <v>64</v>
      </c>
      <c r="AW242" s="1" t="s">
        <v>255</v>
      </c>
      <c r="AY242" s="2">
        <v>241.0</v>
      </c>
    </row>
    <row r="243">
      <c r="A243" s="1" t="s">
        <v>51</v>
      </c>
      <c r="C243" s="1" t="s">
        <v>131</v>
      </c>
      <c r="E243" s="1" t="s">
        <v>53</v>
      </c>
      <c r="F243" s="1" t="s">
        <v>54</v>
      </c>
      <c r="G243" s="2">
        <v>33.0</v>
      </c>
      <c r="H243" s="1" t="s">
        <v>66</v>
      </c>
      <c r="I243" s="1" t="s">
        <v>100</v>
      </c>
      <c r="J243" s="1" t="s">
        <v>111</v>
      </c>
      <c r="K243" s="1" t="s">
        <v>74</v>
      </c>
      <c r="M243" s="1" t="s">
        <v>58</v>
      </c>
      <c r="N243" s="1" t="s">
        <v>58</v>
      </c>
      <c r="O243" s="1" t="s">
        <v>70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81</v>
      </c>
      <c r="Y243" s="1" t="s">
        <v>172</v>
      </c>
      <c r="Z243" s="1" t="s">
        <v>108</v>
      </c>
      <c r="AA243" s="2">
        <v>50.0</v>
      </c>
      <c r="AB243" s="1" t="s">
        <v>28</v>
      </c>
      <c r="AC243" s="1" t="s">
        <v>71</v>
      </c>
      <c r="AF243" s="1" t="s">
        <v>51</v>
      </c>
      <c r="AG243" s="1" t="s">
        <v>72</v>
      </c>
      <c r="AI243" s="2">
        <v>0.0</v>
      </c>
      <c r="AJ243" s="2">
        <v>0.0</v>
      </c>
      <c r="AK243" s="2">
        <v>0.0</v>
      </c>
      <c r="AL243" s="2">
        <v>1.0</v>
      </c>
      <c r="AM243" s="1" t="s">
        <v>51</v>
      </c>
      <c r="AN243" s="2">
        <v>7.96732437E8</v>
      </c>
      <c r="AP243" s="2">
        <v>4.90407718E8</v>
      </c>
      <c r="AQ243" s="1" t="s">
        <v>373</v>
      </c>
      <c r="AR243" s="2">
        <v>45809.435219907406</v>
      </c>
      <c r="AU243" s="1" t="s">
        <v>64</v>
      </c>
      <c r="AW243" s="1" t="s">
        <v>255</v>
      </c>
      <c r="AY243" s="2">
        <v>242.0</v>
      </c>
    </row>
    <row r="244">
      <c r="A244" s="1" t="s">
        <v>51</v>
      </c>
      <c r="C244" s="1" t="s">
        <v>131</v>
      </c>
      <c r="E244" s="1" t="s">
        <v>53</v>
      </c>
      <c r="F244" s="1" t="s">
        <v>54</v>
      </c>
      <c r="G244" s="2">
        <v>32.0</v>
      </c>
      <c r="H244" s="1" t="s">
        <v>55</v>
      </c>
      <c r="I244" s="1" t="s">
        <v>100</v>
      </c>
      <c r="J244" s="1" t="s">
        <v>68</v>
      </c>
      <c r="K244" s="1" t="s">
        <v>57</v>
      </c>
      <c r="M244" s="1" t="s">
        <v>58</v>
      </c>
      <c r="N244" s="1" t="s">
        <v>58</v>
      </c>
      <c r="O244" s="1" t="s">
        <v>70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58</v>
      </c>
      <c r="V244" s="1" t="s">
        <v>58</v>
      </c>
      <c r="W244" s="1" t="s">
        <v>58</v>
      </c>
      <c r="X244" s="1" t="s">
        <v>81</v>
      </c>
      <c r="Y244" s="1" t="s">
        <v>172</v>
      </c>
      <c r="Z244" s="1" t="s">
        <v>108</v>
      </c>
      <c r="AA244" s="2">
        <v>30.0</v>
      </c>
      <c r="AB244" s="1" t="s">
        <v>28</v>
      </c>
      <c r="AC244" s="1" t="s">
        <v>71</v>
      </c>
      <c r="AF244" s="1" t="s">
        <v>51</v>
      </c>
      <c r="AG244" s="1" t="s">
        <v>72</v>
      </c>
      <c r="AI244" s="2">
        <v>0.0</v>
      </c>
      <c r="AJ244" s="2">
        <v>0.0</v>
      </c>
      <c r="AK244" s="2">
        <v>0.0</v>
      </c>
      <c r="AL244" s="2">
        <v>1.0</v>
      </c>
      <c r="AM244" s="1" t="s">
        <v>51</v>
      </c>
      <c r="AN244" s="2">
        <v>7.12023238E8</v>
      </c>
      <c r="AP244" s="2">
        <v>4.90409053E8</v>
      </c>
      <c r="AQ244" s="1" t="s">
        <v>374</v>
      </c>
      <c r="AR244" s="2">
        <v>45809.43813657408</v>
      </c>
      <c r="AU244" s="1" t="s">
        <v>64</v>
      </c>
      <c r="AW244" s="1" t="s">
        <v>255</v>
      </c>
      <c r="AY244" s="2">
        <v>243.0</v>
      </c>
    </row>
    <row r="245">
      <c r="A245" s="1" t="s">
        <v>51</v>
      </c>
      <c r="C245" s="1" t="s">
        <v>131</v>
      </c>
      <c r="E245" s="1" t="s">
        <v>53</v>
      </c>
      <c r="F245" s="1" t="s">
        <v>54</v>
      </c>
      <c r="G245" s="2">
        <v>29.0</v>
      </c>
      <c r="H245" s="1" t="s">
        <v>55</v>
      </c>
      <c r="I245" s="1" t="s">
        <v>100</v>
      </c>
      <c r="J245" s="1" t="s">
        <v>68</v>
      </c>
      <c r="K245" s="1" t="s">
        <v>74</v>
      </c>
      <c r="M245" s="1" t="s">
        <v>58</v>
      </c>
      <c r="N245" s="1" t="s">
        <v>58</v>
      </c>
      <c r="O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81</v>
      </c>
      <c r="Y245" s="1" t="s">
        <v>172</v>
      </c>
      <c r="Z245" s="1" t="s">
        <v>108</v>
      </c>
      <c r="AA245" s="2">
        <v>100.0</v>
      </c>
      <c r="AB245" s="1" t="s">
        <v>28</v>
      </c>
      <c r="AC245" s="1" t="s">
        <v>71</v>
      </c>
      <c r="AF245" s="1" t="s">
        <v>51</v>
      </c>
      <c r="AG245" s="1" t="s">
        <v>51</v>
      </c>
      <c r="AI245" s="2">
        <v>0.0</v>
      </c>
      <c r="AJ245" s="2">
        <v>0.0</v>
      </c>
      <c r="AK245" s="2">
        <v>0.0</v>
      </c>
      <c r="AL245" s="2">
        <v>1.0</v>
      </c>
      <c r="AM245" s="1" t="s">
        <v>51</v>
      </c>
      <c r="AN245" s="2">
        <v>6.55254617E8</v>
      </c>
      <c r="AP245" s="2">
        <v>4.90409857E8</v>
      </c>
      <c r="AQ245" s="1" t="s">
        <v>375</v>
      </c>
      <c r="AR245" s="2">
        <v>45809.43989583333</v>
      </c>
      <c r="AU245" s="1" t="s">
        <v>64</v>
      </c>
      <c r="AW245" s="1" t="s">
        <v>255</v>
      </c>
      <c r="AY245" s="2">
        <v>244.0</v>
      </c>
    </row>
    <row r="246">
      <c r="A246" s="1" t="s">
        <v>51</v>
      </c>
      <c r="C246" s="1" t="s">
        <v>131</v>
      </c>
      <c r="E246" s="1" t="s">
        <v>53</v>
      </c>
      <c r="F246" s="1" t="s">
        <v>54</v>
      </c>
      <c r="G246" s="2">
        <v>32.0</v>
      </c>
      <c r="H246" s="1" t="s">
        <v>55</v>
      </c>
      <c r="I246" s="1" t="s">
        <v>67</v>
      </c>
      <c r="J246" s="1" t="s">
        <v>68</v>
      </c>
      <c r="K246" s="1" t="s">
        <v>74</v>
      </c>
      <c r="M246" s="1" t="s">
        <v>58</v>
      </c>
      <c r="N246" s="1" t="s">
        <v>58</v>
      </c>
      <c r="O246" s="1" t="s">
        <v>58</v>
      </c>
      <c r="Q246" s="1" t="s">
        <v>58</v>
      </c>
      <c r="R246" s="1" t="s">
        <v>58</v>
      </c>
      <c r="S246" s="1" t="s">
        <v>58</v>
      </c>
      <c r="T246" s="1" t="s">
        <v>58</v>
      </c>
      <c r="U246" s="1" t="s">
        <v>58</v>
      </c>
      <c r="V246" s="1" t="s">
        <v>58</v>
      </c>
      <c r="W246" s="1" t="s">
        <v>58</v>
      </c>
      <c r="X246" s="1" t="s">
        <v>81</v>
      </c>
      <c r="Y246" s="1" t="s">
        <v>60</v>
      </c>
      <c r="Z246" s="1" t="s">
        <v>89</v>
      </c>
      <c r="AA246" s="2">
        <v>50.0</v>
      </c>
      <c r="AB246" s="1" t="s">
        <v>28</v>
      </c>
      <c r="AC246" s="1" t="s">
        <v>71</v>
      </c>
      <c r="AF246" s="1" t="s">
        <v>51</v>
      </c>
      <c r="AG246" s="1" t="s">
        <v>51</v>
      </c>
      <c r="AI246" s="2">
        <v>0.0</v>
      </c>
      <c r="AJ246" s="2">
        <v>0.0</v>
      </c>
      <c r="AK246" s="2">
        <v>0.0</v>
      </c>
      <c r="AL246" s="2">
        <v>1.0</v>
      </c>
      <c r="AM246" s="1" t="s">
        <v>51</v>
      </c>
      <c r="AN246" s="2">
        <v>6.01406742E8</v>
      </c>
      <c r="AP246" s="2">
        <v>4.90410637E8</v>
      </c>
      <c r="AQ246" s="1" t="s">
        <v>376</v>
      </c>
      <c r="AR246" s="2">
        <v>45809.441666666666</v>
      </c>
      <c r="AU246" s="1" t="s">
        <v>64</v>
      </c>
      <c r="AW246" s="1" t="s">
        <v>255</v>
      </c>
      <c r="AY246" s="2">
        <v>245.0</v>
      </c>
    </row>
    <row r="247">
      <c r="A247" s="1" t="s">
        <v>51</v>
      </c>
      <c r="C247" s="1" t="s">
        <v>131</v>
      </c>
      <c r="E247" s="1" t="s">
        <v>53</v>
      </c>
      <c r="F247" s="1" t="s">
        <v>54</v>
      </c>
      <c r="G247" s="2">
        <v>43.0</v>
      </c>
      <c r="H247" s="1" t="s">
        <v>55</v>
      </c>
      <c r="J247" s="1" t="s">
        <v>111</v>
      </c>
      <c r="K247" s="1" t="s">
        <v>57</v>
      </c>
      <c r="M247" s="1" t="s">
        <v>58</v>
      </c>
      <c r="N247" s="1" t="s">
        <v>58</v>
      </c>
      <c r="O247" s="1" t="s">
        <v>70</v>
      </c>
      <c r="Q247" s="1" t="s">
        <v>58</v>
      </c>
      <c r="R247" s="1" t="s">
        <v>58</v>
      </c>
      <c r="S247" s="1" t="s">
        <v>58</v>
      </c>
      <c r="T247" s="1" t="s">
        <v>58</v>
      </c>
      <c r="U247" s="1" t="s">
        <v>58</v>
      </c>
      <c r="V247" s="1" t="s">
        <v>58</v>
      </c>
      <c r="W247" s="1" t="s">
        <v>58</v>
      </c>
      <c r="X247" s="1" t="s">
        <v>81</v>
      </c>
      <c r="Y247" s="1" t="s">
        <v>172</v>
      </c>
      <c r="Z247" s="1" t="s">
        <v>96</v>
      </c>
      <c r="AA247" s="2">
        <v>50.0</v>
      </c>
      <c r="AB247" s="1" t="s">
        <v>28</v>
      </c>
      <c r="AC247" s="1" t="s">
        <v>71</v>
      </c>
      <c r="AF247" s="1" t="s">
        <v>51</v>
      </c>
      <c r="AG247" s="1" t="s">
        <v>51</v>
      </c>
      <c r="AH247" s="2">
        <v>400.0</v>
      </c>
      <c r="AI247" s="2">
        <v>0.0</v>
      </c>
      <c r="AJ247" s="2">
        <v>0.0</v>
      </c>
      <c r="AK247" s="2">
        <v>0.0</v>
      </c>
      <c r="AL247" s="2">
        <v>1.0</v>
      </c>
      <c r="AP247" s="2">
        <v>4.9041142E8</v>
      </c>
      <c r="AQ247" s="1" t="s">
        <v>377</v>
      </c>
      <c r="AR247" s="2">
        <v>45809.443032407406</v>
      </c>
      <c r="AU247" s="1" t="s">
        <v>64</v>
      </c>
      <c r="AW247" s="1" t="s">
        <v>255</v>
      </c>
      <c r="AY247" s="2">
        <v>246.0</v>
      </c>
    </row>
    <row r="248">
      <c r="AP248" s="2">
        <v>4.90411487E8</v>
      </c>
      <c r="AQ248" s="1" t="s">
        <v>537</v>
      </c>
      <c r="AR248" s="2">
        <v>45809.443240740744</v>
      </c>
      <c r="AU248" s="1" t="s">
        <v>64</v>
      </c>
      <c r="AW248" s="1" t="s">
        <v>255</v>
      </c>
      <c r="AY248" s="2">
        <v>247.0</v>
      </c>
    </row>
    <row r="249">
      <c r="A249" s="1" t="s">
        <v>51</v>
      </c>
      <c r="C249" s="1" t="s">
        <v>131</v>
      </c>
      <c r="E249" s="1" t="s">
        <v>53</v>
      </c>
      <c r="F249" s="1" t="s">
        <v>54</v>
      </c>
      <c r="G249" s="2">
        <v>26.0</v>
      </c>
      <c r="H249" s="1" t="s">
        <v>55</v>
      </c>
      <c r="I249" s="1" t="s">
        <v>100</v>
      </c>
      <c r="J249" s="1" t="s">
        <v>111</v>
      </c>
      <c r="K249" s="1" t="s">
        <v>74</v>
      </c>
      <c r="M249" s="1" t="s">
        <v>58</v>
      </c>
      <c r="N249" s="1" t="s">
        <v>58</v>
      </c>
      <c r="O249" s="1" t="s">
        <v>69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81</v>
      </c>
      <c r="Y249" s="1" t="s">
        <v>60</v>
      </c>
      <c r="Z249" s="1" t="s">
        <v>108</v>
      </c>
      <c r="AA249" s="2">
        <v>100.0</v>
      </c>
      <c r="AB249" s="1" t="s">
        <v>28</v>
      </c>
      <c r="AC249" s="1" t="s">
        <v>71</v>
      </c>
      <c r="AG249" s="1" t="s">
        <v>51</v>
      </c>
      <c r="AH249" s="2">
        <v>500.0</v>
      </c>
      <c r="AI249" s="2">
        <v>0.0</v>
      </c>
      <c r="AJ249" s="2">
        <v>0.0</v>
      </c>
      <c r="AK249" s="2">
        <v>0.0</v>
      </c>
      <c r="AL249" s="2">
        <v>1.0</v>
      </c>
      <c r="AM249" s="1" t="s">
        <v>51</v>
      </c>
      <c r="AN249" s="2">
        <v>6.99134499E8</v>
      </c>
      <c r="AP249" s="2">
        <v>4.90412359E8</v>
      </c>
      <c r="AQ249" s="1" t="s">
        <v>378</v>
      </c>
      <c r="AR249" s="2">
        <v>45809.445335648146</v>
      </c>
      <c r="AU249" s="1" t="s">
        <v>64</v>
      </c>
      <c r="AW249" s="1" t="s">
        <v>255</v>
      </c>
      <c r="AY249" s="2">
        <v>248.0</v>
      </c>
    </row>
    <row r="250">
      <c r="A250" s="1" t="s">
        <v>51</v>
      </c>
      <c r="C250" s="1" t="s">
        <v>53</v>
      </c>
      <c r="E250" s="1" t="s">
        <v>53</v>
      </c>
      <c r="F250" s="1" t="s">
        <v>54</v>
      </c>
      <c r="G250" s="2">
        <v>41.0</v>
      </c>
      <c r="H250" s="1" t="s">
        <v>55</v>
      </c>
      <c r="I250" s="1" t="s">
        <v>121</v>
      </c>
      <c r="J250" s="1" t="s">
        <v>56</v>
      </c>
      <c r="K250" s="1" t="s">
        <v>87</v>
      </c>
      <c r="M250" s="1" t="s">
        <v>58</v>
      </c>
      <c r="N250" s="1" t="s">
        <v>58</v>
      </c>
      <c r="O250" s="1" t="s">
        <v>58</v>
      </c>
      <c r="Q250" s="1" t="s">
        <v>69</v>
      </c>
      <c r="R250" s="1" t="s">
        <v>69</v>
      </c>
      <c r="S250" s="1" t="s">
        <v>69</v>
      </c>
      <c r="T250" s="1" t="s">
        <v>69</v>
      </c>
      <c r="U250" s="1" t="s">
        <v>58</v>
      </c>
      <c r="V250" s="1" t="s">
        <v>58</v>
      </c>
      <c r="W250" s="1" t="s">
        <v>69</v>
      </c>
      <c r="X250" s="1" t="s">
        <v>81</v>
      </c>
      <c r="Y250" s="1" t="s">
        <v>227</v>
      </c>
      <c r="Z250" s="1" t="s">
        <v>89</v>
      </c>
      <c r="AA250" s="2">
        <v>100.0</v>
      </c>
      <c r="AB250" s="1" t="s">
        <v>62</v>
      </c>
      <c r="AC250" s="1" t="s">
        <v>71</v>
      </c>
      <c r="AF250" s="1" t="s">
        <v>51</v>
      </c>
      <c r="AG250" s="1" t="s">
        <v>51</v>
      </c>
      <c r="AH250" s="2">
        <v>50.0</v>
      </c>
      <c r="AI250" s="2">
        <v>0.0</v>
      </c>
      <c r="AJ250" s="2">
        <v>0.0</v>
      </c>
      <c r="AK250" s="2">
        <v>0.0</v>
      </c>
      <c r="AL250" s="2">
        <v>1.0</v>
      </c>
      <c r="AM250" s="1" t="s">
        <v>51</v>
      </c>
      <c r="AP250" s="2">
        <v>4.90413733E8</v>
      </c>
      <c r="AQ250" s="1" t="s">
        <v>379</v>
      </c>
      <c r="AR250" s="2">
        <v>45809.44829861111</v>
      </c>
      <c r="AU250" s="1" t="s">
        <v>64</v>
      </c>
      <c r="AW250" s="1" t="s">
        <v>255</v>
      </c>
      <c r="AY250" s="2">
        <v>249.0</v>
      </c>
    </row>
    <row r="251">
      <c r="A251" s="1" t="s">
        <v>51</v>
      </c>
      <c r="C251" s="1" t="s">
        <v>151</v>
      </c>
      <c r="E251" s="1" t="s">
        <v>53</v>
      </c>
      <c r="F251" s="1" t="s">
        <v>232</v>
      </c>
      <c r="G251" s="2">
        <v>31.0</v>
      </c>
      <c r="H251" s="1" t="s">
        <v>66</v>
      </c>
      <c r="I251" s="1" t="s">
        <v>100</v>
      </c>
      <c r="J251" s="1" t="s">
        <v>68</v>
      </c>
      <c r="K251" s="1" t="s">
        <v>74</v>
      </c>
      <c r="M251" s="1" t="s">
        <v>58</v>
      </c>
      <c r="N251" s="1" t="s">
        <v>58</v>
      </c>
      <c r="O251" s="1" t="s">
        <v>69</v>
      </c>
      <c r="Q251" s="1" t="s">
        <v>69</v>
      </c>
      <c r="R251" s="1" t="s">
        <v>69</v>
      </c>
      <c r="S251" s="1" t="s">
        <v>58</v>
      </c>
      <c r="T251" s="1" t="s">
        <v>58</v>
      </c>
      <c r="U251" s="1" t="s">
        <v>70</v>
      </c>
      <c r="V251" s="1" t="s">
        <v>58</v>
      </c>
      <c r="W251" s="1" t="s">
        <v>69</v>
      </c>
      <c r="X251" s="1" t="s">
        <v>81</v>
      </c>
      <c r="Y251" s="1" t="s">
        <v>82</v>
      </c>
      <c r="Z251" s="1" t="s">
        <v>61</v>
      </c>
      <c r="AA251" s="2">
        <v>10.0</v>
      </c>
      <c r="AB251" s="1" t="s">
        <v>79</v>
      </c>
      <c r="AC251" s="1" t="s">
        <v>71</v>
      </c>
      <c r="AF251" s="1" t="s">
        <v>51</v>
      </c>
      <c r="AG251" s="1" t="s">
        <v>72</v>
      </c>
      <c r="AI251" s="2">
        <v>1.0</v>
      </c>
      <c r="AJ251" s="2">
        <v>1.0</v>
      </c>
      <c r="AK251" s="2">
        <v>1.0</v>
      </c>
      <c r="AL251" s="2">
        <v>1.0</v>
      </c>
      <c r="AM251" s="1" t="s">
        <v>72</v>
      </c>
      <c r="AP251" s="2">
        <v>4.90413758E8</v>
      </c>
      <c r="AQ251" s="1" t="s">
        <v>380</v>
      </c>
      <c r="AR251" s="2">
        <v>45809.448379629626</v>
      </c>
      <c r="AU251" s="1" t="s">
        <v>64</v>
      </c>
      <c r="AW251" s="1" t="s">
        <v>255</v>
      </c>
      <c r="AY251" s="2">
        <v>250.0</v>
      </c>
    </row>
    <row r="252">
      <c r="A252" s="1" t="s">
        <v>51</v>
      </c>
      <c r="C252" s="1" t="s">
        <v>131</v>
      </c>
      <c r="E252" s="1" t="s">
        <v>53</v>
      </c>
      <c r="F252" s="1" t="s">
        <v>54</v>
      </c>
      <c r="G252" s="2">
        <v>33.0</v>
      </c>
      <c r="H252" s="1" t="s">
        <v>66</v>
      </c>
      <c r="I252" s="1" t="s">
        <v>67</v>
      </c>
      <c r="J252" s="1" t="s">
        <v>111</v>
      </c>
      <c r="K252" s="1" t="s">
        <v>74</v>
      </c>
      <c r="M252" s="1" t="s">
        <v>58</v>
      </c>
      <c r="N252" s="1" t="s">
        <v>58</v>
      </c>
      <c r="O252" s="1" t="s">
        <v>69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81</v>
      </c>
      <c r="Y252" s="1" t="s">
        <v>172</v>
      </c>
      <c r="Z252" s="1" t="s">
        <v>96</v>
      </c>
      <c r="AA252" s="2">
        <v>100.0</v>
      </c>
      <c r="AB252" s="1" t="s">
        <v>79</v>
      </c>
      <c r="AC252" s="1" t="s">
        <v>71</v>
      </c>
      <c r="AF252" s="1" t="s">
        <v>51</v>
      </c>
      <c r="AG252" s="1" t="s">
        <v>51</v>
      </c>
      <c r="AH252" s="2">
        <v>500.0</v>
      </c>
      <c r="AI252" s="2">
        <v>0.0</v>
      </c>
      <c r="AJ252" s="2">
        <v>0.0</v>
      </c>
      <c r="AK252" s="2">
        <v>0.0</v>
      </c>
      <c r="AL252" s="2">
        <v>1.0</v>
      </c>
      <c r="AM252" s="1" t="s">
        <v>51</v>
      </c>
      <c r="AN252" s="2">
        <v>7.27923016E8</v>
      </c>
      <c r="AP252" s="2">
        <v>4.90414212E8</v>
      </c>
      <c r="AQ252" s="1" t="s">
        <v>381</v>
      </c>
      <c r="AR252" s="2">
        <v>45809.44950231481</v>
      </c>
      <c r="AU252" s="1" t="s">
        <v>64</v>
      </c>
      <c r="AW252" s="1" t="s">
        <v>255</v>
      </c>
      <c r="AY252" s="2">
        <v>251.0</v>
      </c>
    </row>
    <row r="253">
      <c r="A253" s="1" t="s">
        <v>51</v>
      </c>
      <c r="C253" s="1" t="s">
        <v>131</v>
      </c>
      <c r="E253" s="1" t="s">
        <v>53</v>
      </c>
      <c r="F253" s="1" t="s">
        <v>54</v>
      </c>
      <c r="G253" s="2">
        <v>29.0</v>
      </c>
      <c r="H253" s="1" t="s">
        <v>55</v>
      </c>
      <c r="I253" s="1" t="s">
        <v>100</v>
      </c>
      <c r="J253" s="1" t="s">
        <v>68</v>
      </c>
      <c r="K253" s="1" t="s">
        <v>57</v>
      </c>
      <c r="M253" s="1" t="s">
        <v>58</v>
      </c>
      <c r="N253" s="1" t="s">
        <v>58</v>
      </c>
      <c r="O253" s="1" t="s">
        <v>70</v>
      </c>
      <c r="Q253" s="1" t="s">
        <v>58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81</v>
      </c>
      <c r="Y253" s="1" t="s">
        <v>172</v>
      </c>
      <c r="Z253" s="1" t="s">
        <v>127</v>
      </c>
      <c r="AA253" s="2">
        <v>50.0</v>
      </c>
      <c r="AB253" s="1" t="s">
        <v>28</v>
      </c>
      <c r="AF253" s="1" t="s">
        <v>51</v>
      </c>
      <c r="AG253" s="1" t="s">
        <v>72</v>
      </c>
      <c r="AI253" s="2">
        <v>0.0</v>
      </c>
      <c r="AJ253" s="2">
        <v>0.0</v>
      </c>
      <c r="AK253" s="2">
        <v>0.0</v>
      </c>
      <c r="AL253" s="2">
        <v>1.0</v>
      </c>
      <c r="AM253" s="1" t="s">
        <v>51</v>
      </c>
      <c r="AN253" s="2">
        <v>7.38978684E8</v>
      </c>
      <c r="AP253" s="2">
        <v>4.9041502E8</v>
      </c>
      <c r="AQ253" s="1" t="s">
        <v>382</v>
      </c>
      <c r="AR253" s="2">
        <v>45809.45144675926</v>
      </c>
      <c r="AU253" s="1" t="s">
        <v>64</v>
      </c>
      <c r="AW253" s="1" t="s">
        <v>255</v>
      </c>
      <c r="AY253" s="2">
        <v>252.0</v>
      </c>
    </row>
    <row r="254">
      <c r="A254" s="1" t="s">
        <v>51</v>
      </c>
      <c r="C254" s="1" t="s">
        <v>131</v>
      </c>
      <c r="E254" s="1" t="s">
        <v>53</v>
      </c>
      <c r="F254" s="1" t="s">
        <v>54</v>
      </c>
      <c r="G254" s="2">
        <v>38.0</v>
      </c>
      <c r="H254" s="1" t="s">
        <v>55</v>
      </c>
      <c r="I254" s="1" t="s">
        <v>67</v>
      </c>
      <c r="J254" s="1" t="s">
        <v>111</v>
      </c>
      <c r="K254" s="1" t="s">
        <v>74</v>
      </c>
      <c r="M254" s="1" t="s">
        <v>58</v>
      </c>
      <c r="N254" s="1" t="s">
        <v>58</v>
      </c>
      <c r="O254" s="1" t="s">
        <v>69</v>
      </c>
      <c r="Q254" s="1" t="s">
        <v>69</v>
      </c>
      <c r="R254" s="1" t="s">
        <v>69</v>
      </c>
      <c r="S254" s="1" t="s">
        <v>58</v>
      </c>
      <c r="T254" s="1" t="s">
        <v>69</v>
      </c>
      <c r="U254" s="1" t="s">
        <v>69</v>
      </c>
      <c r="V254" s="1" t="s">
        <v>69</v>
      </c>
      <c r="W254" s="1" t="s">
        <v>69</v>
      </c>
      <c r="X254" s="1" t="s">
        <v>59</v>
      </c>
      <c r="Y254" s="1" t="s">
        <v>82</v>
      </c>
      <c r="Z254" s="1" t="s">
        <v>96</v>
      </c>
      <c r="AA254" s="2">
        <v>100.0</v>
      </c>
      <c r="AB254" s="1" t="s">
        <v>62</v>
      </c>
      <c r="AC254" s="1" t="s">
        <v>51</v>
      </c>
      <c r="AD254" s="1" t="s">
        <v>81</v>
      </c>
      <c r="AE254" s="1" t="s">
        <v>51</v>
      </c>
      <c r="AF254" s="1" t="s">
        <v>51</v>
      </c>
      <c r="AG254" s="1" t="s">
        <v>51</v>
      </c>
      <c r="AH254" s="2">
        <v>10.0</v>
      </c>
      <c r="AI254" s="2">
        <v>1.0</v>
      </c>
      <c r="AJ254" s="2">
        <v>0.0</v>
      </c>
      <c r="AK254" s="2">
        <v>0.0</v>
      </c>
      <c r="AL254" s="2">
        <v>0.0</v>
      </c>
      <c r="AM254" s="1" t="s">
        <v>51</v>
      </c>
      <c r="AN254" s="2">
        <v>6.04436785E8</v>
      </c>
      <c r="AP254" s="2">
        <v>4.90415423E8</v>
      </c>
      <c r="AQ254" s="1" t="s">
        <v>383</v>
      </c>
      <c r="AR254" s="2">
        <v>45809.452048611114</v>
      </c>
      <c r="AU254" s="1" t="s">
        <v>64</v>
      </c>
      <c r="AW254" s="1" t="s">
        <v>255</v>
      </c>
      <c r="AY254" s="2">
        <v>253.0</v>
      </c>
    </row>
    <row r="255">
      <c r="A255" s="1" t="s">
        <v>51</v>
      </c>
      <c r="C255" s="1" t="s">
        <v>52</v>
      </c>
      <c r="E255" s="1" t="s">
        <v>53</v>
      </c>
      <c r="F255" s="1" t="s">
        <v>54</v>
      </c>
      <c r="G255" s="2">
        <v>43.0</v>
      </c>
      <c r="H255" s="1" t="s">
        <v>55</v>
      </c>
      <c r="I255" s="1" t="s">
        <v>67</v>
      </c>
      <c r="J255" s="1" t="s">
        <v>56</v>
      </c>
      <c r="K255" s="1" t="s">
        <v>57</v>
      </c>
      <c r="M255" s="1" t="s">
        <v>58</v>
      </c>
      <c r="N255" s="1" t="s">
        <v>58</v>
      </c>
      <c r="O255" s="1" t="s">
        <v>69</v>
      </c>
      <c r="Q255" s="1" t="s">
        <v>58</v>
      </c>
      <c r="R255" s="1" t="s">
        <v>58</v>
      </c>
      <c r="S255" s="1" t="s">
        <v>70</v>
      </c>
      <c r="T255" s="1" t="s">
        <v>58</v>
      </c>
      <c r="U255" s="1" t="s">
        <v>58</v>
      </c>
      <c r="V255" s="1" t="s">
        <v>58</v>
      </c>
      <c r="W255" s="1" t="s">
        <v>58</v>
      </c>
      <c r="X255" s="1" t="s">
        <v>81</v>
      </c>
      <c r="Y255" s="1" t="s">
        <v>172</v>
      </c>
      <c r="Z255" s="1" t="s">
        <v>96</v>
      </c>
      <c r="AA255" s="2">
        <v>50.0</v>
      </c>
      <c r="AB255" s="1" t="s">
        <v>28</v>
      </c>
      <c r="AC255" s="1" t="s">
        <v>71</v>
      </c>
      <c r="AF255" s="1" t="s">
        <v>51</v>
      </c>
      <c r="AG255" s="1" t="s">
        <v>51</v>
      </c>
      <c r="AH255" s="2">
        <v>500.0</v>
      </c>
      <c r="AI255" s="2">
        <v>0.0</v>
      </c>
      <c r="AJ255" s="2">
        <v>0.0</v>
      </c>
      <c r="AK255" s="2">
        <v>0.0</v>
      </c>
      <c r="AL255" s="2">
        <v>1.0</v>
      </c>
      <c r="AM255" s="1" t="s">
        <v>51</v>
      </c>
      <c r="AN255" s="2">
        <v>7.12667257E8</v>
      </c>
      <c r="AP255" s="2">
        <v>4.90415882E8</v>
      </c>
      <c r="AQ255" s="1" t="s">
        <v>384</v>
      </c>
      <c r="AR255" s="2">
        <v>45809.45297453704</v>
      </c>
      <c r="AU255" s="1" t="s">
        <v>64</v>
      </c>
      <c r="AW255" s="1" t="s">
        <v>255</v>
      </c>
      <c r="AY255" s="2">
        <v>254.0</v>
      </c>
    </row>
    <row r="256">
      <c r="A256" s="1" t="s">
        <v>51</v>
      </c>
      <c r="C256" s="1" t="s">
        <v>52</v>
      </c>
      <c r="E256" s="1" t="s">
        <v>53</v>
      </c>
      <c r="F256" s="1" t="s">
        <v>54</v>
      </c>
      <c r="G256" s="2">
        <v>36.0</v>
      </c>
      <c r="H256" s="1" t="s">
        <v>66</v>
      </c>
      <c r="I256" s="1" t="s">
        <v>67</v>
      </c>
      <c r="J256" s="1" t="s">
        <v>111</v>
      </c>
      <c r="K256" s="1" t="s">
        <v>57</v>
      </c>
      <c r="M256" s="1" t="s">
        <v>58</v>
      </c>
      <c r="N256" s="1" t="s">
        <v>58</v>
      </c>
      <c r="O256" s="1" t="s">
        <v>69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81</v>
      </c>
      <c r="Y256" s="1" t="s">
        <v>82</v>
      </c>
      <c r="Z256" s="1" t="s">
        <v>127</v>
      </c>
      <c r="AA256" s="2">
        <v>100.0</v>
      </c>
      <c r="AB256" s="1" t="s">
        <v>28</v>
      </c>
      <c r="AC256" s="1" t="s">
        <v>71</v>
      </c>
      <c r="AF256" s="1" t="s">
        <v>51</v>
      </c>
      <c r="AG256" s="1" t="s">
        <v>72</v>
      </c>
      <c r="AI256" s="2">
        <v>1.0</v>
      </c>
      <c r="AJ256" s="2">
        <v>0.0</v>
      </c>
      <c r="AK256" s="2">
        <v>0.0</v>
      </c>
      <c r="AL256" s="2">
        <v>0.0</v>
      </c>
      <c r="AM256" s="1" t="s">
        <v>51</v>
      </c>
      <c r="AN256" s="2">
        <v>8.37472508E8</v>
      </c>
      <c r="AP256" s="2">
        <v>4.90416674E8</v>
      </c>
      <c r="AQ256" s="1" t="s">
        <v>385</v>
      </c>
      <c r="AR256" s="2">
        <v>45809.45445601852</v>
      </c>
      <c r="AU256" s="1" t="s">
        <v>64</v>
      </c>
      <c r="AW256" s="1" t="s">
        <v>255</v>
      </c>
      <c r="AY256" s="2">
        <v>255.0</v>
      </c>
    </row>
    <row r="257">
      <c r="A257" s="1" t="s">
        <v>51</v>
      </c>
      <c r="C257" s="1" t="s">
        <v>52</v>
      </c>
      <c r="E257" s="1" t="s">
        <v>53</v>
      </c>
      <c r="F257" s="1" t="s">
        <v>54</v>
      </c>
      <c r="G257" s="2">
        <v>33.0</v>
      </c>
      <c r="H257" s="1" t="s">
        <v>55</v>
      </c>
      <c r="I257" s="1" t="s">
        <v>100</v>
      </c>
      <c r="J257" s="1" t="s">
        <v>111</v>
      </c>
      <c r="K257" s="1" t="s">
        <v>57</v>
      </c>
      <c r="M257" s="1" t="s">
        <v>58</v>
      </c>
      <c r="N257" s="1" t="s">
        <v>58</v>
      </c>
      <c r="O257" s="1" t="s">
        <v>70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81</v>
      </c>
      <c r="Y257" s="1" t="s">
        <v>172</v>
      </c>
      <c r="AA257" s="2">
        <v>50.0</v>
      </c>
      <c r="AB257" s="1" t="s">
        <v>28</v>
      </c>
      <c r="AC257" s="1" t="s">
        <v>71</v>
      </c>
      <c r="AF257" s="1" t="s">
        <v>51</v>
      </c>
      <c r="AG257" s="1" t="s">
        <v>72</v>
      </c>
      <c r="AI257" s="2">
        <v>0.0</v>
      </c>
      <c r="AJ257" s="2">
        <v>0.0</v>
      </c>
      <c r="AK257" s="2">
        <v>0.0</v>
      </c>
      <c r="AL257" s="2">
        <v>1.0</v>
      </c>
      <c r="AM257" s="1" t="s">
        <v>51</v>
      </c>
      <c r="AN257" s="2">
        <v>7.87472508E8</v>
      </c>
      <c r="AP257" s="2">
        <v>4.90417179E8</v>
      </c>
      <c r="AQ257" s="1" t="s">
        <v>386</v>
      </c>
      <c r="AR257" s="2">
        <v>45809.455555555556</v>
      </c>
      <c r="AU257" s="1" t="s">
        <v>64</v>
      </c>
      <c r="AW257" s="1" t="s">
        <v>255</v>
      </c>
      <c r="AY257" s="2">
        <v>256.0</v>
      </c>
    </row>
    <row r="258">
      <c r="A258" s="1" t="s">
        <v>51</v>
      </c>
      <c r="C258" s="1" t="s">
        <v>52</v>
      </c>
      <c r="E258" s="1" t="s">
        <v>53</v>
      </c>
      <c r="F258" s="1" t="s">
        <v>54</v>
      </c>
      <c r="G258" s="2">
        <v>45.0</v>
      </c>
      <c r="H258" s="1" t="s">
        <v>66</v>
      </c>
      <c r="I258" s="1" t="s">
        <v>100</v>
      </c>
      <c r="J258" s="1" t="s">
        <v>111</v>
      </c>
      <c r="K258" s="1" t="s">
        <v>74</v>
      </c>
      <c r="M258" s="1" t="s">
        <v>58</v>
      </c>
      <c r="N258" s="1" t="s">
        <v>58</v>
      </c>
      <c r="O258" s="1" t="s">
        <v>69</v>
      </c>
      <c r="Q258" s="1" t="s">
        <v>58</v>
      </c>
      <c r="R258" s="1" t="s">
        <v>58</v>
      </c>
      <c r="S258" s="1" t="s">
        <v>58</v>
      </c>
      <c r="T258" s="1" t="s">
        <v>58</v>
      </c>
      <c r="U258" s="1" t="s">
        <v>58</v>
      </c>
      <c r="V258" s="1" t="s">
        <v>58</v>
      </c>
      <c r="W258" s="1" t="s">
        <v>58</v>
      </c>
      <c r="X258" s="1" t="s">
        <v>81</v>
      </c>
      <c r="Y258" s="1" t="s">
        <v>60</v>
      </c>
      <c r="Z258" s="1" t="s">
        <v>96</v>
      </c>
      <c r="AA258" s="2">
        <v>100.0</v>
      </c>
      <c r="AB258" s="1" t="s">
        <v>79</v>
      </c>
      <c r="AC258" s="1" t="s">
        <v>71</v>
      </c>
      <c r="AF258" s="1" t="s">
        <v>51</v>
      </c>
      <c r="AG258" s="1" t="s">
        <v>72</v>
      </c>
      <c r="AI258" s="2">
        <v>0.0</v>
      </c>
      <c r="AJ258" s="2">
        <v>0.0</v>
      </c>
      <c r="AK258" s="2">
        <v>0.0</v>
      </c>
      <c r="AL258" s="2">
        <v>1.0</v>
      </c>
      <c r="AM258" s="1" t="s">
        <v>51</v>
      </c>
      <c r="AN258" s="2">
        <v>7.19438817E8</v>
      </c>
      <c r="AP258" s="2">
        <v>4.90417778E8</v>
      </c>
      <c r="AQ258" s="1" t="s">
        <v>387</v>
      </c>
      <c r="AR258" s="2">
        <v>45809.457094907404</v>
      </c>
      <c r="AU258" s="1" t="s">
        <v>64</v>
      </c>
      <c r="AW258" s="1" t="s">
        <v>255</v>
      </c>
      <c r="AY258" s="2">
        <v>257.0</v>
      </c>
    </row>
    <row r="259">
      <c r="A259" s="1" t="s">
        <v>51</v>
      </c>
      <c r="C259" s="1" t="s">
        <v>52</v>
      </c>
      <c r="E259" s="1" t="s">
        <v>53</v>
      </c>
      <c r="F259" s="1" t="s">
        <v>54</v>
      </c>
      <c r="G259" s="2">
        <v>44.0</v>
      </c>
      <c r="H259" s="1" t="s">
        <v>66</v>
      </c>
      <c r="I259" s="1" t="s">
        <v>67</v>
      </c>
      <c r="J259" s="1" t="s">
        <v>68</v>
      </c>
      <c r="K259" s="1" t="s">
        <v>74</v>
      </c>
      <c r="M259" s="1" t="s">
        <v>58</v>
      </c>
      <c r="N259" s="1" t="s">
        <v>58</v>
      </c>
      <c r="O259" s="1" t="s">
        <v>69</v>
      </c>
      <c r="Q259" s="1" t="s">
        <v>58</v>
      </c>
      <c r="R259" s="1" t="s">
        <v>58</v>
      </c>
      <c r="S259" s="1" t="s">
        <v>69</v>
      </c>
      <c r="T259" s="1" t="s">
        <v>69</v>
      </c>
      <c r="U259" s="1" t="s">
        <v>58</v>
      </c>
      <c r="V259" s="1" t="s">
        <v>58</v>
      </c>
      <c r="W259" s="1" t="s">
        <v>69</v>
      </c>
      <c r="Y259" s="1" t="s">
        <v>82</v>
      </c>
      <c r="Z259" s="1" t="s">
        <v>96</v>
      </c>
      <c r="AA259" s="2">
        <v>100.0</v>
      </c>
      <c r="AB259" s="1" t="s">
        <v>28</v>
      </c>
      <c r="AC259" s="1" t="s">
        <v>71</v>
      </c>
      <c r="AF259" s="1" t="s">
        <v>51</v>
      </c>
      <c r="AG259" s="1" t="s">
        <v>72</v>
      </c>
      <c r="AI259" s="2">
        <v>0.0</v>
      </c>
      <c r="AJ259" s="2">
        <v>0.0</v>
      </c>
      <c r="AK259" s="2">
        <v>0.0</v>
      </c>
      <c r="AL259" s="2">
        <v>1.0</v>
      </c>
      <c r="AM259" s="1" t="s">
        <v>51</v>
      </c>
      <c r="AN259" s="2">
        <v>6.56267166E8</v>
      </c>
      <c r="AP259" s="2">
        <v>4.90418598E8</v>
      </c>
      <c r="AQ259" s="1" t="s">
        <v>388</v>
      </c>
      <c r="AR259" s="2">
        <v>45809.45890046296</v>
      </c>
      <c r="AU259" s="1" t="s">
        <v>64</v>
      </c>
      <c r="AW259" s="1" t="s">
        <v>255</v>
      </c>
      <c r="AY259" s="2">
        <v>258.0</v>
      </c>
    </row>
    <row r="260">
      <c r="A260" s="1" t="s">
        <v>51</v>
      </c>
      <c r="C260" s="1" t="s">
        <v>52</v>
      </c>
      <c r="E260" s="1" t="s">
        <v>53</v>
      </c>
      <c r="F260" s="1" t="s">
        <v>54</v>
      </c>
      <c r="G260" s="2">
        <v>29.0</v>
      </c>
      <c r="H260" s="1" t="s">
        <v>66</v>
      </c>
      <c r="I260" s="1" t="s">
        <v>67</v>
      </c>
      <c r="J260" s="1" t="s">
        <v>111</v>
      </c>
      <c r="K260" s="1" t="s">
        <v>74</v>
      </c>
      <c r="M260" s="1" t="s">
        <v>58</v>
      </c>
      <c r="N260" s="1" t="s">
        <v>58</v>
      </c>
      <c r="O260" s="1" t="s">
        <v>58</v>
      </c>
      <c r="Q260" s="1" t="s">
        <v>58</v>
      </c>
      <c r="R260" s="1" t="s">
        <v>58</v>
      </c>
      <c r="S260" s="1" t="s">
        <v>58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81</v>
      </c>
      <c r="Y260" s="1" t="s">
        <v>172</v>
      </c>
      <c r="Z260" s="1" t="s">
        <v>127</v>
      </c>
      <c r="AA260" s="2">
        <v>100.0</v>
      </c>
      <c r="AB260" s="1" t="s">
        <v>28</v>
      </c>
      <c r="AC260" s="1" t="s">
        <v>71</v>
      </c>
      <c r="AF260" s="1" t="s">
        <v>51</v>
      </c>
      <c r="AI260" s="2">
        <v>0.0</v>
      </c>
      <c r="AJ260" s="2">
        <v>0.0</v>
      </c>
      <c r="AK260" s="2">
        <v>0.0</v>
      </c>
      <c r="AL260" s="2">
        <v>1.0</v>
      </c>
      <c r="AM260" s="1" t="s">
        <v>51</v>
      </c>
      <c r="AN260" s="2">
        <v>7.38839923E8</v>
      </c>
      <c r="AP260" s="2">
        <v>4.904193E8</v>
      </c>
      <c r="AQ260" s="1" t="s">
        <v>389</v>
      </c>
      <c r="AR260" s="2">
        <v>45809.46008101852</v>
      </c>
      <c r="AU260" s="1" t="s">
        <v>64</v>
      </c>
      <c r="AW260" s="1" t="s">
        <v>255</v>
      </c>
      <c r="AY260" s="2">
        <v>259.0</v>
      </c>
    </row>
    <row r="261">
      <c r="A261" s="1" t="s">
        <v>51</v>
      </c>
      <c r="C261" s="1" t="s">
        <v>52</v>
      </c>
      <c r="E261" s="1" t="s">
        <v>53</v>
      </c>
      <c r="F261" s="1" t="s">
        <v>54</v>
      </c>
      <c r="G261" s="2">
        <v>40.0</v>
      </c>
      <c r="H261" s="1" t="s">
        <v>55</v>
      </c>
      <c r="I261" s="1" t="s">
        <v>67</v>
      </c>
      <c r="J261" s="1" t="s">
        <v>111</v>
      </c>
      <c r="K261" s="1" t="s">
        <v>74</v>
      </c>
      <c r="M261" s="1" t="s">
        <v>58</v>
      </c>
      <c r="N261" s="1" t="s">
        <v>58</v>
      </c>
      <c r="O261" s="1" t="s">
        <v>69</v>
      </c>
      <c r="Q261" s="1" t="s">
        <v>58</v>
      </c>
      <c r="R261" s="1" t="s">
        <v>58</v>
      </c>
      <c r="S261" s="1" t="s">
        <v>69</v>
      </c>
      <c r="T261" s="1" t="s">
        <v>58</v>
      </c>
      <c r="U261" s="1" t="s">
        <v>70</v>
      </c>
      <c r="V261" s="1" t="s">
        <v>58</v>
      </c>
      <c r="W261" s="1" t="s">
        <v>69</v>
      </c>
      <c r="X261" s="1" t="s">
        <v>59</v>
      </c>
      <c r="Z261" s="1" t="s">
        <v>89</v>
      </c>
      <c r="AA261" s="2">
        <v>50.0</v>
      </c>
      <c r="AB261" s="1" t="s">
        <v>62</v>
      </c>
      <c r="AC261" s="1" t="s">
        <v>51</v>
      </c>
      <c r="AD261" s="1" t="s">
        <v>81</v>
      </c>
      <c r="AE261" s="1" t="s">
        <v>51</v>
      </c>
      <c r="AF261" s="1" t="s">
        <v>51</v>
      </c>
      <c r="AG261" s="1" t="s">
        <v>51</v>
      </c>
      <c r="AH261" s="2">
        <v>20.0</v>
      </c>
      <c r="AI261" s="2">
        <v>1.0</v>
      </c>
      <c r="AJ261" s="2">
        <v>0.0</v>
      </c>
      <c r="AK261" s="2">
        <v>0.0</v>
      </c>
      <c r="AL261" s="2">
        <v>0.0</v>
      </c>
      <c r="AM261" s="1" t="s">
        <v>51</v>
      </c>
      <c r="AN261" s="2">
        <v>6.2639941E8</v>
      </c>
      <c r="AP261" s="2">
        <v>4.90422919E8</v>
      </c>
      <c r="AQ261" s="1" t="s">
        <v>390</v>
      </c>
      <c r="AR261" s="2">
        <v>45809.46800925926</v>
      </c>
      <c r="AU261" s="1" t="s">
        <v>64</v>
      </c>
      <c r="AW261" s="1" t="s">
        <v>255</v>
      </c>
      <c r="AY261" s="2">
        <v>260.0</v>
      </c>
    </row>
    <row r="262">
      <c r="A262" s="1" t="s">
        <v>51</v>
      </c>
      <c r="C262" s="1" t="s">
        <v>52</v>
      </c>
      <c r="E262" s="1" t="s">
        <v>53</v>
      </c>
      <c r="F262" s="1" t="s">
        <v>54</v>
      </c>
      <c r="G262" s="2">
        <v>29.0</v>
      </c>
      <c r="H262" s="1" t="s">
        <v>55</v>
      </c>
      <c r="I262" s="1" t="s">
        <v>100</v>
      </c>
      <c r="J262" s="1" t="s">
        <v>68</v>
      </c>
      <c r="K262" s="1" t="s">
        <v>57</v>
      </c>
      <c r="M262" s="1" t="s">
        <v>58</v>
      </c>
      <c r="N262" s="1" t="s">
        <v>58</v>
      </c>
      <c r="O262" s="1" t="s">
        <v>69</v>
      </c>
      <c r="Q262" s="1" t="s">
        <v>58</v>
      </c>
      <c r="R262" s="1" t="s">
        <v>58</v>
      </c>
      <c r="S262" s="1" t="s">
        <v>58</v>
      </c>
      <c r="T262" s="1" t="s">
        <v>58</v>
      </c>
      <c r="U262" s="1" t="s">
        <v>58</v>
      </c>
      <c r="V262" s="1" t="s">
        <v>58</v>
      </c>
      <c r="W262" s="1" t="s">
        <v>58</v>
      </c>
      <c r="X262" s="1" t="s">
        <v>81</v>
      </c>
      <c r="Y262" s="1" t="s">
        <v>172</v>
      </c>
      <c r="Z262" s="1" t="s">
        <v>96</v>
      </c>
      <c r="AA262" s="2">
        <v>100.0</v>
      </c>
      <c r="AB262" s="1" t="s">
        <v>28</v>
      </c>
      <c r="AC262" s="1" t="s">
        <v>71</v>
      </c>
      <c r="AF262" s="1" t="s">
        <v>51</v>
      </c>
      <c r="AG262" s="1" t="s">
        <v>72</v>
      </c>
      <c r="AI262" s="2">
        <v>0.0</v>
      </c>
      <c r="AJ262" s="2">
        <v>0.0</v>
      </c>
      <c r="AK262" s="2">
        <v>0.0</v>
      </c>
      <c r="AL262" s="2">
        <v>1.0</v>
      </c>
      <c r="AM262" s="1" t="s">
        <v>51</v>
      </c>
      <c r="AN262" s="2">
        <v>6.7069764E8</v>
      </c>
      <c r="AP262" s="2">
        <v>4.90424099E8</v>
      </c>
      <c r="AQ262" s="1" t="s">
        <v>391</v>
      </c>
      <c r="AR262" s="2">
        <v>45809.47068287037</v>
      </c>
      <c r="AU262" s="1" t="s">
        <v>64</v>
      </c>
      <c r="AW262" s="1" t="s">
        <v>255</v>
      </c>
      <c r="AY262" s="2">
        <v>261.0</v>
      </c>
    </row>
    <row r="263">
      <c r="A263" s="1" t="s">
        <v>51</v>
      </c>
      <c r="C263" s="1" t="s">
        <v>52</v>
      </c>
      <c r="E263" s="1" t="s">
        <v>53</v>
      </c>
      <c r="F263" s="1" t="s">
        <v>54</v>
      </c>
      <c r="G263" s="2">
        <v>30.0</v>
      </c>
      <c r="H263" s="1" t="s">
        <v>55</v>
      </c>
      <c r="I263" s="1" t="s">
        <v>100</v>
      </c>
      <c r="J263" s="1" t="s">
        <v>68</v>
      </c>
      <c r="K263" s="1" t="s">
        <v>74</v>
      </c>
      <c r="M263" s="1" t="s">
        <v>58</v>
      </c>
      <c r="N263" s="1" t="s">
        <v>58</v>
      </c>
      <c r="O263" s="1" t="s">
        <v>69</v>
      </c>
      <c r="Q263" s="1" t="s">
        <v>69</v>
      </c>
      <c r="R263" s="1" t="s">
        <v>58</v>
      </c>
      <c r="S263" s="1" t="s">
        <v>58</v>
      </c>
      <c r="T263" s="1" t="s">
        <v>58</v>
      </c>
      <c r="U263" s="1" t="s">
        <v>58</v>
      </c>
      <c r="V263" s="1" t="s">
        <v>58</v>
      </c>
      <c r="W263" s="1" t="s">
        <v>58</v>
      </c>
      <c r="X263" s="1" t="s">
        <v>81</v>
      </c>
      <c r="Y263" s="1" t="s">
        <v>172</v>
      </c>
      <c r="Z263" s="1" t="s">
        <v>96</v>
      </c>
      <c r="AA263" s="2">
        <v>100.0</v>
      </c>
      <c r="AB263" s="1" t="s">
        <v>79</v>
      </c>
      <c r="AC263" s="1" t="s">
        <v>71</v>
      </c>
      <c r="AF263" s="1" t="s">
        <v>51</v>
      </c>
      <c r="AI263" s="2">
        <v>0.0</v>
      </c>
      <c r="AJ263" s="2">
        <v>0.0</v>
      </c>
      <c r="AK263" s="2">
        <v>0.0</v>
      </c>
      <c r="AL263" s="2">
        <v>1.0</v>
      </c>
      <c r="AM263" s="1" t="s">
        <v>51</v>
      </c>
      <c r="AN263" s="2">
        <v>8.18158267E8</v>
      </c>
      <c r="AP263" s="2">
        <v>4.90424695E8</v>
      </c>
      <c r="AQ263" s="1" t="s">
        <v>392</v>
      </c>
      <c r="AR263" s="2">
        <v>45809.47248842593</v>
      </c>
      <c r="AU263" s="1" t="s">
        <v>64</v>
      </c>
      <c r="AW263" s="1" t="s">
        <v>255</v>
      </c>
      <c r="AY263" s="2">
        <v>262.0</v>
      </c>
    </row>
    <row r="264">
      <c r="A264" s="1" t="s">
        <v>51</v>
      </c>
      <c r="C264" s="1" t="s">
        <v>52</v>
      </c>
      <c r="E264" s="1" t="s">
        <v>53</v>
      </c>
      <c r="F264" s="1" t="s">
        <v>54</v>
      </c>
      <c r="G264" s="2">
        <v>27.0</v>
      </c>
      <c r="H264" s="1" t="s">
        <v>55</v>
      </c>
      <c r="I264" s="1" t="s">
        <v>100</v>
      </c>
      <c r="J264" s="1" t="s">
        <v>68</v>
      </c>
      <c r="K264" s="1" t="s">
        <v>74</v>
      </c>
      <c r="M264" s="1" t="s">
        <v>58</v>
      </c>
      <c r="N264" s="1" t="s">
        <v>58</v>
      </c>
      <c r="O264" s="1" t="s">
        <v>69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81</v>
      </c>
      <c r="Y264" s="1" t="s">
        <v>172</v>
      </c>
      <c r="Z264" s="1" t="s">
        <v>96</v>
      </c>
      <c r="AA264" s="2">
        <v>50.0</v>
      </c>
      <c r="AB264" s="1" t="s">
        <v>79</v>
      </c>
      <c r="AC264" s="1" t="s">
        <v>71</v>
      </c>
      <c r="AF264" s="1" t="s">
        <v>51</v>
      </c>
      <c r="AG264" s="1" t="s">
        <v>51</v>
      </c>
      <c r="AH264" s="2">
        <v>300.0</v>
      </c>
      <c r="AI264" s="2">
        <v>0.0</v>
      </c>
      <c r="AJ264" s="2">
        <v>0.0</v>
      </c>
      <c r="AK264" s="2">
        <v>0.0</v>
      </c>
      <c r="AL264" s="2">
        <v>1.0</v>
      </c>
      <c r="AM264" s="1" t="s">
        <v>51</v>
      </c>
      <c r="AN264" s="2">
        <v>7.29861635E8</v>
      </c>
      <c r="AP264" s="2">
        <v>4.90425587E8</v>
      </c>
      <c r="AQ264" s="1" t="s">
        <v>393</v>
      </c>
      <c r="AR264" s="2">
        <v>45809.474270833336</v>
      </c>
      <c r="AU264" s="1" t="s">
        <v>64</v>
      </c>
      <c r="AW264" s="1" t="s">
        <v>255</v>
      </c>
      <c r="AY264" s="2">
        <v>263.0</v>
      </c>
    </row>
    <row r="265">
      <c r="A265" s="1" t="s">
        <v>51</v>
      </c>
      <c r="C265" s="1" t="s">
        <v>170</v>
      </c>
      <c r="E265" s="1" t="s">
        <v>53</v>
      </c>
      <c r="F265" s="1" t="s">
        <v>102</v>
      </c>
      <c r="G265" s="2">
        <v>37.0</v>
      </c>
      <c r="H265" s="1" t="s">
        <v>55</v>
      </c>
      <c r="I265" s="1" t="s">
        <v>100</v>
      </c>
      <c r="J265" s="1" t="s">
        <v>68</v>
      </c>
      <c r="K265" s="1" t="s">
        <v>78</v>
      </c>
      <c r="M265" s="1" t="s">
        <v>70</v>
      </c>
      <c r="N265" s="1" t="s">
        <v>70</v>
      </c>
      <c r="O265" s="1" t="s">
        <v>69</v>
      </c>
      <c r="Q265" s="1" t="s">
        <v>58</v>
      </c>
      <c r="R265" s="1" t="s">
        <v>58</v>
      </c>
      <c r="S265" s="1" t="s">
        <v>58</v>
      </c>
      <c r="T265" s="1" t="s">
        <v>69</v>
      </c>
      <c r="U265" s="1" t="s">
        <v>69</v>
      </c>
      <c r="V265" s="1" t="s">
        <v>69</v>
      </c>
      <c r="W265" s="1" t="s">
        <v>69</v>
      </c>
      <c r="X265" s="1" t="s">
        <v>81</v>
      </c>
      <c r="Y265" s="1" t="s">
        <v>60</v>
      </c>
      <c r="Z265" s="1" t="s">
        <v>61</v>
      </c>
      <c r="AA265" s="2">
        <v>10.0</v>
      </c>
      <c r="AB265" s="1" t="s">
        <v>79</v>
      </c>
      <c r="AC265" s="1" t="s">
        <v>71</v>
      </c>
      <c r="AF265" s="1" t="s">
        <v>51</v>
      </c>
      <c r="AG265" s="1" t="s">
        <v>72</v>
      </c>
      <c r="AI265" s="2">
        <v>0.0</v>
      </c>
      <c r="AJ265" s="2">
        <v>0.0</v>
      </c>
      <c r="AK265" s="2">
        <v>0.0</v>
      </c>
      <c r="AL265" s="2">
        <v>1.0</v>
      </c>
      <c r="AM265" s="1" t="s">
        <v>72</v>
      </c>
      <c r="AP265" s="2">
        <v>4.90425591E8</v>
      </c>
      <c r="AQ265" s="1" t="s">
        <v>394</v>
      </c>
      <c r="AR265" s="2">
        <v>45809.474270833336</v>
      </c>
      <c r="AU265" s="1" t="s">
        <v>64</v>
      </c>
      <c r="AW265" s="1" t="s">
        <v>255</v>
      </c>
      <c r="AY265" s="2">
        <v>264.0</v>
      </c>
    </row>
    <row r="266">
      <c r="A266" s="1" t="s">
        <v>51</v>
      </c>
      <c r="C266" s="1" t="s">
        <v>52</v>
      </c>
      <c r="E266" s="1" t="s">
        <v>53</v>
      </c>
      <c r="F266" s="1" t="s">
        <v>54</v>
      </c>
      <c r="G266" s="2">
        <v>36.0</v>
      </c>
      <c r="H266" s="1" t="s">
        <v>55</v>
      </c>
      <c r="I266" s="1" t="s">
        <v>100</v>
      </c>
      <c r="J266" s="1" t="s">
        <v>111</v>
      </c>
      <c r="K266" s="1" t="s">
        <v>74</v>
      </c>
      <c r="M266" s="1" t="s">
        <v>58</v>
      </c>
      <c r="N266" s="1" t="s">
        <v>58</v>
      </c>
      <c r="O266" s="1" t="s">
        <v>69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69</v>
      </c>
      <c r="V266" s="1" t="s">
        <v>69</v>
      </c>
      <c r="W266" s="1" t="s">
        <v>69</v>
      </c>
      <c r="X266" s="1" t="s">
        <v>59</v>
      </c>
      <c r="Y266" s="1" t="s">
        <v>172</v>
      </c>
      <c r="Z266" s="1" t="s">
        <v>96</v>
      </c>
      <c r="AA266" s="2">
        <v>50.0</v>
      </c>
      <c r="AB266" s="1" t="s">
        <v>28</v>
      </c>
      <c r="AC266" s="1" t="s">
        <v>71</v>
      </c>
      <c r="AF266" s="1" t="s">
        <v>51</v>
      </c>
      <c r="AG266" s="1" t="s">
        <v>51</v>
      </c>
      <c r="AH266" s="2">
        <v>400.0</v>
      </c>
      <c r="AI266" s="2">
        <v>0.0</v>
      </c>
      <c r="AJ266" s="2">
        <v>0.0</v>
      </c>
      <c r="AK266" s="2">
        <v>0.0</v>
      </c>
      <c r="AL266" s="2">
        <v>1.0</v>
      </c>
      <c r="AM266" s="1" t="s">
        <v>51</v>
      </c>
      <c r="AN266" s="2">
        <v>8.43748237E8</v>
      </c>
      <c r="AP266" s="2">
        <v>4.9042629E8</v>
      </c>
      <c r="AQ266" s="1" t="s">
        <v>395</v>
      </c>
      <c r="AR266" s="2">
        <v>45809.47556712963</v>
      </c>
      <c r="AU266" s="1" t="s">
        <v>64</v>
      </c>
      <c r="AW266" s="1" t="s">
        <v>255</v>
      </c>
      <c r="AY266" s="2">
        <v>265.0</v>
      </c>
    </row>
    <row r="267">
      <c r="A267" s="1" t="s">
        <v>51</v>
      </c>
      <c r="C267" s="1" t="s">
        <v>52</v>
      </c>
      <c r="E267" s="1" t="s">
        <v>53</v>
      </c>
      <c r="F267" s="1" t="s">
        <v>54</v>
      </c>
      <c r="G267" s="2">
        <v>33.0</v>
      </c>
      <c r="H267" s="1" t="s">
        <v>55</v>
      </c>
      <c r="I267" s="1" t="s">
        <v>67</v>
      </c>
      <c r="J267" s="1" t="s">
        <v>56</v>
      </c>
      <c r="K267" s="1" t="s">
        <v>74</v>
      </c>
      <c r="M267" s="1" t="s">
        <v>58</v>
      </c>
      <c r="N267" s="1" t="s">
        <v>58</v>
      </c>
      <c r="O267" s="1" t="s">
        <v>58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81</v>
      </c>
      <c r="Y267" s="1" t="s">
        <v>82</v>
      </c>
      <c r="Z267" s="1" t="s">
        <v>96</v>
      </c>
      <c r="AA267" s="2">
        <v>50.0</v>
      </c>
      <c r="AB267" s="1" t="s">
        <v>79</v>
      </c>
      <c r="AC267" s="1" t="s">
        <v>71</v>
      </c>
      <c r="AF267" s="1" t="s">
        <v>51</v>
      </c>
      <c r="AI267" s="2">
        <v>0.0</v>
      </c>
      <c r="AJ267" s="2">
        <v>1.0</v>
      </c>
      <c r="AK267" s="2">
        <v>0.0</v>
      </c>
      <c r="AL267" s="2">
        <v>0.0</v>
      </c>
      <c r="AM267" s="1" t="s">
        <v>51</v>
      </c>
      <c r="AN267" s="2">
        <v>7.42414746E8</v>
      </c>
      <c r="AP267" s="2">
        <v>4.90426878E8</v>
      </c>
      <c r="AQ267" s="1" t="s">
        <v>396</v>
      </c>
      <c r="AR267" s="2">
        <v>45809.476689814815</v>
      </c>
      <c r="AU267" s="1" t="s">
        <v>64</v>
      </c>
      <c r="AW267" s="1" t="s">
        <v>255</v>
      </c>
      <c r="AY267" s="2">
        <v>266.0</v>
      </c>
    </row>
    <row r="268">
      <c r="A268" s="1" t="s">
        <v>51</v>
      </c>
      <c r="C268" s="1" t="s">
        <v>52</v>
      </c>
      <c r="E268" s="1" t="s">
        <v>53</v>
      </c>
      <c r="G268" s="2">
        <v>26.0</v>
      </c>
      <c r="H268" s="1" t="s">
        <v>66</v>
      </c>
      <c r="I268" s="1" t="s">
        <v>67</v>
      </c>
      <c r="J268" s="1" t="s">
        <v>56</v>
      </c>
      <c r="K268" s="1" t="s">
        <v>74</v>
      </c>
      <c r="M268" s="1" t="s">
        <v>58</v>
      </c>
      <c r="N268" s="1" t="s">
        <v>58</v>
      </c>
      <c r="O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81</v>
      </c>
      <c r="Y268" s="1" t="s">
        <v>172</v>
      </c>
      <c r="Z268" s="1" t="s">
        <v>96</v>
      </c>
      <c r="AA268" s="2">
        <v>50.0</v>
      </c>
      <c r="AB268" s="1" t="s">
        <v>79</v>
      </c>
      <c r="AC268" s="1" t="s">
        <v>71</v>
      </c>
      <c r="AF268" s="1" t="s">
        <v>51</v>
      </c>
      <c r="AI268" s="2">
        <v>0.0</v>
      </c>
      <c r="AJ268" s="2">
        <v>0.0</v>
      </c>
      <c r="AK268" s="2">
        <v>0.0</v>
      </c>
      <c r="AL268" s="2">
        <v>1.0</v>
      </c>
      <c r="AM268" s="1" t="s">
        <v>51</v>
      </c>
      <c r="AN268" s="2">
        <v>7.43074844E8</v>
      </c>
      <c r="AP268" s="2">
        <v>4.90427639E8</v>
      </c>
      <c r="AQ268" s="1" t="s">
        <v>397</v>
      </c>
      <c r="AR268" s="2">
        <v>45809.477858796294</v>
      </c>
      <c r="AU268" s="1" t="s">
        <v>64</v>
      </c>
      <c r="AW268" s="1" t="s">
        <v>255</v>
      </c>
      <c r="AY268" s="2">
        <v>267.0</v>
      </c>
    </row>
    <row r="269">
      <c r="A269" s="1" t="s">
        <v>51</v>
      </c>
      <c r="C269" s="1" t="s">
        <v>52</v>
      </c>
      <c r="E269" s="1" t="s">
        <v>53</v>
      </c>
      <c r="F269" s="1" t="s">
        <v>54</v>
      </c>
      <c r="G269" s="2">
        <v>30.0</v>
      </c>
      <c r="H269" s="1" t="s">
        <v>66</v>
      </c>
      <c r="I269" s="1" t="s">
        <v>67</v>
      </c>
      <c r="J269" s="1" t="s">
        <v>56</v>
      </c>
      <c r="K269" s="1" t="s">
        <v>74</v>
      </c>
      <c r="M269" s="1" t="s">
        <v>58</v>
      </c>
      <c r="N269" s="1" t="s">
        <v>58</v>
      </c>
      <c r="O269" s="1" t="s">
        <v>58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81</v>
      </c>
      <c r="Y269" s="1" t="s">
        <v>60</v>
      </c>
      <c r="Z269" s="1" t="s">
        <v>96</v>
      </c>
      <c r="AA269" s="2">
        <v>50.0</v>
      </c>
      <c r="AB269" s="1" t="s">
        <v>79</v>
      </c>
      <c r="AC269" s="1" t="s">
        <v>71</v>
      </c>
      <c r="AF269" s="1" t="s">
        <v>51</v>
      </c>
      <c r="AI269" s="2">
        <v>0.0</v>
      </c>
      <c r="AJ269" s="2">
        <v>0.0</v>
      </c>
      <c r="AK269" s="2">
        <v>0.0</v>
      </c>
      <c r="AL269" s="2">
        <v>1.0</v>
      </c>
      <c r="AM269" s="1" t="s">
        <v>51</v>
      </c>
      <c r="AN269" s="2">
        <v>6.44607283E8</v>
      </c>
      <c r="AP269" s="2">
        <v>4.90428229E8</v>
      </c>
      <c r="AQ269" s="1" t="s">
        <v>398</v>
      </c>
      <c r="AR269" s="2">
        <v>45809.47893518519</v>
      </c>
      <c r="AU269" s="1" t="s">
        <v>64</v>
      </c>
      <c r="AW269" s="1" t="s">
        <v>255</v>
      </c>
      <c r="AY269" s="2">
        <v>268.0</v>
      </c>
    </row>
    <row r="270">
      <c r="A270" s="1" t="s">
        <v>51</v>
      </c>
      <c r="C270" s="1" t="s">
        <v>52</v>
      </c>
      <c r="E270" s="1" t="s">
        <v>53</v>
      </c>
      <c r="F270" s="1" t="s">
        <v>54</v>
      </c>
      <c r="G270" s="2">
        <v>39.0</v>
      </c>
      <c r="H270" s="1" t="s">
        <v>55</v>
      </c>
      <c r="I270" s="1" t="s">
        <v>67</v>
      </c>
      <c r="J270" s="1" t="s">
        <v>68</v>
      </c>
      <c r="K270" s="1" t="s">
        <v>74</v>
      </c>
      <c r="M270" s="1" t="s">
        <v>58</v>
      </c>
      <c r="N270" s="1" t="s">
        <v>58</v>
      </c>
      <c r="O270" s="1" t="s">
        <v>58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81</v>
      </c>
      <c r="Y270" s="1" t="s">
        <v>172</v>
      </c>
      <c r="Z270" s="1" t="s">
        <v>96</v>
      </c>
      <c r="AA270" s="2">
        <v>50.0</v>
      </c>
      <c r="AB270" s="1" t="s">
        <v>28</v>
      </c>
      <c r="AC270" s="1" t="s">
        <v>71</v>
      </c>
      <c r="AF270" s="1" t="s">
        <v>51</v>
      </c>
      <c r="AI270" s="2">
        <v>0.0</v>
      </c>
      <c r="AJ270" s="2">
        <v>0.0</v>
      </c>
      <c r="AK270" s="2">
        <v>0.0</v>
      </c>
      <c r="AL270" s="2">
        <v>1.0</v>
      </c>
      <c r="AM270" s="1" t="s">
        <v>51</v>
      </c>
      <c r="AN270" s="2">
        <v>6.1803172E8</v>
      </c>
      <c r="AP270" s="2">
        <v>4.9042889E8</v>
      </c>
      <c r="AQ270" s="1" t="s">
        <v>399</v>
      </c>
      <c r="AR270" s="2">
        <v>45809.48024305556</v>
      </c>
      <c r="AU270" s="1" t="s">
        <v>64</v>
      </c>
      <c r="AW270" s="1" t="s">
        <v>255</v>
      </c>
      <c r="AY270" s="2">
        <v>269.0</v>
      </c>
    </row>
    <row r="271">
      <c r="A271" s="1" t="s">
        <v>51</v>
      </c>
      <c r="C271" s="1" t="s">
        <v>52</v>
      </c>
      <c r="E271" s="1" t="s">
        <v>53</v>
      </c>
      <c r="F271" s="1" t="s">
        <v>54</v>
      </c>
      <c r="G271" s="2">
        <v>32.0</v>
      </c>
      <c r="H271" s="1" t="s">
        <v>66</v>
      </c>
      <c r="I271" s="1" t="s">
        <v>67</v>
      </c>
      <c r="J271" s="1" t="s">
        <v>68</v>
      </c>
      <c r="K271" s="1" t="s">
        <v>74</v>
      </c>
      <c r="M271" s="1" t="s">
        <v>58</v>
      </c>
      <c r="N271" s="1" t="s">
        <v>58</v>
      </c>
      <c r="O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X271" s="1" t="s">
        <v>81</v>
      </c>
      <c r="Y271" s="1" t="s">
        <v>60</v>
      </c>
      <c r="Z271" s="1" t="s">
        <v>108</v>
      </c>
      <c r="AA271" s="2">
        <v>100.0</v>
      </c>
      <c r="AB271" s="1" t="s">
        <v>62</v>
      </c>
      <c r="AC271" s="1" t="s">
        <v>71</v>
      </c>
      <c r="AF271" s="1" t="s">
        <v>51</v>
      </c>
      <c r="AI271" s="2">
        <v>0.0</v>
      </c>
      <c r="AJ271" s="2">
        <v>0.0</v>
      </c>
      <c r="AK271" s="2">
        <v>0.0</v>
      </c>
      <c r="AL271" s="2">
        <v>1.0</v>
      </c>
      <c r="AM271" s="1" t="s">
        <v>51</v>
      </c>
      <c r="AN271" s="2">
        <v>6.56507643E8</v>
      </c>
      <c r="AP271" s="2">
        <v>4.90429346E8</v>
      </c>
      <c r="AQ271" s="1" t="s">
        <v>400</v>
      </c>
      <c r="AR271" s="2">
        <v>45809.48138888889</v>
      </c>
      <c r="AU271" s="1" t="s">
        <v>64</v>
      </c>
      <c r="AW271" s="1" t="s">
        <v>255</v>
      </c>
      <c r="AY271" s="2">
        <v>270.0</v>
      </c>
    </row>
    <row r="272">
      <c r="A272" s="1" t="s">
        <v>51</v>
      </c>
      <c r="C272" s="1" t="s">
        <v>52</v>
      </c>
      <c r="E272" s="1" t="s">
        <v>53</v>
      </c>
      <c r="F272" s="1" t="s">
        <v>54</v>
      </c>
      <c r="G272" s="2">
        <v>38.0</v>
      </c>
      <c r="H272" s="1" t="s">
        <v>55</v>
      </c>
      <c r="I272" s="1" t="s">
        <v>67</v>
      </c>
      <c r="J272" s="1" t="s">
        <v>111</v>
      </c>
      <c r="K272" s="1" t="s">
        <v>74</v>
      </c>
      <c r="M272" s="1" t="s">
        <v>58</v>
      </c>
      <c r="N272" s="1" t="s">
        <v>58</v>
      </c>
      <c r="O272" s="1" t="s">
        <v>69</v>
      </c>
      <c r="Q272" s="1" t="s">
        <v>58</v>
      </c>
      <c r="R272" s="1" t="s">
        <v>58</v>
      </c>
      <c r="S272" s="1" t="s">
        <v>58</v>
      </c>
      <c r="T272" s="1" t="s">
        <v>58</v>
      </c>
      <c r="U272" s="1" t="s">
        <v>58</v>
      </c>
      <c r="V272" s="1" t="s">
        <v>58</v>
      </c>
      <c r="W272" s="1" t="s">
        <v>58</v>
      </c>
      <c r="X272" s="1" t="s">
        <v>81</v>
      </c>
      <c r="Y272" s="1" t="s">
        <v>60</v>
      </c>
      <c r="Z272" s="1" t="s">
        <v>127</v>
      </c>
      <c r="AA272" s="2">
        <v>100.0</v>
      </c>
      <c r="AB272" s="1" t="s">
        <v>62</v>
      </c>
      <c r="AC272" s="1" t="s">
        <v>71</v>
      </c>
      <c r="AF272" s="1" t="s">
        <v>51</v>
      </c>
      <c r="AI272" s="2">
        <v>0.0</v>
      </c>
      <c r="AJ272" s="2">
        <v>0.0</v>
      </c>
      <c r="AK272" s="2">
        <v>0.0</v>
      </c>
      <c r="AL272" s="2">
        <v>1.0</v>
      </c>
      <c r="AM272" s="1" t="s">
        <v>51</v>
      </c>
      <c r="AN272" s="2">
        <v>6.56507643E8</v>
      </c>
      <c r="AP272" s="2">
        <v>4.90429896E8</v>
      </c>
      <c r="AQ272" s="1" t="s">
        <v>401</v>
      </c>
      <c r="AR272" s="2">
        <v>45809.48266203704</v>
      </c>
      <c r="AU272" s="1" t="s">
        <v>64</v>
      </c>
      <c r="AW272" s="1" t="s">
        <v>255</v>
      </c>
      <c r="AY272" s="2">
        <v>271.0</v>
      </c>
    </row>
    <row r="273">
      <c r="A273" s="1" t="s">
        <v>51</v>
      </c>
      <c r="C273" s="1" t="s">
        <v>52</v>
      </c>
      <c r="E273" s="1" t="s">
        <v>53</v>
      </c>
      <c r="F273" s="1" t="s">
        <v>54</v>
      </c>
      <c r="G273" s="2">
        <v>26.0</v>
      </c>
      <c r="H273" s="1" t="s">
        <v>55</v>
      </c>
      <c r="I273" s="1" t="s">
        <v>100</v>
      </c>
      <c r="J273" s="1" t="s">
        <v>68</v>
      </c>
      <c r="K273" s="1" t="s">
        <v>74</v>
      </c>
      <c r="M273" s="1" t="s">
        <v>58</v>
      </c>
      <c r="N273" s="1" t="s">
        <v>58</v>
      </c>
      <c r="O273" s="1" t="s">
        <v>58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81</v>
      </c>
      <c r="Y273" s="1" t="s">
        <v>60</v>
      </c>
      <c r="Z273" s="1" t="s">
        <v>127</v>
      </c>
      <c r="AA273" s="2">
        <v>50.0</v>
      </c>
      <c r="AB273" s="1" t="s">
        <v>62</v>
      </c>
      <c r="AC273" s="1" t="s">
        <v>71</v>
      </c>
      <c r="AF273" s="1" t="s">
        <v>51</v>
      </c>
      <c r="AI273" s="2">
        <v>0.0</v>
      </c>
      <c r="AJ273" s="2">
        <v>0.0</v>
      </c>
      <c r="AK273" s="2">
        <v>0.0</v>
      </c>
      <c r="AL273" s="2">
        <v>1.0</v>
      </c>
      <c r="AM273" s="1" t="s">
        <v>51</v>
      </c>
      <c r="AN273" s="2">
        <v>8.45540475E8</v>
      </c>
      <c r="AP273" s="2">
        <v>4.90430332E8</v>
      </c>
      <c r="AQ273" s="1" t="s">
        <v>402</v>
      </c>
      <c r="AR273" s="2">
        <v>45809.48391203704</v>
      </c>
      <c r="AU273" s="1" t="s">
        <v>64</v>
      </c>
      <c r="AW273" s="1" t="s">
        <v>255</v>
      </c>
      <c r="AY273" s="2">
        <v>272.0</v>
      </c>
    </row>
    <row r="274">
      <c r="A274" s="1" t="s">
        <v>51</v>
      </c>
      <c r="C274" s="1" t="s">
        <v>52</v>
      </c>
      <c r="E274" s="1" t="s">
        <v>53</v>
      </c>
      <c r="F274" s="1" t="s">
        <v>54</v>
      </c>
      <c r="G274" s="2">
        <v>35.0</v>
      </c>
      <c r="H274" s="1" t="s">
        <v>55</v>
      </c>
      <c r="I274" s="1" t="s">
        <v>67</v>
      </c>
      <c r="J274" s="1" t="s">
        <v>68</v>
      </c>
      <c r="K274" s="1" t="s">
        <v>74</v>
      </c>
      <c r="M274" s="1" t="s">
        <v>58</v>
      </c>
      <c r="N274" s="1" t="s">
        <v>58</v>
      </c>
      <c r="O274" s="1" t="s">
        <v>58</v>
      </c>
      <c r="Q274" s="1" t="s">
        <v>58</v>
      </c>
      <c r="R274" s="1" t="s">
        <v>58</v>
      </c>
      <c r="S274" s="1" t="s">
        <v>58</v>
      </c>
      <c r="T274" s="1" t="s">
        <v>58</v>
      </c>
      <c r="U274" s="1" t="s">
        <v>58</v>
      </c>
      <c r="V274" s="1" t="s">
        <v>58</v>
      </c>
      <c r="W274" s="1" t="s">
        <v>58</v>
      </c>
      <c r="Y274" s="1" t="s">
        <v>82</v>
      </c>
      <c r="Z274" s="1" t="s">
        <v>61</v>
      </c>
      <c r="AA274" s="2">
        <v>20.0</v>
      </c>
      <c r="AB274" s="1" t="s">
        <v>79</v>
      </c>
      <c r="AC274" s="1" t="s">
        <v>51</v>
      </c>
      <c r="AD274" s="1" t="s">
        <v>59</v>
      </c>
      <c r="AF274" s="1" t="s">
        <v>51</v>
      </c>
      <c r="AG274" s="1" t="s">
        <v>51</v>
      </c>
      <c r="AI274" s="2">
        <v>0.0</v>
      </c>
      <c r="AJ274" s="2">
        <v>1.0</v>
      </c>
      <c r="AK274" s="2">
        <v>0.0</v>
      </c>
      <c r="AL274" s="2">
        <v>0.0</v>
      </c>
      <c r="AM274" s="1" t="s">
        <v>51</v>
      </c>
      <c r="AP274" s="2">
        <v>4.90430818E8</v>
      </c>
      <c r="AQ274" s="1" t="s">
        <v>403</v>
      </c>
      <c r="AR274" s="2">
        <v>45809.484872685185</v>
      </c>
      <c r="AU274" s="1" t="s">
        <v>64</v>
      </c>
      <c r="AW274" s="1" t="s">
        <v>255</v>
      </c>
      <c r="AY274" s="2">
        <v>273.0</v>
      </c>
    </row>
    <row r="275">
      <c r="A275" s="1" t="s">
        <v>51</v>
      </c>
      <c r="C275" s="1" t="s">
        <v>52</v>
      </c>
      <c r="E275" s="1" t="s">
        <v>53</v>
      </c>
      <c r="F275" s="1" t="s">
        <v>54</v>
      </c>
      <c r="G275" s="2">
        <v>30.0</v>
      </c>
      <c r="H275" s="1" t="s">
        <v>55</v>
      </c>
      <c r="I275" s="1" t="s">
        <v>100</v>
      </c>
      <c r="J275" s="1" t="s">
        <v>68</v>
      </c>
      <c r="K275" s="1" t="s">
        <v>74</v>
      </c>
      <c r="M275" s="1" t="s">
        <v>58</v>
      </c>
      <c r="N275" s="1" t="s">
        <v>58</v>
      </c>
      <c r="O275" s="1" t="s">
        <v>69</v>
      </c>
      <c r="Q275" s="1" t="s">
        <v>58</v>
      </c>
      <c r="R275" s="1" t="s">
        <v>58</v>
      </c>
      <c r="S275" s="1" t="s">
        <v>69</v>
      </c>
      <c r="T275" s="1" t="s">
        <v>69</v>
      </c>
      <c r="U275" s="1" t="s">
        <v>69</v>
      </c>
      <c r="V275" s="1" t="s">
        <v>58</v>
      </c>
      <c r="W275" s="1" t="s">
        <v>58</v>
      </c>
      <c r="X275" s="1" t="s">
        <v>81</v>
      </c>
      <c r="Y275" s="1" t="s">
        <v>172</v>
      </c>
      <c r="Z275" s="1" t="s">
        <v>96</v>
      </c>
      <c r="AA275" s="2">
        <v>100.0</v>
      </c>
      <c r="AB275" s="1" t="s">
        <v>62</v>
      </c>
      <c r="AC275" s="1" t="s">
        <v>71</v>
      </c>
      <c r="AF275" s="1" t="s">
        <v>51</v>
      </c>
      <c r="AG275" s="1" t="s">
        <v>72</v>
      </c>
      <c r="AI275" s="2">
        <v>0.0</v>
      </c>
      <c r="AJ275" s="2">
        <v>0.0</v>
      </c>
      <c r="AK275" s="2">
        <v>0.0</v>
      </c>
      <c r="AL275" s="2">
        <v>1.0</v>
      </c>
      <c r="AP275" s="2">
        <v>4.90431866E8</v>
      </c>
      <c r="AQ275" s="1" t="s">
        <v>404</v>
      </c>
      <c r="AR275" s="2">
        <v>45809.487546296295</v>
      </c>
      <c r="AU275" s="1" t="s">
        <v>64</v>
      </c>
      <c r="AW275" s="1" t="s">
        <v>255</v>
      </c>
      <c r="AY275" s="2">
        <v>274.0</v>
      </c>
    </row>
    <row r="276">
      <c r="A276" s="1" t="s">
        <v>51</v>
      </c>
      <c r="C276" s="1" t="s">
        <v>52</v>
      </c>
      <c r="E276" s="1" t="s">
        <v>53</v>
      </c>
      <c r="F276" s="1" t="s">
        <v>54</v>
      </c>
      <c r="G276" s="2">
        <v>34.0</v>
      </c>
      <c r="H276" s="1" t="s">
        <v>55</v>
      </c>
      <c r="I276" s="1" t="s">
        <v>67</v>
      </c>
      <c r="J276" s="1" t="s">
        <v>68</v>
      </c>
      <c r="K276" s="1" t="s">
        <v>74</v>
      </c>
      <c r="M276" s="1" t="s">
        <v>58</v>
      </c>
      <c r="N276" s="1" t="s">
        <v>58</v>
      </c>
      <c r="O276" s="1" t="s">
        <v>69</v>
      </c>
      <c r="Q276" s="1" t="s">
        <v>58</v>
      </c>
      <c r="R276" s="1" t="s">
        <v>58</v>
      </c>
      <c r="S276" s="1" t="s">
        <v>69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81</v>
      </c>
      <c r="Y276" s="1" t="s">
        <v>60</v>
      </c>
      <c r="Z276" s="1" t="s">
        <v>96</v>
      </c>
      <c r="AA276" s="2">
        <v>100.0</v>
      </c>
      <c r="AB276" s="1" t="s">
        <v>62</v>
      </c>
      <c r="AC276" s="1" t="s">
        <v>71</v>
      </c>
      <c r="AF276" s="1" t="s">
        <v>51</v>
      </c>
      <c r="AI276" s="2">
        <v>0.0</v>
      </c>
      <c r="AJ276" s="2">
        <v>0.0</v>
      </c>
      <c r="AK276" s="2">
        <v>0.0</v>
      </c>
      <c r="AL276" s="2">
        <v>1.0</v>
      </c>
      <c r="AM276" s="1" t="s">
        <v>51</v>
      </c>
      <c r="AN276" s="2">
        <v>8.43131062E8</v>
      </c>
      <c r="AP276" s="2">
        <v>4.904325E8</v>
      </c>
      <c r="AQ276" s="1" t="s">
        <v>405</v>
      </c>
      <c r="AR276" s="2">
        <v>45809.48903935185</v>
      </c>
      <c r="AU276" s="1" t="s">
        <v>64</v>
      </c>
      <c r="AW276" s="1" t="s">
        <v>255</v>
      </c>
      <c r="AY276" s="2">
        <v>275.0</v>
      </c>
    </row>
    <row r="277">
      <c r="A277" s="1" t="s">
        <v>51</v>
      </c>
      <c r="C277" s="1" t="s">
        <v>52</v>
      </c>
      <c r="E277" s="1" t="s">
        <v>53</v>
      </c>
      <c r="F277" s="1" t="s">
        <v>54</v>
      </c>
      <c r="G277" s="2">
        <v>29.0</v>
      </c>
      <c r="H277" s="1" t="s">
        <v>55</v>
      </c>
      <c r="I277" s="1" t="s">
        <v>67</v>
      </c>
      <c r="J277" s="1" t="s">
        <v>56</v>
      </c>
      <c r="K277" s="1" t="s">
        <v>74</v>
      </c>
      <c r="M277" s="1" t="s">
        <v>58</v>
      </c>
      <c r="N277" s="1" t="s">
        <v>58</v>
      </c>
      <c r="O277" s="1" t="s">
        <v>58</v>
      </c>
      <c r="Q277" s="1" t="s">
        <v>58</v>
      </c>
      <c r="R277" s="1" t="s">
        <v>58</v>
      </c>
      <c r="S277" s="1" t="s">
        <v>58</v>
      </c>
      <c r="T277" s="1" t="s">
        <v>58</v>
      </c>
      <c r="U277" s="1" t="s">
        <v>70</v>
      </c>
      <c r="V277" s="1" t="s">
        <v>58</v>
      </c>
      <c r="W277" s="1" t="s">
        <v>58</v>
      </c>
      <c r="X277" s="1" t="s">
        <v>59</v>
      </c>
      <c r="Y277" s="1" t="s">
        <v>60</v>
      </c>
      <c r="Z277" s="1" t="s">
        <v>108</v>
      </c>
      <c r="AA277" s="2">
        <v>100.0</v>
      </c>
      <c r="AB277" s="1" t="s">
        <v>62</v>
      </c>
      <c r="AC277" s="1" t="s">
        <v>71</v>
      </c>
      <c r="AF277" s="1" t="s">
        <v>51</v>
      </c>
      <c r="AG277" s="1" t="s">
        <v>51</v>
      </c>
      <c r="AH277" s="2">
        <v>200.0</v>
      </c>
      <c r="AI277" s="2">
        <v>0.0</v>
      </c>
      <c r="AJ277" s="2">
        <v>0.0</v>
      </c>
      <c r="AK277" s="2">
        <v>1.0</v>
      </c>
      <c r="AL277" s="2">
        <v>0.0</v>
      </c>
      <c r="AM277" s="1" t="s">
        <v>51</v>
      </c>
      <c r="AN277" s="2">
        <v>6.38118772E8</v>
      </c>
      <c r="AP277" s="2">
        <v>4.9043351E8</v>
      </c>
      <c r="AQ277" s="1" t="s">
        <v>406</v>
      </c>
      <c r="AR277" s="2">
        <v>45809.490694444445</v>
      </c>
      <c r="AU277" s="1" t="s">
        <v>64</v>
      </c>
      <c r="AW277" s="1" t="s">
        <v>255</v>
      </c>
      <c r="AY277" s="2">
        <v>276.0</v>
      </c>
    </row>
    <row r="278">
      <c r="A278" s="1" t="s">
        <v>51</v>
      </c>
      <c r="C278" s="1" t="s">
        <v>52</v>
      </c>
      <c r="E278" s="1" t="s">
        <v>53</v>
      </c>
      <c r="F278" s="1" t="s">
        <v>54</v>
      </c>
      <c r="G278" s="2">
        <v>32.0</v>
      </c>
      <c r="H278" s="1" t="s">
        <v>55</v>
      </c>
      <c r="I278" s="1" t="s">
        <v>67</v>
      </c>
      <c r="J278" s="1" t="s">
        <v>111</v>
      </c>
      <c r="K278" s="1" t="s">
        <v>74</v>
      </c>
      <c r="M278" s="1" t="s">
        <v>58</v>
      </c>
      <c r="N278" s="1" t="s">
        <v>58</v>
      </c>
      <c r="O278" s="1" t="s">
        <v>70</v>
      </c>
      <c r="Q278" s="1" t="s">
        <v>58</v>
      </c>
      <c r="R278" s="1" t="s">
        <v>58</v>
      </c>
      <c r="S278" s="1" t="s">
        <v>58</v>
      </c>
      <c r="T278" s="1" t="s">
        <v>69</v>
      </c>
      <c r="U278" s="1" t="s">
        <v>58</v>
      </c>
      <c r="V278" s="1" t="s">
        <v>58</v>
      </c>
      <c r="W278" s="1" t="s">
        <v>69</v>
      </c>
      <c r="X278" s="1" t="s">
        <v>59</v>
      </c>
      <c r="Y278" s="1" t="s">
        <v>60</v>
      </c>
      <c r="Z278" s="1" t="s">
        <v>127</v>
      </c>
      <c r="AA278" s="2">
        <v>50.0</v>
      </c>
      <c r="AB278" s="1" t="s">
        <v>62</v>
      </c>
      <c r="AC278" s="1" t="s">
        <v>71</v>
      </c>
      <c r="AF278" s="1" t="s">
        <v>51</v>
      </c>
      <c r="AG278" s="1" t="s">
        <v>51</v>
      </c>
      <c r="AH278" s="2">
        <v>350.0</v>
      </c>
      <c r="AI278" s="2">
        <v>0.0</v>
      </c>
      <c r="AJ278" s="2">
        <v>1.0</v>
      </c>
      <c r="AK278" s="2">
        <v>0.0</v>
      </c>
      <c r="AL278" s="2">
        <v>0.0</v>
      </c>
      <c r="AM278" s="1" t="s">
        <v>51</v>
      </c>
      <c r="AN278" s="2">
        <v>6.9334195E8</v>
      </c>
      <c r="AP278" s="2">
        <v>4.90434382E8</v>
      </c>
      <c r="AQ278" s="1" t="s">
        <v>407</v>
      </c>
      <c r="AR278" s="2">
        <v>45809.4921875</v>
      </c>
      <c r="AU278" s="1" t="s">
        <v>64</v>
      </c>
      <c r="AW278" s="1" t="s">
        <v>255</v>
      </c>
      <c r="AY278" s="2">
        <v>277.0</v>
      </c>
    </row>
    <row r="279">
      <c r="A279" s="1" t="s">
        <v>51</v>
      </c>
      <c r="C279" s="1" t="s">
        <v>52</v>
      </c>
      <c r="E279" s="1" t="s">
        <v>53</v>
      </c>
      <c r="F279" s="1" t="s">
        <v>54</v>
      </c>
      <c r="G279" s="2">
        <v>28.0</v>
      </c>
      <c r="H279" s="1" t="s">
        <v>55</v>
      </c>
      <c r="I279" s="1" t="s">
        <v>100</v>
      </c>
      <c r="J279" s="1" t="s">
        <v>68</v>
      </c>
      <c r="K279" s="1" t="s">
        <v>74</v>
      </c>
      <c r="M279" s="1" t="s">
        <v>58</v>
      </c>
      <c r="N279" s="1" t="s">
        <v>58</v>
      </c>
      <c r="O279" s="1" t="s">
        <v>69</v>
      </c>
      <c r="Q279" s="1" t="s">
        <v>69</v>
      </c>
      <c r="R279" s="1" t="s">
        <v>58</v>
      </c>
      <c r="S279" s="1" t="s">
        <v>58</v>
      </c>
      <c r="T279" s="1" t="s">
        <v>58</v>
      </c>
      <c r="U279" s="1" t="s">
        <v>58</v>
      </c>
      <c r="V279" s="1" t="s">
        <v>58</v>
      </c>
      <c r="W279" s="1" t="s">
        <v>69</v>
      </c>
      <c r="X279" s="1" t="s">
        <v>59</v>
      </c>
      <c r="Y279" s="1" t="s">
        <v>60</v>
      </c>
      <c r="Z279" s="1" t="s">
        <v>108</v>
      </c>
      <c r="AA279" s="2">
        <v>100.0</v>
      </c>
      <c r="AB279" s="1" t="s">
        <v>62</v>
      </c>
      <c r="AC279" s="1" t="s">
        <v>71</v>
      </c>
      <c r="AG279" s="1" t="s">
        <v>51</v>
      </c>
      <c r="AH279" s="2">
        <v>400.0</v>
      </c>
      <c r="AI279" s="2">
        <v>0.0</v>
      </c>
      <c r="AJ279" s="2">
        <v>0.0</v>
      </c>
      <c r="AK279" s="2">
        <v>0.0</v>
      </c>
      <c r="AL279" s="2">
        <v>1.0</v>
      </c>
      <c r="AM279" s="1" t="s">
        <v>51</v>
      </c>
      <c r="AN279" s="2">
        <v>6.93913293E8</v>
      </c>
      <c r="AP279" s="2">
        <v>4.90434959E8</v>
      </c>
      <c r="AQ279" s="1" t="s">
        <v>408</v>
      </c>
      <c r="AR279" s="2">
        <v>45809.49349537037</v>
      </c>
      <c r="AU279" s="1" t="s">
        <v>64</v>
      </c>
      <c r="AW279" s="1" t="s">
        <v>255</v>
      </c>
      <c r="AY279" s="2">
        <v>278.0</v>
      </c>
    </row>
    <row r="280">
      <c r="A280" s="1" t="s">
        <v>51</v>
      </c>
      <c r="C280" s="1" t="s">
        <v>131</v>
      </c>
      <c r="E280" s="1" t="s">
        <v>53</v>
      </c>
      <c r="F280" s="1" t="s">
        <v>54</v>
      </c>
      <c r="G280" s="2">
        <v>32.0</v>
      </c>
      <c r="H280" s="1" t="s">
        <v>55</v>
      </c>
      <c r="I280" s="1" t="s">
        <v>67</v>
      </c>
      <c r="J280" s="1" t="s">
        <v>68</v>
      </c>
      <c r="K280" s="1" t="s">
        <v>57</v>
      </c>
      <c r="M280" s="1" t="s">
        <v>58</v>
      </c>
      <c r="N280" s="1" t="s">
        <v>58</v>
      </c>
      <c r="O280" s="1" t="s">
        <v>70</v>
      </c>
      <c r="Q280" s="1" t="s">
        <v>69</v>
      </c>
      <c r="R280" s="1" t="s">
        <v>58</v>
      </c>
      <c r="S280" s="1" t="s">
        <v>69</v>
      </c>
      <c r="T280" s="1" t="s">
        <v>69</v>
      </c>
      <c r="U280" s="1" t="s">
        <v>70</v>
      </c>
      <c r="V280" s="1" t="s">
        <v>69</v>
      </c>
      <c r="W280" s="1" t="s">
        <v>69</v>
      </c>
      <c r="X280" s="1" t="s">
        <v>81</v>
      </c>
      <c r="Y280" s="1" t="s">
        <v>82</v>
      </c>
      <c r="Z280" s="1" t="s">
        <v>96</v>
      </c>
      <c r="AA280" s="2">
        <v>100.0</v>
      </c>
      <c r="AB280" s="1" t="s">
        <v>79</v>
      </c>
      <c r="AC280" s="1" t="s">
        <v>72</v>
      </c>
      <c r="AF280" s="1" t="s">
        <v>51</v>
      </c>
      <c r="AG280" s="1" t="s">
        <v>51</v>
      </c>
      <c r="AH280" s="2">
        <v>10.0</v>
      </c>
      <c r="AI280" s="2">
        <v>0.0</v>
      </c>
      <c r="AJ280" s="2">
        <v>0.0</v>
      </c>
      <c r="AK280" s="2">
        <v>0.0</v>
      </c>
      <c r="AL280" s="2">
        <v>1.0</v>
      </c>
      <c r="AM280" s="1" t="s">
        <v>51</v>
      </c>
      <c r="AN280" s="2">
        <v>6.37219103E8</v>
      </c>
      <c r="AP280" s="2">
        <v>4.90437016E8</v>
      </c>
      <c r="AQ280" s="1" t="s">
        <v>409</v>
      </c>
      <c r="AR280" s="2">
        <v>45809.498460648145</v>
      </c>
      <c r="AU280" s="1" t="s">
        <v>64</v>
      </c>
      <c r="AW280" s="1" t="s">
        <v>255</v>
      </c>
      <c r="AY280" s="2">
        <v>279.0</v>
      </c>
    </row>
    <row r="281">
      <c r="A281" s="1" t="s">
        <v>51</v>
      </c>
      <c r="C281" s="1" t="s">
        <v>151</v>
      </c>
      <c r="E281" s="1" t="s">
        <v>151</v>
      </c>
      <c r="G281" s="2">
        <v>33.0</v>
      </c>
      <c r="H281" s="1" t="s">
        <v>55</v>
      </c>
      <c r="J281" s="1" t="s">
        <v>86</v>
      </c>
      <c r="K281" s="1" t="s">
        <v>74</v>
      </c>
      <c r="M281" s="1" t="s">
        <v>58</v>
      </c>
      <c r="N281" s="1" t="s">
        <v>58</v>
      </c>
      <c r="O281" s="1" t="s">
        <v>69</v>
      </c>
      <c r="Q281" s="1" t="s">
        <v>69</v>
      </c>
      <c r="R281" s="1" t="s">
        <v>58</v>
      </c>
      <c r="S281" s="1" t="s">
        <v>69</v>
      </c>
      <c r="T281" s="1" t="s">
        <v>69</v>
      </c>
      <c r="U281" s="1" t="s">
        <v>58</v>
      </c>
      <c r="V281" s="1" t="s">
        <v>58</v>
      </c>
      <c r="W281" s="1" t="s">
        <v>69</v>
      </c>
      <c r="X281" s="1" t="s">
        <v>81</v>
      </c>
      <c r="Y281" s="1" t="s">
        <v>82</v>
      </c>
      <c r="Z281" s="1" t="s">
        <v>89</v>
      </c>
      <c r="AA281" s="2">
        <v>20.0</v>
      </c>
      <c r="AB281" s="1" t="s">
        <v>62</v>
      </c>
      <c r="AC281" s="1" t="s">
        <v>71</v>
      </c>
      <c r="AF281" s="1" t="s">
        <v>51</v>
      </c>
      <c r="AG281" s="1" t="s">
        <v>72</v>
      </c>
      <c r="AI281" s="2">
        <v>1.0</v>
      </c>
      <c r="AJ281" s="2">
        <v>1.0</v>
      </c>
      <c r="AK281" s="2">
        <v>1.0</v>
      </c>
      <c r="AL281" s="2">
        <v>0.0</v>
      </c>
      <c r="AP281" s="2">
        <v>4.90437613E8</v>
      </c>
      <c r="AQ281" s="1" t="s">
        <v>410</v>
      </c>
      <c r="AR281" s="2">
        <v>45809.500081018516</v>
      </c>
      <c r="AU281" s="1" t="s">
        <v>64</v>
      </c>
      <c r="AW281" s="1" t="s">
        <v>255</v>
      </c>
      <c r="AY281" s="2">
        <v>280.0</v>
      </c>
    </row>
    <row r="282">
      <c r="A282" s="1" t="s">
        <v>51</v>
      </c>
      <c r="C282" s="1" t="s">
        <v>151</v>
      </c>
      <c r="E282" s="1" t="s">
        <v>53</v>
      </c>
      <c r="F282" s="1" t="s">
        <v>102</v>
      </c>
      <c r="G282" s="2">
        <v>19.0</v>
      </c>
      <c r="H282" s="1" t="s">
        <v>55</v>
      </c>
      <c r="I282" s="1" t="s">
        <v>100</v>
      </c>
      <c r="J282" s="1" t="s">
        <v>56</v>
      </c>
      <c r="K282" s="1" t="s">
        <v>57</v>
      </c>
      <c r="M282" s="1" t="s">
        <v>70</v>
      </c>
      <c r="N282" s="1" t="s">
        <v>70</v>
      </c>
      <c r="O282" s="1" t="s">
        <v>69</v>
      </c>
      <c r="Q282" s="1" t="s">
        <v>70</v>
      </c>
      <c r="R282" s="1" t="s">
        <v>70</v>
      </c>
      <c r="S282" s="1" t="s">
        <v>58</v>
      </c>
      <c r="T282" s="1" t="s">
        <v>58</v>
      </c>
      <c r="U282" s="1" t="s">
        <v>70</v>
      </c>
      <c r="V282" s="1" t="s">
        <v>58</v>
      </c>
      <c r="W282" s="1" t="s">
        <v>58</v>
      </c>
      <c r="X282" s="1" t="s">
        <v>59</v>
      </c>
      <c r="Y282" s="1" t="s">
        <v>60</v>
      </c>
      <c r="Z282" s="1" t="s">
        <v>89</v>
      </c>
      <c r="AA282" s="2">
        <v>50.0</v>
      </c>
      <c r="AB282" s="1" t="s">
        <v>79</v>
      </c>
      <c r="AC282" s="1" t="s">
        <v>72</v>
      </c>
      <c r="AF282" s="1" t="s">
        <v>51</v>
      </c>
      <c r="AG282" s="1" t="s">
        <v>51</v>
      </c>
      <c r="AH282" s="2">
        <v>100.0</v>
      </c>
      <c r="AI282" s="2">
        <v>0.0</v>
      </c>
      <c r="AJ282" s="2">
        <v>1.0</v>
      </c>
      <c r="AK282" s="2">
        <v>0.0</v>
      </c>
      <c r="AL282" s="2">
        <v>0.0</v>
      </c>
      <c r="AM282" s="1" t="s">
        <v>72</v>
      </c>
      <c r="AP282" s="2">
        <v>4.90438774E8</v>
      </c>
      <c r="AQ282" s="1" t="s">
        <v>411</v>
      </c>
      <c r="AR282" s="2">
        <v>45809.50295138889</v>
      </c>
      <c r="AU282" s="1" t="s">
        <v>64</v>
      </c>
      <c r="AW282" s="1" t="s">
        <v>255</v>
      </c>
      <c r="AY282" s="2">
        <v>281.0</v>
      </c>
    </row>
    <row r="283">
      <c r="A283" s="1" t="s">
        <v>51</v>
      </c>
      <c r="C283" s="1" t="s">
        <v>151</v>
      </c>
      <c r="E283" s="1" t="s">
        <v>53</v>
      </c>
      <c r="F283" s="1" t="s">
        <v>232</v>
      </c>
      <c r="G283" s="2">
        <v>29.0</v>
      </c>
      <c r="H283" s="1" t="s">
        <v>66</v>
      </c>
      <c r="I283" s="1" t="s">
        <v>67</v>
      </c>
      <c r="J283" s="1" t="s">
        <v>68</v>
      </c>
      <c r="K283" s="1" t="s">
        <v>92</v>
      </c>
      <c r="M283" s="1" t="s">
        <v>58</v>
      </c>
      <c r="N283" s="1" t="s">
        <v>58</v>
      </c>
      <c r="O283" s="1" t="s">
        <v>69</v>
      </c>
      <c r="Q283" s="1" t="s">
        <v>58</v>
      </c>
      <c r="R283" s="1" t="s">
        <v>58</v>
      </c>
      <c r="S283" s="1" t="s">
        <v>69</v>
      </c>
      <c r="T283" s="1" t="s">
        <v>69</v>
      </c>
      <c r="U283" s="1" t="s">
        <v>70</v>
      </c>
      <c r="V283" s="1" t="s">
        <v>58</v>
      </c>
      <c r="W283" s="1" t="s">
        <v>69</v>
      </c>
      <c r="X283" s="1" t="s">
        <v>81</v>
      </c>
      <c r="Y283" s="1" t="s">
        <v>82</v>
      </c>
      <c r="Z283" s="1" t="s">
        <v>61</v>
      </c>
      <c r="AA283" s="2">
        <v>20.0</v>
      </c>
      <c r="AB283" s="1" t="s">
        <v>79</v>
      </c>
      <c r="AC283" s="1" t="s">
        <v>71</v>
      </c>
      <c r="AF283" s="1" t="s">
        <v>51</v>
      </c>
      <c r="AG283" s="1" t="s">
        <v>51</v>
      </c>
      <c r="AH283" s="2">
        <v>250.0</v>
      </c>
      <c r="AI283" s="2">
        <v>1.0</v>
      </c>
      <c r="AJ283" s="2">
        <v>1.0</v>
      </c>
      <c r="AK283" s="2">
        <v>1.0</v>
      </c>
      <c r="AL283" s="2">
        <v>1.0</v>
      </c>
      <c r="AM283" s="1" t="s">
        <v>72</v>
      </c>
      <c r="AP283" s="2">
        <v>4.90440004E8</v>
      </c>
      <c r="AQ283" s="1" t="s">
        <v>412</v>
      </c>
      <c r="AR283" s="2">
        <v>45809.505162037036</v>
      </c>
      <c r="AU283" s="1" t="s">
        <v>64</v>
      </c>
      <c r="AW283" s="1" t="s">
        <v>255</v>
      </c>
      <c r="AY283" s="2">
        <v>282.0</v>
      </c>
    </row>
    <row r="284">
      <c r="A284" s="1" t="s">
        <v>51</v>
      </c>
      <c r="C284" s="1" t="s">
        <v>151</v>
      </c>
      <c r="E284" s="1" t="s">
        <v>53</v>
      </c>
      <c r="F284" s="1" t="s">
        <v>102</v>
      </c>
      <c r="G284" s="2">
        <v>25.0</v>
      </c>
      <c r="H284" s="1" t="s">
        <v>55</v>
      </c>
      <c r="I284" s="1" t="s">
        <v>76</v>
      </c>
      <c r="J284" s="1" t="s">
        <v>68</v>
      </c>
      <c r="K284" s="1" t="s">
        <v>74</v>
      </c>
      <c r="M284" s="1" t="s">
        <v>58</v>
      </c>
      <c r="N284" s="1" t="s">
        <v>58</v>
      </c>
      <c r="O284" s="1" t="s">
        <v>69</v>
      </c>
      <c r="Q284" s="1" t="s">
        <v>69</v>
      </c>
      <c r="R284" s="1" t="s">
        <v>58</v>
      </c>
      <c r="S284" s="1" t="s">
        <v>58</v>
      </c>
      <c r="T284" s="1" t="s">
        <v>58</v>
      </c>
      <c r="U284" s="1" t="s">
        <v>70</v>
      </c>
      <c r="V284" s="1" t="s">
        <v>58</v>
      </c>
      <c r="W284" s="1" t="s">
        <v>58</v>
      </c>
      <c r="X284" s="1" t="s">
        <v>81</v>
      </c>
      <c r="Y284" s="1" t="s">
        <v>82</v>
      </c>
      <c r="Z284" s="1" t="s">
        <v>61</v>
      </c>
      <c r="AA284" s="2">
        <v>10.0</v>
      </c>
      <c r="AB284" s="1" t="s">
        <v>62</v>
      </c>
      <c r="AC284" s="1" t="s">
        <v>71</v>
      </c>
      <c r="AF284" s="1" t="s">
        <v>51</v>
      </c>
      <c r="AG284" s="1" t="s">
        <v>72</v>
      </c>
      <c r="AI284" s="2">
        <v>0.0</v>
      </c>
      <c r="AJ284" s="2">
        <v>0.0</v>
      </c>
      <c r="AK284" s="2">
        <v>0.0</v>
      </c>
      <c r="AL284" s="2">
        <v>1.0</v>
      </c>
      <c r="AM284" s="1" t="s">
        <v>72</v>
      </c>
      <c r="AP284" s="2">
        <v>4.90442696E8</v>
      </c>
      <c r="AQ284" s="1" t="s">
        <v>413</v>
      </c>
      <c r="AR284" s="2">
        <v>45809.510833333334</v>
      </c>
      <c r="AU284" s="1" t="s">
        <v>64</v>
      </c>
      <c r="AW284" s="1" t="s">
        <v>255</v>
      </c>
      <c r="AY284" s="2">
        <v>283.0</v>
      </c>
    </row>
    <row r="285">
      <c r="A285" s="1" t="s">
        <v>51</v>
      </c>
      <c r="C285" s="1" t="s">
        <v>151</v>
      </c>
      <c r="E285" s="1" t="s">
        <v>151</v>
      </c>
      <c r="G285" s="2">
        <v>46.0</v>
      </c>
      <c r="H285" s="1" t="s">
        <v>66</v>
      </c>
      <c r="J285" s="1" t="s">
        <v>111</v>
      </c>
      <c r="K285" s="1" t="s">
        <v>87</v>
      </c>
      <c r="M285" s="1" t="s">
        <v>58</v>
      </c>
      <c r="N285" s="1" t="s">
        <v>58</v>
      </c>
      <c r="O285" s="1" t="s">
        <v>69</v>
      </c>
      <c r="Q285" s="1" t="s">
        <v>69</v>
      </c>
      <c r="R285" s="1" t="s">
        <v>69</v>
      </c>
      <c r="S285" s="1" t="s">
        <v>69</v>
      </c>
      <c r="T285" s="1" t="s">
        <v>58</v>
      </c>
      <c r="U285" s="1" t="s">
        <v>69</v>
      </c>
      <c r="V285" s="1" t="s">
        <v>58</v>
      </c>
      <c r="W285" s="1" t="s">
        <v>69</v>
      </c>
      <c r="X285" s="1" t="s">
        <v>81</v>
      </c>
      <c r="Y285" s="1" t="s">
        <v>82</v>
      </c>
      <c r="Z285" s="1" t="s">
        <v>61</v>
      </c>
      <c r="AA285" s="2">
        <v>10.0</v>
      </c>
      <c r="AB285" s="1" t="s">
        <v>79</v>
      </c>
      <c r="AC285" s="1" t="s">
        <v>71</v>
      </c>
      <c r="AF285" s="1" t="s">
        <v>51</v>
      </c>
      <c r="AG285" s="1" t="s">
        <v>72</v>
      </c>
      <c r="AI285" s="2">
        <v>1.0</v>
      </c>
      <c r="AJ285" s="2">
        <v>1.0</v>
      </c>
      <c r="AK285" s="2">
        <v>0.0</v>
      </c>
      <c r="AL285" s="2">
        <v>0.0</v>
      </c>
      <c r="AP285" s="2">
        <v>4.90445028E8</v>
      </c>
      <c r="AQ285" s="1" t="s">
        <v>414</v>
      </c>
      <c r="AR285" s="2">
        <v>45809.516122685185</v>
      </c>
      <c r="AU285" s="1" t="s">
        <v>64</v>
      </c>
      <c r="AW285" s="1" t="s">
        <v>255</v>
      </c>
      <c r="AY285" s="2">
        <v>284.0</v>
      </c>
    </row>
    <row r="286">
      <c r="A286" s="1" t="s">
        <v>51</v>
      </c>
      <c r="C286" s="1" t="s">
        <v>151</v>
      </c>
      <c r="E286" s="1" t="s">
        <v>151</v>
      </c>
      <c r="G286" s="2">
        <v>20.0</v>
      </c>
      <c r="H286" s="1" t="s">
        <v>55</v>
      </c>
      <c r="J286" s="1" t="s">
        <v>68</v>
      </c>
      <c r="K286" s="1" t="s">
        <v>74</v>
      </c>
      <c r="M286" s="1" t="s">
        <v>58</v>
      </c>
      <c r="N286" s="1" t="s">
        <v>58</v>
      </c>
      <c r="O286" s="1" t="s">
        <v>69</v>
      </c>
      <c r="Q286" s="1" t="s">
        <v>69</v>
      </c>
      <c r="R286" s="1" t="s">
        <v>58</v>
      </c>
      <c r="S286" s="1" t="s">
        <v>69</v>
      </c>
      <c r="T286" s="1" t="s">
        <v>69</v>
      </c>
      <c r="U286" s="1" t="s">
        <v>70</v>
      </c>
      <c r="V286" s="1" t="s">
        <v>58</v>
      </c>
      <c r="W286" s="1" t="s">
        <v>69</v>
      </c>
      <c r="X286" s="1" t="s">
        <v>81</v>
      </c>
      <c r="Y286" s="1" t="s">
        <v>60</v>
      </c>
      <c r="Z286" s="1" t="s">
        <v>61</v>
      </c>
      <c r="AA286" s="2">
        <v>10.0</v>
      </c>
      <c r="AB286" s="1" t="s">
        <v>79</v>
      </c>
      <c r="AC286" s="1" t="s">
        <v>71</v>
      </c>
      <c r="AF286" s="1" t="s">
        <v>51</v>
      </c>
      <c r="AG286" s="1" t="s">
        <v>72</v>
      </c>
      <c r="AI286" s="2">
        <v>1.0</v>
      </c>
      <c r="AJ286" s="2">
        <v>1.0</v>
      </c>
      <c r="AK286" s="2">
        <v>1.0</v>
      </c>
      <c r="AL286" s="2">
        <v>1.0</v>
      </c>
      <c r="AP286" s="2">
        <v>4.9044811E8</v>
      </c>
      <c r="AQ286" s="1" t="s">
        <v>415</v>
      </c>
      <c r="AR286" s="2">
        <v>45809.52318287037</v>
      </c>
      <c r="AU286" s="1" t="s">
        <v>64</v>
      </c>
      <c r="AW286" s="1" t="s">
        <v>255</v>
      </c>
      <c r="AY286" s="2">
        <v>285.0</v>
      </c>
    </row>
    <row r="287">
      <c r="AP287" s="2">
        <v>4.90493239E8</v>
      </c>
      <c r="AQ287" s="1" t="s">
        <v>538</v>
      </c>
      <c r="AR287" s="2">
        <v>45809.60696759259</v>
      </c>
      <c r="AU287" s="1" t="s">
        <v>64</v>
      </c>
      <c r="AW287" s="1" t="s">
        <v>255</v>
      </c>
      <c r="AY287" s="2">
        <v>286.0</v>
      </c>
    </row>
    <row r="288">
      <c r="AP288" s="2">
        <v>4.90494441E8</v>
      </c>
      <c r="AQ288" s="1" t="s">
        <v>539</v>
      </c>
      <c r="AR288" s="2">
        <v>45809.60903935185</v>
      </c>
      <c r="AU288" s="1" t="s">
        <v>64</v>
      </c>
      <c r="AW288" s="1" t="s">
        <v>255</v>
      </c>
      <c r="AY288" s="2">
        <v>287.0</v>
      </c>
    </row>
    <row r="289">
      <c r="AP289" s="2">
        <v>4.90496329E8</v>
      </c>
      <c r="AQ289" s="1" t="s">
        <v>540</v>
      </c>
      <c r="AR289" s="2">
        <v>45809.61179398148</v>
      </c>
      <c r="AU289" s="1" t="s">
        <v>64</v>
      </c>
      <c r="AW289" s="1" t="s">
        <v>255</v>
      </c>
      <c r="AY289" s="2">
        <v>288.0</v>
      </c>
    </row>
    <row r="290">
      <c r="AP290" s="2">
        <v>4.90497886E8</v>
      </c>
      <c r="AQ290" s="1" t="s">
        <v>541</v>
      </c>
      <c r="AR290" s="2">
        <v>45809.61460648148</v>
      </c>
      <c r="AU290" s="1" t="s">
        <v>64</v>
      </c>
      <c r="AW290" s="1" t="s">
        <v>255</v>
      </c>
      <c r="AY290" s="2">
        <v>289.0</v>
      </c>
    </row>
    <row r="291">
      <c r="A291" s="1" t="s">
        <v>51</v>
      </c>
      <c r="C291" s="1" t="s">
        <v>151</v>
      </c>
      <c r="E291" s="1" t="s">
        <v>53</v>
      </c>
      <c r="G291" s="2">
        <v>25.0</v>
      </c>
      <c r="H291" s="1" t="s">
        <v>55</v>
      </c>
      <c r="J291" s="1" t="s">
        <v>56</v>
      </c>
      <c r="K291" s="1" t="s">
        <v>87</v>
      </c>
      <c r="M291" s="1" t="s">
        <v>58</v>
      </c>
      <c r="N291" s="1" t="s">
        <v>58</v>
      </c>
      <c r="O291" s="1" t="s">
        <v>58</v>
      </c>
      <c r="Q291" s="1" t="s">
        <v>58</v>
      </c>
      <c r="R291" s="1" t="s">
        <v>58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81</v>
      </c>
      <c r="Y291" s="1" t="s">
        <v>95</v>
      </c>
      <c r="Z291" s="1" t="s">
        <v>89</v>
      </c>
      <c r="AA291" s="2">
        <v>10.0</v>
      </c>
      <c r="AB291" s="1" t="s">
        <v>79</v>
      </c>
      <c r="AC291" s="1" t="s">
        <v>51</v>
      </c>
      <c r="AD291" s="1" t="s">
        <v>81</v>
      </c>
      <c r="AE291" s="1" t="s">
        <v>51</v>
      </c>
      <c r="AF291" s="1" t="s">
        <v>51</v>
      </c>
      <c r="AG291" s="1" t="s">
        <v>72</v>
      </c>
      <c r="AI291" s="2">
        <v>1.0</v>
      </c>
      <c r="AJ291" s="2">
        <v>0.0</v>
      </c>
      <c r="AK291" s="2">
        <v>0.0</v>
      </c>
      <c r="AL291" s="2">
        <v>0.0</v>
      </c>
      <c r="AM291" s="1" t="s">
        <v>51</v>
      </c>
      <c r="AN291" s="2">
        <v>6.32773846E8</v>
      </c>
      <c r="AP291" s="2">
        <v>4.90506285E8</v>
      </c>
      <c r="AQ291" s="1" t="s">
        <v>416</v>
      </c>
      <c r="AR291" s="2">
        <v>45809.63078703704</v>
      </c>
      <c r="AU291" s="1" t="s">
        <v>64</v>
      </c>
      <c r="AW291" s="1" t="s">
        <v>255</v>
      </c>
      <c r="AY291" s="2">
        <v>290.0</v>
      </c>
    </row>
    <row r="292">
      <c r="A292" s="1" t="s">
        <v>51</v>
      </c>
      <c r="C292" s="1" t="s">
        <v>131</v>
      </c>
      <c r="E292" s="1" t="s">
        <v>53</v>
      </c>
      <c r="F292" s="1" t="s">
        <v>85</v>
      </c>
      <c r="G292" s="2">
        <v>20.0</v>
      </c>
      <c r="H292" s="1" t="s">
        <v>55</v>
      </c>
      <c r="I292" s="1" t="s">
        <v>100</v>
      </c>
      <c r="J292" s="1" t="s">
        <v>111</v>
      </c>
      <c r="K292" s="1" t="s">
        <v>57</v>
      </c>
      <c r="M292" s="1" t="s">
        <v>58</v>
      </c>
      <c r="N292" s="1" t="s">
        <v>58</v>
      </c>
      <c r="O292" s="1" t="s">
        <v>58</v>
      </c>
      <c r="Q292" s="1" t="s">
        <v>58</v>
      </c>
      <c r="R292" s="1" t="s">
        <v>58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59</v>
      </c>
      <c r="Y292" s="1" t="s">
        <v>60</v>
      </c>
      <c r="Z292" s="1" t="s">
        <v>89</v>
      </c>
      <c r="AA292" s="2">
        <v>30.0</v>
      </c>
      <c r="AB292" s="1" t="s">
        <v>62</v>
      </c>
      <c r="AC292" s="1" t="s">
        <v>51</v>
      </c>
      <c r="AD292" s="1" t="s">
        <v>59</v>
      </c>
      <c r="AE292" s="1" t="s">
        <v>51</v>
      </c>
      <c r="AF292" s="1" t="s">
        <v>51</v>
      </c>
      <c r="AG292" s="1" t="s">
        <v>51</v>
      </c>
      <c r="AH292" s="2">
        <v>5.0</v>
      </c>
      <c r="AI292" s="2">
        <v>0.0</v>
      </c>
      <c r="AJ292" s="2">
        <v>1.0</v>
      </c>
      <c r="AK292" s="2">
        <v>0.0</v>
      </c>
      <c r="AL292" s="2">
        <v>0.0</v>
      </c>
      <c r="AM292" s="1" t="s">
        <v>51</v>
      </c>
      <c r="AN292" s="2">
        <v>6.5515584E8</v>
      </c>
      <c r="AP292" s="2">
        <v>4.90507921E8</v>
      </c>
      <c r="AQ292" s="1" t="s">
        <v>417</v>
      </c>
      <c r="AR292" s="2">
        <v>45809.633368055554</v>
      </c>
      <c r="AU292" s="1" t="s">
        <v>64</v>
      </c>
      <c r="AW292" s="1" t="s">
        <v>255</v>
      </c>
      <c r="AY292" s="2">
        <v>291.0</v>
      </c>
    </row>
    <row r="293">
      <c r="A293" s="1" t="s">
        <v>51</v>
      </c>
      <c r="C293" s="1" t="s">
        <v>131</v>
      </c>
      <c r="E293" s="1" t="s">
        <v>53</v>
      </c>
      <c r="F293" s="1" t="s">
        <v>291</v>
      </c>
      <c r="G293" s="2">
        <v>22.0</v>
      </c>
      <c r="H293" s="1" t="s">
        <v>66</v>
      </c>
      <c r="I293" s="1" t="s">
        <v>76</v>
      </c>
      <c r="J293" s="1" t="s">
        <v>68</v>
      </c>
      <c r="K293" s="1" t="s">
        <v>74</v>
      </c>
      <c r="M293" s="1" t="s">
        <v>58</v>
      </c>
      <c r="N293" s="1" t="s">
        <v>58</v>
      </c>
      <c r="O293" s="1" t="s">
        <v>58</v>
      </c>
      <c r="Q293" s="1" t="s">
        <v>58</v>
      </c>
      <c r="R293" s="1" t="s">
        <v>58</v>
      </c>
      <c r="S293" s="1" t="s">
        <v>58</v>
      </c>
      <c r="T293" s="1" t="s">
        <v>58</v>
      </c>
      <c r="U293" s="1" t="s">
        <v>58</v>
      </c>
      <c r="V293" s="1" t="s">
        <v>58</v>
      </c>
      <c r="W293" s="1" t="s">
        <v>58</v>
      </c>
      <c r="X293" s="1" t="s">
        <v>81</v>
      </c>
      <c r="Y293" s="1" t="s">
        <v>82</v>
      </c>
      <c r="Z293" s="1" t="s">
        <v>108</v>
      </c>
      <c r="AA293" s="2">
        <v>50.0</v>
      </c>
      <c r="AB293" s="1" t="s">
        <v>79</v>
      </c>
      <c r="AC293" s="1" t="s">
        <v>51</v>
      </c>
      <c r="AD293" s="1" t="s">
        <v>59</v>
      </c>
      <c r="AE293" s="1" t="s">
        <v>51</v>
      </c>
      <c r="AF293" s="1" t="s">
        <v>51</v>
      </c>
      <c r="AG293" s="1" t="s">
        <v>51</v>
      </c>
      <c r="AH293" s="2">
        <v>3.0</v>
      </c>
      <c r="AI293" s="2">
        <v>1.0</v>
      </c>
      <c r="AJ293" s="2">
        <v>0.0</v>
      </c>
      <c r="AK293" s="2">
        <v>0.0</v>
      </c>
      <c r="AL293" s="2">
        <v>0.0</v>
      </c>
      <c r="AM293" s="1" t="s">
        <v>51</v>
      </c>
      <c r="AN293" s="2">
        <v>6.311026E8</v>
      </c>
      <c r="AP293" s="2">
        <v>4.90509604E8</v>
      </c>
      <c r="AQ293" s="1" t="s">
        <v>418</v>
      </c>
      <c r="AR293" s="2">
        <v>45809.636712962965</v>
      </c>
      <c r="AU293" s="1" t="s">
        <v>64</v>
      </c>
      <c r="AW293" s="1" t="s">
        <v>255</v>
      </c>
      <c r="AY293" s="2">
        <v>292.0</v>
      </c>
    </row>
    <row r="294">
      <c r="A294" s="1" t="s">
        <v>51</v>
      </c>
      <c r="C294" s="1" t="s">
        <v>131</v>
      </c>
      <c r="E294" s="1" t="s">
        <v>53</v>
      </c>
      <c r="F294" s="1" t="s">
        <v>291</v>
      </c>
      <c r="G294" s="2">
        <v>25.0</v>
      </c>
      <c r="H294" s="1" t="s">
        <v>55</v>
      </c>
      <c r="I294" s="1" t="s">
        <v>419</v>
      </c>
      <c r="J294" s="1" t="s">
        <v>86</v>
      </c>
      <c r="K294" s="1" t="s">
        <v>78</v>
      </c>
      <c r="M294" s="1" t="s">
        <v>70</v>
      </c>
      <c r="N294" s="1" t="s">
        <v>58</v>
      </c>
      <c r="O294" s="1" t="s">
        <v>58</v>
      </c>
      <c r="Q294" s="1" t="s">
        <v>58</v>
      </c>
      <c r="R294" s="1" t="s">
        <v>58</v>
      </c>
      <c r="S294" s="1" t="s">
        <v>58</v>
      </c>
      <c r="T294" s="1" t="s">
        <v>58</v>
      </c>
      <c r="U294" s="1" t="s">
        <v>58</v>
      </c>
      <c r="V294" s="1" t="s">
        <v>58</v>
      </c>
      <c r="W294" s="1" t="s">
        <v>58</v>
      </c>
      <c r="X294" s="1" t="s">
        <v>88</v>
      </c>
      <c r="Y294" s="1" t="s">
        <v>60</v>
      </c>
      <c r="Z294" s="1" t="s">
        <v>127</v>
      </c>
      <c r="AA294" s="2">
        <v>20.0</v>
      </c>
      <c r="AB294" s="1" t="s">
        <v>79</v>
      </c>
      <c r="AC294" s="1" t="s">
        <v>51</v>
      </c>
      <c r="AD294" s="1" t="s">
        <v>59</v>
      </c>
      <c r="AE294" s="1" t="s">
        <v>51</v>
      </c>
      <c r="AF294" s="1" t="s">
        <v>51</v>
      </c>
      <c r="AG294" s="1" t="s">
        <v>51</v>
      </c>
      <c r="AH294" s="2">
        <v>2.0</v>
      </c>
      <c r="AI294" s="2">
        <v>1.0</v>
      </c>
      <c r="AJ294" s="2">
        <v>0.0</v>
      </c>
      <c r="AK294" s="2">
        <v>0.0</v>
      </c>
      <c r="AL294" s="2">
        <v>0.0</v>
      </c>
      <c r="AM294" s="1" t="s">
        <v>51</v>
      </c>
      <c r="AN294" s="2">
        <v>8.15732989E8</v>
      </c>
      <c r="AP294" s="2">
        <v>4.90509749E8</v>
      </c>
      <c r="AQ294" s="1" t="s">
        <v>420</v>
      </c>
      <c r="AR294" s="2">
        <v>45809.63701388889</v>
      </c>
      <c r="AU294" s="1" t="s">
        <v>64</v>
      </c>
      <c r="AW294" s="1" t="s">
        <v>255</v>
      </c>
      <c r="AY294" s="2">
        <v>293.0</v>
      </c>
    </row>
    <row r="295">
      <c r="A295" s="1" t="s">
        <v>51</v>
      </c>
      <c r="C295" s="1" t="s">
        <v>131</v>
      </c>
      <c r="E295" s="1" t="s">
        <v>53</v>
      </c>
      <c r="F295" s="1" t="s">
        <v>85</v>
      </c>
      <c r="G295" s="2">
        <v>23.0</v>
      </c>
      <c r="H295" s="1" t="s">
        <v>55</v>
      </c>
      <c r="I295" s="1" t="s">
        <v>67</v>
      </c>
      <c r="J295" s="1" t="s">
        <v>111</v>
      </c>
      <c r="K295" s="1" t="s">
        <v>78</v>
      </c>
      <c r="M295" s="1" t="s">
        <v>58</v>
      </c>
      <c r="N295" s="1" t="s">
        <v>58</v>
      </c>
      <c r="O295" s="1" t="s">
        <v>58</v>
      </c>
      <c r="Q295" s="1" t="s">
        <v>58</v>
      </c>
      <c r="R295" s="1" t="s">
        <v>70</v>
      </c>
      <c r="T295" s="1" t="s">
        <v>58</v>
      </c>
      <c r="U295" s="1" t="s">
        <v>70</v>
      </c>
      <c r="V295" s="1" t="s">
        <v>58</v>
      </c>
      <c r="W295" s="1" t="s">
        <v>58</v>
      </c>
      <c r="X295" s="1" t="s">
        <v>81</v>
      </c>
      <c r="Y295" s="1" t="s">
        <v>172</v>
      </c>
      <c r="Z295" s="1" t="s">
        <v>127</v>
      </c>
      <c r="AA295" s="2">
        <v>10.0</v>
      </c>
      <c r="AB295" s="1" t="s">
        <v>79</v>
      </c>
      <c r="AC295" s="1" t="s">
        <v>51</v>
      </c>
      <c r="AD295" s="1" t="s">
        <v>81</v>
      </c>
      <c r="AE295" s="1" t="s">
        <v>51</v>
      </c>
      <c r="AF295" s="1" t="s">
        <v>51</v>
      </c>
      <c r="AG295" s="1" t="s">
        <v>51</v>
      </c>
      <c r="AH295" s="2">
        <v>6.0</v>
      </c>
      <c r="AI295" s="2">
        <v>0.0</v>
      </c>
      <c r="AJ295" s="2">
        <v>1.0</v>
      </c>
      <c r="AK295" s="2">
        <v>0.0</v>
      </c>
      <c r="AL295" s="2">
        <v>0.0</v>
      </c>
      <c r="AM295" s="1" t="s">
        <v>51</v>
      </c>
      <c r="AN295" s="2">
        <v>6.1713361E8</v>
      </c>
      <c r="AP295" s="2">
        <v>4.90511459E8</v>
      </c>
      <c r="AQ295" s="1" t="s">
        <v>421</v>
      </c>
      <c r="AR295" s="2">
        <v>45809.63978009259</v>
      </c>
      <c r="AU295" s="1" t="s">
        <v>64</v>
      </c>
      <c r="AW295" s="1" t="s">
        <v>255</v>
      </c>
      <c r="AY295" s="2">
        <v>294.0</v>
      </c>
    </row>
    <row r="296">
      <c r="A296" s="1" t="s">
        <v>51</v>
      </c>
      <c r="C296" s="1" t="s">
        <v>131</v>
      </c>
      <c r="E296" s="1" t="s">
        <v>53</v>
      </c>
      <c r="F296" s="1" t="s">
        <v>85</v>
      </c>
      <c r="G296" s="2">
        <v>29.0</v>
      </c>
      <c r="H296" s="1" t="s">
        <v>66</v>
      </c>
      <c r="I296" s="1" t="s">
        <v>67</v>
      </c>
      <c r="J296" s="1" t="s">
        <v>111</v>
      </c>
      <c r="K296" s="1" t="s">
        <v>78</v>
      </c>
      <c r="M296" s="1" t="s">
        <v>70</v>
      </c>
      <c r="N296" s="1" t="s">
        <v>58</v>
      </c>
      <c r="O296" s="1" t="s">
        <v>58</v>
      </c>
      <c r="Q296" s="1" t="s">
        <v>70</v>
      </c>
      <c r="R296" s="1" t="s">
        <v>58</v>
      </c>
      <c r="S296" s="1" t="s">
        <v>58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59</v>
      </c>
      <c r="Y296" s="1" t="s">
        <v>82</v>
      </c>
      <c r="Z296" s="1" t="s">
        <v>89</v>
      </c>
      <c r="AA296" s="2">
        <v>30.0</v>
      </c>
      <c r="AB296" s="1" t="s">
        <v>62</v>
      </c>
      <c r="AC296" s="1" t="s">
        <v>51</v>
      </c>
      <c r="AD296" s="1" t="s">
        <v>59</v>
      </c>
      <c r="AE296" s="1" t="s">
        <v>51</v>
      </c>
      <c r="AF296" s="1" t="s">
        <v>51</v>
      </c>
      <c r="AG296" s="1" t="s">
        <v>51</v>
      </c>
      <c r="AH296" s="2">
        <v>4.0</v>
      </c>
      <c r="AI296" s="2">
        <v>0.0</v>
      </c>
      <c r="AJ296" s="2">
        <v>1.0</v>
      </c>
      <c r="AK296" s="2">
        <v>0.0</v>
      </c>
      <c r="AL296" s="2">
        <v>0.0</v>
      </c>
      <c r="AM296" s="1" t="s">
        <v>51</v>
      </c>
      <c r="AN296" s="2">
        <v>7.83879656E8</v>
      </c>
      <c r="AP296" s="2">
        <v>4.90511932E8</v>
      </c>
      <c r="AQ296" s="1" t="s">
        <v>422</v>
      </c>
      <c r="AR296" s="2">
        <v>45809.640648148146</v>
      </c>
      <c r="AU296" s="1" t="s">
        <v>64</v>
      </c>
      <c r="AW296" s="1" t="s">
        <v>255</v>
      </c>
      <c r="AY296" s="2">
        <v>295.0</v>
      </c>
    </row>
    <row r="297">
      <c r="A297" s="1" t="s">
        <v>51</v>
      </c>
      <c r="C297" s="1" t="s">
        <v>131</v>
      </c>
      <c r="E297" s="1" t="s">
        <v>53</v>
      </c>
      <c r="F297" s="1" t="s">
        <v>350</v>
      </c>
      <c r="G297" s="2">
        <v>27.0</v>
      </c>
      <c r="H297" s="1" t="s">
        <v>55</v>
      </c>
      <c r="I297" s="1" t="s">
        <v>67</v>
      </c>
      <c r="J297" s="1" t="s">
        <v>111</v>
      </c>
      <c r="K297" s="1" t="s">
        <v>57</v>
      </c>
      <c r="M297" s="1" t="s">
        <v>58</v>
      </c>
      <c r="N297" s="1" t="s">
        <v>58</v>
      </c>
      <c r="O297" s="1" t="s">
        <v>58</v>
      </c>
      <c r="Q297" s="1" t="s">
        <v>70</v>
      </c>
      <c r="R297" s="1" t="s">
        <v>58</v>
      </c>
      <c r="S297" s="1" t="s">
        <v>58</v>
      </c>
      <c r="T297" s="1" t="s">
        <v>58</v>
      </c>
      <c r="U297" s="1" t="s">
        <v>58</v>
      </c>
      <c r="V297" s="1" t="s">
        <v>58</v>
      </c>
      <c r="W297" s="1" t="s">
        <v>58</v>
      </c>
      <c r="X297" s="1" t="s">
        <v>59</v>
      </c>
      <c r="Y297" s="1" t="s">
        <v>82</v>
      </c>
      <c r="Z297" s="1" t="s">
        <v>89</v>
      </c>
      <c r="AA297" s="2">
        <v>10.0</v>
      </c>
      <c r="AB297" s="1" t="s">
        <v>79</v>
      </c>
      <c r="AC297" s="1" t="s">
        <v>51</v>
      </c>
      <c r="AD297" s="1" t="s">
        <v>59</v>
      </c>
      <c r="AE297" s="1" t="s">
        <v>51</v>
      </c>
      <c r="AF297" s="1" t="s">
        <v>51</v>
      </c>
      <c r="AG297" s="1" t="s">
        <v>51</v>
      </c>
      <c r="AH297" s="2">
        <v>8.0</v>
      </c>
      <c r="AI297" s="2">
        <v>0.0</v>
      </c>
      <c r="AJ297" s="2">
        <v>1.0</v>
      </c>
      <c r="AK297" s="2">
        <v>0.0</v>
      </c>
      <c r="AL297" s="2">
        <v>0.0</v>
      </c>
      <c r="AM297" s="1" t="s">
        <v>51</v>
      </c>
      <c r="AN297" s="2">
        <v>7.83106168E8</v>
      </c>
      <c r="AP297" s="2">
        <v>4.90512955E8</v>
      </c>
      <c r="AQ297" s="1" t="s">
        <v>423</v>
      </c>
      <c r="AR297" s="2">
        <v>45809.64240740741</v>
      </c>
      <c r="AU297" s="1" t="s">
        <v>64</v>
      </c>
      <c r="AW297" s="1" t="s">
        <v>255</v>
      </c>
      <c r="AY297" s="2">
        <v>296.0</v>
      </c>
    </row>
    <row r="298">
      <c r="A298" s="1" t="s">
        <v>51</v>
      </c>
      <c r="C298" s="1" t="s">
        <v>131</v>
      </c>
      <c r="E298" s="1" t="s">
        <v>53</v>
      </c>
      <c r="F298" s="1" t="s">
        <v>85</v>
      </c>
      <c r="G298" s="2">
        <v>21.0</v>
      </c>
      <c r="H298" s="1" t="s">
        <v>55</v>
      </c>
      <c r="I298" s="1" t="s">
        <v>419</v>
      </c>
      <c r="J298" s="1" t="s">
        <v>111</v>
      </c>
      <c r="K298" s="1" t="s">
        <v>78</v>
      </c>
      <c r="M298" s="1" t="s">
        <v>58</v>
      </c>
      <c r="N298" s="1" t="s">
        <v>58</v>
      </c>
      <c r="O298" s="1" t="s">
        <v>58</v>
      </c>
      <c r="Q298" s="1" t="s">
        <v>58</v>
      </c>
      <c r="R298" s="1" t="s">
        <v>58</v>
      </c>
      <c r="S298" s="1" t="s">
        <v>58</v>
      </c>
      <c r="T298" s="1" t="s">
        <v>58</v>
      </c>
      <c r="U298" s="1" t="s">
        <v>58</v>
      </c>
      <c r="V298" s="1" t="s">
        <v>58</v>
      </c>
      <c r="W298" s="1" t="s">
        <v>58</v>
      </c>
      <c r="X298" s="1" t="s">
        <v>59</v>
      </c>
      <c r="Y298" s="1" t="s">
        <v>60</v>
      </c>
      <c r="Z298" s="1" t="s">
        <v>89</v>
      </c>
      <c r="AA298" s="2">
        <v>10.0</v>
      </c>
      <c r="AB298" s="1" t="s">
        <v>79</v>
      </c>
      <c r="AC298" s="1" t="s">
        <v>51</v>
      </c>
      <c r="AD298" s="1" t="s">
        <v>81</v>
      </c>
      <c r="AE298" s="1" t="s">
        <v>51</v>
      </c>
      <c r="AF298" s="1" t="s">
        <v>51</v>
      </c>
      <c r="AG298" s="1" t="s">
        <v>51</v>
      </c>
      <c r="AH298" s="2">
        <v>2.0</v>
      </c>
      <c r="AI298" s="2">
        <v>1.0</v>
      </c>
      <c r="AJ298" s="2">
        <v>0.0</v>
      </c>
      <c r="AK298" s="2">
        <v>0.0</v>
      </c>
      <c r="AL298" s="2">
        <v>0.0</v>
      </c>
      <c r="AM298" s="1" t="s">
        <v>51</v>
      </c>
      <c r="AN298" s="2">
        <v>6.33869547E8</v>
      </c>
      <c r="AP298" s="2">
        <v>4.90513881E8</v>
      </c>
      <c r="AQ298" s="1" t="s">
        <v>424</v>
      </c>
      <c r="AR298" s="2">
        <v>45809.64402777778</v>
      </c>
      <c r="AU298" s="1" t="s">
        <v>64</v>
      </c>
      <c r="AW298" s="1" t="s">
        <v>255</v>
      </c>
      <c r="AY298" s="2">
        <v>297.0</v>
      </c>
    </row>
    <row r="299">
      <c r="A299" s="1" t="s">
        <v>51</v>
      </c>
      <c r="C299" s="1" t="s">
        <v>131</v>
      </c>
      <c r="E299" s="1" t="s">
        <v>53</v>
      </c>
      <c r="F299" s="1" t="s">
        <v>291</v>
      </c>
      <c r="G299" s="2">
        <v>23.0</v>
      </c>
      <c r="H299" s="1" t="s">
        <v>66</v>
      </c>
      <c r="I299" s="1" t="s">
        <v>67</v>
      </c>
      <c r="J299" s="1" t="s">
        <v>111</v>
      </c>
      <c r="K299" s="1" t="s">
        <v>57</v>
      </c>
      <c r="M299" s="1" t="s">
        <v>58</v>
      </c>
      <c r="N299" s="1" t="s">
        <v>58</v>
      </c>
      <c r="O299" s="1" t="s">
        <v>58</v>
      </c>
      <c r="Q299" s="1" t="s">
        <v>58</v>
      </c>
      <c r="R299" s="1" t="s">
        <v>58</v>
      </c>
      <c r="S299" s="1" t="s">
        <v>58</v>
      </c>
      <c r="T299" s="1" t="s">
        <v>58</v>
      </c>
      <c r="U299" s="1" t="s">
        <v>58</v>
      </c>
      <c r="V299" s="1" t="s">
        <v>58</v>
      </c>
      <c r="W299" s="1" t="s">
        <v>58</v>
      </c>
      <c r="X299" s="1" t="s">
        <v>81</v>
      </c>
      <c r="Y299" s="1" t="s">
        <v>82</v>
      </c>
      <c r="Z299" s="1" t="s">
        <v>89</v>
      </c>
      <c r="AA299" s="2">
        <v>20.0</v>
      </c>
      <c r="AB299" s="1" t="s">
        <v>62</v>
      </c>
      <c r="AC299" s="1" t="s">
        <v>51</v>
      </c>
      <c r="AD299" s="1" t="s">
        <v>81</v>
      </c>
      <c r="AE299" s="1" t="s">
        <v>51</v>
      </c>
      <c r="AF299" s="1" t="s">
        <v>51</v>
      </c>
      <c r="AG299" s="1" t="s">
        <v>51</v>
      </c>
      <c r="AH299" s="2">
        <v>4.0</v>
      </c>
      <c r="AI299" s="2">
        <v>1.0</v>
      </c>
      <c r="AJ299" s="2">
        <v>0.0</v>
      </c>
      <c r="AK299" s="2">
        <v>0.0</v>
      </c>
      <c r="AL299" s="2">
        <v>0.0</v>
      </c>
      <c r="AM299" s="1" t="s">
        <v>51</v>
      </c>
      <c r="AN299" s="2">
        <v>6.04141344E8</v>
      </c>
      <c r="AP299" s="2">
        <v>4.90516923E8</v>
      </c>
      <c r="AQ299" s="1" t="s">
        <v>425</v>
      </c>
      <c r="AR299" s="2">
        <v>45809.64916666667</v>
      </c>
      <c r="AU299" s="1" t="s">
        <v>64</v>
      </c>
      <c r="AW299" s="1" t="s">
        <v>255</v>
      </c>
      <c r="AY299" s="2">
        <v>298.0</v>
      </c>
    </row>
    <row r="300">
      <c r="A300" s="1"/>
      <c r="C300" s="1"/>
      <c r="E300" s="1"/>
      <c r="F300" s="1"/>
      <c r="G300" s="2"/>
      <c r="H300" s="1"/>
      <c r="I300" s="1"/>
      <c r="J300" s="1"/>
      <c r="K300" s="1"/>
      <c r="M300" s="1"/>
      <c r="N300" s="1"/>
      <c r="O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"/>
      <c r="AB300" s="1"/>
      <c r="AC300" s="1"/>
      <c r="AD300" s="1"/>
      <c r="AE300" s="1"/>
      <c r="AF300" s="1"/>
      <c r="AG300" s="1"/>
      <c r="AH300" s="2"/>
      <c r="AI300" s="2"/>
      <c r="AJ300" s="2"/>
      <c r="AK300" s="2"/>
      <c r="AL300" s="2"/>
      <c r="AM300" s="1"/>
      <c r="AN300" s="2"/>
      <c r="AP300" s="2"/>
      <c r="AQ300" s="1"/>
      <c r="AR300" s="2"/>
      <c r="AU300" s="1"/>
      <c r="AW300" s="1"/>
      <c r="AY300" s="2"/>
    </row>
    <row r="301">
      <c r="A301" s="1"/>
      <c r="C301" s="1"/>
      <c r="E301" s="1"/>
      <c r="F301" s="1"/>
      <c r="G301" s="2"/>
      <c r="H301" s="1"/>
      <c r="I301" s="1"/>
      <c r="J301" s="1"/>
      <c r="K301" s="1"/>
      <c r="M301" s="1"/>
      <c r="N301" s="1"/>
      <c r="O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"/>
      <c r="AB301" s="1"/>
      <c r="AC301" s="1"/>
      <c r="AD301" s="1"/>
      <c r="AE301" s="1"/>
      <c r="AF301" s="1"/>
      <c r="AG301" s="1"/>
      <c r="AH301" s="2"/>
      <c r="AI301" s="2"/>
      <c r="AJ301" s="2"/>
      <c r="AK301" s="2"/>
      <c r="AL301" s="2"/>
      <c r="AM301" s="1"/>
      <c r="AN301" s="2"/>
      <c r="AP301" s="2"/>
      <c r="AQ301" s="1"/>
      <c r="AR301" s="2"/>
      <c r="AU301" s="1"/>
      <c r="AW301" s="1"/>
      <c r="AY301" s="2"/>
    </row>
    <row r="302">
      <c r="A302" s="1"/>
      <c r="C302" s="1"/>
      <c r="E302" s="1"/>
      <c r="F302" s="1"/>
      <c r="G302" s="2"/>
      <c r="H302" s="1"/>
      <c r="I302" s="1"/>
      <c r="J302" s="1"/>
      <c r="K302" s="1"/>
      <c r="M302" s="1"/>
      <c r="N302" s="1"/>
      <c r="O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"/>
      <c r="AB302" s="1"/>
      <c r="AC302" s="1"/>
      <c r="AD302" s="1"/>
      <c r="AE302" s="1"/>
      <c r="AF302" s="1"/>
      <c r="AG302" s="1"/>
      <c r="AH302" s="2"/>
      <c r="AI302" s="2"/>
      <c r="AJ302" s="2"/>
      <c r="AK302" s="2"/>
      <c r="AL302" s="2"/>
      <c r="AM302" s="1"/>
      <c r="AN302" s="2"/>
      <c r="AP302" s="2"/>
      <c r="AQ302" s="1"/>
      <c r="AR302" s="2"/>
      <c r="AU302" s="1"/>
      <c r="AW302" s="1"/>
      <c r="AY302" s="2"/>
    </row>
    <row r="303">
      <c r="A303" s="1"/>
      <c r="C303" s="1"/>
      <c r="E303" s="1"/>
      <c r="F303" s="1"/>
      <c r="G303" s="2"/>
      <c r="H303" s="1"/>
      <c r="I303" s="1"/>
      <c r="J303" s="1"/>
      <c r="K303" s="1"/>
      <c r="M303" s="1"/>
      <c r="N303" s="1"/>
      <c r="O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  <c r="AB303" s="1"/>
      <c r="AC303" s="1"/>
      <c r="AD303" s="1"/>
      <c r="AE303" s="1"/>
      <c r="AF303" s="1"/>
      <c r="AG303" s="1"/>
      <c r="AH303" s="2"/>
      <c r="AI303" s="2"/>
      <c r="AJ303" s="2"/>
      <c r="AK303" s="2"/>
      <c r="AL303" s="2"/>
      <c r="AM303" s="1"/>
      <c r="AN303" s="2"/>
      <c r="AP303" s="2"/>
      <c r="AQ303" s="1"/>
      <c r="AR303" s="2"/>
      <c r="AU303" s="1"/>
      <c r="AW303" s="1"/>
      <c r="AY303" s="2"/>
    </row>
    <row r="304">
      <c r="A304" s="1"/>
      <c r="C304" s="1"/>
      <c r="E304" s="1"/>
      <c r="F304" s="1"/>
      <c r="G304" s="2"/>
      <c r="H304" s="1"/>
      <c r="I304" s="1"/>
      <c r="J304" s="1"/>
      <c r="K304" s="1"/>
      <c r="M304" s="1"/>
      <c r="N304" s="1"/>
      <c r="O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"/>
      <c r="AB304" s="1"/>
      <c r="AC304" s="1"/>
      <c r="AD304" s="1"/>
      <c r="AE304" s="1"/>
      <c r="AF304" s="1"/>
      <c r="AG304" s="1"/>
      <c r="AH304" s="2"/>
      <c r="AI304" s="2"/>
      <c r="AJ304" s="2"/>
      <c r="AK304" s="2"/>
      <c r="AL304" s="2"/>
      <c r="AM304" s="1"/>
      <c r="AN304" s="2"/>
      <c r="AP304" s="2"/>
      <c r="AQ304" s="1"/>
      <c r="AR304" s="2"/>
      <c r="AU304" s="1"/>
      <c r="AW304" s="1"/>
      <c r="AY304" s="2"/>
    </row>
    <row r="305">
      <c r="A305" s="1"/>
      <c r="C305" s="1"/>
      <c r="E305" s="1"/>
      <c r="F305" s="1"/>
      <c r="G305" s="2"/>
      <c r="H305" s="1"/>
      <c r="I305" s="1"/>
      <c r="J305" s="1"/>
      <c r="K305" s="1"/>
      <c r="M305" s="1"/>
      <c r="N305" s="1"/>
      <c r="O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"/>
      <c r="AB305" s="1"/>
      <c r="AC305" s="1"/>
      <c r="AD305" s="1"/>
      <c r="AE305" s="1"/>
      <c r="AF305" s="1"/>
      <c r="AG305" s="1"/>
      <c r="AH305" s="2"/>
      <c r="AI305" s="2"/>
      <c r="AJ305" s="2"/>
      <c r="AK305" s="2"/>
      <c r="AL305" s="2"/>
      <c r="AM305" s="1"/>
      <c r="AN305" s="2"/>
      <c r="AP305" s="2"/>
      <c r="AQ305" s="1"/>
      <c r="AR305" s="2"/>
      <c r="AU305" s="1"/>
      <c r="AW305" s="1"/>
      <c r="AY305" s="2"/>
    </row>
    <row r="306">
      <c r="A306" s="1"/>
      <c r="C306" s="1"/>
      <c r="E306" s="1"/>
      <c r="F306" s="1"/>
      <c r="G306" s="2"/>
      <c r="H306" s="1"/>
      <c r="I306" s="1"/>
      <c r="J306" s="1"/>
      <c r="K306" s="1"/>
      <c r="M306" s="1"/>
      <c r="N306" s="1"/>
      <c r="O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"/>
      <c r="AB306" s="1"/>
      <c r="AC306" s="1"/>
      <c r="AD306" s="1"/>
      <c r="AE306" s="1"/>
      <c r="AF306" s="1"/>
      <c r="AG306" s="1"/>
      <c r="AH306" s="2"/>
      <c r="AI306" s="2"/>
      <c r="AJ306" s="2"/>
      <c r="AK306" s="2"/>
      <c r="AL306" s="2"/>
      <c r="AM306" s="1"/>
      <c r="AN306" s="2"/>
      <c r="AP306" s="2"/>
      <c r="AQ306" s="1"/>
      <c r="AR306" s="2"/>
      <c r="AU306" s="1"/>
      <c r="AW306" s="1"/>
      <c r="AY306" s="2"/>
    </row>
    <row r="307">
      <c r="A307" s="1"/>
      <c r="C307" s="1"/>
      <c r="E307" s="1"/>
      <c r="F307" s="1"/>
      <c r="G307" s="2"/>
      <c r="H307" s="1"/>
      <c r="I307" s="1"/>
      <c r="J307" s="1"/>
      <c r="K307" s="1"/>
      <c r="M307" s="1"/>
      <c r="N307" s="1"/>
      <c r="O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"/>
      <c r="AB307" s="1"/>
      <c r="AC307" s="1"/>
      <c r="AD307" s="1"/>
      <c r="AE307" s="1"/>
      <c r="AF307" s="1"/>
      <c r="AG307" s="1"/>
      <c r="AH307" s="2"/>
      <c r="AI307" s="2"/>
      <c r="AJ307" s="2"/>
      <c r="AK307" s="2"/>
      <c r="AL307" s="2"/>
      <c r="AM307" s="1"/>
      <c r="AN307" s="2"/>
      <c r="AP307" s="2"/>
      <c r="AQ307" s="1"/>
      <c r="AR307" s="2"/>
      <c r="AU307" s="1"/>
      <c r="AW307" s="1"/>
      <c r="AY307" s="2"/>
    </row>
    <row r="308">
      <c r="A308" s="1"/>
      <c r="C308" s="1"/>
      <c r="E308" s="1"/>
      <c r="F308" s="1"/>
      <c r="G308" s="2"/>
      <c r="H308" s="1"/>
      <c r="I308" s="1"/>
      <c r="J308" s="1"/>
      <c r="K308" s="1"/>
      <c r="M308" s="1"/>
      <c r="N308" s="1"/>
      <c r="O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"/>
      <c r="AB308" s="1"/>
      <c r="AC308" s="1"/>
      <c r="AD308" s="1"/>
      <c r="AE308" s="1"/>
      <c r="AF308" s="1"/>
      <c r="AG308" s="1"/>
      <c r="AH308" s="2"/>
      <c r="AI308" s="2"/>
      <c r="AJ308" s="2"/>
      <c r="AK308" s="2"/>
      <c r="AL308" s="2"/>
      <c r="AM308" s="1"/>
      <c r="AN308" s="2"/>
      <c r="AP308" s="2"/>
      <c r="AQ308" s="1"/>
      <c r="AR308" s="2"/>
      <c r="AU308" s="1"/>
      <c r="AW308" s="1"/>
      <c r="AY308" s="2"/>
    </row>
    <row r="309">
      <c r="A309" s="1"/>
      <c r="C309" s="1"/>
      <c r="E309" s="1"/>
      <c r="F309" s="1"/>
      <c r="G309" s="2"/>
      <c r="H309" s="1"/>
      <c r="I309" s="1"/>
      <c r="J309" s="1"/>
      <c r="K309" s="1"/>
      <c r="M309" s="1"/>
      <c r="N309" s="1"/>
      <c r="O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"/>
      <c r="AB309" s="1"/>
      <c r="AC309" s="1"/>
      <c r="AD309" s="1"/>
      <c r="AE309" s="1"/>
      <c r="AF309" s="1"/>
      <c r="AG309" s="1"/>
      <c r="AH309" s="2"/>
      <c r="AI309" s="2"/>
      <c r="AJ309" s="2"/>
      <c r="AK309" s="2"/>
      <c r="AL309" s="2"/>
      <c r="AM309" s="1"/>
      <c r="AN309" s="2"/>
      <c r="AP309" s="2"/>
      <c r="AQ309" s="1"/>
      <c r="AR309" s="2"/>
      <c r="AU309" s="1"/>
      <c r="AW309" s="1"/>
      <c r="AY309" s="2"/>
    </row>
    <row r="310">
      <c r="A310" s="1"/>
      <c r="C310" s="1"/>
      <c r="E310" s="1"/>
      <c r="F310" s="1"/>
      <c r="G310" s="2"/>
      <c r="H310" s="1"/>
      <c r="I310" s="1"/>
      <c r="J310" s="1"/>
      <c r="K310" s="1"/>
      <c r="M310" s="1"/>
      <c r="N310" s="1"/>
      <c r="O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/>
      <c r="AB310" s="1"/>
      <c r="AC310" s="1"/>
      <c r="AD310" s="1"/>
      <c r="AE310" s="1"/>
      <c r="AF310" s="1"/>
      <c r="AG310" s="1"/>
      <c r="AH310" s="2"/>
      <c r="AI310" s="2"/>
      <c r="AJ310" s="2"/>
      <c r="AK310" s="2"/>
      <c r="AL310" s="2"/>
      <c r="AM310" s="1"/>
      <c r="AN310" s="2"/>
      <c r="AP310" s="2"/>
      <c r="AQ310" s="1"/>
      <c r="AR310" s="2"/>
      <c r="AU310" s="1"/>
      <c r="AW310" s="1"/>
      <c r="AY310" s="2"/>
    </row>
    <row r="311">
      <c r="A311" s="1"/>
      <c r="C311" s="1"/>
      <c r="E311" s="1"/>
      <c r="F311" s="1"/>
      <c r="G311" s="2"/>
      <c r="H311" s="1"/>
      <c r="I311" s="1"/>
      <c r="J311" s="1"/>
      <c r="K311" s="1"/>
      <c r="M311" s="1"/>
      <c r="N311" s="1"/>
      <c r="O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"/>
      <c r="AB311" s="1"/>
      <c r="AC311" s="1"/>
      <c r="AD311" s="1"/>
      <c r="AE311" s="1"/>
      <c r="AF311" s="1"/>
      <c r="AG311" s="1"/>
      <c r="AH311" s="2"/>
      <c r="AI311" s="2"/>
      <c r="AJ311" s="2"/>
      <c r="AK311" s="2"/>
      <c r="AL311" s="2"/>
      <c r="AM311" s="1"/>
      <c r="AN311" s="2"/>
      <c r="AP311" s="2"/>
      <c r="AQ311" s="1"/>
      <c r="AR311" s="2"/>
      <c r="AU311" s="1"/>
      <c r="AW311" s="1"/>
      <c r="AY311" s="2"/>
    </row>
    <row r="312">
      <c r="A312" s="1"/>
      <c r="C312" s="1"/>
      <c r="E312" s="1"/>
      <c r="F312" s="1"/>
      <c r="G312" s="2"/>
      <c r="H312" s="1"/>
      <c r="I312" s="1"/>
      <c r="J312" s="1"/>
      <c r="K312" s="1"/>
      <c r="M312" s="1"/>
      <c r="N312" s="1"/>
      <c r="O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"/>
      <c r="AB312" s="1"/>
      <c r="AC312" s="1"/>
      <c r="AD312" s="1"/>
      <c r="AE312" s="1"/>
      <c r="AF312" s="1"/>
      <c r="AG312" s="1"/>
      <c r="AH312" s="2"/>
      <c r="AI312" s="2"/>
      <c r="AJ312" s="2"/>
      <c r="AK312" s="2"/>
      <c r="AL312" s="2"/>
      <c r="AM312" s="1"/>
      <c r="AN312" s="2"/>
      <c r="AP312" s="2"/>
      <c r="AQ312" s="1"/>
      <c r="AR312" s="2"/>
      <c r="AU312" s="1"/>
      <c r="AW312" s="1"/>
      <c r="AY312" s="2"/>
    </row>
    <row r="313">
      <c r="A313" s="1"/>
      <c r="C313" s="1"/>
      <c r="E313" s="1"/>
      <c r="F313" s="1"/>
      <c r="G313" s="2"/>
      <c r="H313" s="1"/>
      <c r="I313" s="1"/>
      <c r="J313" s="1"/>
      <c r="K313" s="1"/>
      <c r="M313" s="1"/>
      <c r="N313" s="1"/>
      <c r="O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"/>
      <c r="AB313" s="1"/>
      <c r="AC313" s="1"/>
      <c r="AD313" s="1"/>
      <c r="AE313" s="1"/>
      <c r="AF313" s="1"/>
      <c r="AG313" s="1"/>
      <c r="AH313" s="2"/>
      <c r="AI313" s="2"/>
      <c r="AJ313" s="2"/>
      <c r="AK313" s="2"/>
      <c r="AL313" s="2"/>
      <c r="AM313" s="1"/>
      <c r="AN313" s="2"/>
      <c r="AP313" s="2"/>
      <c r="AQ313" s="1"/>
      <c r="AR313" s="2"/>
      <c r="AU313" s="1"/>
      <c r="AW313" s="1"/>
      <c r="AY313" s="2"/>
    </row>
    <row r="314">
      <c r="A314" s="1"/>
      <c r="C314" s="1"/>
      <c r="E314" s="1"/>
      <c r="F314" s="1"/>
      <c r="G314" s="2"/>
      <c r="H314" s="1"/>
      <c r="I314" s="1"/>
      <c r="J314" s="1"/>
      <c r="K314" s="1"/>
      <c r="M314" s="1"/>
      <c r="N314" s="1"/>
      <c r="O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"/>
      <c r="AB314" s="1"/>
      <c r="AC314" s="1"/>
      <c r="AD314" s="1"/>
      <c r="AE314" s="1"/>
      <c r="AF314" s="1"/>
      <c r="AG314" s="1"/>
      <c r="AH314" s="2"/>
      <c r="AI314" s="2"/>
      <c r="AJ314" s="2"/>
      <c r="AK314" s="2"/>
      <c r="AL314" s="2"/>
      <c r="AM314" s="1"/>
      <c r="AN314" s="2"/>
      <c r="AP314" s="2"/>
      <c r="AQ314" s="1"/>
      <c r="AR314" s="2"/>
      <c r="AU314" s="1"/>
      <c r="AW314" s="1"/>
      <c r="AY314" s="2"/>
    </row>
    <row r="315">
      <c r="A315" s="1"/>
      <c r="C315" s="1"/>
      <c r="E315" s="1"/>
      <c r="F315" s="1"/>
      <c r="G315" s="2"/>
      <c r="H315" s="1"/>
      <c r="I315" s="1"/>
      <c r="J315" s="1"/>
      <c r="K315" s="1"/>
      <c r="M315" s="1"/>
      <c r="N315" s="1"/>
      <c r="O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"/>
      <c r="AB315" s="1"/>
      <c r="AC315" s="1"/>
      <c r="AD315" s="1"/>
      <c r="AE315" s="1"/>
      <c r="AF315" s="1"/>
      <c r="AG315" s="1"/>
      <c r="AH315" s="2"/>
      <c r="AI315" s="2"/>
      <c r="AJ315" s="2"/>
      <c r="AK315" s="2"/>
      <c r="AL315" s="2"/>
      <c r="AM315" s="1"/>
      <c r="AN315" s="2"/>
      <c r="AP315" s="2"/>
      <c r="AQ315" s="1"/>
      <c r="AR315" s="2"/>
      <c r="AU315" s="1"/>
      <c r="AW315" s="1"/>
      <c r="AY315" s="2"/>
    </row>
    <row r="316">
      <c r="A316" s="1"/>
      <c r="C316" s="1"/>
      <c r="E316" s="1"/>
      <c r="F316" s="1"/>
      <c r="G316" s="2"/>
      <c r="H316" s="1"/>
      <c r="I316" s="1"/>
      <c r="J316" s="1"/>
      <c r="K316" s="1"/>
      <c r="M316" s="1"/>
      <c r="N316" s="1"/>
      <c r="O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"/>
      <c r="AB316" s="1"/>
      <c r="AC316" s="1"/>
      <c r="AD316" s="1"/>
      <c r="AE316" s="1"/>
      <c r="AF316" s="1"/>
      <c r="AG316" s="1"/>
      <c r="AH316" s="2"/>
      <c r="AI316" s="2"/>
      <c r="AJ316" s="2"/>
      <c r="AK316" s="2"/>
      <c r="AL316" s="2"/>
      <c r="AM316" s="1"/>
      <c r="AN316" s="2"/>
      <c r="AP316" s="2"/>
      <c r="AQ316" s="1"/>
      <c r="AR316" s="2"/>
      <c r="AU316" s="1"/>
      <c r="AW316" s="1"/>
      <c r="AY316" s="2"/>
    </row>
    <row r="317">
      <c r="A317" s="1"/>
      <c r="C317" s="1"/>
      <c r="E317" s="1"/>
      <c r="F317" s="1"/>
      <c r="G317" s="2"/>
      <c r="H317" s="1"/>
      <c r="I317" s="1"/>
      <c r="J317" s="1"/>
      <c r="K317" s="1"/>
      <c r="M317" s="1"/>
      <c r="N317" s="1"/>
      <c r="O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"/>
      <c r="AB317" s="1"/>
      <c r="AC317" s="1"/>
      <c r="AD317" s="1"/>
      <c r="AE317" s="1"/>
      <c r="AF317" s="1"/>
      <c r="AG317" s="1"/>
      <c r="AH317" s="2"/>
      <c r="AI317" s="2"/>
      <c r="AJ317" s="2"/>
      <c r="AK317" s="2"/>
      <c r="AL317" s="2"/>
      <c r="AM317" s="1"/>
      <c r="AN317" s="2"/>
      <c r="AP317" s="2"/>
      <c r="AQ317" s="1"/>
      <c r="AR317" s="2"/>
      <c r="AU317" s="1"/>
      <c r="AW317" s="1"/>
      <c r="AY317" s="2"/>
    </row>
    <row r="318">
      <c r="A318" s="1"/>
      <c r="C318" s="1"/>
      <c r="E318" s="1"/>
      <c r="F318" s="1"/>
      <c r="G318" s="2"/>
      <c r="H318" s="1"/>
      <c r="I318" s="1"/>
      <c r="J318" s="1"/>
      <c r="K318" s="1"/>
      <c r="M318" s="1"/>
      <c r="N318" s="1"/>
      <c r="O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"/>
      <c r="AB318" s="1"/>
      <c r="AC318" s="1"/>
      <c r="AD318" s="1"/>
      <c r="AE318" s="1"/>
      <c r="AF318" s="1"/>
      <c r="AG318" s="1"/>
      <c r="AH318" s="2"/>
      <c r="AI318" s="2"/>
      <c r="AJ318" s="2"/>
      <c r="AK318" s="2"/>
      <c r="AL318" s="2"/>
      <c r="AM318" s="1"/>
      <c r="AN318" s="2"/>
      <c r="AP318" s="2"/>
      <c r="AQ318" s="1"/>
      <c r="AR318" s="2"/>
      <c r="AU318" s="1"/>
      <c r="AW318" s="1"/>
      <c r="AY318" s="2"/>
    </row>
    <row r="319">
      <c r="A319" s="1"/>
      <c r="C319" s="1"/>
      <c r="E319" s="1"/>
      <c r="F319" s="1"/>
      <c r="G319" s="2"/>
      <c r="H319" s="1"/>
      <c r="I319" s="1"/>
      <c r="J319" s="1"/>
      <c r="K319" s="1"/>
      <c r="M319" s="1"/>
      <c r="N319" s="1"/>
      <c r="O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  <c r="AB319" s="1"/>
      <c r="AC319" s="1"/>
      <c r="AD319" s="1"/>
      <c r="AE319" s="1"/>
      <c r="AF319" s="1"/>
      <c r="AG319" s="1"/>
      <c r="AH319" s="2"/>
      <c r="AI319" s="2"/>
      <c r="AJ319" s="2"/>
      <c r="AK319" s="2"/>
      <c r="AL319" s="2"/>
      <c r="AM319" s="1"/>
      <c r="AN319" s="2"/>
      <c r="AP319" s="2"/>
      <c r="AQ319" s="1"/>
      <c r="AR319" s="2"/>
      <c r="AU319" s="1"/>
      <c r="AW319" s="1"/>
      <c r="AY319" s="2"/>
    </row>
    <row r="320">
      <c r="A320" s="1"/>
      <c r="C320" s="1"/>
      <c r="E320" s="1"/>
      <c r="F320" s="1"/>
      <c r="G320" s="2"/>
      <c r="H320" s="1"/>
      <c r="I320" s="1"/>
      <c r="J320" s="1"/>
      <c r="K320" s="1"/>
      <c r="M320" s="1"/>
      <c r="N320" s="1"/>
      <c r="O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"/>
      <c r="AB320" s="1"/>
      <c r="AC320" s="1"/>
      <c r="AD320" s="1"/>
      <c r="AE320" s="1"/>
      <c r="AF320" s="1"/>
      <c r="AG320" s="1"/>
      <c r="AH320" s="2"/>
      <c r="AI320" s="2"/>
      <c r="AJ320" s="2"/>
      <c r="AK320" s="2"/>
      <c r="AL320" s="2"/>
      <c r="AM320" s="1"/>
      <c r="AN320" s="2"/>
      <c r="AP320" s="2"/>
      <c r="AQ320" s="1"/>
      <c r="AR320" s="2"/>
      <c r="AU320" s="1"/>
      <c r="AW320" s="1"/>
      <c r="AY320" s="2"/>
    </row>
    <row r="321">
      <c r="A321" s="1"/>
      <c r="C321" s="1"/>
      <c r="E321" s="1"/>
      <c r="F321" s="1"/>
      <c r="G321" s="2"/>
      <c r="H321" s="1"/>
      <c r="I321" s="1"/>
      <c r="J321" s="1"/>
      <c r="K321" s="1"/>
      <c r="M321" s="1"/>
      <c r="N321" s="1"/>
      <c r="O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"/>
      <c r="AB321" s="1"/>
      <c r="AC321" s="1"/>
      <c r="AD321" s="1"/>
      <c r="AE321" s="1"/>
      <c r="AF321" s="1"/>
      <c r="AG321" s="1"/>
      <c r="AH321" s="2"/>
      <c r="AI321" s="2"/>
      <c r="AJ321" s="2"/>
      <c r="AK321" s="2"/>
      <c r="AL321" s="2"/>
      <c r="AM321" s="1"/>
      <c r="AN321" s="2"/>
      <c r="AP321" s="2"/>
      <c r="AQ321" s="1"/>
      <c r="AR321" s="2"/>
      <c r="AU321" s="1"/>
      <c r="AW321" s="1"/>
      <c r="AY321" s="2"/>
    </row>
    <row r="322">
      <c r="A322" s="1"/>
      <c r="C322" s="1"/>
      <c r="E322" s="1"/>
      <c r="F322" s="1"/>
      <c r="G322" s="2"/>
      <c r="H322" s="1"/>
      <c r="I322" s="1"/>
      <c r="J322" s="1"/>
      <c r="K322" s="1"/>
      <c r="M322" s="1"/>
      <c r="N322" s="1"/>
      <c r="O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"/>
      <c r="AB322" s="1"/>
      <c r="AC322" s="1"/>
      <c r="AD322" s="1"/>
      <c r="AE322" s="1"/>
      <c r="AF322" s="1"/>
      <c r="AG322" s="1"/>
      <c r="AH322" s="2"/>
      <c r="AI322" s="2"/>
      <c r="AJ322" s="2"/>
      <c r="AK322" s="2"/>
      <c r="AL322" s="2"/>
      <c r="AM322" s="1"/>
      <c r="AN322" s="2"/>
      <c r="AP322" s="2"/>
      <c r="AQ322" s="1"/>
      <c r="AR322" s="2"/>
      <c r="AU322" s="1"/>
      <c r="AW322" s="1"/>
      <c r="AY322" s="2"/>
    </row>
    <row r="323">
      <c r="A323" s="1"/>
      <c r="C323" s="1"/>
      <c r="E323" s="1"/>
      <c r="F323" s="1"/>
      <c r="G323" s="2"/>
      <c r="H323" s="1"/>
      <c r="I323" s="1"/>
      <c r="J323" s="1"/>
      <c r="K323" s="1"/>
      <c r="M323" s="1"/>
      <c r="N323" s="1"/>
      <c r="O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"/>
      <c r="AB323" s="1"/>
      <c r="AC323" s="1"/>
      <c r="AD323" s="1"/>
      <c r="AE323" s="1"/>
      <c r="AF323" s="1"/>
      <c r="AG323" s="1"/>
      <c r="AH323" s="2"/>
      <c r="AI323" s="2"/>
      <c r="AJ323" s="2"/>
      <c r="AK323" s="2"/>
      <c r="AL323" s="2"/>
      <c r="AM323" s="1"/>
      <c r="AN323" s="2"/>
      <c r="AP323" s="2"/>
      <c r="AQ323" s="1"/>
      <c r="AR323" s="2"/>
      <c r="AU323" s="1"/>
      <c r="AW323" s="1"/>
      <c r="AY323" s="2"/>
    </row>
    <row r="324">
      <c r="A324" s="1"/>
      <c r="C324" s="1"/>
      <c r="E324" s="1"/>
      <c r="F324" s="1"/>
      <c r="G324" s="2"/>
      <c r="H324" s="1"/>
      <c r="I324" s="1"/>
      <c r="J324" s="1"/>
      <c r="K324" s="1"/>
      <c r="M324" s="1"/>
      <c r="N324" s="1"/>
      <c r="O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"/>
      <c r="AB324" s="1"/>
      <c r="AC324" s="1"/>
      <c r="AD324" s="1"/>
      <c r="AE324" s="1"/>
      <c r="AF324" s="1"/>
      <c r="AG324" s="1"/>
      <c r="AH324" s="2"/>
      <c r="AI324" s="2"/>
      <c r="AJ324" s="2"/>
      <c r="AK324" s="2"/>
      <c r="AL324" s="2"/>
      <c r="AM324" s="1"/>
      <c r="AN324" s="2"/>
      <c r="AP324" s="2"/>
      <c r="AQ324" s="1"/>
      <c r="AR324" s="2"/>
      <c r="AU324" s="1"/>
      <c r="AW324" s="1"/>
      <c r="AY324" s="2"/>
    </row>
    <row r="325">
      <c r="A325" s="1"/>
      <c r="C325" s="1"/>
      <c r="E325" s="1"/>
      <c r="F325" s="1"/>
      <c r="G325" s="2"/>
      <c r="H325" s="1"/>
      <c r="I325" s="1"/>
      <c r="J325" s="1"/>
      <c r="K325" s="1"/>
      <c r="M325" s="1"/>
      <c r="N325" s="1"/>
      <c r="O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"/>
      <c r="AB325" s="1"/>
      <c r="AC325" s="1"/>
      <c r="AD325" s="1"/>
      <c r="AE325" s="1"/>
      <c r="AF325" s="1"/>
      <c r="AG325" s="1"/>
      <c r="AH325" s="2"/>
      <c r="AI325" s="2"/>
      <c r="AJ325" s="2"/>
      <c r="AK325" s="2"/>
      <c r="AL325" s="2"/>
      <c r="AM325" s="1"/>
      <c r="AN325" s="2"/>
      <c r="AP325" s="2"/>
      <c r="AQ325" s="1"/>
      <c r="AR325" s="2"/>
      <c r="AU325" s="1"/>
      <c r="AW325" s="1"/>
      <c r="AY325" s="2"/>
    </row>
    <row r="326">
      <c r="A326" s="1"/>
      <c r="C326" s="1"/>
      <c r="E326" s="1"/>
      <c r="F326" s="1"/>
      <c r="G326" s="2"/>
      <c r="H326" s="1"/>
      <c r="I326" s="1"/>
      <c r="J326" s="1"/>
      <c r="K326" s="1"/>
      <c r="M326" s="1"/>
      <c r="N326" s="1"/>
      <c r="O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"/>
      <c r="AB326" s="1"/>
      <c r="AC326" s="1"/>
      <c r="AD326" s="1"/>
      <c r="AE326" s="1"/>
      <c r="AF326" s="1"/>
      <c r="AG326" s="1"/>
      <c r="AH326" s="2"/>
      <c r="AI326" s="2"/>
      <c r="AJ326" s="2"/>
      <c r="AK326" s="2"/>
      <c r="AL326" s="2"/>
      <c r="AM326" s="1"/>
      <c r="AN326" s="2"/>
      <c r="AP326" s="2"/>
      <c r="AQ326" s="1"/>
      <c r="AR326" s="2"/>
      <c r="AU326" s="1"/>
      <c r="AW326" s="1"/>
      <c r="AY326" s="2"/>
    </row>
    <row r="327">
      <c r="A327" s="1"/>
      <c r="C327" s="1"/>
      <c r="E327" s="1"/>
      <c r="F327" s="1"/>
      <c r="G327" s="2"/>
      <c r="H327" s="1"/>
      <c r="I327" s="1"/>
      <c r="J327" s="1"/>
      <c r="K327" s="1"/>
      <c r="M327" s="1"/>
      <c r="N327" s="1"/>
      <c r="O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"/>
      <c r="AB327" s="1"/>
      <c r="AC327" s="1"/>
      <c r="AD327" s="1"/>
      <c r="AE327" s="1"/>
      <c r="AF327" s="1"/>
      <c r="AG327" s="1"/>
      <c r="AH327" s="2"/>
      <c r="AI327" s="2"/>
      <c r="AJ327" s="2"/>
      <c r="AK327" s="2"/>
      <c r="AL327" s="2"/>
      <c r="AM327" s="1"/>
      <c r="AN327" s="2"/>
      <c r="AP327" s="2"/>
      <c r="AQ327" s="1"/>
      <c r="AR327" s="2"/>
      <c r="AU327" s="1"/>
      <c r="AW327" s="1"/>
      <c r="AY327" s="2"/>
    </row>
    <row r="328">
      <c r="A328" s="1"/>
      <c r="C328" s="1"/>
      <c r="E328" s="1"/>
      <c r="F328" s="1"/>
      <c r="G328" s="2"/>
      <c r="H328" s="1"/>
      <c r="I328" s="1"/>
      <c r="J328" s="1"/>
      <c r="K328" s="1"/>
      <c r="M328" s="1"/>
      <c r="N328" s="1"/>
      <c r="O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"/>
      <c r="AB328" s="1"/>
      <c r="AC328" s="1"/>
      <c r="AD328" s="1"/>
      <c r="AE328" s="1"/>
      <c r="AF328" s="1"/>
      <c r="AG328" s="1"/>
      <c r="AH328" s="2"/>
      <c r="AI328" s="2"/>
      <c r="AJ328" s="2"/>
      <c r="AK328" s="2"/>
      <c r="AL328" s="2"/>
      <c r="AM328" s="1"/>
      <c r="AN328" s="2"/>
      <c r="AP328" s="2"/>
      <c r="AQ328" s="1"/>
      <c r="AR328" s="2"/>
      <c r="AU328" s="1"/>
      <c r="AW328" s="1"/>
      <c r="AY328" s="2"/>
    </row>
    <row r="329">
      <c r="A329" s="1"/>
      <c r="C329" s="1"/>
      <c r="E329" s="1"/>
      <c r="F329" s="1"/>
      <c r="G329" s="2"/>
      <c r="H329" s="1"/>
      <c r="I329" s="1"/>
      <c r="J329" s="1"/>
      <c r="K329" s="1"/>
      <c r="M329" s="1"/>
      <c r="N329" s="1"/>
      <c r="O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"/>
      <c r="AB329" s="1"/>
      <c r="AC329" s="1"/>
      <c r="AD329" s="1"/>
      <c r="AE329" s="1"/>
      <c r="AF329" s="1"/>
      <c r="AG329" s="1"/>
      <c r="AH329" s="2"/>
      <c r="AI329" s="2"/>
      <c r="AJ329" s="2"/>
      <c r="AK329" s="2"/>
      <c r="AL329" s="2"/>
      <c r="AM329" s="1"/>
      <c r="AN329" s="2"/>
      <c r="AP329" s="2"/>
      <c r="AQ329" s="1"/>
      <c r="AR329" s="2"/>
      <c r="AU329" s="1"/>
      <c r="AW329" s="1"/>
      <c r="AY329" s="2"/>
    </row>
    <row r="330">
      <c r="A330" s="1"/>
      <c r="C330" s="1"/>
      <c r="E330" s="1"/>
      <c r="F330" s="1"/>
      <c r="G330" s="2"/>
      <c r="H330" s="1"/>
      <c r="I330" s="1"/>
      <c r="J330" s="1"/>
      <c r="K330" s="1"/>
      <c r="M330" s="1"/>
      <c r="N330" s="1"/>
      <c r="O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"/>
      <c r="AB330" s="1"/>
      <c r="AC330" s="1"/>
      <c r="AD330" s="1"/>
      <c r="AE330" s="1"/>
      <c r="AF330" s="1"/>
      <c r="AG330" s="1"/>
      <c r="AH330" s="2"/>
      <c r="AI330" s="2"/>
      <c r="AJ330" s="2"/>
      <c r="AK330" s="2"/>
      <c r="AL330" s="2"/>
      <c r="AM330" s="1"/>
      <c r="AN330" s="2"/>
      <c r="AP330" s="2"/>
      <c r="AQ330" s="1"/>
      <c r="AR330" s="2"/>
      <c r="AU330" s="1"/>
      <c r="AW330" s="1"/>
      <c r="AY330" s="2"/>
    </row>
    <row r="331">
      <c r="A331" s="1"/>
      <c r="C331" s="1"/>
      <c r="E331" s="1"/>
      <c r="F331" s="1"/>
      <c r="G331" s="2"/>
      <c r="H331" s="1"/>
      <c r="I331" s="1"/>
      <c r="J331" s="1"/>
      <c r="K331" s="1"/>
      <c r="M331" s="1"/>
      <c r="N331" s="1"/>
      <c r="O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"/>
      <c r="AB331" s="1"/>
      <c r="AC331" s="1"/>
      <c r="AD331" s="1"/>
      <c r="AE331" s="1"/>
      <c r="AF331" s="1"/>
      <c r="AG331" s="1"/>
      <c r="AH331" s="2"/>
      <c r="AI331" s="2"/>
      <c r="AJ331" s="2"/>
      <c r="AK331" s="2"/>
      <c r="AL331" s="2"/>
      <c r="AM331" s="1"/>
      <c r="AN331" s="2"/>
      <c r="AP331" s="2"/>
      <c r="AQ331" s="1"/>
      <c r="AR331" s="2"/>
      <c r="AU331" s="1"/>
      <c r="AW331" s="1"/>
      <c r="AY331" s="2"/>
    </row>
    <row r="332">
      <c r="A332" s="1"/>
      <c r="C332" s="1"/>
      <c r="E332" s="1"/>
      <c r="F332" s="1"/>
      <c r="G332" s="2"/>
      <c r="H332" s="1"/>
      <c r="I332" s="1"/>
      <c r="J332" s="1"/>
      <c r="K332" s="1"/>
      <c r="M332" s="1"/>
      <c r="N332" s="1"/>
      <c r="O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"/>
      <c r="AB332" s="1"/>
      <c r="AC332" s="1"/>
      <c r="AD332" s="1"/>
      <c r="AE332" s="1"/>
      <c r="AF332" s="1"/>
      <c r="AG332" s="1"/>
      <c r="AH332" s="2"/>
      <c r="AI332" s="2"/>
      <c r="AJ332" s="2"/>
      <c r="AK332" s="2"/>
      <c r="AL332" s="2"/>
      <c r="AM332" s="1"/>
      <c r="AN332" s="2"/>
      <c r="AP332" s="2"/>
      <c r="AQ332" s="1"/>
      <c r="AR332" s="2"/>
      <c r="AU332" s="1"/>
      <c r="AW332" s="1"/>
      <c r="AY332" s="2"/>
    </row>
    <row r="333">
      <c r="A333" s="1"/>
      <c r="C333" s="1"/>
      <c r="E333" s="1"/>
      <c r="F333" s="1"/>
      <c r="G333" s="2"/>
      <c r="H333" s="1"/>
      <c r="I333" s="1"/>
      <c r="J333" s="1"/>
      <c r="K333" s="1"/>
      <c r="M333" s="1"/>
      <c r="N333" s="1"/>
      <c r="O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"/>
      <c r="AB333" s="1"/>
      <c r="AC333" s="1"/>
      <c r="AD333" s="1"/>
      <c r="AE333" s="1"/>
      <c r="AF333" s="1"/>
      <c r="AG333" s="1"/>
      <c r="AH333" s="2"/>
      <c r="AI333" s="2"/>
      <c r="AJ333" s="2"/>
      <c r="AK333" s="2"/>
      <c r="AL333" s="2"/>
      <c r="AM333" s="1"/>
      <c r="AN333" s="2"/>
      <c r="AP333" s="2"/>
      <c r="AQ333" s="1"/>
      <c r="AR333" s="2"/>
      <c r="AU333" s="1"/>
      <c r="AW333" s="1"/>
      <c r="AY333" s="2"/>
    </row>
    <row r="334">
      <c r="A334" s="1"/>
      <c r="C334" s="1"/>
      <c r="E334" s="1"/>
      <c r="F334" s="1"/>
      <c r="G334" s="2"/>
      <c r="H334" s="1"/>
      <c r="I334" s="1"/>
      <c r="J334" s="1"/>
      <c r="K334" s="1"/>
      <c r="M334" s="1"/>
      <c r="N334" s="1"/>
      <c r="O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"/>
      <c r="AB334" s="1"/>
      <c r="AC334" s="1"/>
      <c r="AD334" s="1"/>
      <c r="AE334" s="1"/>
      <c r="AF334" s="1"/>
      <c r="AG334" s="1"/>
      <c r="AH334" s="2"/>
      <c r="AI334" s="2"/>
      <c r="AJ334" s="2"/>
      <c r="AK334" s="2"/>
      <c r="AL334" s="2"/>
      <c r="AM334" s="1"/>
      <c r="AN334" s="2"/>
      <c r="AP334" s="2"/>
      <c r="AQ334" s="1"/>
      <c r="AR334" s="2"/>
      <c r="AU334" s="1"/>
      <c r="AW334" s="1"/>
      <c r="AY334" s="2"/>
    </row>
    <row r="335">
      <c r="A335" s="1"/>
      <c r="C335" s="1"/>
      <c r="E335" s="1"/>
      <c r="F335" s="1"/>
      <c r="G335" s="2"/>
      <c r="H335" s="1"/>
      <c r="I335" s="1"/>
      <c r="J335" s="1"/>
      <c r="K335" s="1"/>
      <c r="M335" s="1"/>
      <c r="N335" s="1"/>
      <c r="O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"/>
      <c r="AB335" s="1"/>
      <c r="AC335" s="1"/>
      <c r="AD335" s="1"/>
      <c r="AE335" s="1"/>
      <c r="AF335" s="1"/>
      <c r="AG335" s="1"/>
      <c r="AH335" s="2"/>
      <c r="AI335" s="2"/>
      <c r="AJ335" s="2"/>
      <c r="AK335" s="2"/>
      <c r="AL335" s="2"/>
      <c r="AM335" s="1"/>
      <c r="AN335" s="2"/>
      <c r="AP335" s="2"/>
      <c r="AQ335" s="1"/>
      <c r="AR335" s="2"/>
      <c r="AU335" s="1"/>
      <c r="AW335" s="1"/>
      <c r="AY335" s="2"/>
    </row>
    <row r="336">
      <c r="A336" s="1"/>
      <c r="C336" s="1"/>
      <c r="E336" s="1"/>
      <c r="F336" s="1"/>
      <c r="G336" s="2"/>
      <c r="H336" s="1"/>
      <c r="I336" s="1"/>
      <c r="J336" s="1"/>
      <c r="K336" s="1"/>
      <c r="M336" s="1"/>
      <c r="N336" s="1"/>
      <c r="O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/>
      <c r="AB336" s="1"/>
      <c r="AC336" s="1"/>
      <c r="AD336" s="1"/>
      <c r="AE336" s="1"/>
      <c r="AF336" s="1"/>
      <c r="AG336" s="1"/>
      <c r="AH336" s="2"/>
      <c r="AI336" s="2"/>
      <c r="AJ336" s="2"/>
      <c r="AK336" s="2"/>
      <c r="AL336" s="2"/>
      <c r="AM336" s="1"/>
      <c r="AN336" s="2"/>
      <c r="AP336" s="2"/>
      <c r="AQ336" s="1"/>
      <c r="AR336" s="2"/>
      <c r="AU336" s="1"/>
      <c r="AW336" s="1"/>
      <c r="AY336" s="2"/>
    </row>
    <row r="337">
      <c r="A337" s="1"/>
      <c r="C337" s="1"/>
      <c r="E337" s="1"/>
      <c r="F337" s="1"/>
      <c r="G337" s="2"/>
      <c r="H337" s="1"/>
      <c r="I337" s="1"/>
      <c r="J337" s="1"/>
      <c r="K337" s="1"/>
      <c r="M337" s="1"/>
      <c r="N337" s="1"/>
      <c r="O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"/>
      <c r="AB337" s="1"/>
      <c r="AC337" s="1"/>
      <c r="AD337" s="1"/>
      <c r="AE337" s="1"/>
      <c r="AF337" s="1"/>
      <c r="AG337" s="1"/>
      <c r="AH337" s="2"/>
      <c r="AI337" s="2"/>
      <c r="AJ337" s="2"/>
      <c r="AK337" s="2"/>
      <c r="AL337" s="2"/>
      <c r="AM337" s="1"/>
      <c r="AN337" s="2"/>
      <c r="AP337" s="2"/>
      <c r="AQ337" s="1"/>
      <c r="AR337" s="2"/>
      <c r="AU337" s="1"/>
      <c r="AW337" s="1"/>
      <c r="AY337" s="2"/>
    </row>
    <row r="338">
      <c r="A338" s="1"/>
      <c r="C338" s="1"/>
      <c r="E338" s="1"/>
      <c r="F338" s="1"/>
      <c r="G338" s="2"/>
      <c r="H338" s="1"/>
      <c r="I338" s="1"/>
      <c r="J338" s="1"/>
      <c r="K338" s="1"/>
      <c r="M338" s="1"/>
      <c r="N338" s="1"/>
      <c r="O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"/>
      <c r="AB338" s="1"/>
      <c r="AC338" s="1"/>
      <c r="AD338" s="1"/>
      <c r="AE338" s="1"/>
      <c r="AF338" s="1"/>
      <c r="AG338" s="1"/>
      <c r="AH338" s="2"/>
      <c r="AI338" s="2"/>
      <c r="AJ338" s="2"/>
      <c r="AK338" s="2"/>
      <c r="AL338" s="2"/>
      <c r="AM338" s="1"/>
      <c r="AN338" s="2"/>
      <c r="AP338" s="2"/>
      <c r="AQ338" s="1"/>
      <c r="AR338" s="2"/>
      <c r="AU338" s="1"/>
      <c r="AW338" s="1"/>
      <c r="AY338" s="2"/>
    </row>
    <row r="339">
      <c r="A339" s="1"/>
      <c r="C339" s="1"/>
      <c r="E339" s="1"/>
      <c r="F339" s="1"/>
      <c r="G339" s="2"/>
      <c r="H339" s="1"/>
      <c r="I339" s="1"/>
      <c r="J339" s="1"/>
      <c r="K339" s="1"/>
      <c r="M339" s="1"/>
      <c r="N339" s="1"/>
      <c r="O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"/>
      <c r="AB339" s="1"/>
      <c r="AC339" s="1"/>
      <c r="AD339" s="1"/>
      <c r="AE339" s="1"/>
      <c r="AF339" s="1"/>
      <c r="AG339" s="1"/>
      <c r="AH339" s="2"/>
      <c r="AI339" s="2"/>
      <c r="AJ339" s="2"/>
      <c r="AK339" s="2"/>
      <c r="AL339" s="2"/>
      <c r="AM339" s="1"/>
      <c r="AN339" s="2"/>
      <c r="AP339" s="2"/>
      <c r="AQ339" s="1"/>
      <c r="AR339" s="2"/>
      <c r="AU339" s="1"/>
      <c r="AW339" s="1"/>
      <c r="AY339" s="2"/>
    </row>
    <row r="340">
      <c r="A340" s="1"/>
      <c r="C340" s="1"/>
      <c r="E340" s="1"/>
      <c r="F340" s="1"/>
      <c r="G340" s="2"/>
      <c r="H340" s="1"/>
      <c r="I340" s="1"/>
      <c r="J340" s="1"/>
      <c r="K340" s="1"/>
      <c r="M340" s="1"/>
      <c r="N340" s="1"/>
      <c r="O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"/>
      <c r="AB340" s="1"/>
      <c r="AC340" s="1"/>
      <c r="AD340" s="1"/>
      <c r="AE340" s="1"/>
      <c r="AF340" s="1"/>
      <c r="AG340" s="1"/>
      <c r="AH340" s="2"/>
      <c r="AI340" s="2"/>
      <c r="AJ340" s="2"/>
      <c r="AK340" s="2"/>
      <c r="AL340" s="2"/>
      <c r="AM340" s="1"/>
      <c r="AN340" s="2"/>
      <c r="AP340" s="2"/>
      <c r="AQ340" s="1"/>
      <c r="AR340" s="2"/>
      <c r="AU340" s="1"/>
      <c r="AW340" s="1"/>
      <c r="AY340" s="2"/>
    </row>
    <row r="341">
      <c r="A341" s="1"/>
      <c r="C341" s="1"/>
      <c r="E341" s="1"/>
      <c r="F341" s="1"/>
      <c r="G341" s="2"/>
      <c r="H341" s="1"/>
      <c r="I341" s="1"/>
      <c r="J341" s="1"/>
      <c r="K341" s="1"/>
      <c r="M341" s="1"/>
      <c r="N341" s="1"/>
      <c r="O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"/>
      <c r="AB341" s="1"/>
      <c r="AC341" s="1"/>
      <c r="AD341" s="1"/>
      <c r="AE341" s="1"/>
      <c r="AF341" s="1"/>
      <c r="AG341" s="1"/>
      <c r="AH341" s="2"/>
      <c r="AI341" s="2"/>
      <c r="AJ341" s="2"/>
      <c r="AK341" s="2"/>
      <c r="AL341" s="2"/>
      <c r="AM341" s="1"/>
      <c r="AN341" s="2"/>
      <c r="AP341" s="2"/>
      <c r="AQ341" s="1"/>
      <c r="AR341" s="2"/>
      <c r="AU341" s="1"/>
      <c r="AW341" s="1"/>
      <c r="AY341" s="2"/>
    </row>
    <row r="342">
      <c r="A342" s="1"/>
      <c r="C342" s="1"/>
      <c r="E342" s="1"/>
      <c r="F342" s="1"/>
      <c r="G342" s="2"/>
      <c r="H342" s="1"/>
      <c r="I342" s="1"/>
      <c r="J342" s="1"/>
      <c r="K342" s="1"/>
      <c r="M342" s="1"/>
      <c r="N342" s="1"/>
      <c r="O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"/>
      <c r="AB342" s="1"/>
      <c r="AC342" s="1"/>
      <c r="AD342" s="1"/>
      <c r="AE342" s="1"/>
      <c r="AF342" s="1"/>
      <c r="AG342" s="1"/>
      <c r="AH342" s="2"/>
      <c r="AI342" s="2"/>
      <c r="AJ342" s="2"/>
      <c r="AK342" s="2"/>
      <c r="AL342" s="2"/>
      <c r="AM342" s="1"/>
      <c r="AN342" s="2"/>
      <c r="AP342" s="2"/>
      <c r="AQ342" s="1"/>
      <c r="AR342" s="2"/>
      <c r="AU342" s="1"/>
      <c r="AW342" s="1"/>
      <c r="AY342" s="2"/>
    </row>
    <row r="343">
      <c r="A343" s="1"/>
      <c r="C343" s="1"/>
      <c r="E343" s="1"/>
      <c r="F343" s="1"/>
      <c r="G343" s="2"/>
      <c r="H343" s="1"/>
      <c r="I343" s="1"/>
      <c r="J343" s="1"/>
      <c r="K343" s="1"/>
      <c r="M343" s="1"/>
      <c r="N343" s="1"/>
      <c r="O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"/>
      <c r="AB343" s="1"/>
      <c r="AC343" s="1"/>
      <c r="AD343" s="1"/>
      <c r="AE343" s="1"/>
      <c r="AF343" s="1"/>
      <c r="AG343" s="1"/>
      <c r="AH343" s="2"/>
      <c r="AI343" s="2"/>
      <c r="AJ343" s="2"/>
      <c r="AK343" s="2"/>
      <c r="AL343" s="2"/>
      <c r="AM343" s="1"/>
      <c r="AN343" s="2"/>
      <c r="AP343" s="2"/>
      <c r="AQ343" s="1"/>
      <c r="AR343" s="2"/>
      <c r="AU343" s="1"/>
      <c r="AW343" s="1"/>
      <c r="AY343" s="2"/>
    </row>
    <row r="344">
      <c r="A344" s="1"/>
      <c r="C344" s="1"/>
      <c r="E344" s="1"/>
      <c r="F344" s="1"/>
      <c r="G344" s="2"/>
      <c r="H344" s="1"/>
      <c r="I344" s="1"/>
      <c r="J344" s="1"/>
      <c r="K344" s="1"/>
      <c r="M344" s="1"/>
      <c r="N344" s="1"/>
      <c r="O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/>
      <c r="AB344" s="1"/>
      <c r="AC344" s="1"/>
      <c r="AD344" s="1"/>
      <c r="AE344" s="1"/>
      <c r="AF344" s="1"/>
      <c r="AG344" s="1"/>
      <c r="AH344" s="2"/>
      <c r="AI344" s="2"/>
      <c r="AJ344" s="2"/>
      <c r="AK344" s="2"/>
      <c r="AL344" s="2"/>
      <c r="AM344" s="1"/>
      <c r="AN344" s="2"/>
      <c r="AP344" s="2"/>
      <c r="AQ344" s="1"/>
      <c r="AR344" s="2"/>
      <c r="AU344" s="1"/>
      <c r="AW344" s="1"/>
      <c r="AY344" s="2"/>
    </row>
    <row r="345">
      <c r="A345" s="1"/>
      <c r="C345" s="1"/>
      <c r="E345" s="1"/>
      <c r="F345" s="1"/>
      <c r="G345" s="2"/>
      <c r="H345" s="1"/>
      <c r="I345" s="1"/>
      <c r="J345" s="1"/>
      <c r="K345" s="1"/>
      <c r="M345" s="1"/>
      <c r="N345" s="1"/>
      <c r="O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"/>
      <c r="AB345" s="1"/>
      <c r="AC345" s="1"/>
      <c r="AD345" s="1"/>
      <c r="AE345" s="1"/>
      <c r="AF345" s="1"/>
      <c r="AG345" s="1"/>
      <c r="AH345" s="2"/>
      <c r="AI345" s="2"/>
      <c r="AJ345" s="2"/>
      <c r="AK345" s="2"/>
      <c r="AL345" s="2"/>
      <c r="AM345" s="1"/>
      <c r="AN345" s="2"/>
      <c r="AP345" s="2"/>
      <c r="AQ345" s="1"/>
      <c r="AR345" s="2"/>
      <c r="AU345" s="1"/>
      <c r="AW345" s="1"/>
      <c r="AY345" s="2"/>
    </row>
    <row r="346">
      <c r="A346" s="1"/>
      <c r="C346" s="1"/>
      <c r="E346" s="1"/>
      <c r="F346" s="1"/>
      <c r="G346" s="2"/>
      <c r="H346" s="1"/>
      <c r="I346" s="1"/>
      <c r="J346" s="1"/>
      <c r="K346" s="1"/>
      <c r="M346" s="1"/>
      <c r="N346" s="1"/>
      <c r="O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/>
      <c r="AB346" s="1"/>
      <c r="AC346" s="1"/>
      <c r="AD346" s="1"/>
      <c r="AE346" s="1"/>
      <c r="AF346" s="1"/>
      <c r="AG346" s="1"/>
      <c r="AH346" s="2"/>
      <c r="AI346" s="2"/>
      <c r="AJ346" s="2"/>
      <c r="AK346" s="2"/>
      <c r="AL346" s="2"/>
      <c r="AM346" s="1"/>
      <c r="AN346" s="2"/>
      <c r="AP346" s="2"/>
      <c r="AQ346" s="1"/>
      <c r="AR346" s="2"/>
      <c r="AU346" s="1"/>
      <c r="AW346" s="1"/>
      <c r="AY346" s="2"/>
    </row>
    <row r="347">
      <c r="A347" s="1"/>
      <c r="C347" s="1"/>
      <c r="E347" s="1"/>
      <c r="F347" s="1"/>
      <c r="G347" s="2"/>
      <c r="H347" s="1"/>
      <c r="I347" s="1"/>
      <c r="J347" s="1"/>
      <c r="K347" s="1"/>
      <c r="M347" s="1"/>
      <c r="N347" s="1"/>
      <c r="O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"/>
      <c r="AB347" s="1"/>
      <c r="AC347" s="1"/>
      <c r="AD347" s="1"/>
      <c r="AE347" s="1"/>
      <c r="AF347" s="1"/>
      <c r="AG347" s="1"/>
      <c r="AH347" s="2"/>
      <c r="AI347" s="2"/>
      <c r="AJ347" s="2"/>
      <c r="AK347" s="2"/>
      <c r="AL347" s="2"/>
      <c r="AM347" s="1"/>
      <c r="AN347" s="2"/>
      <c r="AP347" s="2"/>
      <c r="AQ347" s="1"/>
      <c r="AR347" s="2"/>
      <c r="AU347" s="1"/>
      <c r="AW347" s="1"/>
      <c r="AY347" s="2"/>
    </row>
    <row r="348">
      <c r="A348" s="1"/>
      <c r="C348" s="1"/>
      <c r="E348" s="1"/>
      <c r="F348" s="1"/>
      <c r="G348" s="2"/>
      <c r="H348" s="1"/>
      <c r="I348" s="1"/>
      <c r="J348" s="1"/>
      <c r="K348" s="1"/>
      <c r="M348" s="1"/>
      <c r="N348" s="1"/>
      <c r="O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"/>
      <c r="AB348" s="1"/>
      <c r="AC348" s="1"/>
      <c r="AD348" s="1"/>
      <c r="AE348" s="1"/>
      <c r="AF348" s="1"/>
      <c r="AG348" s="1"/>
      <c r="AH348" s="2"/>
      <c r="AI348" s="2"/>
      <c r="AJ348" s="2"/>
      <c r="AK348" s="2"/>
      <c r="AL348" s="2"/>
      <c r="AM348" s="1"/>
      <c r="AN348" s="2"/>
      <c r="AP348" s="2"/>
      <c r="AQ348" s="1"/>
      <c r="AR348" s="2"/>
      <c r="AU348" s="1"/>
      <c r="AW348" s="1"/>
      <c r="AY348" s="2"/>
    </row>
    <row r="349">
      <c r="A349" s="1"/>
      <c r="C349" s="1"/>
      <c r="E349" s="1"/>
      <c r="F349" s="1"/>
      <c r="G349" s="2"/>
      <c r="H349" s="1"/>
      <c r="I349" s="1"/>
      <c r="J349" s="1"/>
      <c r="K349" s="1"/>
      <c r="M349" s="1"/>
      <c r="N349" s="1"/>
      <c r="O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"/>
      <c r="AB349" s="1"/>
      <c r="AC349" s="1"/>
      <c r="AD349" s="1"/>
      <c r="AE349" s="1"/>
      <c r="AF349" s="1"/>
      <c r="AG349" s="1"/>
      <c r="AH349" s="2"/>
      <c r="AI349" s="2"/>
      <c r="AJ349" s="2"/>
      <c r="AK349" s="2"/>
      <c r="AL349" s="2"/>
      <c r="AM349" s="1"/>
      <c r="AN349" s="2"/>
      <c r="AP349" s="2"/>
      <c r="AQ349" s="1"/>
      <c r="AR349" s="2"/>
      <c r="AU349" s="1"/>
      <c r="AW349" s="1"/>
      <c r="AY349" s="2"/>
    </row>
    <row r="350">
      <c r="A350" s="1"/>
      <c r="C350" s="1"/>
      <c r="E350" s="1"/>
      <c r="F350" s="1"/>
      <c r="G350" s="2"/>
      <c r="H350" s="1"/>
      <c r="I350" s="1"/>
      <c r="J350" s="1"/>
      <c r="K350" s="1"/>
      <c r="M350" s="1"/>
      <c r="N350" s="1"/>
      <c r="O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"/>
      <c r="AB350" s="1"/>
      <c r="AC350" s="1"/>
      <c r="AD350" s="1"/>
      <c r="AE350" s="1"/>
      <c r="AF350" s="1"/>
      <c r="AG350" s="1"/>
      <c r="AH350" s="2"/>
      <c r="AI350" s="2"/>
      <c r="AJ350" s="2"/>
      <c r="AK350" s="2"/>
      <c r="AL350" s="2"/>
      <c r="AM350" s="1"/>
      <c r="AN350" s="2"/>
      <c r="AP350" s="2"/>
      <c r="AQ350" s="1"/>
      <c r="AR350" s="2"/>
      <c r="AU350" s="1"/>
      <c r="AW350" s="1"/>
      <c r="AY350" s="2"/>
    </row>
    <row r="351">
      <c r="A351" s="1"/>
      <c r="C351" s="1"/>
      <c r="E351" s="1"/>
      <c r="F351" s="1"/>
      <c r="G351" s="2"/>
      <c r="H351" s="1"/>
      <c r="I351" s="1"/>
      <c r="J351" s="1"/>
      <c r="K351" s="1"/>
      <c r="M351" s="1"/>
      <c r="N351" s="1"/>
      <c r="O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"/>
      <c r="AB351" s="1"/>
      <c r="AC351" s="1"/>
      <c r="AD351" s="1"/>
      <c r="AE351" s="1"/>
      <c r="AF351" s="1"/>
      <c r="AG351" s="1"/>
      <c r="AH351" s="2"/>
      <c r="AI351" s="2"/>
      <c r="AJ351" s="2"/>
      <c r="AK351" s="2"/>
      <c r="AL351" s="2"/>
      <c r="AM351" s="1"/>
      <c r="AN351" s="2"/>
      <c r="AP351" s="2"/>
      <c r="AQ351" s="1"/>
      <c r="AR351" s="2"/>
      <c r="AU351" s="1"/>
      <c r="AW351" s="1"/>
      <c r="AY351" s="2"/>
    </row>
    <row r="352">
      <c r="A352" s="1"/>
      <c r="C352" s="1"/>
      <c r="E352" s="1"/>
      <c r="F352" s="1"/>
      <c r="G352" s="2"/>
      <c r="H352" s="1"/>
      <c r="I352" s="1"/>
      <c r="J352" s="1"/>
      <c r="K352" s="1"/>
      <c r="M352" s="1"/>
      <c r="N352" s="1"/>
      <c r="O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"/>
      <c r="AB352" s="1"/>
      <c r="AC352" s="1"/>
      <c r="AD352" s="1"/>
      <c r="AE352" s="1"/>
      <c r="AF352" s="1"/>
      <c r="AG352" s="1"/>
      <c r="AH352" s="2"/>
      <c r="AI352" s="2"/>
      <c r="AJ352" s="2"/>
      <c r="AK352" s="2"/>
      <c r="AL352" s="2"/>
      <c r="AM352" s="1"/>
      <c r="AN352" s="2"/>
      <c r="AP352" s="2"/>
      <c r="AQ352" s="1"/>
      <c r="AR352" s="2"/>
      <c r="AU352" s="1"/>
      <c r="AW352" s="1"/>
      <c r="AY352" s="2"/>
    </row>
    <row r="353">
      <c r="A353" s="1"/>
      <c r="C353" s="1"/>
      <c r="E353" s="1"/>
      <c r="F353" s="1"/>
      <c r="G353" s="2"/>
      <c r="H353" s="1"/>
      <c r="I353" s="1"/>
      <c r="J353" s="1"/>
      <c r="K353" s="1"/>
      <c r="M353" s="1"/>
      <c r="N353" s="1"/>
      <c r="O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"/>
      <c r="AB353" s="1"/>
      <c r="AC353" s="1"/>
      <c r="AD353" s="1"/>
      <c r="AE353" s="1"/>
      <c r="AF353" s="1"/>
      <c r="AG353" s="1"/>
      <c r="AH353" s="2"/>
      <c r="AI353" s="2"/>
      <c r="AJ353" s="2"/>
      <c r="AK353" s="2"/>
      <c r="AL353" s="2"/>
      <c r="AM353" s="1"/>
      <c r="AN353" s="2"/>
      <c r="AP353" s="2"/>
      <c r="AQ353" s="1"/>
      <c r="AR353" s="2"/>
      <c r="AU353" s="1"/>
      <c r="AW353" s="1"/>
      <c r="AY353" s="2"/>
    </row>
    <row r="354">
      <c r="A354" s="1"/>
      <c r="C354" s="1"/>
      <c r="E354" s="1"/>
      <c r="F354" s="1"/>
      <c r="G354" s="2"/>
      <c r="H354" s="1"/>
      <c r="I354" s="1"/>
      <c r="J354" s="1"/>
      <c r="K354" s="1"/>
      <c r="M354" s="1"/>
      <c r="N354" s="1"/>
      <c r="O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"/>
      <c r="AB354" s="1"/>
      <c r="AC354" s="1"/>
      <c r="AD354" s="1"/>
      <c r="AE354" s="1"/>
      <c r="AF354" s="1"/>
      <c r="AG354" s="1"/>
      <c r="AH354" s="2"/>
      <c r="AI354" s="2"/>
      <c r="AJ354" s="2"/>
      <c r="AK354" s="2"/>
      <c r="AL354" s="2"/>
      <c r="AM354" s="1"/>
      <c r="AN354" s="2"/>
      <c r="AP354" s="2"/>
      <c r="AQ354" s="1"/>
      <c r="AR354" s="2"/>
      <c r="AU354" s="1"/>
      <c r="AW354" s="1"/>
      <c r="AY354" s="2"/>
    </row>
    <row r="355">
      <c r="A355" s="1"/>
      <c r="C355" s="1"/>
      <c r="E355" s="1"/>
      <c r="F355" s="1"/>
      <c r="G355" s="2"/>
      <c r="H355" s="1"/>
      <c r="I355" s="1"/>
      <c r="J355" s="1"/>
      <c r="K355" s="1"/>
      <c r="M355" s="1"/>
      <c r="N355" s="1"/>
      <c r="O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/>
      <c r="AB355" s="1"/>
      <c r="AC355" s="1"/>
      <c r="AD355" s="1"/>
      <c r="AE355" s="1"/>
      <c r="AF355" s="1"/>
      <c r="AG355" s="1"/>
      <c r="AH355" s="2"/>
      <c r="AI355" s="2"/>
      <c r="AJ355" s="2"/>
      <c r="AK355" s="2"/>
      <c r="AL355" s="2"/>
      <c r="AM355" s="1"/>
      <c r="AN355" s="2"/>
      <c r="AP355" s="2"/>
      <c r="AQ355" s="1"/>
      <c r="AR355" s="2"/>
      <c r="AU355" s="1"/>
      <c r="AW355" s="1"/>
      <c r="AY355" s="2"/>
    </row>
    <row r="356">
      <c r="A356" s="1"/>
      <c r="C356" s="1"/>
      <c r="E356" s="1"/>
      <c r="F356" s="1"/>
      <c r="G356" s="2"/>
      <c r="H356" s="1"/>
      <c r="I356" s="1"/>
      <c r="J356" s="1"/>
      <c r="K356" s="1"/>
      <c r="M356" s="1"/>
      <c r="N356" s="1"/>
      <c r="O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"/>
      <c r="AB356" s="1"/>
      <c r="AC356" s="1"/>
      <c r="AD356" s="1"/>
      <c r="AE356" s="1"/>
      <c r="AF356" s="1"/>
      <c r="AG356" s="1"/>
      <c r="AH356" s="2"/>
      <c r="AI356" s="2"/>
      <c r="AJ356" s="2"/>
      <c r="AK356" s="2"/>
      <c r="AL356" s="2"/>
      <c r="AM356" s="1"/>
      <c r="AN356" s="2"/>
      <c r="AP356" s="2"/>
      <c r="AQ356" s="1"/>
      <c r="AR356" s="2"/>
      <c r="AU356" s="1"/>
      <c r="AW356" s="1"/>
      <c r="AY356" s="2"/>
    </row>
    <row r="357">
      <c r="A357" s="1"/>
      <c r="C357" s="1"/>
      <c r="E357" s="1"/>
      <c r="F357" s="1"/>
      <c r="G357" s="2"/>
      <c r="H357" s="1"/>
      <c r="I357" s="1"/>
      <c r="J357" s="1"/>
      <c r="K357" s="1"/>
      <c r="M357" s="1"/>
      <c r="N357" s="1"/>
      <c r="O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"/>
      <c r="AB357" s="1"/>
      <c r="AC357" s="1"/>
      <c r="AD357" s="1"/>
      <c r="AE357" s="1"/>
      <c r="AF357" s="1"/>
      <c r="AG357" s="1"/>
      <c r="AH357" s="2"/>
      <c r="AI357" s="2"/>
      <c r="AJ357" s="2"/>
      <c r="AK357" s="2"/>
      <c r="AL357" s="2"/>
      <c r="AM357" s="1"/>
      <c r="AN357" s="2"/>
      <c r="AP357" s="2"/>
      <c r="AQ357" s="1"/>
      <c r="AR357" s="2"/>
      <c r="AU357" s="1"/>
      <c r="AW357" s="1"/>
      <c r="AY357" s="2"/>
    </row>
    <row r="358">
      <c r="A358" s="1"/>
      <c r="C358" s="1"/>
      <c r="E358" s="1"/>
      <c r="F358" s="1"/>
      <c r="G358" s="2"/>
      <c r="H358" s="1"/>
      <c r="I358" s="1"/>
      <c r="J358" s="1"/>
      <c r="K358" s="1"/>
      <c r="M358" s="1"/>
      <c r="N358" s="1"/>
      <c r="O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  <c r="AB358" s="1"/>
      <c r="AC358" s="1"/>
      <c r="AD358" s="1"/>
      <c r="AE358" s="1"/>
      <c r="AF358" s="1"/>
      <c r="AG358" s="1"/>
      <c r="AH358" s="2"/>
      <c r="AI358" s="2"/>
      <c r="AJ358" s="2"/>
      <c r="AK358" s="2"/>
      <c r="AL358" s="2"/>
      <c r="AM358" s="1"/>
      <c r="AN358" s="2"/>
      <c r="AP358" s="2"/>
      <c r="AQ358" s="1"/>
      <c r="AR358" s="2"/>
      <c r="AU358" s="1"/>
      <c r="AW358" s="1"/>
      <c r="AY358" s="2"/>
    </row>
    <row r="359">
      <c r="A359" s="1"/>
      <c r="C359" s="1"/>
      <c r="E359" s="1"/>
      <c r="F359" s="1"/>
      <c r="G359" s="2"/>
      <c r="H359" s="1"/>
      <c r="I359" s="1"/>
      <c r="J359" s="1"/>
      <c r="K359" s="1"/>
      <c r="M359" s="1"/>
      <c r="N359" s="1"/>
      <c r="O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"/>
      <c r="AB359" s="1"/>
      <c r="AC359" s="1"/>
      <c r="AD359" s="1"/>
      <c r="AE359" s="1"/>
      <c r="AF359" s="1"/>
      <c r="AG359" s="1"/>
      <c r="AH359" s="2"/>
      <c r="AI359" s="2"/>
      <c r="AJ359" s="2"/>
      <c r="AK359" s="2"/>
      <c r="AL359" s="2"/>
      <c r="AM359" s="1"/>
      <c r="AN359" s="2"/>
      <c r="AP359" s="2"/>
      <c r="AQ359" s="1"/>
      <c r="AR359" s="2"/>
      <c r="AU359" s="1"/>
      <c r="AW359" s="1"/>
      <c r="AY359" s="2"/>
    </row>
    <row r="360">
      <c r="A360" s="1"/>
      <c r="C360" s="1"/>
      <c r="E360" s="1"/>
      <c r="F360" s="1"/>
      <c r="G360" s="2"/>
      <c r="H360" s="1"/>
      <c r="I360" s="1"/>
      <c r="J360" s="1"/>
      <c r="K360" s="1"/>
      <c r="M360" s="1"/>
      <c r="N360" s="1"/>
      <c r="O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"/>
      <c r="AB360" s="1"/>
      <c r="AC360" s="1"/>
      <c r="AD360" s="1"/>
      <c r="AE360" s="1"/>
      <c r="AF360" s="1"/>
      <c r="AG360" s="1"/>
      <c r="AH360" s="2"/>
      <c r="AI360" s="2"/>
      <c r="AJ360" s="2"/>
      <c r="AK360" s="2"/>
      <c r="AL360" s="2"/>
      <c r="AM360" s="1"/>
      <c r="AN360" s="2"/>
      <c r="AP360" s="2"/>
      <c r="AQ360" s="1"/>
      <c r="AR360" s="2"/>
      <c r="AU360" s="1"/>
      <c r="AW360" s="1"/>
      <c r="AY360" s="2"/>
    </row>
    <row r="361">
      <c r="A361" s="1"/>
      <c r="C361" s="1"/>
      <c r="E361" s="1"/>
      <c r="F361" s="1"/>
      <c r="G361" s="2"/>
      <c r="H361" s="1"/>
      <c r="I361" s="1"/>
      <c r="J361" s="1"/>
      <c r="K361" s="1"/>
      <c r="M361" s="1"/>
      <c r="N361" s="1"/>
      <c r="O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/>
      <c r="AB361" s="1"/>
      <c r="AC361" s="1"/>
      <c r="AD361" s="1"/>
      <c r="AE361" s="1"/>
      <c r="AF361" s="1"/>
      <c r="AG361" s="1"/>
      <c r="AH361" s="2"/>
      <c r="AI361" s="2"/>
      <c r="AJ361" s="2"/>
      <c r="AK361" s="2"/>
      <c r="AL361" s="2"/>
      <c r="AM361" s="1"/>
      <c r="AN361" s="2"/>
      <c r="AP361" s="2"/>
      <c r="AQ361" s="1"/>
      <c r="AR361" s="2"/>
      <c r="AU361" s="1"/>
      <c r="AW361" s="1"/>
      <c r="AY361" s="2"/>
    </row>
    <row r="362">
      <c r="A362" s="1"/>
      <c r="C362" s="1"/>
      <c r="E362" s="1"/>
      <c r="F362" s="1"/>
      <c r="G362" s="2"/>
      <c r="H362" s="1"/>
      <c r="I362" s="1"/>
      <c r="J362" s="1"/>
      <c r="K362" s="1"/>
      <c r="M362" s="1"/>
      <c r="N362" s="1"/>
      <c r="O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"/>
      <c r="AB362" s="1"/>
      <c r="AC362" s="1"/>
      <c r="AD362" s="1"/>
      <c r="AE362" s="1"/>
      <c r="AF362" s="1"/>
      <c r="AG362" s="1"/>
      <c r="AH362" s="2"/>
      <c r="AI362" s="2"/>
      <c r="AJ362" s="2"/>
      <c r="AK362" s="2"/>
      <c r="AL362" s="2"/>
      <c r="AM362" s="1"/>
      <c r="AN362" s="2"/>
      <c r="AP362" s="2"/>
      <c r="AQ362" s="1"/>
      <c r="AR362" s="2"/>
      <c r="AU362" s="1"/>
      <c r="AW362" s="1"/>
      <c r="AY362" s="2"/>
    </row>
    <row r="363">
      <c r="A363" s="1"/>
      <c r="C363" s="1"/>
      <c r="E363" s="1"/>
      <c r="F363" s="1"/>
      <c r="G363" s="2"/>
      <c r="H363" s="1"/>
      <c r="I363" s="1"/>
      <c r="J363" s="1"/>
      <c r="K363" s="1"/>
      <c r="M363" s="1"/>
      <c r="N363" s="1"/>
      <c r="O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"/>
      <c r="AB363" s="1"/>
      <c r="AC363" s="1"/>
      <c r="AD363" s="1"/>
      <c r="AE363" s="1"/>
      <c r="AF363" s="1"/>
      <c r="AG363" s="1"/>
      <c r="AH363" s="2"/>
      <c r="AI363" s="2"/>
      <c r="AJ363" s="2"/>
      <c r="AK363" s="2"/>
      <c r="AL363" s="2"/>
      <c r="AM363" s="1"/>
      <c r="AN363" s="2"/>
      <c r="AP363" s="2"/>
      <c r="AQ363" s="1"/>
      <c r="AR363" s="2"/>
      <c r="AU363" s="1"/>
      <c r="AW363" s="1"/>
      <c r="AY363" s="2"/>
    </row>
    <row r="364">
      <c r="A364" s="1"/>
      <c r="C364" s="1"/>
      <c r="E364" s="1"/>
      <c r="F364" s="1"/>
      <c r="G364" s="2"/>
      <c r="H364" s="1"/>
      <c r="I364" s="1"/>
      <c r="J364" s="1"/>
      <c r="K364" s="1"/>
      <c r="M364" s="1"/>
      <c r="N364" s="1"/>
      <c r="O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"/>
      <c r="AB364" s="1"/>
      <c r="AC364" s="1"/>
      <c r="AD364" s="1"/>
      <c r="AE364" s="1"/>
      <c r="AF364" s="1"/>
      <c r="AG364" s="1"/>
      <c r="AH364" s="2"/>
      <c r="AI364" s="2"/>
      <c r="AJ364" s="2"/>
      <c r="AK364" s="2"/>
      <c r="AL364" s="2"/>
      <c r="AM364" s="1"/>
      <c r="AN364" s="2"/>
      <c r="AP364" s="2"/>
      <c r="AQ364" s="1"/>
      <c r="AR364" s="2"/>
      <c r="AU364" s="1"/>
      <c r="AW364" s="1"/>
      <c r="AY364" s="2"/>
    </row>
    <row r="365">
      <c r="A365" s="1"/>
      <c r="C365" s="1"/>
      <c r="E365" s="1"/>
      <c r="F365" s="1"/>
      <c r="G365" s="2"/>
      <c r="H365" s="1"/>
      <c r="I365" s="1"/>
      <c r="J365" s="1"/>
      <c r="K365" s="1"/>
      <c r="M365" s="1"/>
      <c r="N365" s="1"/>
      <c r="O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"/>
      <c r="AB365" s="1"/>
      <c r="AC365" s="1"/>
      <c r="AD365" s="1"/>
      <c r="AE365" s="1"/>
      <c r="AF365" s="1"/>
      <c r="AG365" s="1"/>
      <c r="AH365" s="2"/>
      <c r="AI365" s="2"/>
      <c r="AJ365" s="2"/>
      <c r="AK365" s="2"/>
      <c r="AL365" s="2"/>
      <c r="AM365" s="1"/>
      <c r="AN365" s="2"/>
      <c r="AP365" s="2"/>
      <c r="AQ365" s="1"/>
      <c r="AR365" s="2"/>
      <c r="AU365" s="1"/>
      <c r="AW365" s="1"/>
      <c r="AY365" s="2"/>
    </row>
    <row r="366">
      <c r="A366" s="1"/>
      <c r="C366" s="1"/>
      <c r="E366" s="1"/>
      <c r="F366" s="1"/>
      <c r="G366" s="2"/>
      <c r="H366" s="1"/>
      <c r="I366" s="1"/>
      <c r="J366" s="1"/>
      <c r="K366" s="1"/>
      <c r="M366" s="1"/>
      <c r="N366" s="1"/>
      <c r="O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"/>
      <c r="AB366" s="1"/>
      <c r="AC366" s="1"/>
      <c r="AD366" s="1"/>
      <c r="AE366" s="1"/>
      <c r="AF366" s="1"/>
      <c r="AG366" s="1"/>
      <c r="AH366" s="2"/>
      <c r="AI366" s="2"/>
      <c r="AJ366" s="2"/>
      <c r="AK366" s="2"/>
      <c r="AL366" s="2"/>
      <c r="AM366" s="1"/>
      <c r="AN366" s="2"/>
      <c r="AP366" s="2"/>
      <c r="AQ366" s="1"/>
      <c r="AR366" s="2"/>
      <c r="AU366" s="1"/>
      <c r="AW366" s="1"/>
      <c r="AY366" s="2"/>
    </row>
    <row r="367">
      <c r="A367" s="1"/>
      <c r="C367" s="1"/>
      <c r="E367" s="1"/>
      <c r="F367" s="1"/>
      <c r="G367" s="2"/>
      <c r="H367" s="1"/>
      <c r="I367" s="1"/>
      <c r="J367" s="1"/>
      <c r="K367" s="1"/>
      <c r="M367" s="1"/>
      <c r="N367" s="1"/>
      <c r="O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"/>
      <c r="AB367" s="1"/>
      <c r="AC367" s="1"/>
      <c r="AD367" s="1"/>
      <c r="AE367" s="1"/>
      <c r="AF367" s="1"/>
      <c r="AG367" s="1"/>
      <c r="AH367" s="2"/>
      <c r="AI367" s="2"/>
      <c r="AJ367" s="2"/>
      <c r="AK367" s="2"/>
      <c r="AL367" s="2"/>
      <c r="AM367" s="1"/>
      <c r="AN367" s="2"/>
      <c r="AP367" s="2"/>
      <c r="AQ367" s="1"/>
      <c r="AR367" s="2"/>
      <c r="AU367" s="1"/>
      <c r="AW367" s="1"/>
      <c r="AY367" s="2"/>
    </row>
    <row r="368">
      <c r="A368" s="1"/>
      <c r="C368" s="1"/>
      <c r="E368" s="1"/>
      <c r="F368" s="1"/>
      <c r="G368" s="2"/>
      <c r="H368" s="1"/>
      <c r="I368" s="1"/>
      <c r="J368" s="1"/>
      <c r="K368" s="1"/>
      <c r="M368" s="1"/>
      <c r="N368" s="1"/>
      <c r="O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"/>
      <c r="AB368" s="1"/>
      <c r="AC368" s="1"/>
      <c r="AD368" s="1"/>
      <c r="AE368" s="1"/>
      <c r="AF368" s="1"/>
      <c r="AG368" s="1"/>
      <c r="AH368" s="2"/>
      <c r="AI368" s="2"/>
      <c r="AJ368" s="2"/>
      <c r="AK368" s="2"/>
      <c r="AL368" s="2"/>
      <c r="AM368" s="1"/>
      <c r="AN368" s="2"/>
      <c r="AP368" s="2"/>
      <c r="AQ368" s="1"/>
      <c r="AR368" s="2"/>
      <c r="AU368" s="1"/>
      <c r="AW368" s="1"/>
      <c r="AY368" s="2"/>
    </row>
    <row r="369">
      <c r="A369" s="1"/>
      <c r="C369" s="1"/>
      <c r="E369" s="1"/>
      <c r="F369" s="1"/>
      <c r="G369" s="2"/>
      <c r="H369" s="1"/>
      <c r="I369" s="1"/>
      <c r="J369" s="1"/>
      <c r="K369" s="1"/>
      <c r="M369" s="1"/>
      <c r="N369" s="1"/>
      <c r="O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"/>
      <c r="AB369" s="1"/>
      <c r="AC369" s="1"/>
      <c r="AD369" s="1"/>
      <c r="AE369" s="1"/>
      <c r="AF369" s="1"/>
      <c r="AG369" s="1"/>
      <c r="AH369" s="2"/>
      <c r="AI369" s="2"/>
      <c r="AJ369" s="2"/>
      <c r="AK369" s="2"/>
      <c r="AL369" s="2"/>
      <c r="AM369" s="1"/>
      <c r="AN369" s="2"/>
      <c r="AP369" s="2"/>
      <c r="AQ369" s="1"/>
      <c r="AR369" s="2"/>
      <c r="AU369" s="1"/>
      <c r="AW369" s="1"/>
      <c r="AY369" s="2"/>
    </row>
    <row r="370">
      <c r="A370" s="1"/>
      <c r="C370" s="1"/>
      <c r="E370" s="1"/>
      <c r="F370" s="1"/>
      <c r="G370" s="2"/>
      <c r="H370" s="1"/>
      <c r="I370" s="1"/>
      <c r="J370" s="1"/>
      <c r="K370" s="1"/>
      <c r="M370" s="1"/>
      <c r="N370" s="1"/>
      <c r="O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"/>
      <c r="AB370" s="1"/>
      <c r="AC370" s="1"/>
      <c r="AD370" s="1"/>
      <c r="AE370" s="1"/>
      <c r="AF370" s="1"/>
      <c r="AG370" s="1"/>
      <c r="AH370" s="2"/>
      <c r="AI370" s="2"/>
      <c r="AJ370" s="2"/>
      <c r="AK370" s="2"/>
      <c r="AL370" s="2"/>
      <c r="AM370" s="1"/>
      <c r="AN370" s="2"/>
      <c r="AP370" s="2"/>
      <c r="AQ370" s="1"/>
      <c r="AR370" s="2"/>
      <c r="AU370" s="1"/>
      <c r="AW370" s="1"/>
      <c r="AY370" s="2"/>
    </row>
    <row r="371">
      <c r="A371" s="1"/>
      <c r="C371" s="1"/>
      <c r="E371" s="1"/>
      <c r="F371" s="1"/>
      <c r="G371" s="2"/>
      <c r="H371" s="1"/>
      <c r="I371" s="1"/>
      <c r="J371" s="1"/>
      <c r="K371" s="1"/>
      <c r="M371" s="1"/>
      <c r="N371" s="1"/>
      <c r="O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"/>
      <c r="AB371" s="1"/>
      <c r="AC371" s="1"/>
      <c r="AD371" s="1"/>
      <c r="AE371" s="1"/>
      <c r="AF371" s="1"/>
      <c r="AG371" s="1"/>
      <c r="AH371" s="2"/>
      <c r="AI371" s="2"/>
      <c r="AJ371" s="2"/>
      <c r="AK371" s="2"/>
      <c r="AL371" s="2"/>
      <c r="AM371" s="1"/>
      <c r="AN371" s="2"/>
      <c r="AP371" s="2"/>
      <c r="AQ371" s="1"/>
      <c r="AR371" s="2"/>
      <c r="AU371" s="1"/>
      <c r="AW371" s="1"/>
      <c r="AY371" s="2"/>
    </row>
    <row r="372">
      <c r="A372" s="1"/>
      <c r="C372" s="1"/>
      <c r="E372" s="1"/>
      <c r="F372" s="1"/>
      <c r="G372" s="2"/>
      <c r="H372" s="1"/>
      <c r="I372" s="1"/>
      <c r="J372" s="1"/>
      <c r="K372" s="1"/>
      <c r="M372" s="1"/>
      <c r="N372" s="1"/>
      <c r="O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"/>
      <c r="AB372" s="1"/>
      <c r="AC372" s="1"/>
      <c r="AD372" s="1"/>
      <c r="AE372" s="1"/>
      <c r="AF372" s="1"/>
      <c r="AG372" s="1"/>
      <c r="AH372" s="2"/>
      <c r="AI372" s="2"/>
      <c r="AJ372" s="2"/>
      <c r="AK372" s="2"/>
      <c r="AL372" s="2"/>
      <c r="AM372" s="1"/>
      <c r="AN372" s="2"/>
      <c r="AP372" s="2"/>
      <c r="AQ372" s="1"/>
      <c r="AR372" s="2"/>
      <c r="AU372" s="1"/>
      <c r="AW372" s="1"/>
      <c r="AY372" s="2"/>
    </row>
    <row r="373">
      <c r="A373" s="1"/>
      <c r="C373" s="1"/>
      <c r="E373" s="1"/>
      <c r="F373" s="1"/>
      <c r="G373" s="2"/>
      <c r="H373" s="1"/>
      <c r="I373" s="1"/>
      <c r="J373" s="1"/>
      <c r="K373" s="1"/>
      <c r="M373" s="1"/>
      <c r="N373" s="1"/>
      <c r="O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"/>
      <c r="AB373" s="1"/>
      <c r="AC373" s="1"/>
      <c r="AD373" s="1"/>
      <c r="AE373" s="1"/>
      <c r="AF373" s="1"/>
      <c r="AG373" s="1"/>
      <c r="AH373" s="2"/>
      <c r="AI373" s="2"/>
      <c r="AJ373" s="2"/>
      <c r="AK373" s="2"/>
      <c r="AL373" s="2"/>
      <c r="AM373" s="1"/>
      <c r="AN373" s="2"/>
      <c r="AP373" s="2"/>
      <c r="AQ373" s="1"/>
      <c r="AR373" s="2"/>
      <c r="AU373" s="1"/>
      <c r="AW373" s="1"/>
      <c r="AY373" s="2"/>
    </row>
    <row r="374">
      <c r="A374" s="1"/>
      <c r="C374" s="1"/>
      <c r="E374" s="1"/>
      <c r="F374" s="1"/>
      <c r="G374" s="2"/>
      <c r="H374" s="1"/>
      <c r="I374" s="1"/>
      <c r="J374" s="1"/>
      <c r="K374" s="1"/>
      <c r="M374" s="1"/>
      <c r="N374" s="1"/>
      <c r="O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"/>
      <c r="AB374" s="1"/>
      <c r="AC374" s="1"/>
      <c r="AD374" s="1"/>
      <c r="AE374" s="1"/>
      <c r="AF374" s="1"/>
      <c r="AG374" s="1"/>
      <c r="AH374" s="2"/>
      <c r="AI374" s="2"/>
      <c r="AJ374" s="2"/>
      <c r="AK374" s="2"/>
      <c r="AL374" s="2"/>
      <c r="AM374" s="1"/>
      <c r="AN374" s="2"/>
      <c r="AP374" s="2"/>
      <c r="AQ374" s="1"/>
      <c r="AR374" s="2"/>
      <c r="AU374" s="1"/>
      <c r="AW374" s="1"/>
      <c r="AY374" s="2"/>
    </row>
    <row r="375">
      <c r="A375" s="1"/>
      <c r="C375" s="1"/>
      <c r="E375" s="1"/>
      <c r="F375" s="1"/>
      <c r="G375" s="2"/>
      <c r="H375" s="1"/>
      <c r="I375" s="1"/>
      <c r="J375" s="1"/>
      <c r="K375" s="1"/>
      <c r="M375" s="1"/>
      <c r="N375" s="1"/>
      <c r="O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"/>
      <c r="AB375" s="1"/>
      <c r="AC375" s="1"/>
      <c r="AD375" s="1"/>
      <c r="AE375" s="1"/>
      <c r="AF375" s="1"/>
      <c r="AG375" s="1"/>
      <c r="AH375" s="2"/>
      <c r="AI375" s="2"/>
      <c r="AJ375" s="2"/>
      <c r="AK375" s="2"/>
      <c r="AL375" s="2"/>
      <c r="AM375" s="1"/>
      <c r="AN375" s="2"/>
      <c r="AP375" s="2"/>
      <c r="AQ375" s="1"/>
      <c r="AR375" s="2"/>
      <c r="AU375" s="1"/>
      <c r="AW375" s="1"/>
      <c r="AY375" s="2"/>
    </row>
    <row r="376">
      <c r="A376" s="1"/>
      <c r="C376" s="1"/>
      <c r="E376" s="1"/>
      <c r="F376" s="1"/>
      <c r="G376" s="2"/>
      <c r="H376" s="1"/>
      <c r="I376" s="1"/>
      <c r="J376" s="1"/>
      <c r="K376" s="1"/>
      <c r="M376" s="1"/>
      <c r="N376" s="1"/>
      <c r="O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"/>
      <c r="AB376" s="1"/>
      <c r="AC376" s="1"/>
      <c r="AD376" s="1"/>
      <c r="AE376" s="1"/>
      <c r="AF376" s="1"/>
      <c r="AG376" s="1"/>
      <c r="AH376" s="2"/>
      <c r="AI376" s="2"/>
      <c r="AJ376" s="2"/>
      <c r="AK376" s="2"/>
      <c r="AL376" s="2"/>
      <c r="AM376" s="1"/>
      <c r="AN376" s="2"/>
      <c r="AP376" s="2"/>
      <c r="AQ376" s="1"/>
      <c r="AR376" s="2"/>
      <c r="AU376" s="1"/>
      <c r="AW376" s="1"/>
      <c r="AY376" s="2"/>
    </row>
    <row r="377">
      <c r="A377" s="1"/>
      <c r="C377" s="1"/>
      <c r="E377" s="1"/>
      <c r="F377" s="1"/>
      <c r="G377" s="2"/>
      <c r="H377" s="1"/>
      <c r="I377" s="1"/>
      <c r="J377" s="1"/>
      <c r="K377" s="1"/>
      <c r="M377" s="1"/>
      <c r="N377" s="1"/>
      <c r="O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"/>
      <c r="AB377" s="1"/>
      <c r="AC377" s="1"/>
      <c r="AD377" s="1"/>
      <c r="AE377" s="1"/>
      <c r="AF377" s="1"/>
      <c r="AG377" s="1"/>
      <c r="AH377" s="2"/>
      <c r="AI377" s="2"/>
      <c r="AJ377" s="2"/>
      <c r="AK377" s="2"/>
      <c r="AL377" s="2"/>
      <c r="AM377" s="1"/>
      <c r="AN377" s="2"/>
      <c r="AP377" s="2"/>
      <c r="AQ377" s="1"/>
      <c r="AR377" s="2"/>
      <c r="AU377" s="1"/>
      <c r="AW377" s="1"/>
      <c r="AY377" s="2"/>
    </row>
    <row r="378">
      <c r="A378" s="1"/>
      <c r="C378" s="1"/>
      <c r="E378" s="1"/>
      <c r="F378" s="1"/>
      <c r="G378" s="2"/>
      <c r="H378" s="1"/>
      <c r="I378" s="1"/>
      <c r="J378" s="1"/>
      <c r="K378" s="1"/>
      <c r="M378" s="1"/>
      <c r="N378" s="1"/>
      <c r="O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"/>
      <c r="AB378" s="1"/>
      <c r="AC378" s="1"/>
      <c r="AD378" s="1"/>
      <c r="AE378" s="1"/>
      <c r="AF378" s="1"/>
      <c r="AG378" s="1"/>
      <c r="AH378" s="2"/>
      <c r="AI378" s="2"/>
      <c r="AJ378" s="2"/>
      <c r="AK378" s="2"/>
      <c r="AL378" s="2"/>
      <c r="AM378" s="1"/>
      <c r="AN378" s="2"/>
      <c r="AP378" s="2"/>
      <c r="AQ378" s="1"/>
      <c r="AR378" s="2"/>
      <c r="AU378" s="1"/>
      <c r="AW378" s="1"/>
      <c r="AY378" s="2"/>
    </row>
    <row r="379">
      <c r="A379" s="1"/>
      <c r="C379" s="1"/>
      <c r="E379" s="1"/>
      <c r="F379" s="1"/>
      <c r="G379" s="2"/>
      <c r="H379" s="1"/>
      <c r="I379" s="1"/>
      <c r="J379" s="1"/>
      <c r="K379" s="1"/>
      <c r="M379" s="1"/>
      <c r="N379" s="1"/>
      <c r="O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"/>
      <c r="AB379" s="1"/>
      <c r="AC379" s="1"/>
      <c r="AD379" s="1"/>
      <c r="AE379" s="1"/>
      <c r="AF379" s="1"/>
      <c r="AG379" s="1"/>
      <c r="AH379" s="2"/>
      <c r="AI379" s="2"/>
      <c r="AJ379" s="2"/>
      <c r="AK379" s="2"/>
      <c r="AL379" s="2"/>
      <c r="AM379" s="1"/>
      <c r="AN379" s="2"/>
      <c r="AP379" s="2"/>
      <c r="AQ379" s="1"/>
      <c r="AR379" s="2"/>
      <c r="AU379" s="1"/>
      <c r="AW379" s="1"/>
      <c r="AY379" s="2"/>
    </row>
    <row r="380">
      <c r="A380" s="1"/>
      <c r="C380" s="1"/>
      <c r="E380" s="1"/>
      <c r="F380" s="1"/>
      <c r="G380" s="2"/>
      <c r="H380" s="1"/>
      <c r="I380" s="1"/>
      <c r="J380" s="1"/>
      <c r="K380" s="1"/>
      <c r="M380" s="1"/>
      <c r="N380" s="1"/>
      <c r="O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"/>
      <c r="AB380" s="1"/>
      <c r="AC380" s="1"/>
      <c r="AD380" s="1"/>
      <c r="AE380" s="1"/>
      <c r="AF380" s="1"/>
      <c r="AG380" s="1"/>
      <c r="AH380" s="2"/>
      <c r="AI380" s="2"/>
      <c r="AJ380" s="2"/>
      <c r="AK380" s="2"/>
      <c r="AL380" s="2"/>
      <c r="AM380" s="1"/>
      <c r="AN380" s="2"/>
      <c r="AP380" s="2"/>
      <c r="AQ380" s="1"/>
      <c r="AR380" s="2"/>
      <c r="AU380" s="1"/>
      <c r="AW380" s="1"/>
      <c r="AY380" s="2"/>
    </row>
    <row r="381">
      <c r="A381" s="1"/>
      <c r="C381" s="1"/>
      <c r="E381" s="1"/>
      <c r="F381" s="1"/>
      <c r="G381" s="2"/>
      <c r="H381" s="1"/>
      <c r="I381" s="1"/>
      <c r="J381" s="1"/>
      <c r="K381" s="1"/>
      <c r="M381" s="1"/>
      <c r="N381" s="1"/>
      <c r="O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"/>
      <c r="AB381" s="1"/>
      <c r="AC381" s="1"/>
      <c r="AD381" s="1"/>
      <c r="AE381" s="1"/>
      <c r="AF381" s="1"/>
      <c r="AG381" s="1"/>
      <c r="AH381" s="2"/>
      <c r="AI381" s="2"/>
      <c r="AJ381" s="2"/>
      <c r="AK381" s="2"/>
      <c r="AL381" s="2"/>
      <c r="AM381" s="1"/>
      <c r="AN381" s="2"/>
      <c r="AP381" s="2"/>
      <c r="AQ381" s="1"/>
      <c r="AR381" s="2"/>
      <c r="AU381" s="1"/>
      <c r="AW381" s="1"/>
      <c r="AY381" s="2"/>
    </row>
    <row r="382">
      <c r="A382" s="1"/>
      <c r="C382" s="1"/>
      <c r="E382" s="1"/>
      <c r="F382" s="1"/>
      <c r="G382" s="2"/>
      <c r="H382" s="1"/>
      <c r="I382" s="1"/>
      <c r="J382" s="1"/>
      <c r="K382" s="1"/>
      <c r="M382" s="1"/>
      <c r="N382" s="1"/>
      <c r="O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"/>
      <c r="AB382" s="1"/>
      <c r="AC382" s="1"/>
      <c r="AD382" s="1"/>
      <c r="AE382" s="1"/>
      <c r="AF382" s="1"/>
      <c r="AG382" s="1"/>
      <c r="AH382" s="2"/>
      <c r="AI382" s="2"/>
      <c r="AJ382" s="2"/>
      <c r="AK382" s="2"/>
      <c r="AL382" s="2"/>
      <c r="AM382" s="1"/>
      <c r="AN382" s="2"/>
      <c r="AP382" s="2"/>
      <c r="AQ382" s="1"/>
      <c r="AR382" s="2"/>
      <c r="AU382" s="1"/>
      <c r="AW382" s="1"/>
      <c r="AY382" s="2"/>
    </row>
    <row r="383">
      <c r="A383" s="1"/>
      <c r="C383" s="1"/>
      <c r="E383" s="1"/>
      <c r="F383" s="1"/>
      <c r="G383" s="2"/>
      <c r="H383" s="1"/>
      <c r="I383" s="1"/>
      <c r="J383" s="1"/>
      <c r="K383" s="1"/>
      <c r="M383" s="1"/>
      <c r="N383" s="1"/>
      <c r="O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"/>
      <c r="AB383" s="1"/>
      <c r="AC383" s="1"/>
      <c r="AD383" s="1"/>
      <c r="AE383" s="1"/>
      <c r="AF383" s="1"/>
      <c r="AG383" s="1"/>
      <c r="AH383" s="2"/>
      <c r="AI383" s="2"/>
      <c r="AJ383" s="2"/>
      <c r="AK383" s="2"/>
      <c r="AL383" s="2"/>
      <c r="AM383" s="1"/>
      <c r="AN383" s="2"/>
      <c r="AP383" s="2"/>
      <c r="AQ383" s="1"/>
      <c r="AR383" s="2"/>
      <c r="AU383" s="1"/>
      <c r="AW383" s="1"/>
      <c r="AY383" s="2"/>
    </row>
    <row r="384">
      <c r="A384" s="1"/>
      <c r="C384" s="1"/>
      <c r="E384" s="1"/>
      <c r="F384" s="1"/>
      <c r="G384" s="2"/>
      <c r="H384" s="1"/>
      <c r="I384" s="1"/>
      <c r="J384" s="1"/>
      <c r="K384" s="1"/>
      <c r="M384" s="1"/>
      <c r="N384" s="1"/>
      <c r="O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/>
      <c r="AB384" s="1"/>
      <c r="AC384" s="1"/>
      <c r="AD384" s="1"/>
      <c r="AE384" s="1"/>
      <c r="AF384" s="1"/>
      <c r="AG384" s="1"/>
      <c r="AH384" s="2"/>
      <c r="AI384" s="2"/>
      <c r="AJ384" s="2"/>
      <c r="AK384" s="2"/>
      <c r="AL384" s="2"/>
      <c r="AM384" s="1"/>
      <c r="AN384" s="2"/>
      <c r="AP384" s="2"/>
      <c r="AQ384" s="1"/>
      <c r="AR384" s="2"/>
      <c r="AU384" s="1"/>
      <c r="AW384" s="1"/>
      <c r="AY384" s="2"/>
    </row>
    <row r="385">
      <c r="A385" s="1"/>
      <c r="C385" s="1"/>
      <c r="E385" s="1"/>
      <c r="F385" s="1"/>
      <c r="G385" s="2"/>
      <c r="H385" s="1"/>
      <c r="I385" s="1"/>
      <c r="J385" s="1"/>
      <c r="K385" s="1"/>
      <c r="M385" s="1"/>
      <c r="N385" s="1"/>
      <c r="O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/>
      <c r="AB385" s="1"/>
      <c r="AC385" s="1"/>
      <c r="AD385" s="1"/>
      <c r="AE385" s="1"/>
      <c r="AF385" s="1"/>
      <c r="AG385" s="1"/>
      <c r="AH385" s="2"/>
      <c r="AI385" s="2"/>
      <c r="AJ385" s="2"/>
      <c r="AK385" s="2"/>
      <c r="AL385" s="2"/>
      <c r="AM385" s="1"/>
      <c r="AN385" s="2"/>
      <c r="AP385" s="2"/>
      <c r="AQ385" s="1"/>
      <c r="AR385" s="2"/>
      <c r="AU385" s="1"/>
      <c r="AW385" s="1"/>
      <c r="AY385" s="2"/>
    </row>
    <row r="386">
      <c r="A386" s="1"/>
      <c r="C386" s="1"/>
      <c r="E386" s="1"/>
      <c r="F386" s="1"/>
      <c r="G386" s="2"/>
      <c r="H386" s="1"/>
      <c r="I386" s="1"/>
      <c r="J386" s="1"/>
      <c r="K386" s="1"/>
      <c r="M386" s="1"/>
      <c r="N386" s="1"/>
      <c r="O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"/>
      <c r="AB386" s="1"/>
      <c r="AC386" s="1"/>
      <c r="AD386" s="1"/>
      <c r="AE386" s="1"/>
      <c r="AF386" s="1"/>
      <c r="AG386" s="1"/>
      <c r="AH386" s="2"/>
      <c r="AI386" s="2"/>
      <c r="AJ386" s="2"/>
      <c r="AK386" s="2"/>
      <c r="AL386" s="2"/>
      <c r="AM386" s="1"/>
      <c r="AN386" s="2"/>
      <c r="AP386" s="2"/>
      <c r="AQ386" s="1"/>
      <c r="AR386" s="2"/>
      <c r="AU386" s="1"/>
      <c r="AW386" s="1"/>
      <c r="AY386" s="2"/>
    </row>
    <row r="387">
      <c r="A387" s="1"/>
      <c r="C387" s="1"/>
      <c r="E387" s="1"/>
      <c r="F387" s="1"/>
      <c r="G387" s="2"/>
      <c r="H387" s="1"/>
      <c r="I387" s="1"/>
      <c r="J387" s="1"/>
      <c r="K387" s="1"/>
      <c r="M387" s="1"/>
      <c r="N387" s="1"/>
      <c r="O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"/>
      <c r="AB387" s="1"/>
      <c r="AC387" s="1"/>
      <c r="AD387" s="1"/>
      <c r="AE387" s="1"/>
      <c r="AF387" s="1"/>
      <c r="AG387" s="1"/>
      <c r="AH387" s="2"/>
      <c r="AI387" s="2"/>
      <c r="AJ387" s="2"/>
      <c r="AK387" s="2"/>
      <c r="AL387" s="2"/>
      <c r="AM387" s="1"/>
      <c r="AN387" s="2"/>
      <c r="AP387" s="2"/>
      <c r="AQ387" s="1"/>
      <c r="AR387" s="2"/>
      <c r="AU387" s="1"/>
      <c r="AW387" s="1"/>
      <c r="AY387" s="2"/>
    </row>
    <row r="388">
      <c r="A388" s="1"/>
      <c r="C388" s="1"/>
      <c r="E388" s="1"/>
      <c r="F388" s="1"/>
      <c r="G388" s="2"/>
      <c r="H388" s="1"/>
      <c r="I388" s="1"/>
      <c r="J388" s="1"/>
      <c r="K388" s="1"/>
      <c r="M388" s="1"/>
      <c r="N388" s="1"/>
      <c r="O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"/>
      <c r="AB388" s="1"/>
      <c r="AC388" s="1"/>
      <c r="AD388" s="1"/>
      <c r="AE388" s="1"/>
      <c r="AF388" s="1"/>
      <c r="AG388" s="1"/>
      <c r="AH388" s="2"/>
      <c r="AI388" s="2"/>
      <c r="AJ388" s="2"/>
      <c r="AK388" s="2"/>
      <c r="AL388" s="2"/>
      <c r="AM388" s="1"/>
      <c r="AN388" s="2"/>
      <c r="AP388" s="2"/>
      <c r="AQ388" s="1"/>
      <c r="AR388" s="2"/>
      <c r="AU388" s="1"/>
      <c r="AW388" s="1"/>
      <c r="AY388" s="2"/>
    </row>
    <row r="389">
      <c r="A389" s="1"/>
      <c r="C389" s="1"/>
      <c r="E389" s="1"/>
      <c r="F389" s="1"/>
      <c r="G389" s="2"/>
      <c r="H389" s="1"/>
      <c r="I389" s="1"/>
      <c r="J389" s="1"/>
      <c r="K389" s="1"/>
      <c r="M389" s="1"/>
      <c r="N389" s="1"/>
      <c r="O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"/>
      <c r="AB389" s="1"/>
      <c r="AC389" s="1"/>
      <c r="AD389" s="1"/>
      <c r="AE389" s="1"/>
      <c r="AF389" s="1"/>
      <c r="AG389" s="1"/>
      <c r="AH389" s="2"/>
      <c r="AI389" s="2"/>
      <c r="AJ389" s="2"/>
      <c r="AK389" s="2"/>
      <c r="AL389" s="2"/>
      <c r="AM389" s="1"/>
      <c r="AN389" s="2"/>
      <c r="AP389" s="2"/>
      <c r="AQ389" s="1"/>
      <c r="AR389" s="2"/>
      <c r="AU389" s="1"/>
      <c r="AW389" s="1"/>
      <c r="AY389" s="2"/>
    </row>
    <row r="390">
      <c r="A390" s="1"/>
      <c r="C390" s="1"/>
      <c r="E390" s="1"/>
      <c r="F390" s="1"/>
      <c r="G390" s="2"/>
      <c r="H390" s="1"/>
      <c r="I390" s="1"/>
      <c r="J390" s="1"/>
      <c r="K390" s="1"/>
      <c r="M390" s="1"/>
      <c r="N390" s="1"/>
      <c r="O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2"/>
      <c r="AB390" s="1"/>
      <c r="AC390" s="1"/>
      <c r="AD390" s="1"/>
      <c r="AE390" s="1"/>
      <c r="AF390" s="1"/>
      <c r="AG390" s="1"/>
      <c r="AH390" s="2"/>
      <c r="AI390" s="2"/>
      <c r="AJ390" s="2"/>
      <c r="AK390" s="2"/>
      <c r="AL390" s="2"/>
      <c r="AM390" s="1"/>
      <c r="AN390" s="2"/>
      <c r="AP390" s="2"/>
      <c r="AQ390" s="1"/>
      <c r="AR390" s="2"/>
      <c r="AU390" s="1"/>
      <c r="AW390" s="1"/>
      <c r="AY390" s="2"/>
    </row>
    <row r="391">
      <c r="A391" s="1"/>
      <c r="C391" s="1"/>
      <c r="E391" s="1"/>
      <c r="F391" s="1"/>
      <c r="G391" s="2"/>
      <c r="H391" s="1"/>
      <c r="I391" s="1"/>
      <c r="J391" s="1"/>
      <c r="K391" s="1"/>
      <c r="M391" s="1"/>
      <c r="N391" s="1"/>
      <c r="O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2"/>
      <c r="AB391" s="1"/>
      <c r="AC391" s="1"/>
      <c r="AD391" s="1"/>
      <c r="AE391" s="1"/>
      <c r="AF391" s="1"/>
      <c r="AG391" s="1"/>
      <c r="AH391" s="2"/>
      <c r="AI391" s="2"/>
      <c r="AJ391" s="2"/>
      <c r="AK391" s="2"/>
      <c r="AL391" s="2"/>
      <c r="AM391" s="1"/>
      <c r="AN391" s="2"/>
      <c r="AP391" s="2"/>
      <c r="AQ391" s="1"/>
      <c r="AR391" s="2"/>
      <c r="AU391" s="1"/>
      <c r="AW391" s="1"/>
      <c r="AY391" s="2"/>
    </row>
    <row r="392">
      <c r="A392" s="1"/>
      <c r="C392" s="1"/>
      <c r="E392" s="1"/>
      <c r="F392" s="1"/>
      <c r="G392" s="2"/>
      <c r="H392" s="1"/>
      <c r="I392" s="1"/>
      <c r="J392" s="1"/>
      <c r="K392" s="1"/>
      <c r="M392" s="1"/>
      <c r="N392" s="1"/>
      <c r="O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2"/>
      <c r="AB392" s="1"/>
      <c r="AC392" s="1"/>
      <c r="AD392" s="1"/>
      <c r="AE392" s="1"/>
      <c r="AF392" s="1"/>
      <c r="AG392" s="1"/>
      <c r="AH392" s="2"/>
      <c r="AI392" s="2"/>
      <c r="AJ392" s="2"/>
      <c r="AK392" s="2"/>
      <c r="AL392" s="2"/>
      <c r="AM392" s="1"/>
      <c r="AN392" s="2"/>
      <c r="AP392" s="2"/>
      <c r="AQ392" s="1"/>
      <c r="AR392" s="2"/>
      <c r="AU392" s="1"/>
      <c r="AW392" s="1"/>
      <c r="AY392" s="2"/>
    </row>
    <row r="393">
      <c r="A393" s="1"/>
      <c r="C393" s="1"/>
      <c r="E393" s="1"/>
      <c r="F393" s="1"/>
      <c r="G393" s="2"/>
      <c r="H393" s="1"/>
      <c r="I393" s="1"/>
      <c r="J393" s="1"/>
      <c r="K393" s="1"/>
      <c r="M393" s="1"/>
      <c r="N393" s="1"/>
      <c r="O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2"/>
      <c r="AB393" s="1"/>
      <c r="AC393" s="1"/>
      <c r="AD393" s="1"/>
      <c r="AE393" s="1"/>
      <c r="AF393" s="1"/>
      <c r="AG393" s="1"/>
      <c r="AH393" s="2"/>
      <c r="AI393" s="2"/>
      <c r="AJ393" s="2"/>
      <c r="AK393" s="2"/>
      <c r="AL393" s="2"/>
      <c r="AM393" s="1"/>
      <c r="AN393" s="2"/>
      <c r="AP393" s="2"/>
      <c r="AQ393" s="1"/>
      <c r="AR393" s="2"/>
      <c r="AU393" s="1"/>
      <c r="AW393" s="1"/>
      <c r="AY393" s="2"/>
    </row>
    <row r="394">
      <c r="A394" s="1"/>
      <c r="C394" s="1"/>
      <c r="E394" s="1"/>
      <c r="F394" s="1"/>
      <c r="G394" s="2"/>
      <c r="H394" s="1"/>
      <c r="I394" s="1"/>
      <c r="J394" s="1"/>
      <c r="K394" s="1"/>
      <c r="M394" s="1"/>
      <c r="N394" s="1"/>
      <c r="O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2"/>
      <c r="AB394" s="1"/>
      <c r="AC394" s="1"/>
      <c r="AD394" s="1"/>
      <c r="AE394" s="1"/>
      <c r="AF394" s="1"/>
      <c r="AG394" s="1"/>
      <c r="AH394" s="2"/>
      <c r="AI394" s="2"/>
      <c r="AJ394" s="2"/>
      <c r="AK394" s="2"/>
      <c r="AL394" s="2"/>
      <c r="AM394" s="1"/>
      <c r="AN394" s="2"/>
      <c r="AP394" s="2"/>
      <c r="AQ394" s="1"/>
      <c r="AR394" s="2"/>
      <c r="AU394" s="1"/>
      <c r="AW394" s="1"/>
      <c r="AY394" s="2"/>
    </row>
    <row r="395">
      <c r="A395" s="1"/>
      <c r="C395" s="1"/>
      <c r="E395" s="1"/>
      <c r="F395" s="1"/>
      <c r="G395" s="2"/>
      <c r="H395" s="1"/>
      <c r="I395" s="1"/>
      <c r="J395" s="1"/>
      <c r="K395" s="1"/>
      <c r="M395" s="1"/>
      <c r="N395" s="1"/>
      <c r="O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2"/>
      <c r="AB395" s="1"/>
      <c r="AC395" s="1"/>
      <c r="AD395" s="1"/>
      <c r="AE395" s="1"/>
      <c r="AF395" s="1"/>
      <c r="AG395" s="1"/>
      <c r="AH395" s="2"/>
      <c r="AI395" s="2"/>
      <c r="AJ395" s="2"/>
      <c r="AK395" s="2"/>
      <c r="AL395" s="2"/>
      <c r="AM395" s="1"/>
      <c r="AN395" s="2"/>
      <c r="AP395" s="2"/>
      <c r="AQ395" s="1"/>
      <c r="AR395" s="2"/>
      <c r="AU395" s="1"/>
      <c r="AW395" s="1"/>
      <c r="AY395" s="2"/>
    </row>
    <row r="396">
      <c r="A396" s="1"/>
      <c r="C396" s="1"/>
      <c r="E396" s="1"/>
      <c r="F396" s="1"/>
      <c r="G396" s="2"/>
      <c r="H396" s="1"/>
      <c r="I396" s="1"/>
      <c r="J396" s="1"/>
      <c r="K396" s="1"/>
      <c r="M396" s="1"/>
      <c r="N396" s="1"/>
      <c r="O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2"/>
      <c r="AB396" s="1"/>
      <c r="AC396" s="1"/>
      <c r="AD396" s="1"/>
      <c r="AE396" s="1"/>
      <c r="AF396" s="1"/>
      <c r="AG396" s="1"/>
      <c r="AH396" s="2"/>
      <c r="AI396" s="2"/>
      <c r="AJ396" s="2"/>
      <c r="AK396" s="2"/>
      <c r="AL396" s="2"/>
      <c r="AM396" s="1"/>
      <c r="AN396" s="2"/>
      <c r="AP396" s="2"/>
      <c r="AQ396" s="1"/>
      <c r="AR396" s="2"/>
      <c r="AU396" s="1"/>
      <c r="AW396" s="1"/>
      <c r="AY396" s="2"/>
    </row>
    <row r="397">
      <c r="A397" s="1"/>
      <c r="C397" s="1"/>
      <c r="E397" s="1"/>
      <c r="F397" s="1"/>
      <c r="G397" s="2"/>
      <c r="H397" s="1"/>
      <c r="I397" s="1"/>
      <c r="J397" s="1"/>
      <c r="K397" s="1"/>
      <c r="M397" s="1"/>
      <c r="N397" s="1"/>
      <c r="O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2"/>
      <c r="AB397" s="1"/>
      <c r="AC397" s="1"/>
      <c r="AD397" s="1"/>
      <c r="AE397" s="1"/>
      <c r="AF397" s="1"/>
      <c r="AG397" s="1"/>
      <c r="AH397" s="2"/>
      <c r="AI397" s="2"/>
      <c r="AJ397" s="2"/>
      <c r="AK397" s="2"/>
      <c r="AL397" s="2"/>
      <c r="AM397" s="1"/>
      <c r="AN397" s="2"/>
      <c r="AP397" s="2"/>
      <c r="AQ397" s="1"/>
      <c r="AR397" s="2"/>
      <c r="AU397" s="1"/>
      <c r="AW397" s="1"/>
      <c r="AY397" s="2"/>
    </row>
    <row r="398">
      <c r="A398" s="1"/>
      <c r="C398" s="1"/>
      <c r="E398" s="1"/>
      <c r="F398" s="1"/>
      <c r="G398" s="2"/>
      <c r="H398" s="1"/>
      <c r="I398" s="1"/>
      <c r="J398" s="1"/>
      <c r="K398" s="1"/>
      <c r="M398" s="1"/>
      <c r="N398" s="1"/>
      <c r="O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2"/>
      <c r="AB398" s="1"/>
      <c r="AC398" s="1"/>
      <c r="AD398" s="1"/>
      <c r="AE398" s="1"/>
      <c r="AF398" s="1"/>
      <c r="AG398" s="1"/>
      <c r="AH398" s="2"/>
      <c r="AI398" s="2"/>
      <c r="AJ398" s="2"/>
      <c r="AK398" s="2"/>
      <c r="AL398" s="2"/>
      <c r="AM398" s="1"/>
      <c r="AN398" s="2"/>
      <c r="AP398" s="2"/>
      <c r="AQ398" s="1"/>
      <c r="AR398" s="2"/>
      <c r="AU398" s="1"/>
      <c r="AW398" s="1"/>
      <c r="AY398" s="2"/>
    </row>
    <row r="399">
      <c r="A399" s="1"/>
      <c r="C399" s="1"/>
      <c r="E399" s="1"/>
      <c r="F399" s="1"/>
      <c r="G399" s="2"/>
      <c r="H399" s="1"/>
      <c r="I399" s="1"/>
      <c r="J399" s="1"/>
      <c r="K399" s="1"/>
      <c r="M399" s="1"/>
      <c r="N399" s="1"/>
      <c r="O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2"/>
      <c r="AB399" s="1"/>
      <c r="AC399" s="1"/>
      <c r="AD399" s="1"/>
      <c r="AE399" s="1"/>
      <c r="AF399" s="1"/>
      <c r="AG399" s="1"/>
      <c r="AH399" s="2"/>
      <c r="AI399" s="2"/>
      <c r="AJ399" s="2"/>
      <c r="AK399" s="2"/>
      <c r="AL399" s="2"/>
      <c r="AM399" s="1"/>
      <c r="AN399" s="2"/>
      <c r="AP399" s="2"/>
      <c r="AQ399" s="1"/>
      <c r="AR399" s="2"/>
      <c r="AU399" s="1"/>
      <c r="AW399" s="1"/>
      <c r="AY399" s="2"/>
    </row>
    <row r="400">
      <c r="A400" s="1"/>
      <c r="C400" s="1"/>
      <c r="E400" s="1"/>
      <c r="F400" s="1"/>
      <c r="G400" s="2"/>
      <c r="H400" s="1"/>
      <c r="I400" s="1"/>
      <c r="J400" s="1"/>
      <c r="K400" s="1"/>
      <c r="M400" s="1"/>
      <c r="N400" s="1"/>
      <c r="O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2"/>
      <c r="AB400" s="1"/>
      <c r="AC400" s="1"/>
      <c r="AD400" s="1"/>
      <c r="AE400" s="1"/>
      <c r="AF400" s="1"/>
      <c r="AG400" s="1"/>
      <c r="AH400" s="2"/>
      <c r="AI400" s="2"/>
      <c r="AJ400" s="2"/>
      <c r="AK400" s="2"/>
      <c r="AL400" s="2"/>
      <c r="AM400" s="1"/>
      <c r="AN400" s="2"/>
      <c r="AP400" s="2"/>
      <c r="AQ400" s="1"/>
      <c r="AR400" s="2"/>
      <c r="AU400" s="1"/>
      <c r="AW400" s="1"/>
      <c r="AY400" s="2"/>
    </row>
    <row r="401">
      <c r="A401" s="1"/>
      <c r="C401" s="1"/>
      <c r="E401" s="1"/>
      <c r="F401" s="1"/>
      <c r="G401" s="2"/>
      <c r="H401" s="1"/>
      <c r="I401" s="1"/>
      <c r="J401" s="1"/>
      <c r="K401" s="1"/>
      <c r="M401" s="1"/>
      <c r="N401" s="1"/>
      <c r="O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2"/>
      <c r="AB401" s="1"/>
      <c r="AC401" s="1"/>
      <c r="AD401" s="1"/>
      <c r="AE401" s="1"/>
      <c r="AF401" s="1"/>
      <c r="AG401" s="1"/>
      <c r="AH401" s="2"/>
      <c r="AI401" s="2"/>
      <c r="AJ401" s="2"/>
      <c r="AK401" s="2"/>
      <c r="AL401" s="2"/>
      <c r="AM401" s="1"/>
      <c r="AN401" s="2"/>
      <c r="AP401" s="2"/>
      <c r="AQ401" s="1"/>
      <c r="AR401" s="2"/>
      <c r="AU401" s="1"/>
      <c r="AW401" s="1"/>
      <c r="AY401" s="2"/>
    </row>
    <row r="402">
      <c r="A402" s="1"/>
      <c r="C402" s="1"/>
      <c r="E402" s="1"/>
      <c r="F402" s="1"/>
      <c r="G402" s="2"/>
      <c r="H402" s="1"/>
      <c r="I402" s="1"/>
      <c r="J402" s="1"/>
      <c r="K402" s="1"/>
      <c r="M402" s="1"/>
      <c r="N402" s="1"/>
      <c r="O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2"/>
      <c r="AB402" s="1"/>
      <c r="AC402" s="1"/>
      <c r="AD402" s="1"/>
      <c r="AE402" s="1"/>
      <c r="AF402" s="1"/>
      <c r="AG402" s="1"/>
      <c r="AH402" s="2"/>
      <c r="AI402" s="2"/>
      <c r="AJ402" s="2"/>
      <c r="AK402" s="2"/>
      <c r="AL402" s="2"/>
      <c r="AM402" s="1"/>
      <c r="AN402" s="2"/>
      <c r="AP402" s="2"/>
      <c r="AQ402" s="1"/>
      <c r="AR402" s="2"/>
      <c r="AU402" s="1"/>
      <c r="AW402" s="1"/>
      <c r="AY402" s="2"/>
    </row>
    <row r="403">
      <c r="A403" s="1"/>
      <c r="C403" s="1"/>
      <c r="E403" s="1"/>
      <c r="F403" s="1"/>
      <c r="G403" s="2"/>
      <c r="H403" s="1"/>
      <c r="I403" s="1"/>
      <c r="J403" s="1"/>
      <c r="K403" s="1"/>
      <c r="M403" s="1"/>
      <c r="N403" s="1"/>
      <c r="O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2"/>
      <c r="AB403" s="1"/>
      <c r="AC403" s="1"/>
      <c r="AD403" s="1"/>
      <c r="AE403" s="1"/>
      <c r="AF403" s="1"/>
      <c r="AG403" s="1"/>
      <c r="AH403" s="2"/>
      <c r="AI403" s="2"/>
      <c r="AJ403" s="2"/>
      <c r="AK403" s="2"/>
      <c r="AL403" s="2"/>
      <c r="AM403" s="1"/>
      <c r="AN403" s="2"/>
      <c r="AP403" s="2"/>
      <c r="AQ403" s="1"/>
      <c r="AR403" s="2"/>
      <c r="AU403" s="1"/>
      <c r="AW403" s="1"/>
      <c r="AY403" s="2"/>
    </row>
    <row r="404">
      <c r="A404" s="1"/>
      <c r="C404" s="1"/>
      <c r="E404" s="1"/>
      <c r="F404" s="1"/>
      <c r="G404" s="2"/>
      <c r="H404" s="1"/>
      <c r="I404" s="1"/>
      <c r="J404" s="1"/>
      <c r="K404" s="1"/>
      <c r="M404" s="1"/>
      <c r="N404" s="1"/>
      <c r="O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2"/>
      <c r="AB404" s="1"/>
      <c r="AC404" s="1"/>
      <c r="AD404" s="1"/>
      <c r="AE404" s="1"/>
      <c r="AF404" s="1"/>
      <c r="AG404" s="1"/>
      <c r="AH404" s="2"/>
      <c r="AI404" s="2"/>
      <c r="AJ404" s="2"/>
      <c r="AK404" s="2"/>
      <c r="AL404" s="2"/>
      <c r="AM404" s="1"/>
      <c r="AN404" s="2"/>
      <c r="AP404" s="2"/>
      <c r="AQ404" s="1"/>
      <c r="AR404" s="2"/>
      <c r="AU404" s="1"/>
      <c r="AW404" s="1"/>
      <c r="AY404" s="2"/>
    </row>
    <row r="405">
      <c r="A405" s="1"/>
      <c r="C405" s="1"/>
      <c r="E405" s="1"/>
      <c r="F405" s="1"/>
      <c r="G405" s="2"/>
      <c r="H405" s="1"/>
      <c r="I405" s="1"/>
      <c r="J405" s="1"/>
      <c r="K405" s="1"/>
      <c r="M405" s="1"/>
      <c r="N405" s="1"/>
      <c r="O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2"/>
      <c r="AI405" s="2"/>
      <c r="AJ405" s="2"/>
      <c r="AK405" s="2"/>
      <c r="AL405" s="2"/>
      <c r="AM405" s="1"/>
      <c r="AN405" s="2"/>
      <c r="AP405" s="2"/>
      <c r="AQ405" s="1"/>
      <c r="AR405" s="2"/>
      <c r="AU405" s="1"/>
      <c r="AW405" s="1"/>
      <c r="AY405" s="2"/>
    </row>
    <row r="406">
      <c r="A406" s="1"/>
      <c r="C406" s="1"/>
      <c r="E406" s="1"/>
      <c r="F406" s="1"/>
      <c r="G406" s="2"/>
      <c r="H406" s="1"/>
      <c r="I406" s="1"/>
      <c r="J406" s="1"/>
      <c r="K406" s="1"/>
      <c r="M406" s="1"/>
      <c r="N406" s="1"/>
      <c r="O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2"/>
      <c r="AB406" s="1"/>
      <c r="AC406" s="1"/>
      <c r="AD406" s="1"/>
      <c r="AE406" s="1"/>
      <c r="AF406" s="1"/>
      <c r="AG406" s="1"/>
      <c r="AH406" s="2"/>
      <c r="AI406" s="2"/>
      <c r="AJ406" s="2"/>
      <c r="AK406" s="2"/>
      <c r="AL406" s="2"/>
      <c r="AM406" s="1"/>
      <c r="AN406" s="2"/>
      <c r="AP406" s="2"/>
      <c r="AQ406" s="1"/>
      <c r="AR406" s="2"/>
      <c r="AU406" s="1"/>
      <c r="AW406" s="1"/>
      <c r="AY406" s="2"/>
    </row>
    <row r="407">
      <c r="A407" s="1"/>
      <c r="C407" s="1"/>
      <c r="E407" s="1"/>
      <c r="F407" s="1"/>
      <c r="G407" s="2"/>
      <c r="H407" s="1"/>
      <c r="I407" s="1"/>
      <c r="J407" s="1"/>
      <c r="K407" s="1"/>
      <c r="M407" s="1"/>
      <c r="N407" s="1"/>
      <c r="O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2"/>
      <c r="AB407" s="1"/>
      <c r="AC407" s="1"/>
      <c r="AD407" s="1"/>
      <c r="AE407" s="1"/>
      <c r="AF407" s="1"/>
      <c r="AG407" s="1"/>
      <c r="AH407" s="2"/>
      <c r="AI407" s="2"/>
      <c r="AJ407" s="2"/>
      <c r="AK407" s="2"/>
      <c r="AL407" s="2"/>
      <c r="AM407" s="1"/>
      <c r="AN407" s="2"/>
      <c r="AP407" s="2"/>
      <c r="AQ407" s="1"/>
      <c r="AR407" s="2"/>
      <c r="AU407" s="1"/>
      <c r="AW407" s="1"/>
      <c r="AY407" s="2"/>
    </row>
    <row r="408">
      <c r="A408" s="1"/>
      <c r="C408" s="1"/>
      <c r="E408" s="1"/>
      <c r="F408" s="1"/>
      <c r="G408" s="2"/>
      <c r="H408" s="1"/>
      <c r="I408" s="1"/>
      <c r="J408" s="1"/>
      <c r="K408" s="1"/>
      <c r="M408" s="1"/>
      <c r="N408" s="1"/>
      <c r="O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2"/>
      <c r="AB408" s="1"/>
      <c r="AC408" s="1"/>
      <c r="AD408" s="1"/>
      <c r="AE408" s="1"/>
      <c r="AF408" s="1"/>
      <c r="AG408" s="1"/>
      <c r="AH408" s="2"/>
      <c r="AI408" s="2"/>
      <c r="AJ408" s="2"/>
      <c r="AK408" s="2"/>
      <c r="AL408" s="2"/>
      <c r="AM408" s="1"/>
      <c r="AN408" s="2"/>
      <c r="AP408" s="2"/>
      <c r="AQ408" s="1"/>
      <c r="AR408" s="2"/>
      <c r="AU408" s="1"/>
      <c r="AW408" s="1"/>
      <c r="AY408" s="2"/>
    </row>
    <row r="409">
      <c r="A409" s="1"/>
      <c r="C409" s="1"/>
      <c r="E409" s="1"/>
      <c r="F409" s="1"/>
      <c r="G409" s="2"/>
      <c r="H409" s="1"/>
      <c r="I409" s="1"/>
      <c r="J409" s="1"/>
      <c r="K409" s="1"/>
      <c r="M409" s="1"/>
      <c r="N409" s="1"/>
      <c r="O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2"/>
      <c r="AB409" s="1"/>
      <c r="AC409" s="1"/>
      <c r="AD409" s="1"/>
      <c r="AE409" s="1"/>
      <c r="AF409" s="1"/>
      <c r="AG409" s="1"/>
      <c r="AH409" s="2"/>
      <c r="AI409" s="2"/>
      <c r="AJ409" s="2"/>
      <c r="AK409" s="2"/>
      <c r="AL409" s="2"/>
      <c r="AM409" s="1"/>
      <c r="AN409" s="2"/>
      <c r="AP409" s="2"/>
      <c r="AQ409" s="1"/>
      <c r="AR409" s="2"/>
      <c r="AU409" s="1"/>
      <c r="AW409" s="1"/>
      <c r="AY409" s="2"/>
    </row>
    <row r="410">
      <c r="A410" s="1"/>
      <c r="C410" s="1"/>
      <c r="E410" s="1"/>
      <c r="F410" s="1"/>
      <c r="G410" s="2"/>
      <c r="H410" s="1"/>
      <c r="I410" s="1"/>
      <c r="J410" s="1"/>
      <c r="K410" s="1"/>
      <c r="M410" s="1"/>
      <c r="N410" s="1"/>
      <c r="O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2"/>
      <c r="AB410" s="1"/>
      <c r="AC410" s="1"/>
      <c r="AD410" s="1"/>
      <c r="AE410" s="1"/>
      <c r="AF410" s="1"/>
      <c r="AG410" s="1"/>
      <c r="AH410" s="2"/>
      <c r="AI410" s="2"/>
      <c r="AJ410" s="2"/>
      <c r="AK410" s="2"/>
      <c r="AL410" s="2"/>
      <c r="AM410" s="1"/>
      <c r="AN410" s="2"/>
      <c r="AP410" s="2"/>
      <c r="AQ410" s="1"/>
      <c r="AR410" s="2"/>
      <c r="AU410" s="1"/>
      <c r="AW410" s="1"/>
      <c r="AY410" s="2"/>
    </row>
    <row r="411">
      <c r="A411" s="1"/>
      <c r="C411" s="1"/>
      <c r="E411" s="1"/>
      <c r="F411" s="1"/>
      <c r="G411" s="2"/>
      <c r="H411" s="1"/>
      <c r="I411" s="1"/>
      <c r="J411" s="1"/>
      <c r="K411" s="1"/>
      <c r="M411" s="1"/>
      <c r="N411" s="1"/>
      <c r="O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2"/>
      <c r="AB411" s="1"/>
      <c r="AC411" s="1"/>
      <c r="AD411" s="1"/>
      <c r="AE411" s="1"/>
      <c r="AF411" s="1"/>
      <c r="AG411" s="1"/>
      <c r="AH411" s="2"/>
      <c r="AI411" s="2"/>
      <c r="AJ411" s="2"/>
      <c r="AK411" s="2"/>
      <c r="AL411" s="2"/>
      <c r="AM411" s="1"/>
      <c r="AN411" s="2"/>
      <c r="AP411" s="2"/>
      <c r="AQ411" s="1"/>
      <c r="AR411" s="2"/>
      <c r="AU411" s="1"/>
      <c r="AW411" s="1"/>
      <c r="AY411" s="2"/>
    </row>
    <row r="412">
      <c r="A412" s="1"/>
      <c r="C412" s="1"/>
      <c r="E412" s="1"/>
      <c r="F412" s="1"/>
      <c r="G412" s="2"/>
      <c r="H412" s="1"/>
      <c r="I412" s="1"/>
      <c r="J412" s="1"/>
      <c r="K412" s="1"/>
      <c r="M412" s="1"/>
      <c r="N412" s="1"/>
      <c r="O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2"/>
      <c r="AB412" s="1"/>
      <c r="AC412" s="1"/>
      <c r="AD412" s="1"/>
      <c r="AE412" s="1"/>
      <c r="AF412" s="1"/>
      <c r="AG412" s="1"/>
      <c r="AH412" s="2"/>
      <c r="AI412" s="2"/>
      <c r="AJ412" s="2"/>
      <c r="AK412" s="2"/>
      <c r="AL412" s="2"/>
      <c r="AM412" s="1"/>
      <c r="AN412" s="2"/>
      <c r="AP412" s="2"/>
      <c r="AQ412" s="1"/>
      <c r="AR412" s="2"/>
      <c r="AU412" s="1"/>
      <c r="AW412" s="1"/>
      <c r="AY412" s="2"/>
    </row>
    <row r="413">
      <c r="A413" s="1"/>
      <c r="C413" s="1"/>
      <c r="E413" s="1"/>
      <c r="F413" s="1"/>
      <c r="G413" s="2"/>
      <c r="H413" s="1"/>
      <c r="I413" s="1"/>
      <c r="J413" s="1"/>
      <c r="K413" s="1"/>
      <c r="M413" s="1"/>
      <c r="N413" s="1"/>
      <c r="O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2"/>
      <c r="AB413" s="1"/>
      <c r="AC413" s="1"/>
      <c r="AD413" s="1"/>
      <c r="AE413" s="1"/>
      <c r="AF413" s="1"/>
      <c r="AG413" s="1"/>
      <c r="AH413" s="2"/>
      <c r="AI413" s="2"/>
      <c r="AJ413" s="2"/>
      <c r="AK413" s="2"/>
      <c r="AL413" s="2"/>
      <c r="AM413" s="1"/>
      <c r="AN413" s="2"/>
      <c r="AP413" s="2"/>
      <c r="AQ413" s="1"/>
      <c r="AR413" s="2"/>
      <c r="AU413" s="1"/>
      <c r="AW413" s="1"/>
      <c r="AY413" s="2"/>
    </row>
    <row r="414">
      <c r="A414" s="1"/>
      <c r="C414" s="1"/>
      <c r="E414" s="1"/>
      <c r="F414" s="1"/>
      <c r="G414" s="2"/>
      <c r="H414" s="1"/>
      <c r="I414" s="1"/>
      <c r="J414" s="1"/>
      <c r="K414" s="1"/>
      <c r="M414" s="1"/>
      <c r="N414" s="1"/>
      <c r="O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2"/>
      <c r="AB414" s="1"/>
      <c r="AC414" s="1"/>
      <c r="AD414" s="1"/>
      <c r="AE414" s="1"/>
      <c r="AF414" s="1"/>
      <c r="AG414" s="1"/>
      <c r="AH414" s="2"/>
      <c r="AI414" s="2"/>
      <c r="AJ414" s="2"/>
      <c r="AK414" s="2"/>
      <c r="AL414" s="2"/>
      <c r="AM414" s="1"/>
      <c r="AN414" s="2"/>
      <c r="AP414" s="2"/>
      <c r="AQ414" s="1"/>
      <c r="AR414" s="2"/>
      <c r="AU414" s="1"/>
      <c r="AW414" s="1"/>
      <c r="AY414" s="2"/>
    </row>
    <row r="415">
      <c r="A415" s="1"/>
      <c r="C415" s="1"/>
      <c r="E415" s="1"/>
      <c r="F415" s="1"/>
      <c r="G415" s="2"/>
      <c r="H415" s="1"/>
      <c r="I415" s="1"/>
      <c r="J415" s="1"/>
      <c r="K415" s="1"/>
      <c r="M415" s="1"/>
      <c r="N415" s="1"/>
      <c r="O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2"/>
      <c r="AB415" s="1"/>
      <c r="AC415" s="1"/>
      <c r="AD415" s="1"/>
      <c r="AE415" s="1"/>
      <c r="AF415" s="1"/>
      <c r="AG415" s="1"/>
      <c r="AH415" s="2"/>
      <c r="AI415" s="2"/>
      <c r="AJ415" s="2"/>
      <c r="AK415" s="2"/>
      <c r="AL415" s="2"/>
      <c r="AM415" s="1"/>
      <c r="AN415" s="2"/>
      <c r="AP415" s="2"/>
      <c r="AQ415" s="1"/>
      <c r="AR415" s="2"/>
      <c r="AU415" s="1"/>
      <c r="AW415" s="1"/>
      <c r="AY415" s="2"/>
    </row>
    <row r="416">
      <c r="A416" s="1"/>
      <c r="C416" s="1"/>
      <c r="E416" s="1"/>
      <c r="F416" s="1"/>
      <c r="G416" s="2"/>
      <c r="H416" s="1"/>
      <c r="I416" s="1"/>
      <c r="J416" s="1"/>
      <c r="K416" s="1"/>
      <c r="M416" s="1"/>
      <c r="N416" s="1"/>
      <c r="O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2"/>
      <c r="AB416" s="1"/>
      <c r="AC416" s="1"/>
      <c r="AD416" s="1"/>
      <c r="AE416" s="1"/>
      <c r="AF416" s="1"/>
      <c r="AG416" s="1"/>
      <c r="AH416" s="2"/>
      <c r="AI416" s="2"/>
      <c r="AJ416" s="2"/>
      <c r="AK416" s="2"/>
      <c r="AL416" s="2"/>
      <c r="AM416" s="1"/>
      <c r="AN416" s="2"/>
      <c r="AP416" s="2"/>
      <c r="AQ416" s="1"/>
      <c r="AR416" s="2"/>
      <c r="AU416" s="1"/>
      <c r="AW416" s="1"/>
      <c r="AY416" s="2"/>
    </row>
    <row r="417">
      <c r="A417" s="1"/>
      <c r="C417" s="1"/>
      <c r="E417" s="1"/>
      <c r="F417" s="1"/>
      <c r="G417" s="2"/>
      <c r="H417" s="1"/>
      <c r="I417" s="1"/>
      <c r="J417" s="1"/>
      <c r="K417" s="1"/>
      <c r="M417" s="1"/>
      <c r="N417" s="1"/>
      <c r="O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2"/>
      <c r="AB417" s="1"/>
      <c r="AC417" s="1"/>
      <c r="AD417" s="1"/>
      <c r="AE417" s="1"/>
      <c r="AF417" s="1"/>
      <c r="AG417" s="1"/>
      <c r="AH417" s="2"/>
      <c r="AI417" s="2"/>
      <c r="AJ417" s="2"/>
      <c r="AK417" s="2"/>
      <c r="AL417" s="2"/>
      <c r="AM417" s="1"/>
      <c r="AN417" s="2"/>
      <c r="AP417" s="2"/>
      <c r="AQ417" s="1"/>
      <c r="AR417" s="2"/>
      <c r="AU417" s="1"/>
      <c r="AW417" s="1"/>
      <c r="AY417" s="2"/>
    </row>
    <row r="418">
      <c r="A418" s="1"/>
      <c r="C418" s="1"/>
      <c r="E418" s="1"/>
      <c r="F418" s="1"/>
      <c r="G418" s="2"/>
      <c r="H418" s="1"/>
      <c r="I418" s="1"/>
      <c r="J418" s="1"/>
      <c r="K418" s="1"/>
      <c r="M418" s="1"/>
      <c r="N418" s="1"/>
      <c r="O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2"/>
      <c r="AB418" s="1"/>
      <c r="AC418" s="1"/>
      <c r="AD418" s="1"/>
      <c r="AE418" s="1"/>
      <c r="AF418" s="1"/>
      <c r="AG418" s="1"/>
      <c r="AH418" s="2"/>
      <c r="AI418" s="2"/>
      <c r="AJ418" s="2"/>
      <c r="AK418" s="2"/>
      <c r="AL418" s="2"/>
      <c r="AM418" s="1"/>
      <c r="AN418" s="2"/>
      <c r="AP418" s="2"/>
      <c r="AQ418" s="1"/>
      <c r="AR418" s="2"/>
      <c r="AU418" s="1"/>
      <c r="AW418" s="1"/>
      <c r="AY418" s="2"/>
    </row>
    <row r="419">
      <c r="A419" s="1"/>
      <c r="C419" s="1"/>
      <c r="E419" s="1"/>
      <c r="F419" s="1"/>
      <c r="G419" s="2"/>
      <c r="H419" s="1"/>
      <c r="I419" s="1"/>
      <c r="J419" s="1"/>
      <c r="K419" s="1"/>
      <c r="M419" s="1"/>
      <c r="N419" s="1"/>
      <c r="O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2"/>
      <c r="AB419" s="1"/>
      <c r="AC419" s="1"/>
      <c r="AD419" s="1"/>
      <c r="AE419" s="1"/>
      <c r="AF419" s="1"/>
      <c r="AG419" s="1"/>
      <c r="AH419" s="2"/>
      <c r="AI419" s="2"/>
      <c r="AJ419" s="2"/>
      <c r="AK419" s="2"/>
      <c r="AL419" s="2"/>
      <c r="AM419" s="1"/>
      <c r="AN419" s="2"/>
      <c r="AP419" s="2"/>
      <c r="AQ419" s="1"/>
      <c r="AR419" s="2"/>
      <c r="AU419" s="1"/>
      <c r="AW419" s="1"/>
      <c r="AY419" s="2"/>
    </row>
    <row r="420">
      <c r="A420" s="1"/>
      <c r="C420" s="1"/>
      <c r="E420" s="1"/>
      <c r="F420" s="1"/>
      <c r="G420" s="2"/>
      <c r="H420" s="1"/>
      <c r="I420" s="1"/>
      <c r="J420" s="1"/>
      <c r="K420" s="1"/>
      <c r="M420" s="1"/>
      <c r="N420" s="1"/>
      <c r="O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2"/>
      <c r="AB420" s="1"/>
      <c r="AC420" s="1"/>
      <c r="AD420" s="1"/>
      <c r="AE420" s="1"/>
      <c r="AF420" s="1"/>
      <c r="AG420" s="1"/>
      <c r="AH420" s="2"/>
      <c r="AI420" s="2"/>
      <c r="AJ420" s="2"/>
      <c r="AK420" s="2"/>
      <c r="AL420" s="2"/>
      <c r="AM420" s="1"/>
      <c r="AN420" s="2"/>
      <c r="AP420" s="2"/>
      <c r="AQ420" s="1"/>
      <c r="AR420" s="2"/>
      <c r="AU420" s="1"/>
      <c r="AW420" s="1"/>
      <c r="AY420" s="2"/>
    </row>
    <row r="421">
      <c r="A421" s="1"/>
      <c r="C421" s="1"/>
      <c r="E421" s="1"/>
      <c r="F421" s="1"/>
      <c r="G421" s="2"/>
      <c r="H421" s="1"/>
      <c r="I421" s="1"/>
      <c r="J421" s="1"/>
      <c r="K421" s="1"/>
      <c r="M421" s="1"/>
      <c r="N421" s="1"/>
      <c r="O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2"/>
      <c r="AB421" s="1"/>
      <c r="AC421" s="1"/>
      <c r="AD421" s="1"/>
      <c r="AE421" s="1"/>
      <c r="AF421" s="1"/>
      <c r="AG421" s="1"/>
      <c r="AH421" s="2"/>
      <c r="AI421" s="2"/>
      <c r="AJ421" s="2"/>
      <c r="AK421" s="2"/>
      <c r="AL421" s="2"/>
      <c r="AM421" s="1"/>
      <c r="AN421" s="2"/>
      <c r="AP421" s="2"/>
      <c r="AQ421" s="1"/>
      <c r="AR421" s="2"/>
      <c r="AU421" s="1"/>
      <c r="AW421" s="1"/>
      <c r="AY421" s="2"/>
    </row>
    <row r="422">
      <c r="A422" s="1"/>
      <c r="C422" s="1"/>
      <c r="E422" s="1"/>
      <c r="F422" s="1"/>
      <c r="G422" s="2"/>
      <c r="H422" s="1"/>
      <c r="I422" s="1"/>
      <c r="J422" s="1"/>
      <c r="K422" s="1"/>
      <c r="M422" s="1"/>
      <c r="N422" s="1"/>
      <c r="O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2"/>
      <c r="AB422" s="1"/>
      <c r="AC422" s="1"/>
      <c r="AD422" s="1"/>
      <c r="AE422" s="1"/>
      <c r="AF422" s="1"/>
      <c r="AG422" s="1"/>
      <c r="AH422" s="2"/>
      <c r="AI422" s="2"/>
      <c r="AJ422" s="2"/>
      <c r="AK422" s="2"/>
      <c r="AL422" s="2"/>
      <c r="AM422" s="1"/>
      <c r="AN422" s="2"/>
      <c r="AP422" s="2"/>
      <c r="AQ422" s="1"/>
      <c r="AR422" s="2"/>
      <c r="AU422" s="1"/>
      <c r="AW422" s="1"/>
      <c r="AY422" s="2"/>
    </row>
    <row r="423">
      <c r="A423" s="1"/>
      <c r="C423" s="1"/>
      <c r="E423" s="1"/>
      <c r="F423" s="1"/>
      <c r="G423" s="2"/>
      <c r="H423" s="1"/>
      <c r="I423" s="1"/>
      <c r="J423" s="1"/>
      <c r="K423" s="1"/>
      <c r="M423" s="1"/>
      <c r="N423" s="1"/>
      <c r="O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2"/>
      <c r="AB423" s="1"/>
      <c r="AC423" s="1"/>
      <c r="AD423" s="1"/>
      <c r="AE423" s="1"/>
      <c r="AF423" s="1"/>
      <c r="AG423" s="1"/>
      <c r="AH423" s="2"/>
      <c r="AI423" s="2"/>
      <c r="AJ423" s="2"/>
      <c r="AK423" s="2"/>
      <c r="AL423" s="2"/>
      <c r="AM423" s="1"/>
      <c r="AN423" s="2"/>
      <c r="AP423" s="2"/>
      <c r="AQ423" s="1"/>
      <c r="AR423" s="2"/>
      <c r="AU423" s="1"/>
      <c r="AW423" s="1"/>
      <c r="AY423" s="2"/>
    </row>
    <row r="424">
      <c r="A424" s="1"/>
      <c r="C424" s="1"/>
      <c r="E424" s="1"/>
      <c r="F424" s="1"/>
      <c r="G424" s="2"/>
      <c r="H424" s="1"/>
      <c r="I424" s="1"/>
      <c r="J424" s="1"/>
      <c r="K424" s="1"/>
      <c r="M424" s="1"/>
      <c r="N424" s="1"/>
      <c r="O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2"/>
      <c r="AB424" s="1"/>
      <c r="AC424" s="1"/>
      <c r="AD424" s="1"/>
      <c r="AE424" s="1"/>
      <c r="AF424" s="1"/>
      <c r="AG424" s="1"/>
      <c r="AH424" s="2"/>
      <c r="AI424" s="2"/>
      <c r="AJ424" s="2"/>
      <c r="AK424" s="2"/>
      <c r="AL424" s="2"/>
      <c r="AM424" s="1"/>
      <c r="AN424" s="2"/>
      <c r="AP424" s="2"/>
      <c r="AQ424" s="1"/>
      <c r="AR424" s="2"/>
      <c r="AU424" s="1"/>
      <c r="AW424" s="1"/>
      <c r="AY424" s="2"/>
    </row>
    <row r="425">
      <c r="A425" s="1"/>
      <c r="C425" s="1"/>
      <c r="E425" s="1"/>
      <c r="F425" s="1"/>
      <c r="G425" s="2"/>
      <c r="H425" s="1"/>
      <c r="I425" s="1"/>
      <c r="J425" s="1"/>
      <c r="K425" s="1"/>
      <c r="M425" s="1"/>
      <c r="N425" s="1"/>
      <c r="O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2"/>
      <c r="AB425" s="1"/>
      <c r="AC425" s="1"/>
      <c r="AD425" s="1"/>
      <c r="AE425" s="1"/>
      <c r="AF425" s="1"/>
      <c r="AG425" s="1"/>
      <c r="AH425" s="2"/>
      <c r="AI425" s="2"/>
      <c r="AJ425" s="2"/>
      <c r="AK425" s="2"/>
      <c r="AL425" s="2"/>
      <c r="AM425" s="1"/>
      <c r="AN425" s="2"/>
      <c r="AP425" s="2"/>
      <c r="AQ425" s="1"/>
      <c r="AR425" s="2"/>
      <c r="AU425" s="1"/>
      <c r="AW425" s="1"/>
      <c r="AY425" s="2"/>
    </row>
    <row r="426">
      <c r="A426" s="1"/>
      <c r="C426" s="1"/>
      <c r="E426" s="1"/>
      <c r="F426" s="1"/>
      <c r="G426" s="2"/>
      <c r="H426" s="1"/>
      <c r="I426" s="1"/>
      <c r="J426" s="1"/>
      <c r="K426" s="1"/>
      <c r="M426" s="1"/>
      <c r="N426" s="1"/>
      <c r="O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2"/>
      <c r="AB426" s="1"/>
      <c r="AC426" s="1"/>
      <c r="AD426" s="1"/>
      <c r="AE426" s="1"/>
      <c r="AF426" s="1"/>
      <c r="AG426" s="1"/>
      <c r="AH426" s="2"/>
      <c r="AI426" s="2"/>
      <c r="AJ426" s="2"/>
      <c r="AK426" s="2"/>
      <c r="AL426" s="2"/>
      <c r="AM426" s="1"/>
      <c r="AN426" s="2"/>
      <c r="AP426" s="2"/>
      <c r="AQ426" s="1"/>
      <c r="AR426" s="2"/>
      <c r="AU426" s="1"/>
      <c r="AW426" s="1"/>
      <c r="AY426" s="2"/>
    </row>
    <row r="427">
      <c r="A427" s="1"/>
      <c r="C427" s="1"/>
      <c r="E427" s="1"/>
      <c r="F427" s="1"/>
      <c r="G427" s="2"/>
      <c r="H427" s="1"/>
      <c r="I427" s="1"/>
      <c r="J427" s="1"/>
      <c r="K427" s="1"/>
      <c r="M427" s="1"/>
      <c r="N427" s="1"/>
      <c r="O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2"/>
      <c r="AB427" s="1"/>
      <c r="AC427" s="1"/>
      <c r="AD427" s="1"/>
      <c r="AE427" s="1"/>
      <c r="AF427" s="1"/>
      <c r="AG427" s="1"/>
      <c r="AH427" s="2"/>
      <c r="AI427" s="2"/>
      <c r="AJ427" s="2"/>
      <c r="AK427" s="2"/>
      <c r="AL427" s="2"/>
      <c r="AM427" s="1"/>
      <c r="AN427" s="2"/>
      <c r="AP427" s="2"/>
      <c r="AQ427" s="1"/>
      <c r="AR427" s="2"/>
      <c r="AU427" s="1"/>
      <c r="AW427" s="1"/>
      <c r="AY427" s="2"/>
    </row>
    <row r="428">
      <c r="A428" s="1"/>
      <c r="C428" s="1"/>
      <c r="E428" s="1"/>
      <c r="F428" s="1"/>
      <c r="G428" s="2"/>
      <c r="H428" s="1"/>
      <c r="I428" s="1"/>
      <c r="J428" s="1"/>
      <c r="K428" s="1"/>
      <c r="M428" s="1"/>
      <c r="N428" s="1"/>
      <c r="O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2"/>
      <c r="AB428" s="1"/>
      <c r="AC428" s="1"/>
      <c r="AD428" s="1"/>
      <c r="AE428" s="1"/>
      <c r="AF428" s="1"/>
      <c r="AG428" s="1"/>
      <c r="AH428" s="2"/>
      <c r="AI428" s="2"/>
      <c r="AJ428" s="2"/>
      <c r="AK428" s="2"/>
      <c r="AL428" s="2"/>
      <c r="AM428" s="1"/>
      <c r="AN428" s="2"/>
      <c r="AP428" s="2"/>
      <c r="AQ428" s="1"/>
      <c r="AR428" s="2"/>
      <c r="AU428" s="1"/>
      <c r="AW428" s="1"/>
      <c r="AY428" s="2"/>
    </row>
    <row r="429">
      <c r="A429" s="1"/>
      <c r="C429" s="1"/>
      <c r="E429" s="1"/>
      <c r="F429" s="1"/>
      <c r="G429" s="2"/>
      <c r="H429" s="1"/>
      <c r="I429" s="1"/>
      <c r="J429" s="1"/>
      <c r="K429" s="1"/>
      <c r="M429" s="1"/>
      <c r="N429" s="1"/>
      <c r="O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2"/>
      <c r="AB429" s="1"/>
      <c r="AC429" s="1"/>
      <c r="AD429" s="1"/>
      <c r="AE429" s="1"/>
      <c r="AF429" s="1"/>
      <c r="AG429" s="1"/>
      <c r="AH429" s="2"/>
      <c r="AI429" s="2"/>
      <c r="AJ429" s="2"/>
      <c r="AK429" s="2"/>
      <c r="AL429" s="2"/>
      <c r="AM429" s="1"/>
      <c r="AN429" s="2"/>
      <c r="AP429" s="2"/>
      <c r="AQ429" s="1"/>
      <c r="AR429" s="2"/>
      <c r="AU429" s="1"/>
      <c r="AW429" s="1"/>
      <c r="AY429" s="2"/>
    </row>
    <row r="430">
      <c r="A430" s="1"/>
      <c r="C430" s="1"/>
      <c r="E430" s="1"/>
      <c r="F430" s="1"/>
      <c r="G430" s="2"/>
      <c r="H430" s="1"/>
      <c r="I430" s="1"/>
      <c r="J430" s="1"/>
      <c r="K430" s="1"/>
      <c r="M430" s="1"/>
      <c r="N430" s="1"/>
      <c r="O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2"/>
      <c r="AB430" s="1"/>
      <c r="AC430" s="1"/>
      <c r="AD430" s="1"/>
      <c r="AE430" s="1"/>
      <c r="AF430" s="1"/>
      <c r="AG430" s="1"/>
      <c r="AH430" s="2"/>
      <c r="AI430" s="2"/>
      <c r="AJ430" s="2"/>
      <c r="AK430" s="2"/>
      <c r="AL430" s="2"/>
      <c r="AM430" s="1"/>
      <c r="AN430" s="2"/>
      <c r="AP430" s="2"/>
      <c r="AQ430" s="1"/>
      <c r="AR430" s="2"/>
      <c r="AU430" s="1"/>
      <c r="AW430" s="1"/>
      <c r="AY430" s="2"/>
    </row>
    <row r="431">
      <c r="A431" s="1"/>
      <c r="C431" s="1"/>
      <c r="E431" s="1"/>
      <c r="F431" s="1"/>
      <c r="G431" s="2"/>
      <c r="H431" s="1"/>
      <c r="I431" s="1"/>
      <c r="J431" s="1"/>
      <c r="K431" s="1"/>
      <c r="M431" s="1"/>
      <c r="N431" s="1"/>
      <c r="O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2"/>
      <c r="AB431" s="1"/>
      <c r="AC431" s="1"/>
      <c r="AD431" s="1"/>
      <c r="AE431" s="1"/>
      <c r="AF431" s="1"/>
      <c r="AG431" s="1"/>
      <c r="AH431" s="2"/>
      <c r="AI431" s="2"/>
      <c r="AJ431" s="2"/>
      <c r="AK431" s="2"/>
      <c r="AL431" s="2"/>
      <c r="AM431" s="1"/>
      <c r="AN431" s="2"/>
      <c r="AP431" s="2"/>
      <c r="AQ431" s="1"/>
      <c r="AR431" s="2"/>
      <c r="AU431" s="1"/>
      <c r="AW431" s="1"/>
      <c r="AY431" s="2"/>
    </row>
    <row r="432">
      <c r="A432" s="1"/>
      <c r="C432" s="1"/>
      <c r="E432" s="1"/>
      <c r="F432" s="1"/>
      <c r="G432" s="2"/>
      <c r="H432" s="1"/>
      <c r="I432" s="1"/>
      <c r="J432" s="1"/>
      <c r="K432" s="1"/>
      <c r="M432" s="1"/>
      <c r="N432" s="1"/>
      <c r="O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2"/>
      <c r="AB432" s="1"/>
      <c r="AC432" s="1"/>
      <c r="AD432" s="1"/>
      <c r="AE432" s="1"/>
      <c r="AF432" s="1"/>
      <c r="AG432" s="1"/>
      <c r="AH432" s="2"/>
      <c r="AI432" s="2"/>
      <c r="AJ432" s="2"/>
      <c r="AK432" s="2"/>
      <c r="AL432" s="2"/>
      <c r="AM432" s="1"/>
      <c r="AN432" s="2"/>
      <c r="AP432" s="2"/>
      <c r="AQ432" s="1"/>
      <c r="AR432" s="2"/>
      <c r="AU432" s="1"/>
      <c r="AW432" s="1"/>
      <c r="AY432" s="2"/>
    </row>
    <row r="433">
      <c r="A433" s="1"/>
      <c r="C433" s="1"/>
      <c r="E433" s="1"/>
      <c r="F433" s="1"/>
      <c r="G433" s="2"/>
      <c r="H433" s="1"/>
      <c r="I433" s="1"/>
      <c r="J433" s="1"/>
      <c r="K433" s="1"/>
      <c r="M433" s="1"/>
      <c r="N433" s="1"/>
      <c r="O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2"/>
      <c r="AB433" s="1"/>
      <c r="AC433" s="1"/>
      <c r="AD433" s="1"/>
      <c r="AE433" s="1"/>
      <c r="AF433" s="1"/>
      <c r="AG433" s="1"/>
      <c r="AH433" s="2"/>
      <c r="AI433" s="2"/>
      <c r="AJ433" s="2"/>
      <c r="AK433" s="2"/>
      <c r="AL433" s="2"/>
      <c r="AM433" s="1"/>
      <c r="AN433" s="2"/>
      <c r="AP433" s="2"/>
      <c r="AQ433" s="1"/>
      <c r="AR433" s="2"/>
      <c r="AU433" s="1"/>
      <c r="AW433" s="1"/>
      <c r="AY433" s="2"/>
    </row>
    <row r="434">
      <c r="A434" s="1"/>
      <c r="C434" s="1"/>
      <c r="E434" s="1"/>
      <c r="F434" s="1"/>
      <c r="G434" s="2"/>
      <c r="H434" s="1"/>
      <c r="I434" s="1"/>
      <c r="J434" s="1"/>
      <c r="K434" s="1"/>
      <c r="M434" s="1"/>
      <c r="N434" s="1"/>
      <c r="O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2"/>
      <c r="AB434" s="1"/>
      <c r="AC434" s="1"/>
      <c r="AD434" s="1"/>
      <c r="AE434" s="1"/>
      <c r="AF434" s="1"/>
      <c r="AG434" s="1"/>
      <c r="AH434" s="2"/>
      <c r="AI434" s="2"/>
      <c r="AJ434" s="2"/>
      <c r="AK434" s="2"/>
      <c r="AL434" s="2"/>
      <c r="AM434" s="1"/>
      <c r="AN434" s="2"/>
      <c r="AP434" s="2"/>
      <c r="AQ434" s="1"/>
      <c r="AR434" s="2"/>
      <c r="AU434" s="1"/>
      <c r="AW434" s="1"/>
      <c r="AY434" s="2"/>
    </row>
    <row r="435">
      <c r="A435" s="1"/>
      <c r="C435" s="1"/>
      <c r="E435" s="1"/>
      <c r="F435" s="1"/>
      <c r="G435" s="2"/>
      <c r="H435" s="1"/>
      <c r="I435" s="1"/>
      <c r="J435" s="1"/>
      <c r="K435" s="1"/>
      <c r="M435" s="1"/>
      <c r="N435" s="1"/>
      <c r="O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2"/>
      <c r="AB435" s="1"/>
      <c r="AC435" s="1"/>
      <c r="AD435" s="1"/>
      <c r="AE435" s="1"/>
      <c r="AF435" s="1"/>
      <c r="AG435" s="1"/>
      <c r="AH435" s="2"/>
      <c r="AI435" s="2"/>
      <c r="AJ435" s="2"/>
      <c r="AK435" s="2"/>
      <c r="AL435" s="2"/>
      <c r="AM435" s="1"/>
      <c r="AN435" s="2"/>
      <c r="AP435" s="2"/>
      <c r="AQ435" s="1"/>
      <c r="AR435" s="2"/>
      <c r="AU435" s="1"/>
      <c r="AW435" s="1"/>
      <c r="AY435" s="2"/>
    </row>
    <row r="436">
      <c r="A436" s="1"/>
      <c r="C436" s="1"/>
      <c r="E436" s="1"/>
      <c r="F436" s="1"/>
      <c r="G436" s="2"/>
      <c r="H436" s="1"/>
      <c r="I436" s="1"/>
      <c r="J436" s="1"/>
      <c r="K436" s="1"/>
      <c r="M436" s="1"/>
      <c r="N436" s="1"/>
      <c r="O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2"/>
      <c r="AB436" s="1"/>
      <c r="AC436" s="1"/>
      <c r="AD436" s="1"/>
      <c r="AE436" s="1"/>
      <c r="AF436" s="1"/>
      <c r="AG436" s="1"/>
      <c r="AH436" s="2"/>
      <c r="AI436" s="2"/>
      <c r="AJ436" s="2"/>
      <c r="AK436" s="2"/>
      <c r="AL436" s="2"/>
      <c r="AM436" s="1"/>
      <c r="AN436" s="2"/>
      <c r="AP436" s="2"/>
      <c r="AQ436" s="1"/>
      <c r="AR436" s="2"/>
      <c r="AU436" s="1"/>
      <c r="AW436" s="1"/>
      <c r="AY436" s="2"/>
    </row>
    <row r="437">
      <c r="A437" s="1"/>
      <c r="C437" s="1"/>
      <c r="E437" s="1"/>
      <c r="F437" s="1"/>
      <c r="G437" s="2"/>
      <c r="H437" s="1"/>
      <c r="I437" s="1"/>
      <c r="J437" s="1"/>
      <c r="K437" s="1"/>
      <c r="M437" s="1"/>
      <c r="N437" s="1"/>
      <c r="O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2"/>
      <c r="AB437" s="1"/>
      <c r="AC437" s="1"/>
      <c r="AD437" s="1"/>
      <c r="AE437" s="1"/>
      <c r="AF437" s="1"/>
      <c r="AG437" s="1"/>
      <c r="AH437" s="2"/>
      <c r="AI437" s="2"/>
      <c r="AJ437" s="2"/>
      <c r="AK437" s="2"/>
      <c r="AL437" s="2"/>
      <c r="AM437" s="1"/>
      <c r="AN437" s="2"/>
      <c r="AP437" s="2"/>
      <c r="AQ437" s="1"/>
      <c r="AR437" s="2"/>
      <c r="AU437" s="1"/>
      <c r="AW437" s="1"/>
      <c r="AY437" s="2"/>
    </row>
    <row r="438">
      <c r="A438" s="1"/>
      <c r="C438" s="1"/>
      <c r="E438" s="1"/>
      <c r="F438" s="1"/>
      <c r="G438" s="2"/>
      <c r="H438" s="1"/>
      <c r="I438" s="1"/>
      <c r="J438" s="1"/>
      <c r="K438" s="1"/>
      <c r="M438" s="1"/>
      <c r="N438" s="1"/>
      <c r="O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2"/>
      <c r="AB438" s="1"/>
      <c r="AC438" s="1"/>
      <c r="AD438" s="1"/>
      <c r="AE438" s="1"/>
      <c r="AF438" s="1"/>
      <c r="AG438" s="1"/>
      <c r="AH438" s="2"/>
      <c r="AI438" s="2"/>
      <c r="AJ438" s="2"/>
      <c r="AK438" s="2"/>
      <c r="AL438" s="2"/>
      <c r="AM438" s="1"/>
      <c r="AN438" s="2"/>
      <c r="AP438" s="2"/>
      <c r="AQ438" s="1"/>
      <c r="AR438" s="2"/>
      <c r="AU438" s="1"/>
      <c r="AW438" s="1"/>
      <c r="AY438" s="2"/>
    </row>
    <row r="439">
      <c r="A439" s="1"/>
      <c r="C439" s="1"/>
      <c r="E439" s="1"/>
      <c r="F439" s="1"/>
      <c r="G439" s="2"/>
      <c r="H439" s="1"/>
      <c r="I439" s="1"/>
      <c r="J439" s="1"/>
      <c r="K439" s="1"/>
      <c r="M439" s="1"/>
      <c r="N439" s="1"/>
      <c r="O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2"/>
      <c r="AB439" s="1"/>
      <c r="AC439" s="1"/>
      <c r="AD439" s="1"/>
      <c r="AE439" s="1"/>
      <c r="AF439" s="1"/>
      <c r="AG439" s="1"/>
      <c r="AH439" s="2"/>
      <c r="AI439" s="2"/>
      <c r="AJ439" s="2"/>
      <c r="AK439" s="2"/>
      <c r="AL439" s="2"/>
      <c r="AM439" s="1"/>
      <c r="AN439" s="2"/>
      <c r="AP439" s="2"/>
      <c r="AQ439" s="1"/>
      <c r="AR439" s="2"/>
      <c r="AU439" s="1"/>
      <c r="AW439" s="1"/>
      <c r="AY439" s="2"/>
    </row>
    <row r="440">
      <c r="A440" s="1"/>
      <c r="C440" s="1"/>
      <c r="E440" s="1"/>
      <c r="F440" s="1"/>
      <c r="G440" s="2"/>
      <c r="H440" s="1"/>
      <c r="I440" s="1"/>
      <c r="J440" s="1"/>
      <c r="K440" s="1"/>
      <c r="M440" s="1"/>
      <c r="N440" s="1"/>
      <c r="O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2"/>
      <c r="AB440" s="1"/>
      <c r="AC440" s="1"/>
      <c r="AD440" s="1"/>
      <c r="AE440" s="1"/>
      <c r="AF440" s="1"/>
      <c r="AG440" s="1"/>
      <c r="AH440" s="2"/>
      <c r="AI440" s="2"/>
      <c r="AJ440" s="2"/>
      <c r="AK440" s="2"/>
      <c r="AL440" s="2"/>
      <c r="AM440" s="1"/>
      <c r="AN440" s="2"/>
      <c r="AP440" s="2"/>
      <c r="AQ440" s="1"/>
      <c r="AR440" s="2"/>
      <c r="AU440" s="1"/>
      <c r="AW440" s="1"/>
      <c r="AY440" s="2"/>
    </row>
    <row r="441">
      <c r="A441" s="1"/>
      <c r="C441" s="1"/>
      <c r="E441" s="1"/>
      <c r="F441" s="1"/>
      <c r="G441" s="2"/>
      <c r="H441" s="1"/>
      <c r="I441" s="1"/>
      <c r="J441" s="1"/>
      <c r="K441" s="1"/>
      <c r="M441" s="1"/>
      <c r="N441" s="1"/>
      <c r="O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2"/>
      <c r="AB441" s="1"/>
      <c r="AC441" s="1"/>
      <c r="AD441" s="1"/>
      <c r="AE441" s="1"/>
      <c r="AF441" s="1"/>
      <c r="AG441" s="1"/>
      <c r="AH441" s="2"/>
      <c r="AI441" s="2"/>
      <c r="AJ441" s="2"/>
      <c r="AK441" s="2"/>
      <c r="AL441" s="2"/>
      <c r="AM441" s="1"/>
      <c r="AN441" s="2"/>
      <c r="AP441" s="2"/>
      <c r="AQ441" s="1"/>
      <c r="AR441" s="2"/>
      <c r="AU441" s="1"/>
      <c r="AW441" s="1"/>
      <c r="AY441" s="2"/>
    </row>
    <row r="442">
      <c r="A442" s="1"/>
      <c r="C442" s="1"/>
      <c r="E442" s="1"/>
      <c r="F442" s="1"/>
      <c r="G442" s="2"/>
      <c r="H442" s="1"/>
      <c r="I442" s="1"/>
      <c r="J442" s="1"/>
      <c r="K442" s="1"/>
      <c r="M442" s="1"/>
      <c r="N442" s="1"/>
      <c r="O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2"/>
      <c r="AB442" s="1"/>
      <c r="AC442" s="1"/>
      <c r="AD442" s="1"/>
      <c r="AE442" s="1"/>
      <c r="AF442" s="1"/>
      <c r="AG442" s="1"/>
      <c r="AH442" s="2"/>
      <c r="AI442" s="2"/>
      <c r="AJ442" s="2"/>
      <c r="AK442" s="2"/>
      <c r="AL442" s="2"/>
      <c r="AM442" s="1"/>
      <c r="AN442" s="2"/>
      <c r="AP442" s="2"/>
      <c r="AQ442" s="1"/>
      <c r="AR442" s="2"/>
      <c r="AU442" s="1"/>
      <c r="AW442" s="1"/>
      <c r="AY442" s="2"/>
    </row>
    <row r="443">
      <c r="A443" s="1"/>
      <c r="C443" s="1"/>
      <c r="E443" s="1"/>
      <c r="F443" s="1"/>
      <c r="G443" s="2"/>
      <c r="H443" s="1"/>
      <c r="I443" s="1"/>
      <c r="J443" s="1"/>
      <c r="K443" s="1"/>
      <c r="M443" s="1"/>
      <c r="N443" s="1"/>
      <c r="O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2"/>
      <c r="AB443" s="1"/>
      <c r="AC443" s="1"/>
      <c r="AD443" s="1"/>
      <c r="AE443" s="1"/>
      <c r="AF443" s="1"/>
      <c r="AG443" s="1"/>
      <c r="AH443" s="2"/>
      <c r="AI443" s="2"/>
      <c r="AJ443" s="2"/>
      <c r="AK443" s="2"/>
      <c r="AL443" s="2"/>
      <c r="AM443" s="1"/>
      <c r="AN443" s="2"/>
      <c r="AP443" s="2"/>
      <c r="AQ443" s="1"/>
      <c r="AR443" s="2"/>
      <c r="AU443" s="1"/>
      <c r="AW443" s="1"/>
      <c r="AY443" s="2"/>
    </row>
    <row r="444">
      <c r="A444" s="1"/>
      <c r="C444" s="1"/>
      <c r="E444" s="1"/>
      <c r="F444" s="1"/>
      <c r="G444" s="2"/>
      <c r="H444" s="1"/>
      <c r="I444" s="1"/>
      <c r="J444" s="1"/>
      <c r="K444" s="1"/>
      <c r="M444" s="1"/>
      <c r="N444" s="1"/>
      <c r="O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2"/>
      <c r="AB444" s="1"/>
      <c r="AC444" s="1"/>
      <c r="AD444" s="1"/>
      <c r="AE444" s="1"/>
      <c r="AF444" s="1"/>
      <c r="AG444" s="1"/>
      <c r="AH444" s="2"/>
      <c r="AI444" s="2"/>
      <c r="AJ444" s="2"/>
      <c r="AK444" s="2"/>
      <c r="AL444" s="2"/>
      <c r="AM444" s="1"/>
      <c r="AN444" s="2"/>
      <c r="AP444" s="2"/>
      <c r="AQ444" s="1"/>
      <c r="AR444" s="2"/>
      <c r="AU444" s="1"/>
      <c r="AW444" s="1"/>
      <c r="AY444" s="2"/>
    </row>
    <row r="445">
      <c r="A445" s="1"/>
      <c r="C445" s="1"/>
      <c r="E445" s="1"/>
      <c r="F445" s="1"/>
      <c r="G445" s="2"/>
      <c r="H445" s="1"/>
      <c r="I445" s="1"/>
      <c r="J445" s="1"/>
      <c r="K445" s="1"/>
      <c r="M445" s="1"/>
      <c r="N445" s="1"/>
      <c r="O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2"/>
      <c r="AB445" s="1"/>
      <c r="AC445" s="1"/>
      <c r="AD445" s="1"/>
      <c r="AE445" s="1"/>
      <c r="AF445" s="1"/>
      <c r="AG445" s="1"/>
      <c r="AH445" s="2"/>
      <c r="AI445" s="2"/>
      <c r="AJ445" s="2"/>
      <c r="AK445" s="2"/>
      <c r="AL445" s="2"/>
      <c r="AM445" s="1"/>
      <c r="AN445" s="2"/>
      <c r="AP445" s="2"/>
      <c r="AQ445" s="1"/>
      <c r="AR445" s="2"/>
      <c r="AU445" s="1"/>
      <c r="AW445" s="1"/>
      <c r="AY445" s="2"/>
    </row>
    <row r="446">
      <c r="A446" s="1"/>
      <c r="C446" s="1"/>
      <c r="E446" s="1"/>
      <c r="F446" s="1"/>
      <c r="G446" s="2"/>
      <c r="H446" s="1"/>
      <c r="I446" s="1"/>
      <c r="J446" s="1"/>
      <c r="K446" s="1"/>
      <c r="M446" s="1"/>
      <c r="N446" s="1"/>
      <c r="O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2"/>
      <c r="AB446" s="1"/>
      <c r="AC446" s="1"/>
      <c r="AD446" s="1"/>
      <c r="AE446" s="1"/>
      <c r="AF446" s="1"/>
      <c r="AG446" s="1"/>
      <c r="AH446" s="2"/>
      <c r="AI446" s="2"/>
      <c r="AJ446" s="2"/>
      <c r="AK446" s="2"/>
      <c r="AL446" s="2"/>
      <c r="AM446" s="1"/>
      <c r="AN446" s="2"/>
      <c r="AP446" s="2"/>
      <c r="AQ446" s="1"/>
      <c r="AR446" s="2"/>
      <c r="AU446" s="1"/>
      <c r="AW446" s="1"/>
      <c r="AY446" s="2"/>
    </row>
    <row r="447">
      <c r="A447" s="1"/>
      <c r="C447" s="1"/>
      <c r="E447" s="1"/>
      <c r="F447" s="1"/>
      <c r="G447" s="2"/>
      <c r="H447" s="1"/>
      <c r="I447" s="1"/>
      <c r="J447" s="1"/>
      <c r="K447" s="1"/>
      <c r="M447" s="1"/>
      <c r="N447" s="1"/>
      <c r="O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2"/>
      <c r="AB447" s="1"/>
      <c r="AC447" s="1"/>
      <c r="AD447" s="1"/>
      <c r="AE447" s="1"/>
      <c r="AF447" s="1"/>
      <c r="AG447" s="1"/>
      <c r="AH447" s="2"/>
      <c r="AI447" s="2"/>
      <c r="AJ447" s="2"/>
      <c r="AK447" s="2"/>
      <c r="AL447" s="2"/>
      <c r="AM447" s="1"/>
      <c r="AN447" s="2"/>
      <c r="AP447" s="2"/>
      <c r="AQ447" s="1"/>
      <c r="AR447" s="2"/>
      <c r="AU447" s="1"/>
      <c r="AW447" s="1"/>
      <c r="AY447" s="2"/>
    </row>
    <row r="448">
      <c r="A448" s="1"/>
      <c r="C448" s="1"/>
      <c r="E448" s="1"/>
      <c r="F448" s="1"/>
      <c r="G448" s="2"/>
      <c r="H448" s="1"/>
      <c r="I448" s="1"/>
      <c r="J448" s="1"/>
      <c r="K448" s="1"/>
      <c r="M448" s="1"/>
      <c r="N448" s="1"/>
      <c r="O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2"/>
      <c r="AB448" s="1"/>
      <c r="AC448" s="1"/>
      <c r="AD448" s="1"/>
      <c r="AE448" s="1"/>
      <c r="AF448" s="1"/>
      <c r="AG448" s="1"/>
      <c r="AH448" s="2"/>
      <c r="AI448" s="2"/>
      <c r="AJ448" s="2"/>
      <c r="AK448" s="2"/>
      <c r="AL448" s="2"/>
      <c r="AM448" s="1"/>
      <c r="AN448" s="2"/>
      <c r="AP448" s="2"/>
      <c r="AQ448" s="1"/>
      <c r="AR448" s="2"/>
      <c r="AU448" s="1"/>
      <c r="AW448" s="1"/>
      <c r="AY448" s="2"/>
    </row>
    <row r="449">
      <c r="A449" s="1"/>
      <c r="C449" s="1"/>
      <c r="E449" s="1"/>
      <c r="F449" s="1"/>
      <c r="G449" s="2"/>
      <c r="H449" s="1"/>
      <c r="I449" s="1"/>
      <c r="J449" s="1"/>
      <c r="K449" s="1"/>
      <c r="M449" s="1"/>
      <c r="N449" s="1"/>
      <c r="O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2"/>
      <c r="AB449" s="1"/>
      <c r="AC449" s="1"/>
      <c r="AD449" s="1"/>
      <c r="AE449" s="1"/>
      <c r="AF449" s="1"/>
      <c r="AG449" s="1"/>
      <c r="AH449" s="2"/>
      <c r="AI449" s="2"/>
      <c r="AJ449" s="2"/>
      <c r="AK449" s="2"/>
      <c r="AL449" s="2"/>
      <c r="AM449" s="1"/>
      <c r="AN449" s="2"/>
      <c r="AP449" s="2"/>
      <c r="AQ449" s="1"/>
      <c r="AR449" s="2"/>
      <c r="AU449" s="1"/>
      <c r="AW449" s="1"/>
      <c r="AY449" s="2"/>
    </row>
    <row r="450">
      <c r="A450" s="1"/>
      <c r="C450" s="1"/>
      <c r="E450" s="1"/>
      <c r="F450" s="1"/>
      <c r="G450" s="2"/>
      <c r="H450" s="1"/>
      <c r="I450" s="1"/>
      <c r="J450" s="1"/>
      <c r="K450" s="1"/>
      <c r="M450" s="1"/>
      <c r="N450" s="1"/>
      <c r="O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2"/>
      <c r="AB450" s="1"/>
      <c r="AC450" s="1"/>
      <c r="AD450" s="1"/>
      <c r="AE450" s="1"/>
      <c r="AF450" s="1"/>
      <c r="AG450" s="1"/>
      <c r="AH450" s="2"/>
      <c r="AI450" s="2"/>
      <c r="AJ450" s="2"/>
      <c r="AK450" s="2"/>
      <c r="AL450" s="2"/>
      <c r="AM450" s="1"/>
      <c r="AN450" s="2"/>
      <c r="AP450" s="2"/>
      <c r="AQ450" s="1"/>
      <c r="AR450" s="2"/>
      <c r="AU450" s="1"/>
      <c r="AW450" s="1"/>
      <c r="AY450" s="2"/>
    </row>
    <row r="451">
      <c r="A451" s="1"/>
      <c r="C451" s="1"/>
      <c r="E451" s="1"/>
      <c r="F451" s="1"/>
      <c r="G451" s="2"/>
      <c r="H451" s="1"/>
      <c r="I451" s="1"/>
      <c r="J451" s="1"/>
      <c r="K451" s="1"/>
      <c r="M451" s="1"/>
      <c r="N451" s="1"/>
      <c r="O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2"/>
      <c r="AB451" s="1"/>
      <c r="AC451" s="1"/>
      <c r="AD451" s="1"/>
      <c r="AE451" s="1"/>
      <c r="AF451" s="1"/>
      <c r="AG451" s="1"/>
      <c r="AH451" s="2"/>
      <c r="AI451" s="2"/>
      <c r="AJ451" s="2"/>
      <c r="AK451" s="2"/>
      <c r="AL451" s="2"/>
      <c r="AM451" s="1"/>
      <c r="AN451" s="2"/>
      <c r="AP451" s="2"/>
      <c r="AQ451" s="1"/>
      <c r="AR451" s="2"/>
      <c r="AU451" s="1"/>
      <c r="AW451" s="1"/>
      <c r="AY451" s="2"/>
    </row>
    <row r="452">
      <c r="A452" s="1"/>
      <c r="C452" s="1"/>
      <c r="E452" s="1"/>
      <c r="F452" s="1"/>
      <c r="G452" s="2"/>
      <c r="H452" s="1"/>
      <c r="I452" s="1"/>
      <c r="J452" s="1"/>
      <c r="K452" s="1"/>
      <c r="M452" s="1"/>
      <c r="N452" s="1"/>
      <c r="O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2"/>
      <c r="AB452" s="1"/>
      <c r="AC452" s="1"/>
      <c r="AD452" s="1"/>
      <c r="AE452" s="1"/>
      <c r="AF452" s="1"/>
      <c r="AG452" s="1"/>
      <c r="AH452" s="2"/>
      <c r="AI452" s="2"/>
      <c r="AJ452" s="2"/>
      <c r="AK452" s="2"/>
      <c r="AL452" s="2"/>
      <c r="AM452" s="1"/>
      <c r="AN452" s="2"/>
      <c r="AP452" s="2"/>
      <c r="AQ452" s="1"/>
      <c r="AR452" s="2"/>
      <c r="AU452" s="1"/>
      <c r="AW452" s="1"/>
      <c r="AY452" s="2"/>
    </row>
    <row r="453">
      <c r="A453" s="1"/>
      <c r="C453" s="1"/>
      <c r="E453" s="1"/>
      <c r="F453" s="1"/>
      <c r="G453" s="2"/>
      <c r="H453" s="1"/>
      <c r="I453" s="1"/>
      <c r="J453" s="1"/>
      <c r="K453" s="1"/>
      <c r="M453" s="1"/>
      <c r="N453" s="1"/>
      <c r="O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2"/>
      <c r="AB453" s="1"/>
      <c r="AC453" s="1"/>
      <c r="AD453" s="1"/>
      <c r="AE453" s="1"/>
      <c r="AF453" s="1"/>
      <c r="AG453" s="1"/>
      <c r="AH453" s="2"/>
      <c r="AI453" s="2"/>
      <c r="AJ453" s="2"/>
      <c r="AK453" s="2"/>
      <c r="AL453" s="2"/>
      <c r="AM453" s="1"/>
      <c r="AN453" s="2"/>
      <c r="AP453" s="2"/>
      <c r="AQ453" s="1"/>
      <c r="AR453" s="2"/>
      <c r="AU453" s="1"/>
      <c r="AW453" s="1"/>
      <c r="AY453" s="2"/>
    </row>
    <row r="454">
      <c r="A454" s="1"/>
      <c r="C454" s="1"/>
      <c r="E454" s="1"/>
      <c r="F454" s="1"/>
      <c r="G454" s="2"/>
      <c r="H454" s="1"/>
      <c r="I454" s="1"/>
      <c r="J454" s="1"/>
      <c r="K454" s="1"/>
      <c r="M454" s="1"/>
      <c r="N454" s="1"/>
      <c r="O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2"/>
      <c r="AB454" s="1"/>
      <c r="AC454" s="1"/>
      <c r="AD454" s="1"/>
      <c r="AE454" s="1"/>
      <c r="AF454" s="1"/>
      <c r="AG454" s="1"/>
      <c r="AH454" s="2"/>
      <c r="AI454" s="2"/>
      <c r="AJ454" s="2"/>
      <c r="AK454" s="2"/>
      <c r="AL454" s="2"/>
      <c r="AM454" s="1"/>
      <c r="AN454" s="2"/>
      <c r="AP454" s="2"/>
      <c r="AQ454" s="1"/>
      <c r="AR454" s="2"/>
      <c r="AU454" s="1"/>
      <c r="AW454" s="1"/>
      <c r="AY454" s="2"/>
    </row>
    <row r="455">
      <c r="A455" s="1"/>
      <c r="C455" s="1"/>
      <c r="E455" s="1"/>
      <c r="F455" s="1"/>
      <c r="G455" s="2"/>
      <c r="H455" s="1"/>
      <c r="I455" s="1"/>
      <c r="J455" s="1"/>
      <c r="K455" s="1"/>
      <c r="M455" s="1"/>
      <c r="N455" s="1"/>
      <c r="O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2"/>
      <c r="AB455" s="1"/>
      <c r="AC455" s="1"/>
      <c r="AD455" s="1"/>
      <c r="AE455" s="1"/>
      <c r="AF455" s="1"/>
      <c r="AG455" s="1"/>
      <c r="AH455" s="2"/>
      <c r="AI455" s="2"/>
      <c r="AJ455" s="2"/>
      <c r="AK455" s="2"/>
      <c r="AL455" s="2"/>
      <c r="AM455" s="1"/>
      <c r="AN455" s="2"/>
      <c r="AP455" s="2"/>
      <c r="AQ455" s="1"/>
      <c r="AR455" s="2"/>
      <c r="AU455" s="1"/>
      <c r="AW455" s="1"/>
      <c r="AY455" s="2"/>
    </row>
    <row r="456">
      <c r="A456" s="1"/>
      <c r="C456" s="1"/>
      <c r="E456" s="1"/>
      <c r="F456" s="1"/>
      <c r="G456" s="2"/>
      <c r="H456" s="1"/>
      <c r="I456" s="1"/>
      <c r="J456" s="1"/>
      <c r="K456" s="1"/>
      <c r="M456" s="1"/>
      <c r="N456" s="1"/>
      <c r="O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2"/>
      <c r="AB456" s="1"/>
      <c r="AC456" s="1"/>
      <c r="AD456" s="1"/>
      <c r="AE456" s="1"/>
      <c r="AF456" s="1"/>
      <c r="AG456" s="1"/>
      <c r="AH456" s="2"/>
      <c r="AI456" s="2"/>
      <c r="AJ456" s="2"/>
      <c r="AK456" s="2"/>
      <c r="AL456" s="2"/>
      <c r="AM456" s="1"/>
      <c r="AN456" s="2"/>
      <c r="AP456" s="2"/>
      <c r="AQ456" s="1"/>
      <c r="AR456" s="2"/>
      <c r="AU456" s="1"/>
      <c r="AW456" s="1"/>
      <c r="AY456" s="2"/>
    </row>
    <row r="457">
      <c r="A457" s="1"/>
      <c r="C457" s="1"/>
      <c r="E457" s="1"/>
      <c r="F457" s="1"/>
      <c r="G457" s="2"/>
      <c r="H457" s="1"/>
      <c r="I457" s="1"/>
      <c r="J457" s="1"/>
      <c r="K457" s="1"/>
      <c r="M457" s="1"/>
      <c r="N457" s="1"/>
      <c r="O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2"/>
      <c r="AB457" s="1"/>
      <c r="AC457" s="1"/>
      <c r="AD457" s="1"/>
      <c r="AE457" s="1"/>
      <c r="AF457" s="1"/>
      <c r="AG457" s="1"/>
      <c r="AH457" s="2"/>
      <c r="AI457" s="2"/>
      <c r="AJ457" s="2"/>
      <c r="AK457" s="2"/>
      <c r="AL457" s="2"/>
      <c r="AM457" s="1"/>
      <c r="AN457" s="2"/>
      <c r="AP457" s="2"/>
      <c r="AQ457" s="1"/>
      <c r="AR457" s="2"/>
      <c r="AU457" s="1"/>
      <c r="AW457" s="1"/>
      <c r="AY457" s="2"/>
    </row>
    <row r="458">
      <c r="A458" s="1"/>
      <c r="C458" s="1"/>
      <c r="E458" s="1"/>
      <c r="F458" s="1"/>
      <c r="G458" s="2"/>
      <c r="H458" s="1"/>
      <c r="I458" s="1"/>
      <c r="J458" s="1"/>
      <c r="K458" s="1"/>
      <c r="M458" s="1"/>
      <c r="N458" s="1"/>
      <c r="O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2"/>
      <c r="AB458" s="1"/>
      <c r="AC458" s="1"/>
      <c r="AD458" s="1"/>
      <c r="AE458" s="1"/>
      <c r="AF458" s="1"/>
      <c r="AG458" s="1"/>
      <c r="AH458" s="2"/>
      <c r="AI458" s="2"/>
      <c r="AJ458" s="2"/>
      <c r="AK458" s="2"/>
      <c r="AL458" s="2"/>
      <c r="AM458" s="1"/>
      <c r="AN458" s="2"/>
      <c r="AP458" s="2"/>
      <c r="AQ458" s="1"/>
      <c r="AR458" s="2"/>
      <c r="AU458" s="1"/>
      <c r="AW458" s="1"/>
      <c r="AY458" s="2"/>
    </row>
    <row r="459">
      <c r="A459" s="1"/>
      <c r="C459" s="1"/>
      <c r="E459" s="1"/>
      <c r="F459" s="1"/>
      <c r="G459" s="2"/>
      <c r="H459" s="1"/>
      <c r="I459" s="1"/>
      <c r="J459" s="1"/>
      <c r="K459" s="1"/>
      <c r="M459" s="1"/>
      <c r="N459" s="1"/>
      <c r="O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2"/>
      <c r="AB459" s="1"/>
      <c r="AC459" s="1"/>
      <c r="AD459" s="1"/>
      <c r="AE459" s="1"/>
      <c r="AF459" s="1"/>
      <c r="AG459" s="1"/>
      <c r="AH459" s="2"/>
      <c r="AI459" s="2"/>
      <c r="AJ459" s="2"/>
      <c r="AK459" s="2"/>
      <c r="AL459" s="2"/>
      <c r="AM459" s="1"/>
      <c r="AN459" s="2"/>
      <c r="AP459" s="2"/>
      <c r="AQ459" s="1"/>
      <c r="AR459" s="2"/>
      <c r="AU459" s="1"/>
      <c r="AW459" s="1"/>
      <c r="AY459" s="2"/>
    </row>
    <row r="460">
      <c r="A460" s="1"/>
      <c r="C460" s="1"/>
      <c r="E460" s="1"/>
      <c r="F460" s="1"/>
      <c r="G460" s="2"/>
      <c r="H460" s="1"/>
      <c r="I460" s="1"/>
      <c r="J460" s="1"/>
      <c r="K460" s="1"/>
      <c r="M460" s="1"/>
      <c r="N460" s="1"/>
      <c r="O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2"/>
      <c r="AB460" s="1"/>
      <c r="AC460" s="1"/>
      <c r="AD460" s="1"/>
      <c r="AE460" s="1"/>
      <c r="AF460" s="1"/>
      <c r="AG460" s="1"/>
      <c r="AH460" s="2"/>
      <c r="AI460" s="2"/>
      <c r="AJ460" s="2"/>
      <c r="AK460" s="2"/>
      <c r="AL460" s="2"/>
      <c r="AM460" s="1"/>
      <c r="AN460" s="2"/>
      <c r="AP460" s="2"/>
      <c r="AQ460" s="1"/>
      <c r="AR460" s="2"/>
      <c r="AU460" s="1"/>
      <c r="AW460" s="1"/>
      <c r="AY460" s="2"/>
    </row>
    <row r="461">
      <c r="A461" s="1"/>
      <c r="C461" s="1"/>
      <c r="E461" s="1"/>
      <c r="F461" s="1"/>
      <c r="G461" s="2"/>
      <c r="H461" s="1"/>
      <c r="I461" s="1"/>
      <c r="J461" s="1"/>
      <c r="K461" s="1"/>
      <c r="M461" s="1"/>
      <c r="N461" s="1"/>
      <c r="O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2"/>
      <c r="AB461" s="1"/>
      <c r="AC461" s="1"/>
      <c r="AD461" s="1"/>
      <c r="AE461" s="1"/>
      <c r="AF461" s="1"/>
      <c r="AG461" s="1"/>
      <c r="AH461" s="2"/>
      <c r="AI461" s="2"/>
      <c r="AJ461" s="2"/>
      <c r="AK461" s="2"/>
      <c r="AL461" s="2"/>
      <c r="AM461" s="1"/>
      <c r="AN461" s="2"/>
      <c r="AP461" s="2"/>
      <c r="AQ461" s="1"/>
      <c r="AR461" s="2"/>
      <c r="AU461" s="1"/>
      <c r="AW461" s="1"/>
      <c r="AY461" s="2"/>
    </row>
    <row r="462">
      <c r="A462" s="1"/>
      <c r="C462" s="1"/>
      <c r="E462" s="1"/>
      <c r="F462" s="1"/>
      <c r="G462" s="2"/>
      <c r="H462" s="1"/>
      <c r="I462" s="1"/>
      <c r="J462" s="1"/>
      <c r="K462" s="1"/>
      <c r="M462" s="1"/>
      <c r="N462" s="1"/>
      <c r="O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2"/>
      <c r="AB462" s="1"/>
      <c r="AC462" s="1"/>
      <c r="AD462" s="1"/>
      <c r="AE462" s="1"/>
      <c r="AF462" s="1"/>
      <c r="AG462" s="1"/>
      <c r="AH462" s="2"/>
      <c r="AI462" s="2"/>
      <c r="AJ462" s="2"/>
      <c r="AK462" s="2"/>
      <c r="AL462" s="2"/>
      <c r="AM462" s="1"/>
      <c r="AN462" s="2"/>
      <c r="AP462" s="2"/>
      <c r="AQ462" s="1"/>
      <c r="AR462" s="2"/>
      <c r="AU462" s="1"/>
      <c r="AW462" s="1"/>
      <c r="AY462" s="2"/>
    </row>
    <row r="463">
      <c r="A463" s="1"/>
      <c r="C463" s="1"/>
      <c r="E463" s="1"/>
      <c r="F463" s="1"/>
      <c r="G463" s="2"/>
      <c r="H463" s="1"/>
      <c r="I463" s="1"/>
      <c r="J463" s="1"/>
      <c r="K463" s="1"/>
      <c r="M463" s="1"/>
      <c r="N463" s="1"/>
      <c r="O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2"/>
      <c r="AB463" s="1"/>
      <c r="AC463" s="1"/>
      <c r="AD463" s="1"/>
      <c r="AE463" s="1"/>
      <c r="AF463" s="1"/>
      <c r="AG463" s="1"/>
      <c r="AH463" s="2"/>
      <c r="AI463" s="2"/>
      <c r="AJ463" s="2"/>
      <c r="AK463" s="2"/>
      <c r="AL463" s="2"/>
      <c r="AM463" s="1"/>
      <c r="AN463" s="2"/>
      <c r="AP463" s="2"/>
      <c r="AQ463" s="1"/>
      <c r="AR463" s="2"/>
      <c r="AU463" s="1"/>
      <c r="AW463" s="1"/>
      <c r="AY463" s="2"/>
    </row>
    <row r="464">
      <c r="A464" s="1"/>
      <c r="C464" s="1"/>
      <c r="E464" s="1"/>
      <c r="F464" s="1"/>
      <c r="G464" s="2"/>
      <c r="H464" s="1"/>
      <c r="I464" s="1"/>
      <c r="J464" s="1"/>
      <c r="K464" s="1"/>
      <c r="M464" s="1"/>
      <c r="N464" s="1"/>
      <c r="O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2"/>
      <c r="AB464" s="1"/>
      <c r="AC464" s="1"/>
      <c r="AD464" s="1"/>
      <c r="AE464" s="1"/>
      <c r="AF464" s="1"/>
      <c r="AG464" s="1"/>
      <c r="AH464" s="2"/>
      <c r="AI464" s="2"/>
      <c r="AJ464" s="2"/>
      <c r="AK464" s="2"/>
      <c r="AL464" s="2"/>
      <c r="AM464" s="1"/>
      <c r="AN464" s="2"/>
      <c r="AP464" s="2"/>
      <c r="AQ464" s="1"/>
      <c r="AR464" s="2"/>
      <c r="AU464" s="1"/>
      <c r="AW464" s="1"/>
      <c r="AY464" s="2"/>
    </row>
    <row r="465">
      <c r="A465" s="1"/>
      <c r="C465" s="1"/>
      <c r="E465" s="1"/>
      <c r="F465" s="1"/>
      <c r="G465" s="2"/>
      <c r="H465" s="1"/>
      <c r="I465" s="1"/>
      <c r="J465" s="1"/>
      <c r="K465" s="1"/>
      <c r="M465" s="1"/>
      <c r="N465" s="1"/>
      <c r="O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2"/>
      <c r="AB465" s="1"/>
      <c r="AC465" s="1"/>
      <c r="AD465" s="1"/>
      <c r="AE465" s="1"/>
      <c r="AF465" s="1"/>
      <c r="AG465" s="1"/>
      <c r="AH465" s="2"/>
      <c r="AI465" s="2"/>
      <c r="AJ465" s="2"/>
      <c r="AK465" s="2"/>
      <c r="AL465" s="2"/>
      <c r="AM465" s="1"/>
      <c r="AN465" s="2"/>
      <c r="AP465" s="2"/>
      <c r="AQ465" s="1"/>
      <c r="AR465" s="2"/>
      <c r="AU465" s="1"/>
      <c r="AW465" s="1"/>
      <c r="AY465" s="2"/>
    </row>
    <row r="466">
      <c r="A466" s="1"/>
      <c r="C466" s="1"/>
      <c r="E466" s="1"/>
      <c r="F466" s="1"/>
      <c r="G466" s="2"/>
      <c r="H466" s="1"/>
      <c r="I466" s="1"/>
      <c r="J466" s="1"/>
      <c r="K466" s="1"/>
      <c r="M466" s="1"/>
      <c r="N466" s="1"/>
      <c r="O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2"/>
      <c r="AB466" s="1"/>
      <c r="AC466" s="1"/>
      <c r="AD466" s="1"/>
      <c r="AE466" s="1"/>
      <c r="AF466" s="1"/>
      <c r="AG466" s="1"/>
      <c r="AH466" s="2"/>
      <c r="AI466" s="2"/>
      <c r="AJ466" s="2"/>
      <c r="AK466" s="2"/>
      <c r="AL466" s="2"/>
      <c r="AM466" s="1"/>
      <c r="AN466" s="2"/>
      <c r="AP466" s="2"/>
      <c r="AQ466" s="1"/>
      <c r="AR466" s="2"/>
      <c r="AU466" s="1"/>
      <c r="AW466" s="1"/>
      <c r="AY466" s="2"/>
    </row>
    <row r="467">
      <c r="A467" s="1"/>
      <c r="C467" s="1"/>
      <c r="E467" s="1"/>
      <c r="F467" s="1"/>
      <c r="G467" s="2"/>
      <c r="H467" s="1"/>
      <c r="I467" s="1"/>
      <c r="J467" s="1"/>
      <c r="K467" s="1"/>
      <c r="M467" s="1"/>
      <c r="N467" s="1"/>
      <c r="O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2"/>
      <c r="AB467" s="1"/>
      <c r="AC467" s="1"/>
      <c r="AD467" s="1"/>
      <c r="AE467" s="1"/>
      <c r="AF467" s="1"/>
      <c r="AG467" s="1"/>
      <c r="AH467" s="2"/>
      <c r="AI467" s="2"/>
      <c r="AJ467" s="2"/>
      <c r="AK467" s="2"/>
      <c r="AL467" s="2"/>
      <c r="AM467" s="1"/>
      <c r="AN467" s="2"/>
      <c r="AP467" s="2"/>
      <c r="AQ467" s="1"/>
      <c r="AR467" s="2"/>
      <c r="AU467" s="1"/>
      <c r="AW467" s="1"/>
      <c r="AY467" s="2"/>
    </row>
    <row r="468">
      <c r="A468" s="1"/>
      <c r="C468" s="1"/>
      <c r="E468" s="1"/>
      <c r="F468" s="1"/>
      <c r="G468" s="2"/>
      <c r="H468" s="1"/>
      <c r="I468" s="1"/>
      <c r="J468" s="1"/>
      <c r="K468" s="1"/>
      <c r="M468" s="1"/>
      <c r="N468" s="1"/>
      <c r="O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2"/>
      <c r="AB468" s="1"/>
      <c r="AC468" s="1"/>
      <c r="AD468" s="1"/>
      <c r="AE468" s="1"/>
      <c r="AF468" s="1"/>
      <c r="AG468" s="1"/>
      <c r="AH468" s="2"/>
      <c r="AI468" s="2"/>
      <c r="AJ468" s="2"/>
      <c r="AK468" s="2"/>
      <c r="AL468" s="2"/>
      <c r="AM468" s="1"/>
      <c r="AN468" s="2"/>
      <c r="AP468" s="2"/>
      <c r="AQ468" s="1"/>
      <c r="AR468" s="2"/>
      <c r="AU468" s="1"/>
      <c r="AW468" s="1"/>
      <c r="AY468" s="2"/>
    </row>
    <row r="469">
      <c r="A469" s="1"/>
      <c r="C469" s="1"/>
      <c r="E469" s="1"/>
      <c r="F469" s="1"/>
      <c r="G469" s="2"/>
      <c r="H469" s="1"/>
      <c r="I469" s="1"/>
      <c r="J469" s="1"/>
      <c r="K469" s="1"/>
      <c r="M469" s="1"/>
      <c r="N469" s="1"/>
      <c r="O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2"/>
      <c r="AB469" s="1"/>
      <c r="AC469" s="1"/>
      <c r="AD469" s="1"/>
      <c r="AE469" s="1"/>
      <c r="AF469" s="1"/>
      <c r="AG469" s="1"/>
      <c r="AH469" s="2"/>
      <c r="AI469" s="2"/>
      <c r="AJ469" s="2"/>
      <c r="AK469" s="2"/>
      <c r="AL469" s="2"/>
      <c r="AM469" s="1"/>
      <c r="AN469" s="2"/>
      <c r="AP469" s="2"/>
      <c r="AQ469" s="1"/>
      <c r="AR469" s="2"/>
      <c r="AU469" s="1"/>
      <c r="AW469" s="1"/>
      <c r="AY469" s="2"/>
    </row>
    <row r="470">
      <c r="A470" s="1"/>
      <c r="C470" s="1"/>
      <c r="E470" s="1"/>
      <c r="F470" s="1"/>
      <c r="G470" s="2"/>
      <c r="H470" s="1"/>
      <c r="I470" s="1"/>
      <c r="J470" s="1"/>
      <c r="K470" s="1"/>
      <c r="M470" s="1"/>
      <c r="N470" s="1"/>
      <c r="O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2"/>
      <c r="AB470" s="1"/>
      <c r="AC470" s="1"/>
      <c r="AD470" s="1"/>
      <c r="AE470" s="1"/>
      <c r="AF470" s="1"/>
      <c r="AG470" s="1"/>
      <c r="AH470" s="2"/>
      <c r="AI470" s="2"/>
      <c r="AJ470" s="2"/>
      <c r="AK470" s="2"/>
      <c r="AL470" s="2"/>
      <c r="AM470" s="1"/>
      <c r="AN470" s="2"/>
      <c r="AP470" s="2"/>
      <c r="AQ470" s="1"/>
      <c r="AR470" s="2"/>
      <c r="AU470" s="1"/>
      <c r="AW470" s="1"/>
      <c r="AY470" s="2"/>
    </row>
    <row r="471">
      <c r="A471" s="1"/>
      <c r="C471" s="1"/>
      <c r="E471" s="1"/>
      <c r="F471" s="1"/>
      <c r="G471" s="2"/>
      <c r="H471" s="1"/>
      <c r="I471" s="1"/>
      <c r="J471" s="1"/>
      <c r="K471" s="1"/>
      <c r="M471" s="1"/>
      <c r="N471" s="1"/>
      <c r="O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2"/>
      <c r="AB471" s="1"/>
      <c r="AC471" s="1"/>
      <c r="AD471" s="1"/>
      <c r="AE471" s="1"/>
      <c r="AF471" s="1"/>
      <c r="AG471" s="1"/>
      <c r="AH471" s="2"/>
      <c r="AI471" s="2"/>
      <c r="AJ471" s="2"/>
      <c r="AK471" s="2"/>
      <c r="AL471" s="2"/>
      <c r="AM471" s="1"/>
      <c r="AN471" s="2"/>
      <c r="AP471" s="2"/>
      <c r="AQ471" s="1"/>
      <c r="AR471" s="2"/>
      <c r="AU471" s="1"/>
      <c r="AW471" s="1"/>
      <c r="AY471" s="2"/>
    </row>
    <row r="472">
      <c r="A472" s="1"/>
      <c r="C472" s="1"/>
      <c r="E472" s="1"/>
      <c r="F472" s="1"/>
      <c r="G472" s="2"/>
      <c r="H472" s="1"/>
      <c r="I472" s="1"/>
      <c r="J472" s="1"/>
      <c r="K472" s="1"/>
      <c r="M472" s="1"/>
      <c r="N472" s="1"/>
      <c r="O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2"/>
      <c r="AB472" s="1"/>
      <c r="AC472" s="1"/>
      <c r="AD472" s="1"/>
      <c r="AE472" s="1"/>
      <c r="AF472" s="1"/>
      <c r="AG472" s="1"/>
      <c r="AH472" s="2"/>
      <c r="AI472" s="2"/>
      <c r="AJ472" s="2"/>
      <c r="AK472" s="2"/>
      <c r="AL472" s="2"/>
      <c r="AM472" s="1"/>
      <c r="AN472" s="2"/>
      <c r="AP472" s="2"/>
      <c r="AQ472" s="1"/>
      <c r="AR472" s="2"/>
      <c r="AU472" s="1"/>
      <c r="AW472" s="1"/>
      <c r="AY472" s="2"/>
    </row>
    <row r="473">
      <c r="A473" s="1"/>
      <c r="C473" s="1"/>
      <c r="E473" s="1"/>
      <c r="F473" s="1"/>
      <c r="G473" s="2"/>
      <c r="H473" s="1"/>
      <c r="I473" s="1"/>
      <c r="J473" s="1"/>
      <c r="K473" s="1"/>
      <c r="M473" s="1"/>
      <c r="N473" s="1"/>
      <c r="O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2"/>
      <c r="AB473" s="1"/>
      <c r="AC473" s="1"/>
      <c r="AD473" s="1"/>
      <c r="AE473" s="1"/>
      <c r="AF473" s="1"/>
      <c r="AG473" s="1"/>
      <c r="AH473" s="2"/>
      <c r="AI473" s="2"/>
      <c r="AJ473" s="2"/>
      <c r="AK473" s="2"/>
      <c r="AL473" s="2"/>
      <c r="AM473" s="1"/>
      <c r="AN473" s="2"/>
      <c r="AP473" s="2"/>
      <c r="AQ473" s="1"/>
      <c r="AR473" s="2"/>
      <c r="AU473" s="1"/>
      <c r="AW473" s="1"/>
      <c r="AY473" s="2"/>
    </row>
    <row r="474">
      <c r="A474" s="1"/>
      <c r="C474" s="1"/>
      <c r="E474" s="1"/>
      <c r="F474" s="1"/>
      <c r="G474" s="2"/>
      <c r="H474" s="1"/>
      <c r="I474" s="1"/>
      <c r="J474" s="1"/>
      <c r="K474" s="1"/>
      <c r="M474" s="1"/>
      <c r="N474" s="1"/>
      <c r="O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2"/>
      <c r="AB474" s="1"/>
      <c r="AC474" s="1"/>
      <c r="AD474" s="1"/>
      <c r="AE474" s="1"/>
      <c r="AF474" s="1"/>
      <c r="AG474" s="1"/>
      <c r="AH474" s="2"/>
      <c r="AI474" s="2"/>
      <c r="AJ474" s="2"/>
      <c r="AK474" s="2"/>
      <c r="AL474" s="2"/>
      <c r="AM474" s="1"/>
      <c r="AN474" s="2"/>
      <c r="AP474" s="2"/>
      <c r="AQ474" s="1"/>
      <c r="AR474" s="2"/>
      <c r="AU474" s="1"/>
      <c r="AW474" s="1"/>
      <c r="AY474" s="2"/>
    </row>
    <row r="475">
      <c r="A475" s="1"/>
      <c r="C475" s="1"/>
      <c r="E475" s="1"/>
      <c r="F475" s="1"/>
      <c r="G475" s="2"/>
      <c r="H475" s="1"/>
      <c r="I475" s="1"/>
      <c r="J475" s="1"/>
      <c r="K475" s="1"/>
      <c r="M475" s="1"/>
      <c r="N475" s="1"/>
      <c r="O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2"/>
      <c r="AB475" s="1"/>
      <c r="AC475" s="1"/>
      <c r="AD475" s="1"/>
      <c r="AE475" s="1"/>
      <c r="AF475" s="1"/>
      <c r="AG475" s="1"/>
      <c r="AH475" s="2"/>
      <c r="AI475" s="2"/>
      <c r="AJ475" s="2"/>
      <c r="AK475" s="2"/>
      <c r="AL475" s="2"/>
      <c r="AM475" s="1"/>
      <c r="AN475" s="2"/>
      <c r="AP475" s="2"/>
      <c r="AQ475" s="1"/>
      <c r="AR475" s="2"/>
      <c r="AU475" s="1"/>
      <c r="AW475" s="1"/>
      <c r="AY475" s="2"/>
    </row>
    <row r="476">
      <c r="A476" s="1"/>
      <c r="C476" s="1"/>
      <c r="E476" s="1"/>
      <c r="F476" s="1"/>
      <c r="G476" s="2"/>
      <c r="H476" s="1"/>
      <c r="I476" s="1"/>
      <c r="J476" s="1"/>
      <c r="K476" s="1"/>
      <c r="M476" s="1"/>
      <c r="N476" s="1"/>
      <c r="O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2"/>
      <c r="AB476" s="1"/>
      <c r="AC476" s="1"/>
      <c r="AD476" s="1"/>
      <c r="AE476" s="1"/>
      <c r="AF476" s="1"/>
      <c r="AG476" s="1"/>
      <c r="AH476" s="2"/>
      <c r="AI476" s="2"/>
      <c r="AJ476" s="2"/>
      <c r="AK476" s="2"/>
      <c r="AL476" s="2"/>
      <c r="AM476" s="1"/>
      <c r="AN476" s="2"/>
      <c r="AP476" s="2"/>
      <c r="AQ476" s="1"/>
      <c r="AR476" s="2"/>
      <c r="AU476" s="1"/>
      <c r="AW476" s="1"/>
      <c r="AY476" s="2"/>
    </row>
    <row r="477">
      <c r="A477" s="1"/>
      <c r="C477" s="1"/>
      <c r="E477" s="1"/>
      <c r="F477" s="1"/>
      <c r="G477" s="2"/>
      <c r="H477" s="1"/>
      <c r="I477" s="1"/>
      <c r="J477" s="1"/>
      <c r="K477" s="1"/>
      <c r="M477" s="1"/>
      <c r="N477" s="1"/>
      <c r="O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2"/>
      <c r="AB477" s="1"/>
      <c r="AC477" s="1"/>
      <c r="AD477" s="1"/>
      <c r="AE477" s="1"/>
      <c r="AF477" s="1"/>
      <c r="AG477" s="1"/>
      <c r="AH477" s="2"/>
      <c r="AI477" s="2"/>
      <c r="AJ477" s="2"/>
      <c r="AK477" s="2"/>
      <c r="AL477" s="2"/>
      <c r="AM477" s="1"/>
      <c r="AN477" s="2"/>
      <c r="AP477" s="2"/>
      <c r="AQ477" s="1"/>
      <c r="AR477" s="2"/>
      <c r="AU477" s="1"/>
      <c r="AW477" s="1"/>
      <c r="AY477" s="2"/>
    </row>
    <row r="478">
      <c r="A478" s="1"/>
      <c r="C478" s="1"/>
      <c r="E478" s="1"/>
      <c r="F478" s="1"/>
      <c r="G478" s="2"/>
      <c r="H478" s="1"/>
      <c r="I478" s="1"/>
      <c r="J478" s="1"/>
      <c r="K478" s="1"/>
      <c r="M478" s="1"/>
      <c r="N478" s="1"/>
      <c r="O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2"/>
      <c r="AB478" s="1"/>
      <c r="AC478" s="1"/>
      <c r="AD478" s="1"/>
      <c r="AE478" s="1"/>
      <c r="AF478" s="1"/>
      <c r="AG478" s="1"/>
      <c r="AH478" s="2"/>
      <c r="AI478" s="2"/>
      <c r="AJ478" s="2"/>
      <c r="AK478" s="2"/>
      <c r="AL478" s="2"/>
      <c r="AM478" s="1"/>
      <c r="AN478" s="2"/>
      <c r="AP478" s="2"/>
      <c r="AQ478" s="1"/>
      <c r="AR478" s="2"/>
      <c r="AU478" s="1"/>
      <c r="AW478" s="1"/>
      <c r="AY478" s="2"/>
    </row>
    <row r="479">
      <c r="A479" s="1"/>
      <c r="C479" s="1"/>
      <c r="E479" s="1"/>
      <c r="F479" s="1"/>
      <c r="G479" s="2"/>
      <c r="H479" s="1"/>
      <c r="I479" s="1"/>
      <c r="J479" s="1"/>
      <c r="K479" s="1"/>
      <c r="M479" s="1"/>
      <c r="N479" s="1"/>
      <c r="O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2"/>
      <c r="AB479" s="1"/>
      <c r="AC479" s="1"/>
      <c r="AD479" s="1"/>
      <c r="AE479" s="1"/>
      <c r="AF479" s="1"/>
      <c r="AG479" s="1"/>
      <c r="AH479" s="2"/>
      <c r="AI479" s="2"/>
      <c r="AJ479" s="2"/>
      <c r="AK479" s="2"/>
      <c r="AL479" s="2"/>
      <c r="AM479" s="1"/>
      <c r="AN479" s="2"/>
      <c r="AP479" s="2"/>
      <c r="AQ479" s="1"/>
      <c r="AR479" s="2"/>
      <c r="AU479" s="1"/>
      <c r="AW479" s="1"/>
      <c r="AY479" s="2"/>
    </row>
    <row r="480">
      <c r="A480" s="1"/>
      <c r="C480" s="1"/>
      <c r="E480" s="1"/>
      <c r="F480" s="1"/>
      <c r="G480" s="2"/>
      <c r="H480" s="1"/>
      <c r="I480" s="1"/>
      <c r="J480" s="1"/>
      <c r="K480" s="1"/>
      <c r="M480" s="1"/>
      <c r="N480" s="1"/>
      <c r="O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2"/>
      <c r="AB480" s="1"/>
      <c r="AC480" s="1"/>
      <c r="AD480" s="1"/>
      <c r="AE480" s="1"/>
      <c r="AF480" s="1"/>
      <c r="AG480" s="1"/>
      <c r="AH480" s="2"/>
      <c r="AI480" s="2"/>
      <c r="AJ480" s="2"/>
      <c r="AK480" s="2"/>
      <c r="AL480" s="2"/>
      <c r="AM480" s="1"/>
      <c r="AN480" s="2"/>
      <c r="AP480" s="2"/>
      <c r="AQ480" s="1"/>
      <c r="AR480" s="2"/>
      <c r="AU480" s="1"/>
      <c r="AW480" s="1"/>
      <c r="AY480" s="2"/>
    </row>
    <row r="481">
      <c r="A481" s="1"/>
      <c r="C481" s="1"/>
      <c r="E481" s="1"/>
      <c r="F481" s="1"/>
      <c r="G481" s="2"/>
      <c r="H481" s="1"/>
      <c r="I481" s="1"/>
      <c r="J481" s="1"/>
      <c r="K481" s="1"/>
      <c r="M481" s="1"/>
      <c r="N481" s="1"/>
      <c r="O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2"/>
      <c r="AB481" s="1"/>
      <c r="AC481" s="1"/>
      <c r="AD481" s="1"/>
      <c r="AE481" s="1"/>
      <c r="AF481" s="1"/>
      <c r="AG481" s="1"/>
      <c r="AH481" s="2"/>
      <c r="AI481" s="2"/>
      <c r="AJ481" s="2"/>
      <c r="AK481" s="2"/>
      <c r="AL481" s="2"/>
      <c r="AM481" s="1"/>
      <c r="AN481" s="2"/>
      <c r="AP481" s="2"/>
      <c r="AQ481" s="1"/>
      <c r="AR481" s="2"/>
      <c r="AU481" s="1"/>
      <c r="AW481" s="1"/>
      <c r="AY481" s="2"/>
    </row>
    <row r="482">
      <c r="A482" s="1"/>
      <c r="C482" s="1"/>
      <c r="E482" s="1"/>
      <c r="F482" s="1"/>
      <c r="G482" s="2"/>
      <c r="H482" s="1"/>
      <c r="I482" s="1"/>
      <c r="J482" s="1"/>
      <c r="K482" s="1"/>
      <c r="M482" s="1"/>
      <c r="N482" s="1"/>
      <c r="O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2"/>
      <c r="AB482" s="1"/>
      <c r="AC482" s="1"/>
      <c r="AD482" s="1"/>
      <c r="AE482" s="1"/>
      <c r="AF482" s="1"/>
      <c r="AG482" s="1"/>
      <c r="AH482" s="2"/>
      <c r="AI482" s="2"/>
      <c r="AJ482" s="2"/>
      <c r="AK482" s="2"/>
      <c r="AL482" s="2"/>
      <c r="AM482" s="1"/>
      <c r="AN482" s="2"/>
      <c r="AP482" s="2"/>
      <c r="AQ482" s="1"/>
      <c r="AR482" s="2"/>
      <c r="AU482" s="1"/>
      <c r="AW482" s="1"/>
      <c r="AY482" s="2"/>
    </row>
    <row r="483">
      <c r="A483" s="1"/>
      <c r="C483" s="1"/>
      <c r="E483" s="1"/>
      <c r="F483" s="1"/>
      <c r="G483" s="2"/>
      <c r="H483" s="1"/>
      <c r="I483" s="1"/>
      <c r="J483" s="1"/>
      <c r="K483" s="1"/>
      <c r="M483" s="1"/>
      <c r="N483" s="1"/>
      <c r="O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2"/>
      <c r="AB483" s="1"/>
      <c r="AC483" s="1"/>
      <c r="AD483" s="1"/>
      <c r="AE483" s="1"/>
      <c r="AF483" s="1"/>
      <c r="AG483" s="1"/>
      <c r="AH483" s="2"/>
      <c r="AI483" s="2"/>
      <c r="AJ483" s="2"/>
      <c r="AK483" s="2"/>
      <c r="AL483" s="2"/>
      <c r="AM483" s="1"/>
      <c r="AN483" s="2"/>
      <c r="AP483" s="2"/>
      <c r="AQ483" s="1"/>
      <c r="AR483" s="2"/>
      <c r="AU483" s="1"/>
      <c r="AW483" s="1"/>
      <c r="AY483" s="2"/>
    </row>
    <row r="484">
      <c r="A484" s="1"/>
      <c r="C484" s="1"/>
      <c r="E484" s="1"/>
      <c r="F484" s="1"/>
      <c r="G484" s="2"/>
      <c r="H484" s="1"/>
      <c r="I484" s="1"/>
      <c r="J484" s="1"/>
      <c r="K484" s="1"/>
      <c r="M484" s="1"/>
      <c r="N484" s="1"/>
      <c r="O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2"/>
      <c r="AB484" s="1"/>
      <c r="AC484" s="1"/>
      <c r="AD484" s="1"/>
      <c r="AE484" s="1"/>
      <c r="AF484" s="1"/>
      <c r="AG484" s="1"/>
      <c r="AH484" s="2"/>
      <c r="AI484" s="2"/>
      <c r="AJ484" s="2"/>
      <c r="AK484" s="2"/>
      <c r="AL484" s="2"/>
      <c r="AM484" s="1"/>
      <c r="AN484" s="2"/>
      <c r="AP484" s="2"/>
      <c r="AQ484" s="1"/>
      <c r="AR484" s="2"/>
      <c r="AU484" s="1"/>
      <c r="AW484" s="1"/>
      <c r="AY484" s="2"/>
    </row>
    <row r="485">
      <c r="A485" s="1"/>
      <c r="C485" s="1"/>
      <c r="E485" s="1"/>
      <c r="F485" s="1"/>
      <c r="G485" s="2"/>
      <c r="H485" s="1"/>
      <c r="I485" s="1"/>
      <c r="J485" s="1"/>
      <c r="K485" s="1"/>
      <c r="M485" s="1"/>
      <c r="N485" s="1"/>
      <c r="O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2"/>
      <c r="AB485" s="1"/>
      <c r="AC485" s="1"/>
      <c r="AD485" s="1"/>
      <c r="AE485" s="1"/>
      <c r="AF485" s="1"/>
      <c r="AG485" s="1"/>
      <c r="AH485" s="2"/>
      <c r="AI485" s="2"/>
      <c r="AJ485" s="2"/>
      <c r="AK485" s="2"/>
      <c r="AL485" s="2"/>
      <c r="AM485" s="1"/>
      <c r="AN485" s="2"/>
      <c r="AP485" s="2"/>
      <c r="AQ485" s="1"/>
      <c r="AR485" s="2"/>
      <c r="AU485" s="1"/>
      <c r="AW485" s="1"/>
      <c r="AY485" s="2"/>
    </row>
    <row r="486">
      <c r="A486" s="1"/>
      <c r="C486" s="1"/>
      <c r="E486" s="1"/>
      <c r="F486" s="1"/>
      <c r="G486" s="2"/>
      <c r="H486" s="1"/>
      <c r="I486" s="1"/>
      <c r="J486" s="1"/>
      <c r="K486" s="1"/>
      <c r="M486" s="1"/>
      <c r="N486" s="1"/>
      <c r="O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2"/>
      <c r="AB486" s="1"/>
      <c r="AC486" s="1"/>
      <c r="AD486" s="1"/>
      <c r="AE486" s="1"/>
      <c r="AF486" s="1"/>
      <c r="AG486" s="1"/>
      <c r="AH486" s="2"/>
      <c r="AI486" s="2"/>
      <c r="AJ486" s="2"/>
      <c r="AK486" s="2"/>
      <c r="AL486" s="2"/>
      <c r="AM486" s="1"/>
      <c r="AN486" s="2"/>
      <c r="AP486" s="2"/>
      <c r="AQ486" s="1"/>
      <c r="AR486" s="2"/>
      <c r="AU486" s="1"/>
      <c r="AW486" s="1"/>
      <c r="AY486" s="2"/>
    </row>
    <row r="487">
      <c r="A487" s="1"/>
      <c r="C487" s="1"/>
      <c r="E487" s="1"/>
      <c r="F487" s="1"/>
      <c r="G487" s="2"/>
      <c r="H487" s="1"/>
      <c r="I487" s="1"/>
      <c r="J487" s="1"/>
      <c r="K487" s="1"/>
      <c r="M487" s="1"/>
      <c r="N487" s="1"/>
      <c r="O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2"/>
      <c r="AB487" s="1"/>
      <c r="AC487" s="1"/>
      <c r="AD487" s="1"/>
      <c r="AE487" s="1"/>
      <c r="AF487" s="1"/>
      <c r="AG487" s="1"/>
      <c r="AH487" s="2"/>
      <c r="AI487" s="2"/>
      <c r="AJ487" s="2"/>
      <c r="AK487" s="2"/>
      <c r="AL487" s="2"/>
      <c r="AM487" s="1"/>
      <c r="AN487" s="2"/>
      <c r="AP487" s="2"/>
      <c r="AQ487" s="1"/>
      <c r="AR487" s="2"/>
      <c r="AU487" s="1"/>
      <c r="AW487" s="1"/>
      <c r="AY487" s="2"/>
    </row>
    <row r="488">
      <c r="A488" s="1"/>
      <c r="C488" s="1"/>
      <c r="E488" s="1"/>
      <c r="F488" s="1"/>
      <c r="G488" s="2"/>
      <c r="H488" s="1"/>
      <c r="I488" s="1"/>
      <c r="J488" s="1"/>
      <c r="K488" s="1"/>
      <c r="M488" s="1"/>
      <c r="N488" s="1"/>
      <c r="O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2"/>
      <c r="AB488" s="1"/>
      <c r="AC488" s="1"/>
      <c r="AD488" s="1"/>
      <c r="AE488" s="1"/>
      <c r="AF488" s="1"/>
      <c r="AG488" s="1"/>
      <c r="AH488" s="2"/>
      <c r="AI488" s="2"/>
      <c r="AJ488" s="2"/>
      <c r="AK488" s="2"/>
      <c r="AL488" s="2"/>
      <c r="AM488" s="1"/>
      <c r="AN488" s="2"/>
      <c r="AP488" s="2"/>
      <c r="AQ488" s="1"/>
      <c r="AR488" s="2"/>
      <c r="AU488" s="1"/>
      <c r="AW488" s="1"/>
      <c r="AY488" s="2"/>
    </row>
    <row r="489">
      <c r="A489" s="1"/>
      <c r="C489" s="1"/>
      <c r="E489" s="1"/>
      <c r="F489" s="1"/>
      <c r="G489" s="2"/>
      <c r="H489" s="1"/>
      <c r="I489" s="1"/>
      <c r="J489" s="1"/>
      <c r="K489" s="1"/>
      <c r="M489" s="1"/>
      <c r="N489" s="1"/>
      <c r="O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2"/>
      <c r="AB489" s="1"/>
      <c r="AC489" s="1"/>
      <c r="AD489" s="1"/>
      <c r="AE489" s="1"/>
      <c r="AF489" s="1"/>
      <c r="AG489" s="1"/>
      <c r="AH489" s="2"/>
      <c r="AI489" s="2"/>
      <c r="AJ489" s="2"/>
      <c r="AK489" s="2"/>
      <c r="AL489" s="2"/>
      <c r="AM489" s="1"/>
      <c r="AN489" s="2"/>
      <c r="AP489" s="2"/>
      <c r="AQ489" s="1"/>
      <c r="AR489" s="2"/>
      <c r="AU489" s="1"/>
      <c r="AW489" s="1"/>
      <c r="AY489" s="2"/>
    </row>
    <row r="490">
      <c r="A490" s="1"/>
      <c r="C490" s="1"/>
      <c r="E490" s="1"/>
      <c r="F490" s="1"/>
      <c r="G490" s="2"/>
      <c r="H490" s="1"/>
      <c r="I490" s="1"/>
      <c r="J490" s="1"/>
      <c r="K490" s="1"/>
      <c r="M490" s="1"/>
      <c r="N490" s="1"/>
      <c r="O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2"/>
      <c r="AB490" s="1"/>
      <c r="AC490" s="1"/>
      <c r="AD490" s="1"/>
      <c r="AE490" s="1"/>
      <c r="AF490" s="1"/>
      <c r="AG490" s="1"/>
      <c r="AH490" s="2"/>
      <c r="AI490" s="2"/>
      <c r="AJ490" s="2"/>
      <c r="AK490" s="2"/>
      <c r="AL490" s="2"/>
      <c r="AM490" s="1"/>
      <c r="AN490" s="2"/>
      <c r="AP490" s="2"/>
      <c r="AQ490" s="1"/>
      <c r="AR490" s="2"/>
      <c r="AU490" s="1"/>
      <c r="AW490" s="1"/>
      <c r="AY490" s="2"/>
    </row>
    <row r="491">
      <c r="A491" s="1"/>
      <c r="C491" s="1"/>
      <c r="E491" s="1"/>
      <c r="F491" s="1"/>
      <c r="G491" s="2"/>
      <c r="H491" s="1"/>
      <c r="I491" s="1"/>
      <c r="J491" s="1"/>
      <c r="K491" s="1"/>
      <c r="M491" s="1"/>
      <c r="N491" s="1"/>
      <c r="O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2"/>
      <c r="AB491" s="1"/>
      <c r="AC491" s="1"/>
      <c r="AD491" s="1"/>
      <c r="AE491" s="1"/>
      <c r="AF491" s="1"/>
      <c r="AG491" s="1"/>
      <c r="AH491" s="2"/>
      <c r="AI491" s="2"/>
      <c r="AJ491" s="2"/>
      <c r="AK491" s="2"/>
      <c r="AL491" s="2"/>
      <c r="AM491" s="1"/>
      <c r="AN491" s="2"/>
      <c r="AP491" s="2"/>
      <c r="AQ491" s="1"/>
      <c r="AR491" s="2"/>
      <c r="AU491" s="1"/>
      <c r="AW491" s="1"/>
      <c r="AY491" s="2"/>
    </row>
    <row r="492">
      <c r="A492" s="1"/>
      <c r="C492" s="1"/>
      <c r="E492" s="1"/>
      <c r="F492" s="1"/>
      <c r="G492" s="2"/>
      <c r="H492" s="1"/>
      <c r="I492" s="1"/>
      <c r="J492" s="1"/>
      <c r="K492" s="1"/>
      <c r="M492" s="1"/>
      <c r="N492" s="1"/>
      <c r="O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2"/>
      <c r="AB492" s="1"/>
      <c r="AC492" s="1"/>
      <c r="AD492" s="1"/>
      <c r="AE492" s="1"/>
      <c r="AF492" s="1"/>
      <c r="AG492" s="1"/>
      <c r="AH492" s="2"/>
      <c r="AI492" s="2"/>
      <c r="AJ492" s="2"/>
      <c r="AK492" s="2"/>
      <c r="AL492" s="2"/>
      <c r="AM492" s="1"/>
      <c r="AN492" s="2"/>
      <c r="AP492" s="2"/>
      <c r="AQ492" s="1"/>
      <c r="AR492" s="2"/>
      <c r="AU492" s="1"/>
      <c r="AW492" s="1"/>
      <c r="AY492" s="2"/>
    </row>
    <row r="493">
      <c r="A493" s="1"/>
      <c r="C493" s="1"/>
      <c r="E493" s="1"/>
      <c r="F493" s="1"/>
      <c r="G493" s="2"/>
      <c r="H493" s="1"/>
      <c r="I493" s="1"/>
      <c r="J493" s="1"/>
      <c r="K493" s="1"/>
      <c r="M493" s="1"/>
      <c r="N493" s="1"/>
      <c r="O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2"/>
      <c r="AB493" s="1"/>
      <c r="AC493" s="1"/>
      <c r="AD493" s="1"/>
      <c r="AE493" s="1"/>
      <c r="AF493" s="1"/>
      <c r="AG493" s="1"/>
      <c r="AH493" s="2"/>
      <c r="AI493" s="2"/>
      <c r="AJ493" s="2"/>
      <c r="AK493" s="2"/>
      <c r="AL493" s="2"/>
      <c r="AM493" s="1"/>
      <c r="AN493" s="2"/>
      <c r="AP493" s="2"/>
      <c r="AQ493" s="1"/>
      <c r="AR493" s="2"/>
      <c r="AU493" s="1"/>
      <c r="AW493" s="1"/>
      <c r="AY493" s="2"/>
    </row>
    <row r="494">
      <c r="A494" s="1"/>
      <c r="C494" s="1"/>
      <c r="E494" s="1"/>
      <c r="F494" s="1"/>
      <c r="G494" s="2"/>
      <c r="H494" s="1"/>
      <c r="I494" s="1"/>
      <c r="J494" s="1"/>
      <c r="K494" s="1"/>
      <c r="M494" s="1"/>
      <c r="N494" s="1"/>
      <c r="O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2"/>
      <c r="AB494" s="1"/>
      <c r="AC494" s="1"/>
      <c r="AD494" s="1"/>
      <c r="AE494" s="1"/>
      <c r="AF494" s="1"/>
      <c r="AG494" s="1"/>
      <c r="AH494" s="2"/>
      <c r="AI494" s="2"/>
      <c r="AJ494" s="2"/>
      <c r="AK494" s="2"/>
      <c r="AL494" s="2"/>
      <c r="AM494" s="1"/>
      <c r="AN494" s="2"/>
      <c r="AP494" s="2"/>
      <c r="AQ494" s="1"/>
      <c r="AR494" s="2"/>
      <c r="AU494" s="1"/>
      <c r="AW494" s="1"/>
      <c r="AY494" s="2"/>
    </row>
    <row r="495">
      <c r="A495" s="1"/>
      <c r="C495" s="1"/>
      <c r="E495" s="1"/>
      <c r="F495" s="1"/>
      <c r="G495" s="2"/>
      <c r="H495" s="1"/>
      <c r="I495" s="1"/>
      <c r="J495" s="1"/>
      <c r="K495" s="1"/>
      <c r="M495" s="1"/>
      <c r="N495" s="1"/>
      <c r="O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2"/>
      <c r="AB495" s="1"/>
      <c r="AC495" s="1"/>
      <c r="AD495" s="1"/>
      <c r="AE495" s="1"/>
      <c r="AF495" s="1"/>
      <c r="AG495" s="1"/>
      <c r="AH495" s="2"/>
      <c r="AI495" s="2"/>
      <c r="AJ495" s="2"/>
      <c r="AK495" s="2"/>
      <c r="AL495" s="2"/>
      <c r="AM495" s="1"/>
      <c r="AN495" s="2"/>
      <c r="AP495" s="2"/>
      <c r="AQ495" s="1"/>
      <c r="AR495" s="2"/>
      <c r="AU495" s="1"/>
      <c r="AW495" s="1"/>
      <c r="AY495" s="2"/>
    </row>
    <row r="496">
      <c r="A496" s="1"/>
      <c r="C496" s="1"/>
      <c r="E496" s="1"/>
      <c r="F496" s="1"/>
      <c r="G496" s="2"/>
      <c r="H496" s="1"/>
      <c r="I496" s="1"/>
      <c r="J496" s="1"/>
      <c r="K496" s="1"/>
      <c r="M496" s="1"/>
      <c r="N496" s="1"/>
      <c r="O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2"/>
      <c r="AB496" s="1"/>
      <c r="AC496" s="1"/>
      <c r="AD496" s="1"/>
      <c r="AE496" s="1"/>
      <c r="AF496" s="1"/>
      <c r="AG496" s="1"/>
      <c r="AH496" s="2"/>
      <c r="AI496" s="2"/>
      <c r="AJ496" s="2"/>
      <c r="AK496" s="2"/>
      <c r="AL496" s="2"/>
      <c r="AM496" s="1"/>
      <c r="AN496" s="2"/>
      <c r="AP496" s="2"/>
      <c r="AQ496" s="1"/>
      <c r="AR496" s="2"/>
      <c r="AU496" s="1"/>
      <c r="AW496" s="1"/>
      <c r="AY496" s="2"/>
    </row>
    <row r="497">
      <c r="A497" s="1"/>
      <c r="C497" s="1"/>
      <c r="E497" s="1"/>
      <c r="F497" s="1"/>
      <c r="G497" s="2"/>
      <c r="H497" s="1"/>
      <c r="I497" s="1"/>
      <c r="J497" s="1"/>
      <c r="K497" s="1"/>
      <c r="M497" s="1"/>
      <c r="N497" s="1"/>
      <c r="O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2"/>
      <c r="AB497" s="1"/>
      <c r="AC497" s="1"/>
      <c r="AD497" s="1"/>
      <c r="AE497" s="1"/>
      <c r="AF497" s="1"/>
      <c r="AG497" s="1"/>
      <c r="AH497" s="2"/>
      <c r="AI497" s="2"/>
      <c r="AJ497" s="2"/>
      <c r="AK497" s="2"/>
      <c r="AL497" s="2"/>
      <c r="AM497" s="1"/>
      <c r="AN497" s="2"/>
      <c r="AP497" s="2"/>
      <c r="AQ497" s="1"/>
      <c r="AR497" s="2"/>
      <c r="AU497" s="1"/>
      <c r="AW497" s="1"/>
      <c r="AY497" s="2"/>
    </row>
    <row r="498">
      <c r="A498" s="1"/>
      <c r="C498" s="1"/>
      <c r="E498" s="1"/>
      <c r="F498" s="1"/>
      <c r="G498" s="2"/>
      <c r="H498" s="1"/>
      <c r="I498" s="1"/>
      <c r="J498" s="1"/>
      <c r="K498" s="1"/>
      <c r="M498" s="1"/>
      <c r="N498" s="1"/>
      <c r="O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2"/>
      <c r="AB498" s="1"/>
      <c r="AC498" s="1"/>
      <c r="AD498" s="1"/>
      <c r="AE498" s="1"/>
      <c r="AF498" s="1"/>
      <c r="AG498" s="1"/>
      <c r="AH498" s="2"/>
      <c r="AI498" s="2"/>
      <c r="AJ498" s="2"/>
      <c r="AK498" s="2"/>
      <c r="AL498" s="2"/>
      <c r="AM498" s="1"/>
      <c r="AN498" s="2"/>
      <c r="AP498" s="2"/>
      <c r="AQ498" s="1"/>
      <c r="AR498" s="2"/>
      <c r="AU498" s="1"/>
      <c r="AW498" s="1"/>
      <c r="AY498" s="2"/>
    </row>
    <row r="499">
      <c r="A499" s="1"/>
      <c r="C499" s="1"/>
      <c r="E499" s="1"/>
      <c r="F499" s="1"/>
      <c r="G499" s="2"/>
      <c r="H499" s="1"/>
      <c r="I499" s="1"/>
      <c r="J499" s="1"/>
      <c r="K499" s="1"/>
      <c r="M499" s="1"/>
      <c r="N499" s="1"/>
      <c r="O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2"/>
      <c r="AB499" s="1"/>
      <c r="AC499" s="1"/>
      <c r="AD499" s="1"/>
      <c r="AE499" s="1"/>
      <c r="AF499" s="1"/>
      <c r="AG499" s="1"/>
      <c r="AH499" s="2"/>
      <c r="AI499" s="2"/>
      <c r="AJ499" s="2"/>
      <c r="AK499" s="2"/>
      <c r="AL499" s="2"/>
      <c r="AM499" s="1"/>
      <c r="AN499" s="2"/>
      <c r="AP499" s="2"/>
      <c r="AQ499" s="1"/>
      <c r="AR499" s="2"/>
      <c r="AU499" s="1"/>
      <c r="AW499" s="1"/>
      <c r="AY499" s="2"/>
    </row>
    <row r="500">
      <c r="A500" s="1"/>
      <c r="C500" s="1"/>
      <c r="E500" s="1"/>
      <c r="F500" s="1"/>
      <c r="G500" s="2"/>
      <c r="H500" s="1"/>
      <c r="I500" s="1"/>
      <c r="J500" s="1"/>
      <c r="K500" s="1"/>
      <c r="M500" s="1"/>
      <c r="N500" s="1"/>
      <c r="O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2"/>
      <c r="AB500" s="1"/>
      <c r="AC500" s="1"/>
      <c r="AD500" s="1"/>
      <c r="AE500" s="1"/>
      <c r="AF500" s="1"/>
      <c r="AG500" s="1"/>
      <c r="AH500" s="2"/>
      <c r="AI500" s="2"/>
      <c r="AJ500" s="2"/>
      <c r="AK500" s="2"/>
      <c r="AL500" s="2"/>
      <c r="AM500" s="1"/>
      <c r="AN500" s="2"/>
      <c r="AP500" s="2"/>
      <c r="AQ500" s="1"/>
      <c r="AR500" s="2"/>
      <c r="AU500" s="1"/>
      <c r="AW500" s="1"/>
      <c r="AY500" s="2"/>
    </row>
    <row r="501">
      <c r="A501" s="1"/>
      <c r="C501" s="1"/>
      <c r="E501" s="1"/>
      <c r="F501" s="1"/>
      <c r="G501" s="2"/>
      <c r="H501" s="1"/>
      <c r="I501" s="1"/>
      <c r="J501" s="1"/>
      <c r="K501" s="1"/>
      <c r="M501" s="1"/>
      <c r="N501" s="1"/>
      <c r="O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2"/>
      <c r="AB501" s="1"/>
      <c r="AC501" s="1"/>
      <c r="AD501" s="1"/>
      <c r="AE501" s="1"/>
      <c r="AF501" s="1"/>
      <c r="AG501" s="1"/>
      <c r="AH501" s="2"/>
      <c r="AI501" s="2"/>
      <c r="AJ501" s="2"/>
      <c r="AK501" s="2"/>
      <c r="AL501" s="2"/>
      <c r="AM501" s="1"/>
      <c r="AN501" s="2"/>
      <c r="AP501" s="2"/>
      <c r="AQ501" s="1"/>
      <c r="AR501" s="2"/>
      <c r="AU501" s="1"/>
      <c r="AW501" s="1"/>
      <c r="AY501" s="2"/>
    </row>
    <row r="502">
      <c r="A502" s="1"/>
      <c r="C502" s="1"/>
      <c r="E502" s="1"/>
      <c r="F502" s="1"/>
      <c r="G502" s="2"/>
      <c r="H502" s="1"/>
      <c r="I502" s="1"/>
      <c r="J502" s="1"/>
      <c r="K502" s="1"/>
      <c r="M502" s="1"/>
      <c r="N502" s="1"/>
      <c r="O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2"/>
      <c r="AB502" s="1"/>
      <c r="AC502" s="1"/>
      <c r="AD502" s="1"/>
      <c r="AE502" s="1"/>
      <c r="AF502" s="1"/>
      <c r="AG502" s="1"/>
      <c r="AH502" s="2"/>
      <c r="AI502" s="2"/>
      <c r="AJ502" s="2"/>
      <c r="AK502" s="2"/>
      <c r="AL502" s="2"/>
      <c r="AM502" s="1"/>
      <c r="AN502" s="2"/>
      <c r="AP502" s="2"/>
      <c r="AQ502" s="1"/>
      <c r="AR502" s="2"/>
      <c r="AU502" s="1"/>
      <c r="AW502" s="1"/>
      <c r="AY502" s="2"/>
    </row>
    <row r="503">
      <c r="A503" s="1"/>
      <c r="C503" s="1"/>
      <c r="E503" s="1"/>
      <c r="F503" s="1"/>
      <c r="G503" s="2"/>
      <c r="H503" s="1"/>
      <c r="I503" s="1"/>
      <c r="J503" s="1"/>
      <c r="K503" s="1"/>
      <c r="M503" s="1"/>
      <c r="N503" s="1"/>
      <c r="O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2"/>
      <c r="AB503" s="1"/>
      <c r="AC503" s="1"/>
      <c r="AD503" s="1"/>
      <c r="AE503" s="1"/>
      <c r="AF503" s="1"/>
      <c r="AG503" s="1"/>
      <c r="AH503" s="2"/>
      <c r="AI503" s="2"/>
      <c r="AJ503" s="2"/>
      <c r="AK503" s="2"/>
      <c r="AL503" s="2"/>
      <c r="AM503" s="1"/>
      <c r="AN503" s="2"/>
      <c r="AP503" s="2"/>
      <c r="AQ503" s="1"/>
      <c r="AR503" s="2"/>
      <c r="AU503" s="1"/>
      <c r="AW503" s="1"/>
      <c r="AY503" s="2"/>
    </row>
    <row r="504">
      <c r="A504" s="1"/>
      <c r="C504" s="1"/>
      <c r="E504" s="1"/>
      <c r="F504" s="1"/>
      <c r="G504" s="2"/>
      <c r="H504" s="1"/>
      <c r="I504" s="1"/>
      <c r="J504" s="1"/>
      <c r="K504" s="1"/>
      <c r="M504" s="1"/>
      <c r="N504" s="1"/>
      <c r="O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2"/>
      <c r="AB504" s="1"/>
      <c r="AC504" s="1"/>
      <c r="AD504" s="1"/>
      <c r="AE504" s="1"/>
      <c r="AF504" s="1"/>
      <c r="AG504" s="1"/>
      <c r="AH504" s="2"/>
      <c r="AI504" s="2"/>
      <c r="AJ504" s="2"/>
      <c r="AK504" s="2"/>
      <c r="AL504" s="2"/>
      <c r="AM504" s="1"/>
      <c r="AN504" s="2"/>
      <c r="AP504" s="2"/>
      <c r="AQ504" s="1"/>
      <c r="AR504" s="2"/>
      <c r="AU504" s="1"/>
      <c r="AW504" s="1"/>
      <c r="AY504" s="2"/>
    </row>
    <row r="505">
      <c r="A505" s="1"/>
      <c r="C505" s="1"/>
      <c r="E505" s="1"/>
      <c r="F505" s="1"/>
      <c r="G505" s="2"/>
      <c r="H505" s="1"/>
      <c r="I505" s="1"/>
      <c r="J505" s="1"/>
      <c r="K505" s="1"/>
      <c r="M505" s="1"/>
      <c r="N505" s="1"/>
      <c r="O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2"/>
      <c r="AB505" s="1"/>
      <c r="AC505" s="1"/>
      <c r="AD505" s="1"/>
      <c r="AE505" s="1"/>
      <c r="AF505" s="1"/>
      <c r="AG505" s="1"/>
      <c r="AH505" s="2"/>
      <c r="AI505" s="2"/>
      <c r="AJ505" s="2"/>
      <c r="AK505" s="2"/>
      <c r="AL505" s="2"/>
      <c r="AM505" s="1"/>
      <c r="AN505" s="2"/>
      <c r="AP505" s="2"/>
      <c r="AQ505" s="1"/>
      <c r="AR505" s="2"/>
      <c r="AU505" s="1"/>
      <c r="AW505" s="1"/>
      <c r="AY505" s="2"/>
    </row>
    <row r="506">
      <c r="A506" s="1"/>
      <c r="C506" s="1"/>
      <c r="E506" s="1"/>
      <c r="F506" s="1"/>
      <c r="G506" s="2"/>
      <c r="H506" s="1"/>
      <c r="I506" s="1"/>
      <c r="J506" s="1"/>
      <c r="K506" s="1"/>
      <c r="M506" s="1"/>
      <c r="N506" s="1"/>
      <c r="O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2"/>
      <c r="AB506" s="1"/>
      <c r="AC506" s="1"/>
      <c r="AD506" s="1"/>
      <c r="AE506" s="1"/>
      <c r="AF506" s="1"/>
      <c r="AG506" s="1"/>
      <c r="AH506" s="2"/>
      <c r="AI506" s="2"/>
      <c r="AJ506" s="2"/>
      <c r="AK506" s="2"/>
      <c r="AL506" s="2"/>
      <c r="AM506" s="1"/>
      <c r="AN506" s="2"/>
      <c r="AP506" s="2"/>
      <c r="AQ506" s="1"/>
      <c r="AR506" s="2"/>
      <c r="AU506" s="1"/>
      <c r="AW506" s="1"/>
      <c r="AY506" s="2"/>
    </row>
    <row r="507">
      <c r="A507" s="1"/>
      <c r="C507" s="1"/>
      <c r="E507" s="1"/>
      <c r="F507" s="1"/>
      <c r="G507" s="2"/>
      <c r="H507" s="1"/>
      <c r="I507" s="1"/>
      <c r="J507" s="1"/>
      <c r="K507" s="1"/>
      <c r="M507" s="1"/>
      <c r="N507" s="1"/>
      <c r="O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2"/>
      <c r="AB507" s="1"/>
      <c r="AC507" s="1"/>
      <c r="AD507" s="1"/>
      <c r="AE507" s="1"/>
      <c r="AF507" s="1"/>
      <c r="AG507" s="1"/>
      <c r="AH507" s="2"/>
      <c r="AI507" s="2"/>
      <c r="AJ507" s="2"/>
      <c r="AK507" s="2"/>
      <c r="AL507" s="2"/>
      <c r="AM507" s="1"/>
      <c r="AN507" s="2"/>
      <c r="AP507" s="2"/>
      <c r="AQ507" s="1"/>
      <c r="AR507" s="2"/>
      <c r="AU507" s="1"/>
      <c r="AW507" s="1"/>
      <c r="AY507" s="2"/>
    </row>
    <row r="508">
      <c r="A508" s="1"/>
      <c r="C508" s="1"/>
      <c r="E508" s="1"/>
      <c r="F508" s="1"/>
      <c r="G508" s="2"/>
      <c r="H508" s="1"/>
      <c r="I508" s="1"/>
      <c r="J508" s="1"/>
      <c r="K508" s="1"/>
      <c r="M508" s="1"/>
      <c r="N508" s="1"/>
      <c r="O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2"/>
      <c r="AB508" s="1"/>
      <c r="AC508" s="1"/>
      <c r="AD508" s="1"/>
      <c r="AE508" s="1"/>
      <c r="AF508" s="1"/>
      <c r="AG508" s="1"/>
      <c r="AH508" s="2"/>
      <c r="AI508" s="2"/>
      <c r="AJ508" s="2"/>
      <c r="AK508" s="2"/>
      <c r="AL508" s="2"/>
      <c r="AM508" s="1"/>
      <c r="AN508" s="2"/>
      <c r="AP508" s="2"/>
      <c r="AQ508" s="1"/>
      <c r="AR508" s="2"/>
      <c r="AU508" s="1"/>
      <c r="AW508" s="1"/>
      <c r="AY508" s="2"/>
    </row>
    <row r="509">
      <c r="A509" s="1"/>
      <c r="C509" s="1"/>
      <c r="E509" s="1"/>
      <c r="F509" s="1"/>
      <c r="G509" s="2"/>
      <c r="H509" s="1"/>
      <c r="I509" s="1"/>
      <c r="J509" s="1"/>
      <c r="K509" s="1"/>
      <c r="M509" s="1"/>
      <c r="N509" s="1"/>
      <c r="O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2"/>
      <c r="AB509" s="1"/>
      <c r="AC509" s="1"/>
      <c r="AD509" s="1"/>
      <c r="AE509" s="1"/>
      <c r="AF509" s="1"/>
      <c r="AG509" s="1"/>
      <c r="AH509" s="2"/>
      <c r="AI509" s="2"/>
      <c r="AJ509" s="2"/>
      <c r="AK509" s="2"/>
      <c r="AL509" s="2"/>
      <c r="AM509" s="1"/>
      <c r="AN509" s="2"/>
      <c r="AP509" s="2"/>
      <c r="AQ509" s="1"/>
      <c r="AR509" s="2"/>
      <c r="AU509" s="1"/>
      <c r="AW509" s="1"/>
      <c r="AY509" s="2"/>
    </row>
    <row r="510">
      <c r="A510" s="1"/>
      <c r="C510" s="1"/>
      <c r="E510" s="1"/>
      <c r="F510" s="1"/>
      <c r="G510" s="2"/>
      <c r="H510" s="1"/>
      <c r="I510" s="1"/>
      <c r="J510" s="1"/>
      <c r="K510" s="1"/>
      <c r="M510" s="1"/>
      <c r="N510" s="1"/>
      <c r="O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2"/>
      <c r="AB510" s="1"/>
      <c r="AC510" s="1"/>
      <c r="AD510" s="1"/>
      <c r="AE510" s="1"/>
      <c r="AF510" s="1"/>
      <c r="AG510" s="1"/>
      <c r="AH510" s="2"/>
      <c r="AI510" s="2"/>
      <c r="AJ510" s="2"/>
      <c r="AK510" s="2"/>
      <c r="AL510" s="2"/>
      <c r="AM510" s="1"/>
      <c r="AN510" s="2"/>
      <c r="AP510" s="2"/>
      <c r="AQ510" s="1"/>
      <c r="AR510" s="2"/>
      <c r="AU510" s="1"/>
      <c r="AW510" s="1"/>
      <c r="AY510" s="2"/>
    </row>
    <row r="511">
      <c r="A511" s="1"/>
      <c r="C511" s="1"/>
      <c r="E511" s="1"/>
      <c r="F511" s="1"/>
      <c r="G511" s="2"/>
      <c r="H511" s="1"/>
      <c r="I511" s="1"/>
      <c r="J511" s="1"/>
      <c r="K511" s="1"/>
      <c r="M511" s="1"/>
      <c r="N511" s="1"/>
      <c r="O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2"/>
      <c r="AB511" s="1"/>
      <c r="AC511" s="1"/>
      <c r="AD511" s="1"/>
      <c r="AE511" s="1"/>
      <c r="AF511" s="1"/>
      <c r="AG511" s="1"/>
      <c r="AH511" s="2"/>
      <c r="AI511" s="2"/>
      <c r="AJ511" s="2"/>
      <c r="AK511" s="2"/>
      <c r="AL511" s="2"/>
      <c r="AM511" s="1"/>
      <c r="AN511" s="2"/>
      <c r="AP511" s="2"/>
      <c r="AQ511" s="1"/>
      <c r="AR511" s="2"/>
      <c r="AU511" s="1"/>
      <c r="AW511" s="1"/>
      <c r="AY511" s="2"/>
    </row>
    <row r="512">
      <c r="A512" s="1"/>
      <c r="C512" s="1"/>
      <c r="E512" s="1"/>
      <c r="F512" s="1"/>
      <c r="G512" s="2"/>
      <c r="H512" s="1"/>
      <c r="I512" s="1"/>
      <c r="J512" s="1"/>
      <c r="K512" s="1"/>
      <c r="M512" s="1"/>
      <c r="N512" s="1"/>
      <c r="O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2"/>
      <c r="AB512" s="1"/>
      <c r="AC512" s="1"/>
      <c r="AD512" s="1"/>
      <c r="AE512" s="1"/>
      <c r="AF512" s="1"/>
      <c r="AG512" s="1"/>
      <c r="AH512" s="2"/>
      <c r="AI512" s="2"/>
      <c r="AJ512" s="2"/>
      <c r="AK512" s="2"/>
      <c r="AL512" s="2"/>
      <c r="AM512" s="1"/>
      <c r="AN512" s="2"/>
      <c r="AP512" s="2"/>
      <c r="AQ512" s="1"/>
      <c r="AR512" s="2"/>
      <c r="AU512" s="1"/>
      <c r="AW512" s="1"/>
      <c r="AY512" s="2"/>
    </row>
    <row r="513">
      <c r="A513" s="1"/>
      <c r="C513" s="1"/>
      <c r="E513" s="1"/>
      <c r="F513" s="1"/>
      <c r="G513" s="2"/>
      <c r="H513" s="1"/>
      <c r="I513" s="1"/>
      <c r="J513" s="1"/>
      <c r="K513" s="1"/>
      <c r="M513" s="1"/>
      <c r="N513" s="1"/>
      <c r="O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2"/>
      <c r="AB513" s="1"/>
      <c r="AC513" s="1"/>
      <c r="AD513" s="1"/>
      <c r="AE513" s="1"/>
      <c r="AF513" s="1"/>
      <c r="AG513" s="1"/>
      <c r="AH513" s="2"/>
      <c r="AI513" s="2"/>
      <c r="AJ513" s="2"/>
      <c r="AK513" s="2"/>
      <c r="AL513" s="2"/>
      <c r="AM513" s="1"/>
      <c r="AN513" s="2"/>
      <c r="AP513" s="2"/>
      <c r="AQ513" s="1"/>
      <c r="AR513" s="2"/>
      <c r="AU513" s="1"/>
      <c r="AW513" s="1"/>
      <c r="AY513" s="2"/>
    </row>
    <row r="514">
      <c r="A514" s="1"/>
      <c r="C514" s="1"/>
      <c r="E514" s="1"/>
      <c r="F514" s="1"/>
      <c r="G514" s="2"/>
      <c r="H514" s="1"/>
      <c r="I514" s="1"/>
      <c r="J514" s="1"/>
      <c r="K514" s="1"/>
      <c r="M514" s="1"/>
      <c r="N514" s="1"/>
      <c r="O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2"/>
      <c r="AB514" s="1"/>
      <c r="AC514" s="1"/>
      <c r="AD514" s="1"/>
      <c r="AE514" s="1"/>
      <c r="AF514" s="1"/>
      <c r="AG514" s="1"/>
      <c r="AH514" s="2"/>
      <c r="AI514" s="2"/>
      <c r="AJ514" s="2"/>
      <c r="AK514" s="2"/>
      <c r="AL514" s="2"/>
      <c r="AM514" s="1"/>
      <c r="AN514" s="2"/>
      <c r="AP514" s="2"/>
      <c r="AQ514" s="1"/>
      <c r="AR514" s="2"/>
      <c r="AU514" s="1"/>
      <c r="AW514" s="1"/>
      <c r="AY514" s="2"/>
    </row>
    <row r="515">
      <c r="A515" s="1"/>
      <c r="C515" s="1"/>
      <c r="E515" s="1"/>
      <c r="F515" s="1"/>
      <c r="G515" s="2"/>
      <c r="H515" s="1"/>
      <c r="I515" s="1"/>
      <c r="J515" s="1"/>
      <c r="K515" s="1"/>
      <c r="M515" s="1"/>
      <c r="N515" s="1"/>
      <c r="O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2"/>
      <c r="AB515" s="1"/>
      <c r="AC515" s="1"/>
      <c r="AD515" s="1"/>
      <c r="AE515" s="1"/>
      <c r="AF515" s="1"/>
      <c r="AG515" s="1"/>
      <c r="AH515" s="2"/>
      <c r="AI515" s="2"/>
      <c r="AJ515" s="2"/>
      <c r="AK515" s="2"/>
      <c r="AL515" s="2"/>
      <c r="AM515" s="1"/>
      <c r="AN515" s="2"/>
      <c r="AP515" s="2"/>
      <c r="AQ515" s="1"/>
      <c r="AR515" s="2"/>
      <c r="AU515" s="1"/>
      <c r="AW515" s="1"/>
      <c r="AY515" s="2"/>
    </row>
    <row r="516">
      <c r="A516" s="1"/>
      <c r="C516" s="1"/>
      <c r="E516" s="1"/>
      <c r="F516" s="1"/>
      <c r="G516" s="2"/>
      <c r="H516" s="1"/>
      <c r="I516" s="1"/>
      <c r="J516" s="1"/>
      <c r="K516" s="1"/>
      <c r="M516" s="1"/>
      <c r="N516" s="1"/>
      <c r="O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2"/>
      <c r="AB516" s="1"/>
      <c r="AC516" s="1"/>
      <c r="AD516" s="1"/>
      <c r="AE516" s="1"/>
      <c r="AF516" s="1"/>
      <c r="AG516" s="1"/>
      <c r="AH516" s="2"/>
      <c r="AI516" s="2"/>
      <c r="AJ516" s="2"/>
      <c r="AK516" s="2"/>
      <c r="AL516" s="2"/>
      <c r="AM516" s="1"/>
      <c r="AN516" s="2"/>
      <c r="AP516" s="2"/>
      <c r="AQ516" s="1"/>
      <c r="AR516" s="2"/>
      <c r="AU516" s="1"/>
      <c r="AW516" s="1"/>
      <c r="AY516" s="2"/>
    </row>
    <row r="517">
      <c r="A517" s="1"/>
      <c r="C517" s="1"/>
      <c r="E517" s="1"/>
      <c r="F517" s="1"/>
      <c r="G517" s="2"/>
      <c r="H517" s="1"/>
      <c r="I517" s="1"/>
      <c r="J517" s="1"/>
      <c r="K517" s="1"/>
      <c r="M517" s="1"/>
      <c r="N517" s="1"/>
      <c r="O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2"/>
      <c r="AB517" s="1"/>
      <c r="AC517" s="1"/>
      <c r="AD517" s="1"/>
      <c r="AE517" s="1"/>
      <c r="AF517" s="1"/>
      <c r="AG517" s="1"/>
      <c r="AH517" s="2"/>
      <c r="AI517" s="2"/>
      <c r="AJ517" s="2"/>
      <c r="AK517" s="2"/>
      <c r="AL517" s="2"/>
      <c r="AM517" s="1"/>
      <c r="AN517" s="2"/>
      <c r="AP517" s="2"/>
      <c r="AQ517" s="1"/>
      <c r="AR517" s="2"/>
      <c r="AU517" s="1"/>
      <c r="AW517" s="1"/>
      <c r="AY517" s="2"/>
    </row>
    <row r="518">
      <c r="A518" s="1"/>
      <c r="C518" s="1"/>
      <c r="E518" s="1"/>
      <c r="F518" s="1"/>
      <c r="G518" s="2"/>
      <c r="H518" s="1"/>
      <c r="I518" s="1"/>
      <c r="J518" s="1"/>
      <c r="K518" s="1"/>
      <c r="M518" s="1"/>
      <c r="N518" s="1"/>
      <c r="O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2"/>
      <c r="AB518" s="1"/>
      <c r="AC518" s="1"/>
      <c r="AD518" s="1"/>
      <c r="AE518" s="1"/>
      <c r="AF518" s="1"/>
      <c r="AG518" s="1"/>
      <c r="AH518" s="2"/>
      <c r="AI518" s="2"/>
      <c r="AJ518" s="2"/>
      <c r="AK518" s="2"/>
      <c r="AL518" s="2"/>
      <c r="AM518" s="1"/>
      <c r="AN518" s="2"/>
      <c r="AP518" s="2"/>
      <c r="AQ518" s="1"/>
      <c r="AR518" s="2"/>
      <c r="AU518" s="1"/>
      <c r="AW518" s="1"/>
      <c r="AY518" s="2"/>
    </row>
    <row r="519">
      <c r="A519" s="1"/>
      <c r="C519" s="1"/>
      <c r="E519" s="1"/>
      <c r="F519" s="1"/>
      <c r="G519" s="2"/>
      <c r="H519" s="1"/>
      <c r="I519" s="1"/>
      <c r="J519" s="1"/>
      <c r="K519" s="1"/>
      <c r="M519" s="1"/>
      <c r="N519" s="1"/>
      <c r="O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2"/>
      <c r="AB519" s="1"/>
      <c r="AC519" s="1"/>
      <c r="AD519" s="1"/>
      <c r="AE519" s="1"/>
      <c r="AF519" s="1"/>
      <c r="AG519" s="1"/>
      <c r="AH519" s="2"/>
      <c r="AI519" s="2"/>
      <c r="AJ519" s="2"/>
      <c r="AK519" s="2"/>
      <c r="AL519" s="2"/>
      <c r="AM519" s="1"/>
      <c r="AN519" s="2"/>
      <c r="AP519" s="2"/>
      <c r="AQ519" s="1"/>
      <c r="AR519" s="2"/>
      <c r="AU519" s="1"/>
      <c r="AW519" s="1"/>
      <c r="AY519" s="2"/>
    </row>
    <row r="520">
      <c r="A520" s="1"/>
      <c r="C520" s="1"/>
      <c r="E520" s="1"/>
      <c r="F520" s="1"/>
      <c r="G520" s="2"/>
      <c r="H520" s="1"/>
      <c r="I520" s="1"/>
      <c r="J520" s="1"/>
      <c r="K520" s="1"/>
      <c r="M520" s="1"/>
      <c r="N520" s="1"/>
      <c r="O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2"/>
      <c r="AB520" s="1"/>
      <c r="AC520" s="1"/>
      <c r="AD520" s="1"/>
      <c r="AE520" s="1"/>
      <c r="AF520" s="1"/>
      <c r="AG520" s="1"/>
      <c r="AH520" s="2"/>
      <c r="AI520" s="2"/>
      <c r="AJ520" s="2"/>
      <c r="AK520" s="2"/>
      <c r="AL520" s="2"/>
      <c r="AM520" s="1"/>
      <c r="AN520" s="2"/>
      <c r="AP520" s="2"/>
      <c r="AQ520" s="1"/>
      <c r="AR520" s="2"/>
      <c r="AU520" s="1"/>
      <c r="AW520" s="1"/>
      <c r="AY520" s="2"/>
    </row>
    <row r="521">
      <c r="A521" s="1"/>
      <c r="C521" s="1"/>
      <c r="E521" s="1"/>
      <c r="F521" s="1"/>
      <c r="G521" s="2"/>
      <c r="H521" s="1"/>
      <c r="I521" s="1"/>
      <c r="J521" s="1"/>
      <c r="K521" s="1"/>
      <c r="M521" s="1"/>
      <c r="N521" s="1"/>
      <c r="O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2"/>
      <c r="AB521" s="1"/>
      <c r="AC521" s="1"/>
      <c r="AD521" s="1"/>
      <c r="AE521" s="1"/>
      <c r="AF521" s="1"/>
      <c r="AG521" s="1"/>
      <c r="AH521" s="2"/>
      <c r="AI521" s="2"/>
      <c r="AJ521" s="2"/>
      <c r="AK521" s="2"/>
      <c r="AL521" s="2"/>
      <c r="AM521" s="1"/>
      <c r="AN521" s="2"/>
      <c r="AP521" s="2"/>
      <c r="AQ521" s="1"/>
      <c r="AR521" s="2"/>
      <c r="AU521" s="1"/>
      <c r="AW521" s="1"/>
      <c r="AY521" s="2"/>
    </row>
    <row r="522">
      <c r="A522" s="1"/>
      <c r="C522" s="1"/>
      <c r="E522" s="1"/>
      <c r="F522" s="1"/>
      <c r="G522" s="2"/>
      <c r="H522" s="1"/>
      <c r="I522" s="1"/>
      <c r="J522" s="1"/>
      <c r="K522" s="1"/>
      <c r="M522" s="1"/>
      <c r="N522" s="1"/>
      <c r="O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2"/>
      <c r="AB522" s="1"/>
      <c r="AC522" s="1"/>
      <c r="AD522" s="1"/>
      <c r="AE522" s="1"/>
      <c r="AF522" s="1"/>
      <c r="AG522" s="1"/>
      <c r="AH522" s="2"/>
      <c r="AI522" s="2"/>
      <c r="AJ522" s="2"/>
      <c r="AK522" s="2"/>
      <c r="AL522" s="2"/>
      <c r="AM522" s="1"/>
      <c r="AN522" s="2"/>
      <c r="AP522" s="2"/>
      <c r="AQ522" s="1"/>
      <c r="AR522" s="2"/>
      <c r="AU522" s="1"/>
      <c r="AW522" s="1"/>
      <c r="AY522" s="2"/>
    </row>
    <row r="523">
      <c r="A523" s="1"/>
      <c r="C523" s="1"/>
      <c r="E523" s="1"/>
      <c r="F523" s="1"/>
      <c r="G523" s="2"/>
      <c r="H523" s="1"/>
      <c r="I523" s="1"/>
      <c r="J523" s="1"/>
      <c r="K523" s="1"/>
      <c r="M523" s="1"/>
      <c r="N523" s="1"/>
      <c r="O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2"/>
      <c r="AB523" s="1"/>
      <c r="AC523" s="1"/>
      <c r="AD523" s="1"/>
      <c r="AE523" s="1"/>
      <c r="AF523" s="1"/>
      <c r="AG523" s="1"/>
      <c r="AH523" s="2"/>
      <c r="AI523" s="2"/>
      <c r="AJ523" s="2"/>
      <c r="AK523" s="2"/>
      <c r="AL523" s="2"/>
      <c r="AM523" s="1"/>
      <c r="AN523" s="2"/>
      <c r="AP523" s="2"/>
      <c r="AQ523" s="1"/>
      <c r="AR523" s="2"/>
      <c r="AU523" s="1"/>
      <c r="AW523" s="1"/>
      <c r="AY523" s="2"/>
    </row>
    <row r="524">
      <c r="A524" s="1"/>
      <c r="C524" s="1"/>
      <c r="E524" s="1"/>
      <c r="F524" s="1"/>
      <c r="G524" s="2"/>
      <c r="H524" s="1"/>
      <c r="I524" s="1"/>
      <c r="J524" s="1"/>
      <c r="K524" s="1"/>
      <c r="M524" s="1"/>
      <c r="N524" s="1"/>
      <c r="O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2"/>
      <c r="AB524" s="1"/>
      <c r="AC524" s="1"/>
      <c r="AD524" s="1"/>
      <c r="AE524" s="1"/>
      <c r="AF524" s="1"/>
      <c r="AG524" s="1"/>
      <c r="AH524" s="2"/>
      <c r="AI524" s="2"/>
      <c r="AJ524" s="2"/>
      <c r="AK524" s="2"/>
      <c r="AL524" s="2"/>
      <c r="AM524" s="1"/>
      <c r="AN524" s="2"/>
      <c r="AP524" s="2"/>
      <c r="AQ524" s="1"/>
      <c r="AR524" s="2"/>
      <c r="AU524" s="1"/>
      <c r="AW524" s="1"/>
      <c r="AY524" s="2"/>
    </row>
    <row r="525">
      <c r="A525" s="1"/>
      <c r="C525" s="1"/>
      <c r="E525" s="1"/>
      <c r="F525" s="1"/>
      <c r="G525" s="2"/>
      <c r="H525" s="1"/>
      <c r="I525" s="1"/>
      <c r="J525" s="1"/>
      <c r="K525" s="1"/>
      <c r="M525" s="1"/>
      <c r="N525" s="1"/>
      <c r="O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2"/>
      <c r="AB525" s="1"/>
      <c r="AC525" s="1"/>
      <c r="AD525" s="1"/>
      <c r="AE525" s="1"/>
      <c r="AF525" s="1"/>
      <c r="AG525" s="1"/>
      <c r="AH525" s="2"/>
      <c r="AI525" s="2"/>
      <c r="AJ525" s="2"/>
      <c r="AK525" s="2"/>
      <c r="AL525" s="2"/>
      <c r="AM525" s="1"/>
      <c r="AN525" s="2"/>
      <c r="AP525" s="2"/>
      <c r="AQ525" s="1"/>
      <c r="AR525" s="2"/>
      <c r="AU525" s="1"/>
      <c r="AW525" s="1"/>
      <c r="AY525" s="2"/>
    </row>
    <row r="526">
      <c r="A526" s="1"/>
      <c r="C526" s="1"/>
      <c r="E526" s="1"/>
      <c r="F526" s="1"/>
      <c r="G526" s="2"/>
      <c r="H526" s="1"/>
      <c r="I526" s="1"/>
      <c r="J526" s="1"/>
      <c r="K526" s="1"/>
      <c r="M526" s="1"/>
      <c r="N526" s="1"/>
      <c r="O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2"/>
      <c r="AB526" s="1"/>
      <c r="AC526" s="1"/>
      <c r="AD526" s="1"/>
      <c r="AE526" s="1"/>
      <c r="AF526" s="1"/>
      <c r="AG526" s="1"/>
      <c r="AH526" s="2"/>
      <c r="AI526" s="2"/>
      <c r="AJ526" s="2"/>
      <c r="AK526" s="2"/>
      <c r="AL526" s="2"/>
      <c r="AM526" s="1"/>
      <c r="AN526" s="2"/>
      <c r="AP526" s="2"/>
      <c r="AQ526" s="1"/>
      <c r="AR526" s="2"/>
      <c r="AU526" s="1"/>
      <c r="AW526" s="1"/>
      <c r="AY526" s="2"/>
    </row>
    <row r="527">
      <c r="A527" s="1"/>
      <c r="C527" s="1"/>
      <c r="E527" s="1"/>
      <c r="F527" s="1"/>
      <c r="G527" s="2"/>
      <c r="H527" s="1"/>
      <c r="I527" s="1"/>
      <c r="J527" s="1"/>
      <c r="K527" s="1"/>
      <c r="M527" s="1"/>
      <c r="N527" s="1"/>
      <c r="O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2"/>
      <c r="AB527" s="1"/>
      <c r="AC527" s="1"/>
      <c r="AD527" s="1"/>
      <c r="AE527" s="1"/>
      <c r="AF527" s="1"/>
      <c r="AG527" s="1"/>
      <c r="AH527" s="2"/>
      <c r="AI527" s="2"/>
      <c r="AJ527" s="2"/>
      <c r="AK527" s="2"/>
      <c r="AL527" s="2"/>
      <c r="AM527" s="1"/>
      <c r="AN527" s="2"/>
      <c r="AP527" s="2"/>
      <c r="AQ527" s="1"/>
      <c r="AR527" s="2"/>
      <c r="AU527" s="1"/>
      <c r="AW527" s="1"/>
      <c r="AY527" s="2"/>
    </row>
    <row r="528">
      <c r="A528" s="1"/>
      <c r="C528" s="1"/>
      <c r="E528" s="1"/>
      <c r="F528" s="1"/>
      <c r="G528" s="2"/>
      <c r="H528" s="1"/>
      <c r="I528" s="1"/>
      <c r="J528" s="1"/>
      <c r="K528" s="1"/>
      <c r="M528" s="1"/>
      <c r="N528" s="1"/>
      <c r="O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2"/>
      <c r="AB528" s="1"/>
      <c r="AC528" s="1"/>
      <c r="AD528" s="1"/>
      <c r="AE528" s="1"/>
      <c r="AF528" s="1"/>
      <c r="AG528" s="1"/>
      <c r="AH528" s="2"/>
      <c r="AI528" s="2"/>
      <c r="AJ528" s="2"/>
      <c r="AK528" s="2"/>
      <c r="AL528" s="2"/>
      <c r="AM528" s="1"/>
      <c r="AN528" s="2"/>
      <c r="AP528" s="2"/>
      <c r="AQ528" s="1"/>
      <c r="AR528" s="2"/>
      <c r="AU528" s="1"/>
      <c r="AW528" s="1"/>
      <c r="AY528" s="2"/>
    </row>
    <row r="529">
      <c r="A529" s="1"/>
      <c r="C529" s="1"/>
      <c r="E529" s="1"/>
      <c r="F529" s="1"/>
      <c r="G529" s="2"/>
      <c r="H529" s="1"/>
      <c r="I529" s="1"/>
      <c r="J529" s="1"/>
      <c r="K529" s="1"/>
      <c r="M529" s="1"/>
      <c r="N529" s="1"/>
      <c r="O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2"/>
      <c r="AB529" s="1"/>
      <c r="AC529" s="1"/>
      <c r="AD529" s="1"/>
      <c r="AE529" s="1"/>
      <c r="AF529" s="1"/>
      <c r="AG529" s="1"/>
      <c r="AH529" s="2"/>
      <c r="AI529" s="2"/>
      <c r="AJ529" s="2"/>
      <c r="AK529" s="2"/>
      <c r="AL529" s="2"/>
      <c r="AM529" s="1"/>
      <c r="AN529" s="2"/>
      <c r="AP529" s="2"/>
      <c r="AQ529" s="1"/>
      <c r="AR529" s="2"/>
      <c r="AU529" s="1"/>
      <c r="AW529" s="1"/>
      <c r="AY529" s="2"/>
    </row>
    <row r="530">
      <c r="A530" s="1"/>
      <c r="C530" s="1"/>
      <c r="E530" s="1"/>
      <c r="F530" s="1"/>
      <c r="G530" s="2"/>
      <c r="H530" s="1"/>
      <c r="I530" s="1"/>
      <c r="J530" s="1"/>
      <c r="K530" s="1"/>
      <c r="M530" s="1"/>
      <c r="N530" s="1"/>
      <c r="O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2"/>
      <c r="AB530" s="1"/>
      <c r="AC530" s="1"/>
      <c r="AD530" s="1"/>
      <c r="AE530" s="1"/>
      <c r="AF530" s="1"/>
      <c r="AG530" s="1"/>
      <c r="AH530" s="2"/>
      <c r="AI530" s="2"/>
      <c r="AJ530" s="2"/>
      <c r="AK530" s="2"/>
      <c r="AL530" s="2"/>
      <c r="AM530" s="1"/>
      <c r="AN530" s="2"/>
      <c r="AP530" s="2"/>
      <c r="AQ530" s="1"/>
      <c r="AR530" s="2"/>
      <c r="AU530" s="1"/>
      <c r="AW530" s="1"/>
      <c r="AY530" s="2"/>
    </row>
    <row r="531">
      <c r="A531" s="1"/>
      <c r="C531" s="1"/>
      <c r="E531" s="1"/>
      <c r="F531" s="1"/>
      <c r="G531" s="2"/>
      <c r="H531" s="1"/>
      <c r="I531" s="1"/>
      <c r="J531" s="1"/>
      <c r="K531" s="1"/>
      <c r="M531" s="1"/>
      <c r="N531" s="1"/>
      <c r="O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2"/>
      <c r="AB531" s="1"/>
      <c r="AC531" s="1"/>
      <c r="AD531" s="1"/>
      <c r="AE531" s="1"/>
      <c r="AF531" s="1"/>
      <c r="AG531" s="1"/>
      <c r="AH531" s="2"/>
      <c r="AI531" s="2"/>
      <c r="AJ531" s="2"/>
      <c r="AK531" s="2"/>
      <c r="AL531" s="2"/>
      <c r="AM531" s="1"/>
      <c r="AN531" s="2"/>
      <c r="AP531" s="2"/>
      <c r="AQ531" s="1"/>
      <c r="AR531" s="2"/>
      <c r="AU531" s="1"/>
      <c r="AW531" s="1"/>
      <c r="AY531" s="2"/>
    </row>
    <row r="532">
      <c r="A532" s="1"/>
      <c r="C532" s="1"/>
      <c r="E532" s="1"/>
      <c r="F532" s="1"/>
      <c r="G532" s="2"/>
      <c r="H532" s="1"/>
      <c r="I532" s="1"/>
      <c r="J532" s="1"/>
      <c r="K532" s="1"/>
      <c r="M532" s="1"/>
      <c r="N532" s="1"/>
      <c r="O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2"/>
      <c r="AB532" s="1"/>
      <c r="AC532" s="1"/>
      <c r="AD532" s="1"/>
      <c r="AE532" s="1"/>
      <c r="AF532" s="1"/>
      <c r="AG532" s="1"/>
      <c r="AH532" s="2"/>
      <c r="AI532" s="2"/>
      <c r="AJ532" s="2"/>
      <c r="AK532" s="2"/>
      <c r="AL532" s="2"/>
      <c r="AM532" s="1"/>
      <c r="AN532" s="2"/>
      <c r="AP532" s="2"/>
      <c r="AQ532" s="1"/>
      <c r="AR532" s="2"/>
      <c r="AU532" s="1"/>
      <c r="AW532" s="1"/>
      <c r="AY532" s="2"/>
    </row>
    <row r="533">
      <c r="A533" s="1"/>
      <c r="C533" s="1"/>
      <c r="E533" s="1"/>
      <c r="F533" s="1"/>
      <c r="G533" s="2"/>
      <c r="H533" s="1"/>
      <c r="I533" s="1"/>
      <c r="J533" s="1"/>
      <c r="K533" s="1"/>
      <c r="M533" s="1"/>
      <c r="N533" s="1"/>
      <c r="O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2"/>
      <c r="AB533" s="1"/>
      <c r="AC533" s="1"/>
      <c r="AD533" s="1"/>
      <c r="AE533" s="1"/>
      <c r="AF533" s="1"/>
      <c r="AG533" s="1"/>
      <c r="AH533" s="2"/>
      <c r="AI533" s="2"/>
      <c r="AJ533" s="2"/>
      <c r="AK533" s="2"/>
      <c r="AL533" s="2"/>
      <c r="AM533" s="1"/>
      <c r="AN533" s="2"/>
      <c r="AP533" s="2"/>
      <c r="AQ533" s="1"/>
      <c r="AR533" s="2"/>
      <c r="AU533" s="1"/>
      <c r="AW533" s="1"/>
      <c r="AY533" s="2"/>
    </row>
    <row r="534">
      <c r="A534" s="1"/>
      <c r="C534" s="1"/>
      <c r="E534" s="1"/>
      <c r="F534" s="1"/>
      <c r="G534" s="2"/>
      <c r="H534" s="1"/>
      <c r="I534" s="1"/>
      <c r="J534" s="1"/>
      <c r="K534" s="1"/>
      <c r="M534" s="1"/>
      <c r="N534" s="1"/>
      <c r="O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2"/>
      <c r="AB534" s="1"/>
      <c r="AC534" s="1"/>
      <c r="AD534" s="1"/>
      <c r="AE534" s="1"/>
      <c r="AF534" s="1"/>
      <c r="AG534" s="1"/>
      <c r="AH534" s="2"/>
      <c r="AI534" s="2"/>
      <c r="AJ534" s="2"/>
      <c r="AK534" s="2"/>
      <c r="AL534" s="2"/>
      <c r="AM534" s="1"/>
      <c r="AN534" s="2"/>
      <c r="AP534" s="2"/>
      <c r="AQ534" s="1"/>
      <c r="AR534" s="2"/>
      <c r="AU534" s="1"/>
      <c r="AW534" s="1"/>
      <c r="AY534" s="2"/>
    </row>
    <row r="535">
      <c r="A535" s="1"/>
      <c r="C535" s="1"/>
      <c r="E535" s="1"/>
      <c r="F535" s="1"/>
      <c r="G535" s="2"/>
      <c r="H535" s="1"/>
      <c r="I535" s="1"/>
      <c r="J535" s="1"/>
      <c r="K535" s="1"/>
      <c r="M535" s="1"/>
      <c r="N535" s="1"/>
      <c r="O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2"/>
      <c r="AB535" s="1"/>
      <c r="AC535" s="1"/>
      <c r="AD535" s="1"/>
      <c r="AE535" s="1"/>
      <c r="AF535" s="1"/>
      <c r="AG535" s="1"/>
      <c r="AH535" s="2"/>
      <c r="AI535" s="2"/>
      <c r="AJ535" s="2"/>
      <c r="AK535" s="2"/>
      <c r="AL535" s="2"/>
      <c r="AM535" s="1"/>
      <c r="AN535" s="2"/>
      <c r="AP535" s="2"/>
      <c r="AQ535" s="1"/>
      <c r="AR535" s="2"/>
      <c r="AU535" s="1"/>
      <c r="AW535" s="1"/>
      <c r="AY535" s="2"/>
    </row>
    <row r="536">
      <c r="A536" s="1"/>
      <c r="C536" s="1"/>
      <c r="E536" s="1"/>
      <c r="F536" s="1"/>
      <c r="G536" s="2"/>
      <c r="H536" s="1"/>
      <c r="I536" s="1"/>
      <c r="J536" s="1"/>
      <c r="K536" s="1"/>
      <c r="M536" s="1"/>
      <c r="N536" s="1"/>
      <c r="O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2"/>
      <c r="AB536" s="1"/>
      <c r="AC536" s="1"/>
      <c r="AD536" s="1"/>
      <c r="AE536" s="1"/>
      <c r="AF536" s="1"/>
      <c r="AG536" s="1"/>
      <c r="AH536" s="2"/>
      <c r="AI536" s="2"/>
      <c r="AJ536" s="2"/>
      <c r="AK536" s="2"/>
      <c r="AL536" s="2"/>
      <c r="AM536" s="1"/>
      <c r="AN536" s="2"/>
      <c r="AP536" s="2"/>
      <c r="AQ536" s="1"/>
      <c r="AR536" s="2"/>
      <c r="AU536" s="1"/>
      <c r="AW536" s="1"/>
      <c r="AY536" s="2"/>
    </row>
    <row r="537">
      <c r="A537" s="1"/>
      <c r="C537" s="1"/>
      <c r="E537" s="1"/>
      <c r="F537" s="1"/>
      <c r="G537" s="2"/>
      <c r="H537" s="1"/>
      <c r="I537" s="1"/>
      <c r="J537" s="1"/>
      <c r="K537" s="1"/>
      <c r="M537" s="1"/>
      <c r="N537" s="1"/>
      <c r="O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2"/>
      <c r="AB537" s="1"/>
      <c r="AC537" s="1"/>
      <c r="AD537" s="1"/>
      <c r="AE537" s="1"/>
      <c r="AF537" s="1"/>
      <c r="AG537" s="1"/>
      <c r="AH537" s="2"/>
      <c r="AI537" s="2"/>
      <c r="AJ537" s="2"/>
      <c r="AK537" s="2"/>
      <c r="AL537" s="2"/>
      <c r="AM537" s="1"/>
      <c r="AN537" s="2"/>
      <c r="AP537" s="2"/>
      <c r="AQ537" s="1"/>
      <c r="AR537" s="2"/>
      <c r="AU537" s="1"/>
      <c r="AW537" s="1"/>
      <c r="AY537" s="2"/>
    </row>
    <row r="538">
      <c r="A538" s="1"/>
      <c r="C538" s="1"/>
      <c r="E538" s="1"/>
      <c r="F538" s="1"/>
      <c r="G538" s="2"/>
      <c r="H538" s="1"/>
      <c r="I538" s="1"/>
      <c r="J538" s="1"/>
      <c r="K538" s="1"/>
      <c r="M538" s="1"/>
      <c r="N538" s="1"/>
      <c r="O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2"/>
      <c r="AB538" s="1"/>
      <c r="AC538" s="1"/>
      <c r="AD538" s="1"/>
      <c r="AE538" s="1"/>
      <c r="AF538" s="1"/>
      <c r="AG538" s="1"/>
      <c r="AH538" s="2"/>
      <c r="AI538" s="2"/>
      <c r="AJ538" s="2"/>
      <c r="AK538" s="2"/>
      <c r="AL538" s="2"/>
      <c r="AM538" s="1"/>
      <c r="AN538" s="2"/>
      <c r="AP538" s="2"/>
      <c r="AQ538" s="1"/>
      <c r="AR538" s="2"/>
      <c r="AU538" s="1"/>
      <c r="AW538" s="1"/>
      <c r="AY538" s="2"/>
    </row>
    <row r="539">
      <c r="A539" s="1"/>
      <c r="C539" s="1"/>
      <c r="E539" s="1"/>
      <c r="F539" s="1"/>
      <c r="G539" s="2"/>
      <c r="H539" s="1"/>
      <c r="I539" s="1"/>
      <c r="J539" s="1"/>
      <c r="K539" s="1"/>
      <c r="M539" s="1"/>
      <c r="N539" s="1"/>
      <c r="O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2"/>
      <c r="AB539" s="1"/>
      <c r="AC539" s="1"/>
      <c r="AD539" s="1"/>
      <c r="AE539" s="1"/>
      <c r="AF539" s="1"/>
      <c r="AG539" s="1"/>
      <c r="AH539" s="2"/>
      <c r="AI539" s="2"/>
      <c r="AJ539" s="2"/>
      <c r="AK539" s="2"/>
      <c r="AL539" s="2"/>
      <c r="AM539" s="1"/>
      <c r="AN539" s="2"/>
      <c r="AP539" s="2"/>
      <c r="AQ539" s="1"/>
      <c r="AR539" s="2"/>
      <c r="AU539" s="1"/>
      <c r="AW539" s="1"/>
      <c r="AY539" s="2"/>
    </row>
    <row r="540">
      <c r="A540" s="1"/>
      <c r="C540" s="1"/>
      <c r="E540" s="1"/>
      <c r="F540" s="1"/>
      <c r="G540" s="2"/>
      <c r="H540" s="1"/>
      <c r="I540" s="1"/>
      <c r="J540" s="1"/>
      <c r="K540" s="1"/>
      <c r="M540" s="1"/>
      <c r="N540" s="1"/>
      <c r="O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2"/>
      <c r="AB540" s="1"/>
      <c r="AC540" s="1"/>
      <c r="AD540" s="1"/>
      <c r="AE540" s="1"/>
      <c r="AF540" s="1"/>
      <c r="AG540" s="1"/>
      <c r="AH540" s="2"/>
      <c r="AI540" s="2"/>
      <c r="AJ540" s="2"/>
      <c r="AK540" s="2"/>
      <c r="AL540" s="2"/>
      <c r="AM540" s="1"/>
      <c r="AN540" s="2"/>
      <c r="AP540" s="2"/>
      <c r="AQ540" s="1"/>
      <c r="AR540" s="2"/>
      <c r="AU540" s="1"/>
      <c r="AW540" s="1"/>
      <c r="AY540" s="2"/>
    </row>
    <row r="541">
      <c r="A541" s="1"/>
      <c r="C541" s="1"/>
      <c r="E541" s="1"/>
      <c r="F541" s="1"/>
      <c r="G541" s="2"/>
      <c r="H541" s="1"/>
      <c r="I541" s="1"/>
      <c r="J541" s="1"/>
      <c r="K541" s="1"/>
      <c r="M541" s="1"/>
      <c r="N541" s="1"/>
      <c r="O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2"/>
      <c r="AB541" s="1"/>
      <c r="AC541" s="1"/>
      <c r="AD541" s="1"/>
      <c r="AE541" s="1"/>
      <c r="AF541" s="1"/>
      <c r="AG541" s="1"/>
      <c r="AH541" s="2"/>
      <c r="AI541" s="2"/>
      <c r="AJ541" s="2"/>
      <c r="AK541" s="2"/>
      <c r="AL541" s="2"/>
      <c r="AM541" s="1"/>
      <c r="AN541" s="2"/>
      <c r="AP541" s="2"/>
      <c r="AQ541" s="1"/>
      <c r="AR541" s="2"/>
      <c r="AU541" s="1"/>
      <c r="AW541" s="1"/>
      <c r="AY541" s="2"/>
    </row>
    <row r="542">
      <c r="A542" s="1"/>
      <c r="C542" s="1"/>
      <c r="E542" s="1"/>
      <c r="F542" s="1"/>
      <c r="G542" s="2"/>
      <c r="H542" s="1"/>
      <c r="I542" s="1"/>
      <c r="J542" s="1"/>
      <c r="K542" s="1"/>
      <c r="M542" s="1"/>
      <c r="N542" s="1"/>
      <c r="O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2"/>
      <c r="AB542" s="1"/>
      <c r="AC542" s="1"/>
      <c r="AD542" s="1"/>
      <c r="AE542" s="1"/>
      <c r="AF542" s="1"/>
      <c r="AG542" s="1"/>
      <c r="AH542" s="2"/>
      <c r="AI542" s="2"/>
      <c r="AJ542" s="2"/>
      <c r="AK542" s="2"/>
      <c r="AL542" s="2"/>
      <c r="AM542" s="1"/>
      <c r="AN542" s="2"/>
      <c r="AP542" s="2"/>
      <c r="AQ542" s="1"/>
      <c r="AR542" s="2"/>
      <c r="AU542" s="1"/>
      <c r="AW542" s="1"/>
      <c r="AY542" s="2"/>
    </row>
    <row r="543">
      <c r="A543" s="1"/>
      <c r="C543" s="1"/>
      <c r="E543" s="1"/>
      <c r="F543" s="1"/>
      <c r="G543" s="2"/>
      <c r="H543" s="1"/>
      <c r="I543" s="1"/>
      <c r="J543" s="1"/>
      <c r="K543" s="1"/>
      <c r="M543" s="1"/>
      <c r="N543" s="1"/>
      <c r="O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2"/>
      <c r="AB543" s="1"/>
      <c r="AC543" s="1"/>
      <c r="AD543" s="1"/>
      <c r="AE543" s="1"/>
      <c r="AF543" s="1"/>
      <c r="AG543" s="1"/>
      <c r="AH543" s="2"/>
      <c r="AI543" s="2"/>
      <c r="AJ543" s="2"/>
      <c r="AK543" s="2"/>
      <c r="AL543" s="2"/>
      <c r="AM543" s="1"/>
      <c r="AN543" s="2"/>
      <c r="AP543" s="2"/>
      <c r="AQ543" s="1"/>
      <c r="AR543" s="2"/>
      <c r="AU543" s="1"/>
      <c r="AW543" s="1"/>
      <c r="AY543" s="2"/>
    </row>
    <row r="544">
      <c r="A544" s="1"/>
      <c r="C544" s="1"/>
      <c r="E544" s="1"/>
      <c r="F544" s="1"/>
      <c r="G544" s="2"/>
      <c r="H544" s="1"/>
      <c r="I544" s="1"/>
      <c r="J544" s="1"/>
      <c r="K544" s="1"/>
      <c r="M544" s="1"/>
      <c r="N544" s="1"/>
      <c r="O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2"/>
      <c r="AB544" s="1"/>
      <c r="AC544" s="1"/>
      <c r="AD544" s="1"/>
      <c r="AE544" s="1"/>
      <c r="AF544" s="1"/>
      <c r="AG544" s="1"/>
      <c r="AH544" s="2"/>
      <c r="AI544" s="2"/>
      <c r="AJ544" s="2"/>
      <c r="AK544" s="2"/>
      <c r="AL544" s="2"/>
      <c r="AM544" s="1"/>
      <c r="AN544" s="2"/>
      <c r="AP544" s="2"/>
      <c r="AQ544" s="1"/>
      <c r="AR544" s="2"/>
      <c r="AU544" s="1"/>
      <c r="AW544" s="1"/>
      <c r="AY544" s="2"/>
    </row>
    <row r="545">
      <c r="A545" s="1"/>
      <c r="C545" s="1"/>
      <c r="E545" s="1"/>
      <c r="F545" s="1"/>
      <c r="G545" s="2"/>
      <c r="H545" s="1"/>
      <c r="I545" s="1"/>
      <c r="J545" s="1"/>
      <c r="K545" s="1"/>
      <c r="M545" s="1"/>
      <c r="N545" s="1"/>
      <c r="O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2"/>
      <c r="AB545" s="1"/>
      <c r="AC545" s="1"/>
      <c r="AD545" s="1"/>
      <c r="AE545" s="1"/>
      <c r="AF545" s="1"/>
      <c r="AG545" s="1"/>
      <c r="AH545" s="2"/>
      <c r="AI545" s="2"/>
      <c r="AJ545" s="2"/>
      <c r="AK545" s="2"/>
      <c r="AL545" s="2"/>
      <c r="AM545" s="1"/>
      <c r="AN545" s="2"/>
      <c r="AP545" s="2"/>
      <c r="AQ545" s="1"/>
      <c r="AR545" s="2"/>
      <c r="AU545" s="1"/>
      <c r="AW545" s="1"/>
      <c r="AY545" s="2"/>
    </row>
    <row r="546">
      <c r="A546" s="1"/>
      <c r="C546" s="1"/>
      <c r="E546" s="1"/>
      <c r="F546" s="1"/>
      <c r="G546" s="2"/>
      <c r="H546" s="1"/>
      <c r="I546" s="1"/>
      <c r="J546" s="1"/>
      <c r="K546" s="1"/>
      <c r="M546" s="1"/>
      <c r="N546" s="1"/>
      <c r="O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2"/>
      <c r="AB546" s="1"/>
      <c r="AC546" s="1"/>
      <c r="AD546" s="1"/>
      <c r="AE546" s="1"/>
      <c r="AF546" s="1"/>
      <c r="AG546" s="1"/>
      <c r="AH546" s="2"/>
      <c r="AI546" s="2"/>
      <c r="AJ546" s="2"/>
      <c r="AK546" s="2"/>
      <c r="AL546" s="2"/>
      <c r="AM546" s="1"/>
      <c r="AN546" s="2"/>
      <c r="AP546" s="2"/>
      <c r="AQ546" s="1"/>
      <c r="AR546" s="2"/>
      <c r="AU546" s="1"/>
      <c r="AW546" s="1"/>
      <c r="AY546" s="2"/>
    </row>
    <row r="547">
      <c r="A547" s="1"/>
      <c r="C547" s="1"/>
      <c r="E547" s="1"/>
      <c r="F547" s="1"/>
      <c r="G547" s="2"/>
      <c r="H547" s="1"/>
      <c r="I547" s="1"/>
      <c r="J547" s="1"/>
      <c r="K547" s="1"/>
      <c r="M547" s="1"/>
      <c r="N547" s="1"/>
      <c r="O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2"/>
      <c r="AB547" s="1"/>
      <c r="AC547" s="1"/>
      <c r="AD547" s="1"/>
      <c r="AE547" s="1"/>
      <c r="AF547" s="1"/>
      <c r="AG547" s="1"/>
      <c r="AH547" s="2"/>
      <c r="AI547" s="2"/>
      <c r="AJ547" s="2"/>
      <c r="AK547" s="2"/>
      <c r="AL547" s="2"/>
      <c r="AM547" s="1"/>
      <c r="AN547" s="2"/>
      <c r="AP547" s="2"/>
      <c r="AQ547" s="1"/>
      <c r="AR547" s="2"/>
      <c r="AU547" s="1"/>
      <c r="AW547" s="1"/>
      <c r="AY547" s="2"/>
    </row>
    <row r="548">
      <c r="A548" s="1"/>
      <c r="C548" s="1"/>
      <c r="E548" s="1"/>
      <c r="F548" s="1"/>
      <c r="G548" s="2"/>
      <c r="H548" s="1"/>
      <c r="I548" s="1"/>
      <c r="J548" s="1"/>
      <c r="K548" s="1"/>
      <c r="M548" s="1"/>
      <c r="N548" s="1"/>
      <c r="O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2"/>
      <c r="AB548" s="1"/>
      <c r="AC548" s="1"/>
      <c r="AD548" s="1"/>
      <c r="AE548" s="1"/>
      <c r="AF548" s="1"/>
      <c r="AG548" s="1"/>
      <c r="AH548" s="2"/>
      <c r="AI548" s="2"/>
      <c r="AJ548" s="2"/>
      <c r="AK548" s="2"/>
      <c r="AL548" s="2"/>
      <c r="AM548" s="1"/>
      <c r="AN548" s="2"/>
      <c r="AP548" s="2"/>
      <c r="AQ548" s="1"/>
      <c r="AR548" s="2"/>
      <c r="AU548" s="1"/>
      <c r="AW548" s="1"/>
      <c r="AY548" s="2"/>
    </row>
    <row r="549">
      <c r="A549" s="1"/>
      <c r="C549" s="1"/>
      <c r="E549" s="1"/>
      <c r="F549" s="1"/>
      <c r="G549" s="2"/>
      <c r="H549" s="1"/>
      <c r="I549" s="1"/>
      <c r="J549" s="1"/>
      <c r="K549" s="1"/>
      <c r="M549" s="1"/>
      <c r="N549" s="1"/>
      <c r="O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2"/>
      <c r="AB549" s="1"/>
      <c r="AC549" s="1"/>
      <c r="AD549" s="1"/>
      <c r="AE549" s="1"/>
      <c r="AF549" s="1"/>
      <c r="AG549" s="1"/>
      <c r="AH549" s="2"/>
      <c r="AI549" s="2"/>
      <c r="AJ549" s="2"/>
      <c r="AK549" s="2"/>
      <c r="AL549" s="2"/>
      <c r="AM549" s="1"/>
      <c r="AN549" s="2"/>
      <c r="AP549" s="2"/>
      <c r="AQ549" s="1"/>
      <c r="AR549" s="2"/>
      <c r="AU549" s="1"/>
      <c r="AW549" s="1"/>
      <c r="AY549" s="2"/>
    </row>
    <row r="550">
      <c r="A550" s="1"/>
      <c r="C550" s="1"/>
      <c r="E550" s="1"/>
      <c r="F550" s="1"/>
      <c r="G550" s="2"/>
      <c r="H550" s="1"/>
      <c r="I550" s="1"/>
      <c r="J550" s="1"/>
      <c r="K550" s="1"/>
      <c r="M550" s="1"/>
      <c r="N550" s="1"/>
      <c r="O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2"/>
      <c r="AB550" s="1"/>
      <c r="AC550" s="1"/>
      <c r="AD550" s="1"/>
      <c r="AE550" s="1"/>
      <c r="AF550" s="1"/>
      <c r="AG550" s="1"/>
      <c r="AH550" s="2"/>
      <c r="AI550" s="2"/>
      <c r="AJ550" s="2"/>
      <c r="AK550" s="2"/>
      <c r="AL550" s="2"/>
      <c r="AM550" s="1"/>
      <c r="AN550" s="2"/>
      <c r="AP550" s="2"/>
      <c r="AQ550" s="1"/>
      <c r="AR550" s="2"/>
      <c r="AU550" s="1"/>
      <c r="AW550" s="1"/>
      <c r="AY550" s="2"/>
    </row>
    <row r="551">
      <c r="A551" s="1"/>
      <c r="C551" s="1"/>
      <c r="E551" s="1"/>
      <c r="F551" s="1"/>
      <c r="G551" s="2"/>
      <c r="H551" s="1"/>
      <c r="I551" s="1"/>
      <c r="J551" s="1"/>
      <c r="K551" s="1"/>
      <c r="M551" s="1"/>
      <c r="N551" s="1"/>
      <c r="O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2"/>
      <c r="AB551" s="1"/>
      <c r="AC551" s="1"/>
      <c r="AD551" s="1"/>
      <c r="AE551" s="1"/>
      <c r="AF551" s="1"/>
      <c r="AG551" s="1"/>
      <c r="AH551" s="2"/>
      <c r="AI551" s="2"/>
      <c r="AJ551" s="2"/>
      <c r="AK551" s="2"/>
      <c r="AL551" s="2"/>
      <c r="AM551" s="1"/>
      <c r="AN551" s="2"/>
      <c r="AP551" s="2"/>
      <c r="AQ551" s="1"/>
      <c r="AR551" s="2"/>
      <c r="AU551" s="1"/>
      <c r="AW551" s="1"/>
      <c r="AY551" s="2"/>
    </row>
    <row r="552">
      <c r="A552" s="1"/>
      <c r="C552" s="1"/>
      <c r="E552" s="1"/>
      <c r="F552" s="1"/>
      <c r="G552" s="2"/>
      <c r="H552" s="1"/>
      <c r="I552" s="1"/>
      <c r="J552" s="1"/>
      <c r="K552" s="1"/>
      <c r="M552" s="1"/>
      <c r="N552" s="1"/>
      <c r="O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2"/>
      <c r="AB552" s="1"/>
      <c r="AC552" s="1"/>
      <c r="AD552" s="1"/>
      <c r="AE552" s="1"/>
      <c r="AF552" s="1"/>
      <c r="AG552" s="1"/>
      <c r="AH552" s="2"/>
      <c r="AI552" s="2"/>
      <c r="AJ552" s="2"/>
      <c r="AK552" s="2"/>
      <c r="AL552" s="2"/>
      <c r="AM552" s="1"/>
      <c r="AN552" s="2"/>
      <c r="AP552" s="2"/>
      <c r="AQ552" s="1"/>
      <c r="AR552" s="2"/>
      <c r="AU552" s="1"/>
      <c r="AW552" s="1"/>
      <c r="AY552" s="2"/>
    </row>
    <row r="553">
      <c r="A553" s="1"/>
      <c r="C553" s="1"/>
      <c r="E553" s="1"/>
      <c r="F553" s="1"/>
      <c r="G553" s="2"/>
      <c r="H553" s="1"/>
      <c r="I553" s="1"/>
      <c r="J553" s="1"/>
      <c r="K553" s="1"/>
      <c r="M553" s="1"/>
      <c r="N553" s="1"/>
      <c r="O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2"/>
      <c r="AI553" s="2"/>
      <c r="AJ553" s="2"/>
      <c r="AK553" s="2"/>
      <c r="AL553" s="2"/>
      <c r="AM553" s="1"/>
      <c r="AN553" s="2"/>
      <c r="AP553" s="2"/>
      <c r="AQ553" s="1"/>
      <c r="AR553" s="2"/>
      <c r="AU553" s="1"/>
      <c r="AW553" s="1"/>
      <c r="AY553" s="2"/>
    </row>
    <row r="554">
      <c r="A554" s="1"/>
      <c r="C554" s="1"/>
      <c r="E554" s="1"/>
      <c r="F554" s="1"/>
      <c r="G554" s="2"/>
      <c r="H554" s="1"/>
      <c r="I554" s="1"/>
      <c r="J554" s="1"/>
      <c r="K554" s="1"/>
      <c r="M554" s="1"/>
      <c r="N554" s="1"/>
      <c r="O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2"/>
      <c r="AB554" s="1"/>
      <c r="AC554" s="1"/>
      <c r="AD554" s="1"/>
      <c r="AE554" s="1"/>
      <c r="AF554" s="1"/>
      <c r="AG554" s="1"/>
      <c r="AH554" s="2"/>
      <c r="AI554" s="2"/>
      <c r="AJ554" s="2"/>
      <c r="AK554" s="2"/>
      <c r="AL554" s="2"/>
      <c r="AM554" s="1"/>
      <c r="AN554" s="2"/>
      <c r="AP554" s="2"/>
      <c r="AQ554" s="1"/>
      <c r="AR554" s="2"/>
      <c r="AU554" s="1"/>
      <c r="AW554" s="1"/>
      <c r="AY554" s="2"/>
    </row>
    <row r="555">
      <c r="A555" s="1"/>
      <c r="C555" s="1"/>
      <c r="E555" s="1"/>
      <c r="F555" s="1"/>
      <c r="G555" s="2"/>
      <c r="H555" s="1"/>
      <c r="I555" s="1"/>
      <c r="J555" s="1"/>
      <c r="K555" s="1"/>
      <c r="M555" s="1"/>
      <c r="N555" s="1"/>
      <c r="O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2"/>
      <c r="AB555" s="1"/>
      <c r="AC555" s="1"/>
      <c r="AD555" s="1"/>
      <c r="AE555" s="1"/>
      <c r="AF555" s="1"/>
      <c r="AG555" s="1"/>
      <c r="AH555" s="2"/>
      <c r="AI555" s="2"/>
      <c r="AJ555" s="2"/>
      <c r="AK555" s="2"/>
      <c r="AL555" s="2"/>
      <c r="AM555" s="1"/>
      <c r="AN555" s="2"/>
      <c r="AP555" s="2"/>
      <c r="AQ555" s="1"/>
      <c r="AR555" s="2"/>
      <c r="AU555" s="1"/>
      <c r="AW555" s="1"/>
      <c r="AY555" s="2"/>
    </row>
    <row r="556">
      <c r="A556" s="1"/>
      <c r="C556" s="1"/>
      <c r="E556" s="1"/>
      <c r="F556" s="1"/>
      <c r="G556" s="2"/>
      <c r="H556" s="1"/>
      <c r="I556" s="1"/>
      <c r="J556" s="1"/>
      <c r="K556" s="1"/>
      <c r="M556" s="1"/>
      <c r="N556" s="1"/>
      <c r="O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2"/>
      <c r="AB556" s="1"/>
      <c r="AC556" s="1"/>
      <c r="AD556" s="1"/>
      <c r="AE556" s="1"/>
      <c r="AF556" s="1"/>
      <c r="AG556" s="1"/>
      <c r="AH556" s="2"/>
      <c r="AI556" s="2"/>
      <c r="AJ556" s="2"/>
      <c r="AK556" s="2"/>
      <c r="AL556" s="2"/>
      <c r="AM556" s="1"/>
      <c r="AN556" s="2"/>
      <c r="AP556" s="2"/>
      <c r="AQ556" s="1"/>
      <c r="AR556" s="2"/>
      <c r="AU556" s="1"/>
      <c r="AW556" s="1"/>
      <c r="AY556" s="2"/>
    </row>
    <row r="557">
      <c r="A557" s="1"/>
      <c r="C557" s="1"/>
      <c r="E557" s="1"/>
      <c r="F557" s="1"/>
      <c r="G557" s="2"/>
      <c r="H557" s="1"/>
      <c r="I557" s="1"/>
      <c r="J557" s="1"/>
      <c r="K557" s="1"/>
      <c r="M557" s="1"/>
      <c r="N557" s="1"/>
      <c r="O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2"/>
      <c r="AB557" s="1"/>
      <c r="AC557" s="1"/>
      <c r="AD557" s="1"/>
      <c r="AE557" s="1"/>
      <c r="AF557" s="1"/>
      <c r="AG557" s="1"/>
      <c r="AH557" s="2"/>
      <c r="AI557" s="2"/>
      <c r="AJ557" s="2"/>
      <c r="AK557" s="2"/>
      <c r="AL557" s="2"/>
      <c r="AM557" s="1"/>
      <c r="AN557" s="2"/>
      <c r="AP557" s="2"/>
      <c r="AQ557" s="1"/>
      <c r="AR557" s="2"/>
      <c r="AU557" s="1"/>
      <c r="AW557" s="1"/>
      <c r="AY557" s="2"/>
    </row>
    <row r="558">
      <c r="A558" s="1"/>
      <c r="C558" s="1"/>
      <c r="E558" s="1"/>
      <c r="F558" s="1"/>
      <c r="G558" s="2"/>
      <c r="H558" s="1"/>
      <c r="I558" s="1"/>
      <c r="J558" s="1"/>
      <c r="K558" s="1"/>
      <c r="M558" s="1"/>
      <c r="N558" s="1"/>
      <c r="O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2"/>
      <c r="AB558" s="1"/>
      <c r="AC558" s="1"/>
      <c r="AD558" s="1"/>
      <c r="AE558" s="1"/>
      <c r="AF558" s="1"/>
      <c r="AG558" s="1"/>
      <c r="AH558" s="2"/>
      <c r="AI558" s="2"/>
      <c r="AJ558" s="2"/>
      <c r="AK558" s="2"/>
      <c r="AL558" s="2"/>
      <c r="AM558" s="1"/>
      <c r="AN558" s="2"/>
      <c r="AP558" s="2"/>
      <c r="AQ558" s="1"/>
      <c r="AR558" s="2"/>
      <c r="AU558" s="1"/>
      <c r="AW558" s="1"/>
      <c r="AY558" s="2"/>
    </row>
    <row r="559">
      <c r="A559" s="1"/>
      <c r="C559" s="1"/>
      <c r="E559" s="1"/>
      <c r="F559" s="1"/>
      <c r="G559" s="2"/>
      <c r="H559" s="1"/>
      <c r="I559" s="1"/>
      <c r="J559" s="1"/>
      <c r="K559" s="1"/>
      <c r="M559" s="1"/>
      <c r="N559" s="1"/>
      <c r="O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2"/>
      <c r="AB559" s="1"/>
      <c r="AC559" s="1"/>
      <c r="AD559" s="1"/>
      <c r="AE559" s="1"/>
      <c r="AF559" s="1"/>
      <c r="AG559" s="1"/>
      <c r="AH559" s="2"/>
      <c r="AI559" s="2"/>
      <c r="AJ559" s="2"/>
      <c r="AK559" s="2"/>
      <c r="AL559" s="2"/>
      <c r="AM559" s="1"/>
      <c r="AN559" s="2"/>
      <c r="AP559" s="2"/>
      <c r="AQ559" s="1"/>
      <c r="AR559" s="2"/>
      <c r="AU559" s="1"/>
      <c r="AW559" s="1"/>
      <c r="AY559" s="2"/>
    </row>
    <row r="560">
      <c r="A560" s="1"/>
      <c r="C560" s="1"/>
      <c r="E560" s="1"/>
      <c r="F560" s="1"/>
      <c r="G560" s="2"/>
      <c r="H560" s="1"/>
      <c r="I560" s="1"/>
      <c r="J560" s="1"/>
      <c r="K560" s="1"/>
      <c r="M560" s="1"/>
      <c r="N560" s="1"/>
      <c r="O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2"/>
      <c r="AB560" s="1"/>
      <c r="AC560" s="1"/>
      <c r="AD560" s="1"/>
      <c r="AE560" s="1"/>
      <c r="AF560" s="1"/>
      <c r="AG560" s="1"/>
      <c r="AH560" s="2"/>
      <c r="AI560" s="2"/>
      <c r="AJ560" s="2"/>
      <c r="AK560" s="2"/>
      <c r="AL560" s="2"/>
      <c r="AM560" s="1"/>
      <c r="AN560" s="2"/>
      <c r="AP560" s="2"/>
      <c r="AQ560" s="1"/>
      <c r="AR560" s="2"/>
      <c r="AU560" s="1"/>
      <c r="AW560" s="1"/>
      <c r="AY560" s="2"/>
    </row>
    <row r="561">
      <c r="A561" s="1"/>
      <c r="C561" s="1"/>
      <c r="E561" s="1"/>
      <c r="F561" s="1"/>
      <c r="G561" s="2"/>
      <c r="H561" s="1"/>
      <c r="I561" s="1"/>
      <c r="J561" s="1"/>
      <c r="K561" s="1"/>
      <c r="M561" s="1"/>
      <c r="N561" s="1"/>
      <c r="O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2"/>
      <c r="AB561" s="1"/>
      <c r="AC561" s="1"/>
      <c r="AD561" s="1"/>
      <c r="AE561" s="1"/>
      <c r="AF561" s="1"/>
      <c r="AG561" s="1"/>
      <c r="AH561" s="2"/>
      <c r="AI561" s="2"/>
      <c r="AJ561" s="2"/>
      <c r="AK561" s="2"/>
      <c r="AL561" s="2"/>
      <c r="AM561" s="1"/>
      <c r="AN561" s="2"/>
      <c r="AP561" s="2"/>
      <c r="AQ561" s="1"/>
      <c r="AR561" s="2"/>
      <c r="AU561" s="1"/>
      <c r="AW561" s="1"/>
      <c r="AY561" s="2"/>
    </row>
    <row r="562">
      <c r="A562" s="1"/>
      <c r="C562" s="1"/>
      <c r="E562" s="1"/>
      <c r="F562" s="1"/>
      <c r="G562" s="2"/>
      <c r="H562" s="1"/>
      <c r="I562" s="1"/>
      <c r="J562" s="1"/>
      <c r="K562" s="1"/>
      <c r="M562" s="1"/>
      <c r="N562" s="1"/>
      <c r="O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2"/>
      <c r="AB562" s="1"/>
      <c r="AC562" s="1"/>
      <c r="AD562" s="1"/>
      <c r="AE562" s="1"/>
      <c r="AF562" s="1"/>
      <c r="AG562" s="1"/>
      <c r="AH562" s="2"/>
      <c r="AI562" s="2"/>
      <c r="AJ562" s="2"/>
      <c r="AK562" s="2"/>
      <c r="AL562" s="2"/>
      <c r="AM562" s="1"/>
      <c r="AN562" s="2"/>
      <c r="AP562" s="2"/>
      <c r="AQ562" s="1"/>
      <c r="AR562" s="2"/>
      <c r="AU562" s="1"/>
      <c r="AW562" s="1"/>
      <c r="AY562" s="2"/>
    </row>
    <row r="563">
      <c r="A563" s="1"/>
      <c r="C563" s="1"/>
      <c r="E563" s="1"/>
      <c r="F563" s="1"/>
      <c r="G563" s="2"/>
      <c r="H563" s="1"/>
      <c r="I563" s="1"/>
      <c r="J563" s="1"/>
      <c r="K563" s="1"/>
      <c r="M563" s="1"/>
      <c r="N563" s="1"/>
      <c r="O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2"/>
      <c r="AB563" s="1"/>
      <c r="AC563" s="1"/>
      <c r="AD563" s="1"/>
      <c r="AE563" s="1"/>
      <c r="AF563" s="1"/>
      <c r="AG563" s="1"/>
      <c r="AH563" s="2"/>
      <c r="AI563" s="2"/>
      <c r="AJ563" s="2"/>
      <c r="AK563" s="2"/>
      <c r="AL563" s="2"/>
      <c r="AM563" s="1"/>
      <c r="AN563" s="2"/>
      <c r="AP563" s="2"/>
      <c r="AQ563" s="1"/>
      <c r="AR563" s="2"/>
      <c r="AU563" s="1"/>
      <c r="AW563" s="1"/>
      <c r="AY563" s="2"/>
    </row>
    <row r="564">
      <c r="A564" s="1"/>
      <c r="C564" s="1"/>
      <c r="E564" s="1"/>
      <c r="F564" s="1"/>
      <c r="G564" s="2"/>
      <c r="H564" s="1"/>
      <c r="I564" s="1"/>
      <c r="J564" s="1"/>
      <c r="K564" s="1"/>
      <c r="M564" s="1"/>
      <c r="N564" s="1"/>
      <c r="O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2"/>
      <c r="AB564" s="1"/>
      <c r="AC564" s="1"/>
      <c r="AD564" s="1"/>
      <c r="AE564" s="1"/>
      <c r="AF564" s="1"/>
      <c r="AG564" s="1"/>
      <c r="AH564" s="2"/>
      <c r="AI564" s="2"/>
      <c r="AJ564" s="2"/>
      <c r="AK564" s="2"/>
      <c r="AL564" s="2"/>
      <c r="AM564" s="1"/>
      <c r="AN564" s="2"/>
      <c r="AP564" s="2"/>
      <c r="AQ564" s="1"/>
      <c r="AR564" s="2"/>
      <c r="AU564" s="1"/>
      <c r="AW564" s="1"/>
      <c r="AY564" s="2"/>
    </row>
    <row r="565">
      <c r="A565" s="1"/>
      <c r="C565" s="1"/>
      <c r="E565" s="1"/>
      <c r="F565" s="1"/>
      <c r="G565" s="2"/>
      <c r="H565" s="1"/>
      <c r="I565" s="1"/>
      <c r="J565" s="1"/>
      <c r="K565" s="1"/>
      <c r="M565" s="1"/>
      <c r="N565" s="1"/>
      <c r="O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2"/>
      <c r="AB565" s="1"/>
      <c r="AC565" s="1"/>
      <c r="AD565" s="1"/>
      <c r="AE565" s="1"/>
      <c r="AF565" s="1"/>
      <c r="AG565" s="1"/>
      <c r="AH565" s="2"/>
      <c r="AI565" s="2"/>
      <c r="AJ565" s="2"/>
      <c r="AK565" s="2"/>
      <c r="AL565" s="2"/>
      <c r="AM565" s="1"/>
      <c r="AN565" s="2"/>
      <c r="AP565" s="2"/>
      <c r="AQ565" s="1"/>
      <c r="AR565" s="2"/>
      <c r="AU565" s="1"/>
      <c r="AW565" s="1"/>
      <c r="AY565" s="2"/>
    </row>
    <row r="566">
      <c r="A566" s="1"/>
      <c r="C566" s="1"/>
      <c r="E566" s="1"/>
      <c r="F566" s="1"/>
      <c r="G566" s="2"/>
      <c r="H566" s="1"/>
      <c r="I566" s="1"/>
      <c r="J566" s="1"/>
      <c r="K566" s="1"/>
      <c r="M566" s="1"/>
      <c r="N566" s="1"/>
      <c r="O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2"/>
      <c r="AB566" s="1"/>
      <c r="AC566" s="1"/>
      <c r="AD566" s="1"/>
      <c r="AE566" s="1"/>
      <c r="AF566" s="1"/>
      <c r="AG566" s="1"/>
      <c r="AH566" s="2"/>
      <c r="AI566" s="2"/>
      <c r="AJ566" s="2"/>
      <c r="AK566" s="2"/>
      <c r="AL566" s="2"/>
      <c r="AM566" s="1"/>
      <c r="AN566" s="2"/>
      <c r="AP566" s="2"/>
      <c r="AQ566" s="1"/>
      <c r="AR566" s="2"/>
      <c r="AU566" s="1"/>
      <c r="AW566" s="1"/>
      <c r="AY566" s="2"/>
    </row>
    <row r="567">
      <c r="A567" s="1"/>
      <c r="C567" s="1"/>
      <c r="E567" s="1"/>
      <c r="F567" s="1"/>
      <c r="G567" s="2"/>
      <c r="H567" s="1"/>
      <c r="I567" s="1"/>
      <c r="J567" s="1"/>
      <c r="K567" s="1"/>
      <c r="M567" s="1"/>
      <c r="N567" s="1"/>
      <c r="O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2"/>
      <c r="AB567" s="1"/>
      <c r="AC567" s="1"/>
      <c r="AD567" s="1"/>
      <c r="AE567" s="1"/>
      <c r="AF567" s="1"/>
      <c r="AG567" s="1"/>
      <c r="AH567" s="2"/>
      <c r="AI567" s="2"/>
      <c r="AJ567" s="2"/>
      <c r="AK567" s="2"/>
      <c r="AL567" s="2"/>
      <c r="AM567" s="1"/>
      <c r="AN567" s="2"/>
      <c r="AP567" s="2"/>
      <c r="AQ567" s="1"/>
      <c r="AR567" s="2"/>
      <c r="AU567" s="1"/>
      <c r="AW567" s="1"/>
      <c r="AY567" s="2"/>
    </row>
    <row r="568">
      <c r="A568" s="1"/>
      <c r="C568" s="1"/>
      <c r="E568" s="1"/>
      <c r="F568" s="1"/>
      <c r="G568" s="2"/>
      <c r="H568" s="1"/>
      <c r="I568" s="1"/>
      <c r="J568" s="1"/>
      <c r="K568" s="1"/>
      <c r="M568" s="1"/>
      <c r="N568" s="1"/>
      <c r="O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2"/>
      <c r="AB568" s="1"/>
      <c r="AC568" s="1"/>
      <c r="AD568" s="1"/>
      <c r="AE568" s="1"/>
      <c r="AF568" s="1"/>
      <c r="AG568" s="1"/>
      <c r="AH568" s="2"/>
      <c r="AI568" s="2"/>
      <c r="AJ568" s="2"/>
      <c r="AK568" s="2"/>
      <c r="AL568" s="2"/>
      <c r="AM568" s="1"/>
      <c r="AN568" s="2"/>
      <c r="AP568" s="2"/>
      <c r="AQ568" s="1"/>
      <c r="AR568" s="2"/>
      <c r="AU568" s="1"/>
      <c r="AW568" s="1"/>
      <c r="AY568" s="2"/>
    </row>
    <row r="569">
      <c r="A569" s="1"/>
      <c r="C569" s="1"/>
      <c r="E569" s="1"/>
      <c r="F569" s="1"/>
      <c r="G569" s="2"/>
      <c r="H569" s="1"/>
      <c r="I569" s="1"/>
      <c r="J569" s="1"/>
      <c r="K569" s="1"/>
      <c r="M569" s="1"/>
      <c r="N569" s="1"/>
      <c r="O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2"/>
      <c r="AB569" s="1"/>
      <c r="AC569" s="1"/>
      <c r="AD569" s="1"/>
      <c r="AE569" s="1"/>
      <c r="AF569" s="1"/>
      <c r="AG569" s="1"/>
      <c r="AH569" s="2"/>
      <c r="AI569" s="2"/>
      <c r="AJ569" s="2"/>
      <c r="AK569" s="2"/>
      <c r="AL569" s="2"/>
      <c r="AM569" s="1"/>
      <c r="AN569" s="2"/>
      <c r="AP569" s="2"/>
      <c r="AQ569" s="1"/>
      <c r="AR569" s="2"/>
      <c r="AU569" s="1"/>
      <c r="AW569" s="1"/>
      <c r="AY569" s="2"/>
    </row>
    <row r="570">
      <c r="A570" s="1"/>
      <c r="C570" s="1"/>
      <c r="E570" s="1"/>
      <c r="F570" s="1"/>
      <c r="G570" s="2"/>
      <c r="H570" s="1"/>
      <c r="I570" s="1"/>
      <c r="J570" s="1"/>
      <c r="K570" s="1"/>
      <c r="M570" s="1"/>
      <c r="N570" s="1"/>
      <c r="O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2"/>
      <c r="AB570" s="1"/>
      <c r="AC570" s="1"/>
      <c r="AD570" s="1"/>
      <c r="AE570" s="1"/>
      <c r="AF570" s="1"/>
      <c r="AG570" s="1"/>
      <c r="AH570" s="2"/>
      <c r="AI570" s="2"/>
      <c r="AJ570" s="2"/>
      <c r="AK570" s="2"/>
      <c r="AL570" s="2"/>
      <c r="AM570" s="1"/>
      <c r="AN570" s="2"/>
      <c r="AP570" s="2"/>
      <c r="AQ570" s="1"/>
      <c r="AR570" s="2"/>
      <c r="AU570" s="1"/>
      <c r="AW570" s="1"/>
      <c r="AY570" s="2"/>
    </row>
    <row r="571">
      <c r="A571" s="1"/>
      <c r="C571" s="1"/>
      <c r="E571" s="1"/>
      <c r="F571" s="1"/>
      <c r="G571" s="2"/>
      <c r="H571" s="1"/>
      <c r="I571" s="1"/>
      <c r="J571" s="1"/>
      <c r="K571" s="1"/>
      <c r="M571" s="1"/>
      <c r="N571" s="1"/>
      <c r="O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2"/>
      <c r="AB571" s="1"/>
      <c r="AC571" s="1"/>
      <c r="AD571" s="1"/>
      <c r="AE571" s="1"/>
      <c r="AF571" s="1"/>
      <c r="AG571" s="1"/>
      <c r="AH571" s="2"/>
      <c r="AI571" s="2"/>
      <c r="AJ571" s="2"/>
      <c r="AK571" s="2"/>
      <c r="AL571" s="2"/>
      <c r="AM571" s="1"/>
      <c r="AN571" s="2"/>
      <c r="AP571" s="2"/>
      <c r="AQ571" s="1"/>
      <c r="AR571" s="2"/>
      <c r="AU571" s="1"/>
      <c r="AW571" s="1"/>
      <c r="AY571" s="2"/>
    </row>
    <row r="572">
      <c r="A572" s="1"/>
      <c r="C572" s="1"/>
      <c r="E572" s="1"/>
      <c r="F572" s="1"/>
      <c r="G572" s="2"/>
      <c r="H572" s="1"/>
      <c r="I572" s="1"/>
      <c r="J572" s="1"/>
      <c r="K572" s="1"/>
      <c r="M572" s="1"/>
      <c r="N572" s="1"/>
      <c r="O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2"/>
      <c r="AB572" s="1"/>
      <c r="AC572" s="1"/>
      <c r="AD572" s="1"/>
      <c r="AE572" s="1"/>
      <c r="AF572" s="1"/>
      <c r="AG572" s="1"/>
      <c r="AH572" s="2"/>
      <c r="AI572" s="2"/>
      <c r="AJ572" s="2"/>
      <c r="AK572" s="2"/>
      <c r="AL572" s="2"/>
      <c r="AM572" s="1"/>
      <c r="AN572" s="2"/>
      <c r="AP572" s="2"/>
      <c r="AQ572" s="1"/>
      <c r="AR572" s="2"/>
      <c r="AU572" s="1"/>
      <c r="AW572" s="1"/>
      <c r="AY572" s="2"/>
    </row>
    <row r="573">
      <c r="A573" s="1"/>
      <c r="C573" s="1"/>
      <c r="E573" s="1"/>
      <c r="F573" s="1"/>
      <c r="G573" s="2"/>
      <c r="H573" s="1"/>
      <c r="I573" s="1"/>
      <c r="J573" s="1"/>
      <c r="K573" s="1"/>
      <c r="M573" s="1"/>
      <c r="N573" s="1"/>
      <c r="O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2"/>
      <c r="AB573" s="1"/>
      <c r="AC573" s="1"/>
      <c r="AD573" s="1"/>
      <c r="AE573" s="1"/>
      <c r="AF573" s="1"/>
      <c r="AG573" s="1"/>
      <c r="AH573" s="2"/>
      <c r="AI573" s="2"/>
      <c r="AJ573" s="2"/>
      <c r="AK573" s="2"/>
      <c r="AL573" s="2"/>
      <c r="AM573" s="1"/>
      <c r="AN573" s="2"/>
      <c r="AP573" s="2"/>
      <c r="AQ573" s="1"/>
      <c r="AR573" s="2"/>
      <c r="AU573" s="1"/>
      <c r="AW573" s="1"/>
      <c r="AY573" s="2"/>
    </row>
    <row r="574">
      <c r="A574" s="1"/>
      <c r="C574" s="1"/>
      <c r="E574" s="1"/>
      <c r="F574" s="1"/>
      <c r="G574" s="2"/>
      <c r="H574" s="1"/>
      <c r="I574" s="1"/>
      <c r="J574" s="1"/>
      <c r="K574" s="1"/>
      <c r="M574" s="1"/>
      <c r="N574" s="1"/>
      <c r="O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2"/>
      <c r="AB574" s="1"/>
      <c r="AC574" s="1"/>
      <c r="AD574" s="1"/>
      <c r="AE574" s="1"/>
      <c r="AF574" s="1"/>
      <c r="AG574" s="1"/>
      <c r="AH574" s="2"/>
      <c r="AI574" s="2"/>
      <c r="AJ574" s="2"/>
      <c r="AK574" s="2"/>
      <c r="AL574" s="2"/>
      <c r="AM574" s="1"/>
      <c r="AN574" s="2"/>
      <c r="AP574" s="2"/>
      <c r="AQ574" s="1"/>
      <c r="AR574" s="2"/>
      <c r="AU574" s="1"/>
      <c r="AW574" s="1"/>
      <c r="AY574" s="2"/>
    </row>
    <row r="575">
      <c r="A575" s="1"/>
      <c r="C575" s="1"/>
      <c r="E575" s="1"/>
      <c r="F575" s="1"/>
      <c r="G575" s="2"/>
      <c r="H575" s="1"/>
      <c r="I575" s="1"/>
      <c r="J575" s="1"/>
      <c r="K575" s="1"/>
      <c r="M575" s="1"/>
      <c r="N575" s="1"/>
      <c r="O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2"/>
      <c r="AB575" s="1"/>
      <c r="AC575" s="1"/>
      <c r="AD575" s="1"/>
      <c r="AE575" s="1"/>
      <c r="AF575" s="1"/>
      <c r="AG575" s="1"/>
      <c r="AH575" s="2"/>
      <c r="AI575" s="2"/>
      <c r="AJ575" s="2"/>
      <c r="AK575" s="2"/>
      <c r="AL575" s="2"/>
      <c r="AM575" s="1"/>
      <c r="AN575" s="2"/>
      <c r="AP575" s="2"/>
      <c r="AQ575" s="1"/>
      <c r="AR575" s="2"/>
      <c r="AU575" s="1"/>
      <c r="AW575" s="1"/>
      <c r="AY575" s="2"/>
    </row>
    <row r="576">
      <c r="A576" s="1"/>
      <c r="C576" s="1"/>
      <c r="E576" s="1"/>
      <c r="F576" s="1"/>
      <c r="G576" s="2"/>
      <c r="H576" s="1"/>
      <c r="I576" s="1"/>
      <c r="J576" s="1"/>
      <c r="K576" s="1"/>
      <c r="M576" s="1"/>
      <c r="N576" s="1"/>
      <c r="O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2"/>
      <c r="AB576" s="1"/>
      <c r="AC576" s="1"/>
      <c r="AD576" s="1"/>
      <c r="AE576" s="1"/>
      <c r="AF576" s="1"/>
      <c r="AG576" s="1"/>
      <c r="AH576" s="2"/>
      <c r="AI576" s="2"/>
      <c r="AJ576" s="2"/>
      <c r="AK576" s="2"/>
      <c r="AL576" s="2"/>
      <c r="AM576" s="1"/>
      <c r="AN576" s="2"/>
      <c r="AP576" s="2"/>
      <c r="AQ576" s="1"/>
      <c r="AR576" s="2"/>
      <c r="AU576" s="1"/>
      <c r="AW576" s="1"/>
      <c r="AY576" s="2"/>
    </row>
    <row r="577">
      <c r="A577" s="1"/>
      <c r="C577" s="1"/>
      <c r="E577" s="1"/>
      <c r="F577" s="1"/>
      <c r="G577" s="2"/>
      <c r="H577" s="1"/>
      <c r="I577" s="1"/>
      <c r="J577" s="1"/>
      <c r="K577" s="1"/>
      <c r="M577" s="1"/>
      <c r="N577" s="1"/>
      <c r="O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2"/>
      <c r="AB577" s="1"/>
      <c r="AC577" s="1"/>
      <c r="AD577" s="1"/>
      <c r="AE577" s="1"/>
      <c r="AF577" s="1"/>
      <c r="AG577" s="1"/>
      <c r="AH577" s="2"/>
      <c r="AI577" s="2"/>
      <c r="AJ577" s="2"/>
      <c r="AK577" s="2"/>
      <c r="AL577" s="2"/>
      <c r="AM577" s="1"/>
      <c r="AN577" s="2"/>
      <c r="AP577" s="2"/>
      <c r="AQ577" s="1"/>
      <c r="AR577" s="2"/>
      <c r="AU577" s="1"/>
      <c r="AW577" s="1"/>
      <c r="AY577" s="2"/>
    </row>
    <row r="578">
      <c r="A578" s="1"/>
      <c r="C578" s="1"/>
      <c r="E578" s="1"/>
      <c r="F578" s="1"/>
      <c r="G578" s="2"/>
      <c r="H578" s="1"/>
      <c r="I578" s="1"/>
      <c r="J578" s="1"/>
      <c r="K578" s="1"/>
      <c r="M578" s="1"/>
      <c r="N578" s="1"/>
      <c r="O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2"/>
      <c r="AB578" s="1"/>
      <c r="AC578" s="1"/>
      <c r="AD578" s="1"/>
      <c r="AE578" s="1"/>
      <c r="AF578" s="1"/>
      <c r="AG578" s="1"/>
      <c r="AH578" s="2"/>
      <c r="AI578" s="2"/>
      <c r="AJ578" s="2"/>
      <c r="AK578" s="2"/>
      <c r="AL578" s="2"/>
      <c r="AM578" s="1"/>
      <c r="AN578" s="2"/>
      <c r="AP578" s="2"/>
      <c r="AQ578" s="1"/>
      <c r="AR578" s="2"/>
      <c r="AU578" s="1"/>
      <c r="AW578" s="1"/>
      <c r="AY578" s="2"/>
    </row>
    <row r="579">
      <c r="A579" s="1"/>
      <c r="C579" s="1"/>
      <c r="E579" s="1"/>
      <c r="F579" s="1"/>
      <c r="G579" s="2"/>
      <c r="H579" s="1"/>
      <c r="I579" s="1"/>
      <c r="J579" s="1"/>
      <c r="K579" s="1"/>
      <c r="M579" s="1"/>
      <c r="N579" s="1"/>
      <c r="O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2"/>
      <c r="AB579" s="1"/>
      <c r="AC579" s="1"/>
      <c r="AD579" s="1"/>
      <c r="AE579" s="1"/>
      <c r="AF579" s="1"/>
      <c r="AG579" s="1"/>
      <c r="AH579" s="2"/>
      <c r="AI579" s="2"/>
      <c r="AJ579" s="2"/>
      <c r="AK579" s="2"/>
      <c r="AL579" s="2"/>
      <c r="AM579" s="1"/>
      <c r="AN579" s="2"/>
      <c r="AP579" s="2"/>
      <c r="AQ579" s="1"/>
      <c r="AR579" s="2"/>
      <c r="AU579" s="1"/>
      <c r="AW579" s="1"/>
      <c r="AY579" s="2"/>
    </row>
    <row r="580">
      <c r="A580" s="1"/>
      <c r="C580" s="1"/>
      <c r="E580" s="1"/>
      <c r="F580" s="1"/>
      <c r="G580" s="2"/>
      <c r="H580" s="1"/>
      <c r="I580" s="1"/>
      <c r="J580" s="1"/>
      <c r="K580" s="1"/>
      <c r="M580" s="1"/>
      <c r="N580" s="1"/>
      <c r="O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2"/>
      <c r="AB580" s="1"/>
      <c r="AC580" s="1"/>
      <c r="AD580" s="1"/>
      <c r="AE580" s="1"/>
      <c r="AF580" s="1"/>
      <c r="AG580" s="1"/>
      <c r="AH580" s="2"/>
      <c r="AI580" s="2"/>
      <c r="AJ580" s="2"/>
      <c r="AK580" s="2"/>
      <c r="AL580" s="2"/>
      <c r="AM580" s="1"/>
      <c r="AN580" s="2"/>
      <c r="AP580" s="2"/>
      <c r="AQ580" s="1"/>
      <c r="AR580" s="2"/>
      <c r="AU580" s="1"/>
      <c r="AW580" s="1"/>
      <c r="AY580" s="2"/>
    </row>
    <row r="581">
      <c r="A581" s="1"/>
      <c r="C581" s="1"/>
      <c r="E581" s="1"/>
      <c r="F581" s="1"/>
      <c r="G581" s="2"/>
      <c r="H581" s="1"/>
      <c r="I581" s="1"/>
      <c r="J581" s="1"/>
      <c r="K581" s="1"/>
      <c r="M581" s="1"/>
      <c r="N581" s="1"/>
      <c r="O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2"/>
      <c r="AB581" s="1"/>
      <c r="AC581" s="1"/>
      <c r="AD581" s="1"/>
      <c r="AE581" s="1"/>
      <c r="AF581" s="1"/>
      <c r="AG581" s="1"/>
      <c r="AH581" s="2"/>
      <c r="AI581" s="2"/>
      <c r="AJ581" s="2"/>
      <c r="AK581" s="2"/>
      <c r="AL581" s="2"/>
      <c r="AM581" s="1"/>
      <c r="AN581" s="2"/>
      <c r="AP581" s="2"/>
      <c r="AQ581" s="1"/>
      <c r="AR581" s="2"/>
      <c r="AU581" s="1"/>
      <c r="AW581" s="1"/>
      <c r="AY581" s="2"/>
    </row>
    <row r="582">
      <c r="A582" s="1"/>
      <c r="C582" s="1"/>
      <c r="E582" s="1"/>
      <c r="F582" s="1"/>
      <c r="G582" s="2"/>
      <c r="H582" s="1"/>
      <c r="I582" s="1"/>
      <c r="J582" s="1"/>
      <c r="K582" s="1"/>
      <c r="M582" s="1"/>
      <c r="N582" s="1"/>
      <c r="O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2"/>
      <c r="AB582" s="1"/>
      <c r="AC582" s="1"/>
      <c r="AD582" s="1"/>
      <c r="AE582" s="1"/>
      <c r="AF582" s="1"/>
      <c r="AG582" s="1"/>
      <c r="AH582" s="2"/>
      <c r="AI582" s="2"/>
      <c r="AJ582" s="2"/>
      <c r="AK582" s="2"/>
      <c r="AL582" s="2"/>
      <c r="AM582" s="1"/>
      <c r="AN582" s="2"/>
      <c r="AP582" s="2"/>
      <c r="AQ582" s="1"/>
      <c r="AR582" s="2"/>
      <c r="AU582" s="1"/>
      <c r="AW582" s="1"/>
      <c r="AY582" s="2"/>
    </row>
    <row r="583">
      <c r="A583" s="1"/>
      <c r="C583" s="1"/>
      <c r="E583" s="1"/>
      <c r="F583" s="1"/>
      <c r="G583" s="2"/>
      <c r="H583" s="1"/>
      <c r="I583" s="1"/>
      <c r="J583" s="1"/>
      <c r="K583" s="1"/>
      <c r="M583" s="1"/>
      <c r="N583" s="1"/>
      <c r="O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2"/>
      <c r="AB583" s="1"/>
      <c r="AC583" s="1"/>
      <c r="AD583" s="1"/>
      <c r="AE583" s="1"/>
      <c r="AF583" s="1"/>
      <c r="AG583" s="1"/>
      <c r="AH583" s="2"/>
      <c r="AI583" s="2"/>
      <c r="AJ583" s="2"/>
      <c r="AK583" s="2"/>
      <c r="AL583" s="2"/>
      <c r="AM583" s="1"/>
      <c r="AN583" s="2"/>
      <c r="AP583" s="2"/>
      <c r="AQ583" s="1"/>
      <c r="AR583" s="2"/>
      <c r="AU583" s="1"/>
      <c r="AW583" s="1"/>
      <c r="AY583" s="2"/>
    </row>
    <row r="584">
      <c r="A584" s="1"/>
      <c r="C584" s="1"/>
      <c r="E584" s="1"/>
      <c r="F584" s="1"/>
      <c r="G584" s="2"/>
      <c r="H584" s="1"/>
      <c r="I584" s="1"/>
      <c r="J584" s="1"/>
      <c r="K584" s="1"/>
      <c r="M584" s="1"/>
      <c r="N584" s="1"/>
      <c r="O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2"/>
      <c r="AB584" s="1"/>
      <c r="AC584" s="1"/>
      <c r="AD584" s="1"/>
      <c r="AE584" s="1"/>
      <c r="AF584" s="1"/>
      <c r="AG584" s="1"/>
      <c r="AH584" s="2"/>
      <c r="AI584" s="2"/>
      <c r="AJ584" s="2"/>
      <c r="AK584" s="2"/>
      <c r="AL584" s="2"/>
      <c r="AM584" s="1"/>
      <c r="AN584" s="2"/>
      <c r="AP584" s="2"/>
      <c r="AQ584" s="1"/>
      <c r="AR584" s="2"/>
      <c r="AU584" s="1"/>
      <c r="AW584" s="1"/>
      <c r="AY584" s="2"/>
    </row>
    <row r="585">
      <c r="A585" s="1"/>
      <c r="C585" s="1"/>
      <c r="E585" s="1"/>
      <c r="F585" s="1"/>
      <c r="G585" s="2"/>
      <c r="H585" s="1"/>
      <c r="I585" s="1"/>
      <c r="J585" s="1"/>
      <c r="K585" s="1"/>
      <c r="M585" s="1"/>
      <c r="N585" s="1"/>
      <c r="O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2"/>
      <c r="AB585" s="1"/>
      <c r="AC585" s="1"/>
      <c r="AD585" s="1"/>
      <c r="AE585" s="1"/>
      <c r="AF585" s="1"/>
      <c r="AG585" s="1"/>
      <c r="AH585" s="2"/>
      <c r="AI585" s="2"/>
      <c r="AJ585" s="2"/>
      <c r="AK585" s="2"/>
      <c r="AL585" s="2"/>
      <c r="AM585" s="1"/>
      <c r="AN585" s="2"/>
      <c r="AP585" s="2"/>
      <c r="AQ585" s="1"/>
      <c r="AR585" s="2"/>
      <c r="AU585" s="1"/>
      <c r="AW585" s="1"/>
      <c r="AY585" s="2"/>
    </row>
    <row r="586">
      <c r="A586" s="1"/>
      <c r="C586" s="1"/>
      <c r="E586" s="1"/>
      <c r="F586" s="1"/>
      <c r="G586" s="2"/>
      <c r="H586" s="1"/>
      <c r="I586" s="1"/>
      <c r="J586" s="1"/>
      <c r="K586" s="1"/>
      <c r="M586" s="1"/>
      <c r="N586" s="1"/>
      <c r="O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2"/>
      <c r="AB586" s="1"/>
      <c r="AC586" s="1"/>
      <c r="AD586" s="1"/>
      <c r="AE586" s="1"/>
      <c r="AF586" s="1"/>
      <c r="AG586" s="1"/>
      <c r="AH586" s="2"/>
      <c r="AI586" s="2"/>
      <c r="AJ586" s="2"/>
      <c r="AK586" s="2"/>
      <c r="AL586" s="2"/>
      <c r="AM586" s="1"/>
      <c r="AN586" s="2"/>
      <c r="AP586" s="2"/>
      <c r="AQ586" s="1"/>
      <c r="AR586" s="2"/>
      <c r="AU586" s="1"/>
      <c r="AW586" s="1"/>
      <c r="AY586" s="2"/>
    </row>
    <row r="587">
      <c r="A587" s="1"/>
      <c r="C587" s="1"/>
      <c r="E587" s="1"/>
      <c r="F587" s="1"/>
      <c r="G587" s="2"/>
      <c r="H587" s="1"/>
      <c r="I587" s="1"/>
      <c r="J587" s="1"/>
      <c r="K587" s="1"/>
      <c r="M587" s="1"/>
      <c r="N587" s="1"/>
      <c r="O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2"/>
      <c r="AB587" s="1"/>
      <c r="AC587" s="1"/>
      <c r="AD587" s="1"/>
      <c r="AE587" s="1"/>
      <c r="AF587" s="1"/>
      <c r="AG587" s="1"/>
      <c r="AH587" s="2"/>
      <c r="AI587" s="2"/>
      <c r="AJ587" s="2"/>
      <c r="AK587" s="2"/>
      <c r="AL587" s="2"/>
      <c r="AM587" s="1"/>
      <c r="AN587" s="2"/>
      <c r="AP587" s="2"/>
      <c r="AQ587" s="1"/>
      <c r="AR587" s="2"/>
      <c r="AU587" s="1"/>
      <c r="AW587" s="1"/>
      <c r="AY587" s="2"/>
    </row>
    <row r="588">
      <c r="A588" s="1"/>
      <c r="C588" s="1"/>
      <c r="E588" s="1"/>
      <c r="F588" s="1"/>
      <c r="G588" s="2"/>
      <c r="H588" s="1"/>
      <c r="I588" s="1"/>
      <c r="J588" s="1"/>
      <c r="K588" s="1"/>
      <c r="M588" s="1"/>
      <c r="N588" s="1"/>
      <c r="O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2"/>
      <c r="AB588" s="1"/>
      <c r="AC588" s="1"/>
      <c r="AD588" s="1"/>
      <c r="AE588" s="1"/>
      <c r="AF588" s="1"/>
      <c r="AG588" s="1"/>
      <c r="AH588" s="2"/>
      <c r="AI588" s="2"/>
      <c r="AJ588" s="2"/>
      <c r="AK588" s="2"/>
      <c r="AL588" s="2"/>
      <c r="AM588" s="1"/>
      <c r="AN588" s="2"/>
      <c r="AP588" s="2"/>
      <c r="AQ588" s="1"/>
      <c r="AR588" s="2"/>
      <c r="AU588" s="1"/>
      <c r="AW588" s="1"/>
      <c r="AY588" s="2"/>
    </row>
    <row r="589">
      <c r="A589" s="1"/>
      <c r="C589" s="1"/>
      <c r="E589" s="1"/>
      <c r="F589" s="1"/>
      <c r="G589" s="2"/>
      <c r="H589" s="1"/>
      <c r="I589" s="1"/>
      <c r="J589" s="1"/>
      <c r="K589" s="1"/>
      <c r="M589" s="1"/>
      <c r="N589" s="1"/>
      <c r="O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2"/>
      <c r="AB589" s="1"/>
      <c r="AC589" s="1"/>
      <c r="AD589" s="1"/>
      <c r="AE589" s="1"/>
      <c r="AF589" s="1"/>
      <c r="AG589" s="1"/>
      <c r="AH589" s="2"/>
      <c r="AI589" s="2"/>
      <c r="AJ589" s="2"/>
      <c r="AK589" s="2"/>
      <c r="AL589" s="2"/>
      <c r="AM589" s="1"/>
      <c r="AN589" s="2"/>
      <c r="AP589" s="2"/>
      <c r="AQ589" s="1"/>
      <c r="AR589" s="2"/>
      <c r="AU589" s="1"/>
      <c r="AW589" s="1"/>
      <c r="AY589" s="2"/>
    </row>
    <row r="590">
      <c r="A590" s="1"/>
      <c r="C590" s="1"/>
      <c r="E590" s="1"/>
      <c r="F590" s="1"/>
      <c r="G590" s="2"/>
      <c r="H590" s="1"/>
      <c r="I590" s="1"/>
      <c r="J590" s="1"/>
      <c r="K590" s="1"/>
      <c r="M590" s="1"/>
      <c r="N590" s="1"/>
      <c r="O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2"/>
      <c r="AB590" s="1"/>
      <c r="AC590" s="1"/>
      <c r="AD590" s="1"/>
      <c r="AE590" s="1"/>
      <c r="AF590" s="1"/>
      <c r="AG590" s="1"/>
      <c r="AH590" s="2"/>
      <c r="AI590" s="2"/>
      <c r="AJ590" s="2"/>
      <c r="AK590" s="2"/>
      <c r="AL590" s="2"/>
      <c r="AM590" s="1"/>
      <c r="AN590" s="2"/>
      <c r="AP590" s="2"/>
      <c r="AQ590" s="1"/>
      <c r="AR590" s="2"/>
      <c r="AU590" s="1"/>
      <c r="AW590" s="1"/>
      <c r="AY590" s="2"/>
    </row>
    <row r="591">
      <c r="A591" s="1"/>
      <c r="C591" s="1"/>
      <c r="E591" s="1"/>
      <c r="F591" s="1"/>
      <c r="G591" s="2"/>
      <c r="H591" s="1"/>
      <c r="I591" s="1"/>
      <c r="J591" s="1"/>
      <c r="K591" s="1"/>
      <c r="M591" s="1"/>
      <c r="N591" s="1"/>
      <c r="O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2"/>
      <c r="AB591" s="1"/>
      <c r="AC591" s="1"/>
      <c r="AD591" s="1"/>
      <c r="AE591" s="1"/>
      <c r="AF591" s="1"/>
      <c r="AG591" s="1"/>
      <c r="AH591" s="2"/>
      <c r="AI591" s="2"/>
      <c r="AJ591" s="2"/>
      <c r="AK591" s="2"/>
      <c r="AL591" s="2"/>
      <c r="AM591" s="1"/>
      <c r="AN591" s="2"/>
      <c r="AP591" s="2"/>
      <c r="AQ591" s="1"/>
      <c r="AR591" s="2"/>
      <c r="AU591" s="1"/>
      <c r="AW591" s="1"/>
      <c r="AY591" s="2"/>
    </row>
    <row r="592">
      <c r="A592" s="1"/>
      <c r="C592" s="1"/>
      <c r="E592" s="1"/>
      <c r="F592" s="1"/>
      <c r="G592" s="2"/>
      <c r="H592" s="1"/>
      <c r="I592" s="1"/>
      <c r="J592" s="1"/>
      <c r="K592" s="1"/>
      <c r="M592" s="1"/>
      <c r="N592" s="1"/>
      <c r="O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2"/>
      <c r="AB592" s="1"/>
      <c r="AC592" s="1"/>
      <c r="AD592" s="1"/>
      <c r="AE592" s="1"/>
      <c r="AF592" s="1"/>
      <c r="AG592" s="1"/>
      <c r="AH592" s="2"/>
      <c r="AI592" s="2"/>
      <c r="AJ592" s="2"/>
      <c r="AK592" s="2"/>
      <c r="AL592" s="2"/>
      <c r="AM592" s="1"/>
      <c r="AN592" s="2"/>
      <c r="AP592" s="2"/>
      <c r="AQ592" s="1"/>
      <c r="AR592" s="2"/>
      <c r="AU592" s="1"/>
      <c r="AW592" s="1"/>
      <c r="AY592" s="2"/>
    </row>
    <row r="593">
      <c r="A593" s="1"/>
      <c r="C593" s="1"/>
      <c r="E593" s="1"/>
      <c r="F593" s="1"/>
      <c r="G593" s="2"/>
      <c r="H593" s="1"/>
      <c r="I593" s="1"/>
      <c r="J593" s="1"/>
      <c r="K593" s="1"/>
      <c r="M593" s="1"/>
      <c r="N593" s="1"/>
      <c r="O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2"/>
      <c r="AB593" s="1"/>
      <c r="AC593" s="1"/>
      <c r="AD593" s="1"/>
      <c r="AE593" s="1"/>
      <c r="AF593" s="1"/>
      <c r="AG593" s="1"/>
      <c r="AH593" s="2"/>
      <c r="AI593" s="2"/>
      <c r="AJ593" s="2"/>
      <c r="AK593" s="2"/>
      <c r="AL593" s="2"/>
      <c r="AM593" s="1"/>
      <c r="AN593" s="2"/>
      <c r="AP593" s="2"/>
      <c r="AQ593" s="1"/>
      <c r="AR593" s="2"/>
      <c r="AU593" s="1"/>
      <c r="AW593" s="1"/>
      <c r="AY593" s="2"/>
    </row>
    <row r="594">
      <c r="A594" s="1"/>
      <c r="C594" s="1"/>
      <c r="E594" s="1"/>
      <c r="F594" s="1"/>
      <c r="G594" s="2"/>
      <c r="H594" s="1"/>
      <c r="I594" s="1"/>
      <c r="J594" s="1"/>
      <c r="K594" s="1"/>
      <c r="M594" s="1"/>
      <c r="N594" s="1"/>
      <c r="O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2"/>
      <c r="AB594" s="1"/>
      <c r="AC594" s="1"/>
      <c r="AD594" s="1"/>
      <c r="AE594" s="1"/>
      <c r="AF594" s="1"/>
      <c r="AG594" s="1"/>
      <c r="AH594" s="2"/>
      <c r="AI594" s="2"/>
      <c r="AJ594" s="2"/>
      <c r="AK594" s="2"/>
      <c r="AL594" s="2"/>
      <c r="AM594" s="1"/>
      <c r="AN594" s="2"/>
      <c r="AP594" s="2"/>
      <c r="AQ594" s="1"/>
      <c r="AR594" s="2"/>
      <c r="AU594" s="1"/>
      <c r="AW594" s="1"/>
      <c r="AY594" s="2"/>
    </row>
    <row r="595">
      <c r="A595" s="1"/>
      <c r="C595" s="1"/>
      <c r="E595" s="1"/>
      <c r="F595" s="1"/>
      <c r="G595" s="2"/>
      <c r="H595" s="1"/>
      <c r="I595" s="1"/>
      <c r="J595" s="1"/>
      <c r="K595" s="1"/>
      <c r="M595" s="1"/>
      <c r="N595" s="1"/>
      <c r="O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2"/>
      <c r="AB595" s="1"/>
      <c r="AC595" s="1"/>
      <c r="AD595" s="1"/>
      <c r="AE595" s="1"/>
      <c r="AF595" s="1"/>
      <c r="AG595" s="1"/>
      <c r="AH595" s="2"/>
      <c r="AI595" s="2"/>
      <c r="AJ595" s="2"/>
      <c r="AK595" s="2"/>
      <c r="AL595" s="2"/>
      <c r="AM595" s="1"/>
      <c r="AN595" s="2"/>
      <c r="AP595" s="2"/>
      <c r="AQ595" s="1"/>
      <c r="AR595" s="2"/>
      <c r="AU595" s="1"/>
      <c r="AW595" s="1"/>
      <c r="AY595" s="2"/>
    </row>
    <row r="596">
      <c r="A596" s="1"/>
      <c r="C596" s="1"/>
      <c r="E596" s="1"/>
      <c r="F596" s="1"/>
      <c r="G596" s="2"/>
      <c r="H596" s="1"/>
      <c r="I596" s="1"/>
      <c r="J596" s="1"/>
      <c r="K596" s="1"/>
      <c r="M596" s="1"/>
      <c r="N596" s="1"/>
      <c r="O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2"/>
      <c r="AB596" s="1"/>
      <c r="AC596" s="1"/>
      <c r="AD596" s="1"/>
      <c r="AE596" s="1"/>
      <c r="AF596" s="1"/>
      <c r="AG596" s="1"/>
      <c r="AH596" s="2"/>
      <c r="AI596" s="2"/>
      <c r="AJ596" s="2"/>
      <c r="AK596" s="2"/>
      <c r="AL596" s="2"/>
      <c r="AM596" s="1"/>
      <c r="AN596" s="2"/>
      <c r="AP596" s="2"/>
      <c r="AQ596" s="1"/>
      <c r="AR596" s="2"/>
      <c r="AU596" s="1"/>
      <c r="AW596" s="1"/>
      <c r="AY596" s="2"/>
    </row>
    <row r="597">
      <c r="A597" s="1"/>
      <c r="C597" s="1"/>
      <c r="E597" s="1"/>
      <c r="F597" s="1"/>
      <c r="G597" s="2"/>
      <c r="H597" s="1"/>
      <c r="I597" s="1"/>
      <c r="J597" s="1"/>
      <c r="K597" s="1"/>
      <c r="M597" s="1"/>
      <c r="N597" s="1"/>
      <c r="O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2"/>
      <c r="AB597" s="1"/>
      <c r="AC597" s="1"/>
      <c r="AD597" s="1"/>
      <c r="AE597" s="1"/>
      <c r="AF597" s="1"/>
      <c r="AG597" s="1"/>
      <c r="AH597" s="2"/>
      <c r="AI597" s="2"/>
      <c r="AJ597" s="2"/>
      <c r="AK597" s="2"/>
      <c r="AL597" s="2"/>
      <c r="AM597" s="1"/>
      <c r="AN597" s="2"/>
      <c r="AP597" s="2"/>
      <c r="AQ597" s="1"/>
      <c r="AR597" s="2"/>
      <c r="AU597" s="1"/>
      <c r="AW597" s="1"/>
      <c r="AY597" s="2"/>
    </row>
    <row r="598">
      <c r="A598" s="1"/>
      <c r="C598" s="1"/>
      <c r="E598" s="1"/>
      <c r="F598" s="1"/>
      <c r="G598" s="2"/>
      <c r="H598" s="1"/>
      <c r="I598" s="1"/>
      <c r="J598" s="1"/>
      <c r="K598" s="1"/>
      <c r="M598" s="1"/>
      <c r="N598" s="1"/>
      <c r="O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2"/>
      <c r="AB598" s="1"/>
      <c r="AC598" s="1"/>
      <c r="AD598" s="1"/>
      <c r="AE598" s="1"/>
      <c r="AF598" s="1"/>
      <c r="AG598" s="1"/>
      <c r="AH598" s="2"/>
      <c r="AI598" s="2"/>
      <c r="AJ598" s="2"/>
      <c r="AK598" s="2"/>
      <c r="AL598" s="2"/>
      <c r="AM598" s="1"/>
      <c r="AN598" s="2"/>
      <c r="AP598" s="2"/>
      <c r="AQ598" s="1"/>
      <c r="AR598" s="2"/>
      <c r="AU598" s="1"/>
      <c r="AW598" s="1"/>
      <c r="AY598" s="2"/>
    </row>
    <row r="599">
      <c r="A599" s="1"/>
      <c r="C599" s="1"/>
      <c r="E599" s="1"/>
      <c r="F599" s="1"/>
      <c r="G599" s="2"/>
      <c r="H599" s="1"/>
      <c r="I599" s="1"/>
      <c r="J599" s="1"/>
      <c r="K599" s="1"/>
      <c r="M599" s="1"/>
      <c r="N599" s="1"/>
      <c r="O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2"/>
      <c r="AB599" s="1"/>
      <c r="AC599" s="1"/>
      <c r="AD599" s="1"/>
      <c r="AE599" s="1"/>
      <c r="AF599" s="1"/>
      <c r="AG599" s="1"/>
      <c r="AH599" s="2"/>
      <c r="AI599" s="2"/>
      <c r="AJ599" s="2"/>
      <c r="AK599" s="2"/>
      <c r="AL599" s="2"/>
      <c r="AM599" s="1"/>
      <c r="AN599" s="2"/>
      <c r="AP599" s="2"/>
      <c r="AQ599" s="1"/>
      <c r="AR599" s="2"/>
      <c r="AU599" s="1"/>
      <c r="AW599" s="1"/>
      <c r="AY599" s="2"/>
    </row>
    <row r="600">
      <c r="A600" s="1"/>
      <c r="C600" s="1"/>
      <c r="E600" s="1"/>
      <c r="F600" s="1"/>
      <c r="G600" s="2"/>
      <c r="H600" s="1"/>
      <c r="I600" s="1"/>
      <c r="J600" s="1"/>
      <c r="K600" s="1"/>
      <c r="M600" s="1"/>
      <c r="N600" s="1"/>
      <c r="O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2"/>
      <c r="AB600" s="1"/>
      <c r="AC600" s="1"/>
      <c r="AD600" s="1"/>
      <c r="AE600" s="1"/>
      <c r="AF600" s="1"/>
      <c r="AG600" s="1"/>
      <c r="AH600" s="2"/>
      <c r="AI600" s="2"/>
      <c r="AJ600" s="2"/>
      <c r="AK600" s="2"/>
      <c r="AL600" s="2"/>
      <c r="AM600" s="1"/>
      <c r="AN600" s="2"/>
      <c r="AP600" s="2"/>
      <c r="AQ600" s="1"/>
      <c r="AR600" s="2"/>
      <c r="AU600" s="1"/>
      <c r="AW600" s="1"/>
      <c r="AY600" s="2"/>
    </row>
    <row r="601">
      <c r="A601" s="1"/>
      <c r="C601" s="1"/>
      <c r="E601" s="1"/>
      <c r="F601" s="1"/>
      <c r="G601" s="2"/>
      <c r="H601" s="1"/>
      <c r="I601" s="1"/>
      <c r="J601" s="1"/>
      <c r="K601" s="1"/>
      <c r="M601" s="1"/>
      <c r="N601" s="1"/>
      <c r="O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2"/>
      <c r="AB601" s="1"/>
      <c r="AC601" s="1"/>
      <c r="AD601" s="1"/>
      <c r="AE601" s="1"/>
      <c r="AF601" s="1"/>
      <c r="AG601" s="1"/>
      <c r="AH601" s="2"/>
      <c r="AI601" s="2"/>
      <c r="AJ601" s="2"/>
      <c r="AK601" s="2"/>
      <c r="AL601" s="2"/>
      <c r="AM601" s="1"/>
      <c r="AN601" s="2"/>
      <c r="AP601" s="2"/>
      <c r="AQ601" s="1"/>
      <c r="AR601" s="2"/>
      <c r="AU601" s="1"/>
      <c r="AW601" s="1"/>
      <c r="AY601" s="2"/>
    </row>
    <row r="602">
      <c r="A602" s="1"/>
      <c r="C602" s="1"/>
      <c r="E602" s="1"/>
      <c r="F602" s="1"/>
      <c r="G602" s="2"/>
      <c r="H602" s="1"/>
      <c r="I602" s="1"/>
      <c r="J602" s="1"/>
      <c r="K602" s="1"/>
      <c r="M602" s="1"/>
      <c r="N602" s="1"/>
      <c r="O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2"/>
      <c r="AB602" s="1"/>
      <c r="AC602" s="1"/>
      <c r="AD602" s="1"/>
      <c r="AE602" s="1"/>
      <c r="AF602" s="1"/>
      <c r="AG602" s="1"/>
      <c r="AH602" s="2"/>
      <c r="AI602" s="2"/>
      <c r="AJ602" s="2"/>
      <c r="AK602" s="2"/>
      <c r="AL602" s="2"/>
      <c r="AM602" s="1"/>
      <c r="AN602" s="2"/>
      <c r="AP602" s="2"/>
      <c r="AQ602" s="1"/>
      <c r="AR602" s="2"/>
      <c r="AU602" s="1"/>
      <c r="AW602" s="1"/>
      <c r="AY602" s="2"/>
    </row>
    <row r="603">
      <c r="A603" s="1"/>
      <c r="C603" s="1"/>
      <c r="E603" s="1"/>
      <c r="F603" s="1"/>
      <c r="G603" s="2"/>
      <c r="H603" s="1"/>
      <c r="I603" s="1"/>
      <c r="J603" s="1"/>
      <c r="K603" s="1"/>
      <c r="M603" s="1"/>
      <c r="N603" s="1"/>
      <c r="O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2"/>
      <c r="AB603" s="1"/>
      <c r="AC603" s="1"/>
      <c r="AD603" s="1"/>
      <c r="AE603" s="1"/>
      <c r="AF603" s="1"/>
      <c r="AG603" s="1"/>
      <c r="AH603" s="2"/>
      <c r="AI603" s="2"/>
      <c r="AJ603" s="2"/>
      <c r="AK603" s="2"/>
      <c r="AL603" s="2"/>
      <c r="AM603" s="1"/>
      <c r="AN603" s="2"/>
      <c r="AP603" s="2"/>
      <c r="AQ603" s="1"/>
      <c r="AR603" s="2"/>
      <c r="AU603" s="1"/>
      <c r="AW603" s="1"/>
      <c r="AY603" s="2"/>
    </row>
    <row r="604">
      <c r="A604" s="1"/>
      <c r="C604" s="1"/>
      <c r="E604" s="1"/>
      <c r="F604" s="1"/>
      <c r="G604" s="2"/>
      <c r="H604" s="1"/>
      <c r="I604" s="1"/>
      <c r="J604" s="1"/>
      <c r="K604" s="1"/>
      <c r="M604" s="1"/>
      <c r="N604" s="1"/>
      <c r="O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2"/>
      <c r="AB604" s="1"/>
      <c r="AC604" s="1"/>
      <c r="AD604" s="1"/>
      <c r="AE604" s="1"/>
      <c r="AF604" s="1"/>
      <c r="AG604" s="1"/>
      <c r="AH604" s="2"/>
      <c r="AI604" s="2"/>
      <c r="AJ604" s="2"/>
      <c r="AK604" s="2"/>
      <c r="AL604" s="2"/>
      <c r="AM604" s="1"/>
      <c r="AN604" s="2"/>
      <c r="AP604" s="2"/>
      <c r="AQ604" s="1"/>
      <c r="AR604" s="2"/>
      <c r="AU604" s="1"/>
      <c r="AW604" s="1"/>
      <c r="AY604" s="2"/>
    </row>
    <row r="605">
      <c r="A605" s="1"/>
      <c r="C605" s="1"/>
      <c r="E605" s="1"/>
      <c r="F605" s="1"/>
      <c r="G605" s="2"/>
      <c r="H605" s="1"/>
      <c r="I605" s="1"/>
      <c r="J605" s="1"/>
      <c r="K605" s="1"/>
      <c r="M605" s="1"/>
      <c r="N605" s="1"/>
      <c r="O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2"/>
      <c r="AB605" s="1"/>
      <c r="AC605" s="1"/>
      <c r="AD605" s="1"/>
      <c r="AE605" s="1"/>
      <c r="AF605" s="1"/>
      <c r="AG605" s="1"/>
      <c r="AH605" s="2"/>
      <c r="AI605" s="2"/>
      <c r="AJ605" s="2"/>
      <c r="AK605" s="2"/>
      <c r="AL605" s="2"/>
      <c r="AM605" s="1"/>
      <c r="AN605" s="2"/>
      <c r="AP605" s="2"/>
      <c r="AQ605" s="1"/>
      <c r="AR605" s="2"/>
      <c r="AU605" s="1"/>
      <c r="AW605" s="1"/>
      <c r="AY605" s="2"/>
    </row>
    <row r="606">
      <c r="A606" s="1"/>
      <c r="C606" s="1"/>
      <c r="E606" s="1"/>
      <c r="F606" s="1"/>
      <c r="G606" s="2"/>
      <c r="H606" s="1"/>
      <c r="I606" s="1"/>
      <c r="J606" s="1"/>
      <c r="K606" s="1"/>
      <c r="M606" s="1"/>
      <c r="N606" s="1"/>
      <c r="O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2"/>
      <c r="AB606" s="1"/>
      <c r="AC606" s="1"/>
      <c r="AD606" s="1"/>
      <c r="AE606" s="1"/>
      <c r="AF606" s="1"/>
      <c r="AG606" s="1"/>
      <c r="AH606" s="2"/>
      <c r="AI606" s="2"/>
      <c r="AJ606" s="2"/>
      <c r="AK606" s="2"/>
      <c r="AL606" s="2"/>
      <c r="AM606" s="1"/>
      <c r="AN606" s="2"/>
      <c r="AP606" s="2"/>
      <c r="AQ606" s="1"/>
      <c r="AR606" s="2"/>
      <c r="AU606" s="1"/>
      <c r="AW606" s="1"/>
      <c r="AY606" s="2"/>
    </row>
    <row r="607">
      <c r="A607" s="1"/>
      <c r="C607" s="1"/>
      <c r="E607" s="1"/>
      <c r="F607" s="1"/>
      <c r="G607" s="2"/>
      <c r="H607" s="1"/>
      <c r="I607" s="1"/>
      <c r="J607" s="1"/>
      <c r="K607" s="1"/>
      <c r="M607" s="1"/>
      <c r="N607" s="1"/>
      <c r="O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2"/>
      <c r="AB607" s="1"/>
      <c r="AC607" s="1"/>
      <c r="AD607" s="1"/>
      <c r="AE607" s="1"/>
      <c r="AF607" s="1"/>
      <c r="AG607" s="1"/>
      <c r="AH607" s="2"/>
      <c r="AI607" s="2"/>
      <c r="AJ607" s="2"/>
      <c r="AK607" s="2"/>
      <c r="AL607" s="2"/>
      <c r="AM607" s="1"/>
      <c r="AN607" s="2"/>
      <c r="AP607" s="2"/>
      <c r="AQ607" s="1"/>
      <c r="AR607" s="2"/>
      <c r="AU607" s="1"/>
      <c r="AW607" s="1"/>
      <c r="AY607" s="2"/>
    </row>
    <row r="608">
      <c r="A608" s="1"/>
      <c r="C608" s="1"/>
      <c r="E608" s="1"/>
      <c r="F608" s="1"/>
      <c r="G608" s="2"/>
      <c r="H608" s="1"/>
      <c r="I608" s="1"/>
      <c r="J608" s="1"/>
      <c r="K608" s="1"/>
      <c r="M608" s="1"/>
      <c r="N608" s="1"/>
      <c r="O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2"/>
      <c r="AB608" s="1"/>
      <c r="AC608" s="1"/>
      <c r="AD608" s="1"/>
      <c r="AE608" s="1"/>
      <c r="AF608" s="1"/>
      <c r="AG608" s="1"/>
      <c r="AH608" s="2"/>
      <c r="AI608" s="2"/>
      <c r="AJ608" s="2"/>
      <c r="AK608" s="2"/>
      <c r="AL608" s="2"/>
      <c r="AM608" s="1"/>
      <c r="AN608" s="2"/>
      <c r="AP608" s="2"/>
      <c r="AQ608" s="1"/>
      <c r="AR608" s="2"/>
      <c r="AU608" s="1"/>
      <c r="AW608" s="1"/>
      <c r="AY608" s="2"/>
    </row>
    <row r="609">
      <c r="A609" s="1"/>
      <c r="C609" s="1"/>
      <c r="E609" s="1"/>
      <c r="F609" s="1"/>
      <c r="G609" s="2"/>
      <c r="H609" s="1"/>
      <c r="I609" s="1"/>
      <c r="J609" s="1"/>
      <c r="K609" s="1"/>
      <c r="M609" s="1"/>
      <c r="N609" s="1"/>
      <c r="O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2"/>
      <c r="AB609" s="1"/>
      <c r="AC609" s="1"/>
      <c r="AD609" s="1"/>
      <c r="AE609" s="1"/>
      <c r="AF609" s="1"/>
      <c r="AG609" s="1"/>
      <c r="AH609" s="2"/>
      <c r="AI609" s="2"/>
      <c r="AJ609" s="2"/>
      <c r="AK609" s="2"/>
      <c r="AL609" s="2"/>
      <c r="AM609" s="1"/>
      <c r="AN609" s="2"/>
      <c r="AP609" s="2"/>
      <c r="AQ609" s="1"/>
      <c r="AR609" s="2"/>
      <c r="AU609" s="1"/>
      <c r="AW609" s="1"/>
      <c r="AY609" s="2"/>
    </row>
    <row r="610">
      <c r="A610" s="1"/>
      <c r="C610" s="1"/>
      <c r="E610" s="1"/>
      <c r="F610" s="1"/>
      <c r="G610" s="2"/>
      <c r="H610" s="1"/>
      <c r="I610" s="1"/>
      <c r="J610" s="1"/>
      <c r="K610" s="1"/>
      <c r="M610" s="1"/>
      <c r="N610" s="1"/>
      <c r="O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2"/>
      <c r="AB610" s="1"/>
      <c r="AC610" s="1"/>
      <c r="AD610" s="1"/>
      <c r="AE610" s="1"/>
      <c r="AF610" s="1"/>
      <c r="AG610" s="1"/>
      <c r="AH610" s="2"/>
      <c r="AI610" s="2"/>
      <c r="AJ610" s="2"/>
      <c r="AK610" s="2"/>
      <c r="AL610" s="2"/>
      <c r="AM610" s="1"/>
      <c r="AN610" s="2"/>
      <c r="AP610" s="2"/>
      <c r="AQ610" s="1"/>
      <c r="AR610" s="2"/>
      <c r="AU610" s="1"/>
      <c r="AW610" s="1"/>
      <c r="AY610" s="2"/>
    </row>
    <row r="611">
      <c r="A611" s="1"/>
      <c r="C611" s="1"/>
      <c r="E611" s="1"/>
      <c r="F611" s="1"/>
      <c r="G611" s="2"/>
      <c r="H611" s="1"/>
      <c r="I611" s="1"/>
      <c r="J611" s="1"/>
      <c r="K611" s="1"/>
      <c r="M611" s="1"/>
      <c r="N611" s="1"/>
      <c r="O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2"/>
      <c r="AB611" s="1"/>
      <c r="AC611" s="1"/>
      <c r="AD611" s="1"/>
      <c r="AE611" s="1"/>
      <c r="AF611" s="1"/>
      <c r="AG611" s="1"/>
      <c r="AH611" s="2"/>
      <c r="AI611" s="2"/>
      <c r="AJ611" s="2"/>
      <c r="AK611" s="2"/>
      <c r="AL611" s="2"/>
      <c r="AM611" s="1"/>
      <c r="AN611" s="2"/>
      <c r="AP611" s="2"/>
      <c r="AQ611" s="1"/>
      <c r="AR611" s="2"/>
      <c r="AU611" s="1"/>
      <c r="AW611" s="1"/>
      <c r="AY611" s="2"/>
    </row>
    <row r="612">
      <c r="A612" s="1"/>
      <c r="C612" s="1"/>
      <c r="E612" s="1"/>
      <c r="F612" s="1"/>
      <c r="G612" s="2"/>
      <c r="H612" s="1"/>
      <c r="I612" s="1"/>
      <c r="J612" s="1"/>
      <c r="K612" s="1"/>
      <c r="M612" s="1"/>
      <c r="N612" s="1"/>
      <c r="O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2"/>
      <c r="AB612" s="1"/>
      <c r="AC612" s="1"/>
      <c r="AD612" s="1"/>
      <c r="AE612" s="1"/>
      <c r="AF612" s="1"/>
      <c r="AG612" s="1"/>
      <c r="AH612" s="2"/>
      <c r="AI612" s="2"/>
      <c r="AJ612" s="2"/>
      <c r="AK612" s="2"/>
      <c r="AL612" s="2"/>
      <c r="AM612" s="1"/>
      <c r="AN612" s="2"/>
      <c r="AP612" s="2"/>
      <c r="AQ612" s="1"/>
      <c r="AR612" s="2"/>
      <c r="AU612" s="1"/>
      <c r="AW612" s="1"/>
      <c r="AY612" s="2"/>
    </row>
    <row r="613">
      <c r="A613" s="1"/>
      <c r="C613" s="1"/>
      <c r="E613" s="1"/>
      <c r="F613" s="1"/>
      <c r="G613" s="2"/>
      <c r="H613" s="1"/>
      <c r="I613" s="1"/>
      <c r="J613" s="1"/>
      <c r="K613" s="1"/>
      <c r="M613" s="1"/>
      <c r="N613" s="1"/>
      <c r="O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2"/>
      <c r="AB613" s="1"/>
      <c r="AC613" s="1"/>
      <c r="AD613" s="1"/>
      <c r="AE613" s="1"/>
      <c r="AF613" s="1"/>
      <c r="AG613" s="1"/>
      <c r="AH613" s="2"/>
      <c r="AI613" s="2"/>
      <c r="AJ613" s="2"/>
      <c r="AK613" s="2"/>
      <c r="AL613" s="2"/>
      <c r="AM613" s="1"/>
      <c r="AN613" s="2"/>
      <c r="AP613" s="2"/>
      <c r="AQ613" s="1"/>
      <c r="AR613" s="2"/>
      <c r="AU613" s="1"/>
      <c r="AW613" s="1"/>
      <c r="AY613" s="2"/>
    </row>
    <row r="614">
      <c r="A614" s="1"/>
      <c r="C614" s="1"/>
      <c r="E614" s="1"/>
      <c r="F614" s="1"/>
      <c r="G614" s="2"/>
      <c r="H614" s="1"/>
      <c r="I614" s="1"/>
      <c r="J614" s="1"/>
      <c r="K614" s="1"/>
      <c r="M614" s="1"/>
      <c r="N614" s="1"/>
      <c r="O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2"/>
      <c r="AB614" s="1"/>
      <c r="AC614" s="1"/>
      <c r="AD614" s="1"/>
      <c r="AE614" s="1"/>
      <c r="AF614" s="1"/>
      <c r="AG614" s="1"/>
      <c r="AH614" s="2"/>
      <c r="AI614" s="2"/>
      <c r="AJ614" s="2"/>
      <c r="AK614" s="2"/>
      <c r="AL614" s="2"/>
      <c r="AM614" s="1"/>
      <c r="AN614" s="2"/>
      <c r="AP614" s="2"/>
      <c r="AQ614" s="1"/>
      <c r="AR614" s="2"/>
      <c r="AU614" s="1"/>
      <c r="AW614" s="1"/>
      <c r="AY614" s="2"/>
    </row>
    <row r="615">
      <c r="A615" s="1"/>
      <c r="C615" s="1"/>
      <c r="E615" s="1"/>
      <c r="F615" s="1"/>
      <c r="G615" s="2"/>
      <c r="H615" s="1"/>
      <c r="I615" s="1"/>
      <c r="J615" s="1"/>
      <c r="K615" s="1"/>
      <c r="M615" s="1"/>
      <c r="N615" s="1"/>
      <c r="O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2"/>
      <c r="AB615" s="1"/>
      <c r="AC615" s="1"/>
      <c r="AD615" s="1"/>
      <c r="AE615" s="1"/>
      <c r="AF615" s="1"/>
      <c r="AG615" s="1"/>
      <c r="AH615" s="2"/>
      <c r="AI615" s="2"/>
      <c r="AJ615" s="2"/>
      <c r="AK615" s="2"/>
      <c r="AL615" s="2"/>
      <c r="AM615" s="1"/>
      <c r="AN615" s="2"/>
      <c r="AP615" s="2"/>
      <c r="AQ615" s="1"/>
      <c r="AR615" s="2"/>
      <c r="AU615" s="1"/>
      <c r="AW615" s="1"/>
      <c r="AY615" s="2"/>
    </row>
    <row r="616">
      <c r="A616" s="1"/>
      <c r="C616" s="1"/>
      <c r="E616" s="1"/>
      <c r="F616" s="1"/>
      <c r="G616" s="2"/>
      <c r="H616" s="1"/>
      <c r="I616" s="1"/>
      <c r="J616" s="1"/>
      <c r="K616" s="1"/>
      <c r="M616" s="1"/>
      <c r="N616" s="1"/>
      <c r="O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2"/>
      <c r="AB616" s="1"/>
      <c r="AC616" s="1"/>
      <c r="AD616" s="1"/>
      <c r="AE616" s="1"/>
      <c r="AF616" s="1"/>
      <c r="AG616" s="1"/>
      <c r="AH616" s="2"/>
      <c r="AI616" s="2"/>
      <c r="AJ616" s="2"/>
      <c r="AK616" s="2"/>
      <c r="AL616" s="2"/>
      <c r="AM616" s="1"/>
      <c r="AN616" s="2"/>
      <c r="AP616" s="2"/>
      <c r="AQ616" s="1"/>
      <c r="AR616" s="2"/>
      <c r="AU616" s="1"/>
      <c r="AW616" s="1"/>
      <c r="AY616" s="2"/>
    </row>
    <row r="617">
      <c r="A617" s="1"/>
      <c r="C617" s="1"/>
      <c r="E617" s="1"/>
      <c r="F617" s="1"/>
      <c r="G617" s="2"/>
      <c r="H617" s="1"/>
      <c r="I617" s="1"/>
      <c r="J617" s="1"/>
      <c r="K617" s="1"/>
      <c r="M617" s="1"/>
      <c r="N617" s="1"/>
      <c r="O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2"/>
      <c r="AB617" s="1"/>
      <c r="AC617" s="1"/>
      <c r="AD617" s="1"/>
      <c r="AE617" s="1"/>
      <c r="AF617" s="1"/>
      <c r="AG617" s="1"/>
      <c r="AH617" s="2"/>
      <c r="AI617" s="2"/>
      <c r="AJ617" s="2"/>
      <c r="AK617" s="2"/>
      <c r="AL617" s="2"/>
      <c r="AM617" s="1"/>
      <c r="AN617" s="2"/>
      <c r="AP617" s="2"/>
      <c r="AQ617" s="1"/>
      <c r="AR617" s="2"/>
      <c r="AU617" s="1"/>
      <c r="AW617" s="1"/>
      <c r="AY617" s="2"/>
    </row>
    <row r="618">
      <c r="A618" s="1"/>
      <c r="C618" s="1"/>
      <c r="E618" s="1"/>
      <c r="F618" s="1"/>
      <c r="G618" s="2"/>
      <c r="H618" s="1"/>
      <c r="I618" s="1"/>
      <c r="J618" s="1"/>
      <c r="K618" s="1"/>
      <c r="M618" s="1"/>
      <c r="N618" s="1"/>
      <c r="O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2"/>
      <c r="AB618" s="1"/>
      <c r="AC618" s="1"/>
      <c r="AD618" s="1"/>
      <c r="AE618" s="1"/>
      <c r="AF618" s="1"/>
      <c r="AG618" s="1"/>
      <c r="AH618" s="2"/>
      <c r="AI618" s="2"/>
      <c r="AJ618" s="2"/>
      <c r="AK618" s="2"/>
      <c r="AL618" s="2"/>
      <c r="AM618" s="1"/>
      <c r="AN618" s="2"/>
      <c r="AP618" s="2"/>
      <c r="AQ618" s="1"/>
      <c r="AR618" s="2"/>
      <c r="AU618" s="1"/>
      <c r="AW618" s="1"/>
      <c r="AY618" s="2"/>
    </row>
    <row r="619">
      <c r="A619" s="1"/>
      <c r="C619" s="1"/>
      <c r="E619" s="1"/>
      <c r="F619" s="1"/>
      <c r="G619" s="2"/>
      <c r="H619" s="1"/>
      <c r="I619" s="1"/>
      <c r="J619" s="1"/>
      <c r="K619" s="1"/>
      <c r="M619" s="1"/>
      <c r="N619" s="1"/>
      <c r="O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2"/>
      <c r="AB619" s="1"/>
      <c r="AC619" s="1"/>
      <c r="AD619" s="1"/>
      <c r="AE619" s="1"/>
      <c r="AF619" s="1"/>
      <c r="AG619" s="1"/>
      <c r="AH619" s="2"/>
      <c r="AI619" s="2"/>
      <c r="AJ619" s="2"/>
      <c r="AK619" s="2"/>
      <c r="AL619" s="2"/>
      <c r="AM619" s="1"/>
      <c r="AN619" s="2"/>
      <c r="AP619" s="2"/>
      <c r="AQ619" s="1"/>
      <c r="AR619" s="2"/>
      <c r="AU619" s="1"/>
      <c r="AW619" s="1"/>
      <c r="AY619" s="2"/>
    </row>
    <row r="620">
      <c r="A620" s="1"/>
      <c r="C620" s="1"/>
      <c r="E620" s="1"/>
      <c r="F620" s="1"/>
      <c r="G620" s="2"/>
      <c r="H620" s="1"/>
      <c r="I620" s="1"/>
      <c r="J620" s="1"/>
      <c r="K620" s="1"/>
      <c r="M620" s="1"/>
      <c r="N620" s="1"/>
      <c r="O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2"/>
      <c r="AB620" s="1"/>
      <c r="AC620" s="1"/>
      <c r="AD620" s="1"/>
      <c r="AE620" s="1"/>
      <c r="AF620" s="1"/>
      <c r="AG620" s="1"/>
      <c r="AH620" s="2"/>
      <c r="AI620" s="2"/>
      <c r="AJ620" s="2"/>
      <c r="AK620" s="2"/>
      <c r="AL620" s="2"/>
      <c r="AM620" s="1"/>
      <c r="AN620" s="2"/>
      <c r="AP620" s="2"/>
      <c r="AQ620" s="1"/>
      <c r="AR620" s="2"/>
      <c r="AU620" s="1"/>
      <c r="AW620" s="1"/>
      <c r="AY620" s="2"/>
    </row>
    <row r="621">
      <c r="A621" s="1"/>
      <c r="C621" s="1"/>
      <c r="E621" s="1"/>
      <c r="F621" s="1"/>
      <c r="G621" s="2"/>
      <c r="H621" s="1"/>
      <c r="I621" s="1"/>
      <c r="J621" s="1"/>
      <c r="K621" s="1"/>
      <c r="M621" s="1"/>
      <c r="N621" s="1"/>
      <c r="O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2"/>
      <c r="AB621" s="1"/>
      <c r="AC621" s="1"/>
      <c r="AD621" s="1"/>
      <c r="AE621" s="1"/>
      <c r="AF621" s="1"/>
      <c r="AG621" s="1"/>
      <c r="AH621" s="2"/>
      <c r="AI621" s="2"/>
      <c r="AJ621" s="2"/>
      <c r="AK621" s="2"/>
      <c r="AL621" s="2"/>
      <c r="AM621" s="1"/>
      <c r="AN621" s="2"/>
      <c r="AP621" s="2"/>
      <c r="AQ621" s="1"/>
      <c r="AR621" s="2"/>
      <c r="AU621" s="1"/>
      <c r="AW621" s="1"/>
      <c r="AY621" s="2"/>
    </row>
    <row r="622">
      <c r="A622" s="1"/>
      <c r="C622" s="1"/>
      <c r="E622" s="1"/>
      <c r="F622" s="1"/>
      <c r="G622" s="2"/>
      <c r="H622" s="1"/>
      <c r="I622" s="1"/>
      <c r="J622" s="1"/>
      <c r="K622" s="1"/>
      <c r="M622" s="1"/>
      <c r="N622" s="1"/>
      <c r="O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2"/>
      <c r="AB622" s="1"/>
      <c r="AC622" s="1"/>
      <c r="AD622" s="1"/>
      <c r="AE622" s="1"/>
      <c r="AF622" s="1"/>
      <c r="AG622" s="1"/>
      <c r="AH622" s="2"/>
      <c r="AI622" s="2"/>
      <c r="AJ622" s="2"/>
      <c r="AK622" s="2"/>
      <c r="AL622" s="2"/>
      <c r="AM622" s="1"/>
      <c r="AN622" s="2"/>
      <c r="AP622" s="2"/>
      <c r="AQ622" s="1"/>
      <c r="AR622" s="2"/>
      <c r="AU622" s="1"/>
      <c r="AW622" s="1"/>
      <c r="AY622" s="2"/>
    </row>
    <row r="623">
      <c r="A623" s="1"/>
      <c r="C623" s="1"/>
      <c r="E623" s="1"/>
      <c r="F623" s="1"/>
      <c r="G623" s="2"/>
      <c r="H623" s="1"/>
      <c r="I623" s="1"/>
      <c r="J623" s="1"/>
      <c r="K623" s="1"/>
      <c r="M623" s="1"/>
      <c r="N623" s="1"/>
      <c r="O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2"/>
      <c r="AB623" s="1"/>
      <c r="AC623" s="1"/>
      <c r="AD623" s="1"/>
      <c r="AE623" s="1"/>
      <c r="AF623" s="1"/>
      <c r="AG623" s="1"/>
      <c r="AH623" s="2"/>
      <c r="AI623" s="2"/>
      <c r="AJ623" s="2"/>
      <c r="AK623" s="2"/>
      <c r="AL623" s="2"/>
      <c r="AM623" s="1"/>
      <c r="AN623" s="2"/>
      <c r="AP623" s="2"/>
      <c r="AQ623" s="1"/>
      <c r="AR623" s="2"/>
      <c r="AU623" s="1"/>
      <c r="AW623" s="1"/>
      <c r="AY623" s="2"/>
    </row>
    <row r="624">
      <c r="A624" s="1"/>
      <c r="C624" s="1"/>
      <c r="E624" s="1"/>
      <c r="F624" s="1"/>
      <c r="G624" s="2"/>
      <c r="H624" s="1"/>
      <c r="I624" s="1"/>
      <c r="J624" s="1"/>
      <c r="K624" s="1"/>
      <c r="M624" s="1"/>
      <c r="N624" s="1"/>
      <c r="O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2"/>
      <c r="AB624" s="1"/>
      <c r="AC624" s="1"/>
      <c r="AD624" s="1"/>
      <c r="AE624" s="1"/>
      <c r="AF624" s="1"/>
      <c r="AG624" s="1"/>
      <c r="AH624" s="2"/>
      <c r="AI624" s="2"/>
      <c r="AJ624" s="2"/>
      <c r="AK624" s="2"/>
      <c r="AL624" s="2"/>
      <c r="AM624" s="1"/>
      <c r="AN624" s="2"/>
      <c r="AP624" s="2"/>
      <c r="AQ624" s="1"/>
      <c r="AR624" s="2"/>
      <c r="AU624" s="1"/>
      <c r="AW624" s="1"/>
      <c r="AY624" s="2"/>
    </row>
    <row r="625">
      <c r="A625" s="1"/>
      <c r="C625" s="1"/>
      <c r="E625" s="1"/>
      <c r="F625" s="1"/>
      <c r="G625" s="2"/>
      <c r="H625" s="1"/>
      <c r="I625" s="1"/>
      <c r="J625" s="1"/>
      <c r="K625" s="1"/>
      <c r="M625" s="1"/>
      <c r="N625" s="1"/>
      <c r="O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2"/>
      <c r="AB625" s="1"/>
      <c r="AC625" s="1"/>
      <c r="AD625" s="1"/>
      <c r="AE625" s="1"/>
      <c r="AF625" s="1"/>
      <c r="AG625" s="1"/>
      <c r="AH625" s="2"/>
      <c r="AI625" s="2"/>
      <c r="AJ625" s="2"/>
      <c r="AK625" s="2"/>
      <c r="AL625" s="2"/>
      <c r="AM625" s="1"/>
      <c r="AN625" s="2"/>
      <c r="AP625" s="2"/>
      <c r="AQ625" s="1"/>
      <c r="AR625" s="2"/>
      <c r="AU625" s="1"/>
      <c r="AW625" s="1"/>
      <c r="AY625" s="2"/>
    </row>
    <row r="626">
      <c r="A626" s="1"/>
      <c r="C626" s="1"/>
      <c r="E626" s="1"/>
      <c r="F626" s="1"/>
      <c r="G626" s="2"/>
      <c r="H626" s="1"/>
      <c r="I626" s="1"/>
      <c r="J626" s="1"/>
      <c r="K626" s="1"/>
      <c r="M626" s="1"/>
      <c r="N626" s="1"/>
      <c r="O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2"/>
      <c r="AB626" s="1"/>
      <c r="AC626" s="1"/>
      <c r="AD626" s="1"/>
      <c r="AE626" s="1"/>
      <c r="AF626" s="1"/>
      <c r="AG626" s="1"/>
      <c r="AH626" s="2"/>
      <c r="AI626" s="2"/>
      <c r="AJ626" s="2"/>
      <c r="AK626" s="2"/>
      <c r="AL626" s="2"/>
      <c r="AM626" s="1"/>
      <c r="AN626" s="2"/>
      <c r="AP626" s="2"/>
      <c r="AQ626" s="1"/>
      <c r="AR626" s="2"/>
      <c r="AU626" s="1"/>
      <c r="AW626" s="1"/>
      <c r="AY626" s="2"/>
    </row>
    <row r="627">
      <c r="A627" s="1"/>
      <c r="C627" s="1"/>
      <c r="E627" s="1"/>
      <c r="F627" s="1"/>
      <c r="G627" s="2"/>
      <c r="H627" s="1"/>
      <c r="I627" s="1"/>
      <c r="J627" s="1"/>
      <c r="K627" s="1"/>
      <c r="M627" s="1"/>
      <c r="N627" s="1"/>
      <c r="O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2"/>
      <c r="AB627" s="1"/>
      <c r="AC627" s="1"/>
      <c r="AD627" s="1"/>
      <c r="AE627" s="1"/>
      <c r="AF627" s="1"/>
      <c r="AG627" s="1"/>
      <c r="AH627" s="2"/>
      <c r="AI627" s="2"/>
      <c r="AJ627" s="2"/>
      <c r="AK627" s="2"/>
      <c r="AL627" s="2"/>
      <c r="AM627" s="1"/>
      <c r="AN627" s="2"/>
      <c r="AP627" s="2"/>
      <c r="AQ627" s="1"/>
      <c r="AR627" s="2"/>
      <c r="AU627" s="1"/>
      <c r="AW627" s="1"/>
      <c r="AY627" s="2"/>
    </row>
    <row r="628">
      <c r="A628" s="1"/>
      <c r="C628" s="1"/>
      <c r="E628" s="1"/>
      <c r="F628" s="1"/>
      <c r="G628" s="2"/>
      <c r="H628" s="1"/>
      <c r="I628" s="1"/>
      <c r="J628" s="1"/>
      <c r="K628" s="1"/>
      <c r="M628" s="1"/>
      <c r="N628" s="1"/>
      <c r="O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2"/>
      <c r="AB628" s="1"/>
      <c r="AC628" s="1"/>
      <c r="AD628" s="1"/>
      <c r="AE628" s="1"/>
      <c r="AF628" s="1"/>
      <c r="AG628" s="1"/>
      <c r="AH628" s="2"/>
      <c r="AI628" s="2"/>
      <c r="AJ628" s="2"/>
      <c r="AK628" s="2"/>
      <c r="AL628" s="2"/>
      <c r="AM628" s="1"/>
      <c r="AN628" s="2"/>
      <c r="AP628" s="2"/>
      <c r="AQ628" s="1"/>
      <c r="AR628" s="2"/>
      <c r="AU628" s="1"/>
      <c r="AW628" s="1"/>
      <c r="AY628" s="2"/>
    </row>
    <row r="629">
      <c r="A629" s="1"/>
      <c r="C629" s="1"/>
      <c r="E629" s="1"/>
      <c r="F629" s="1"/>
      <c r="G629" s="2"/>
      <c r="H629" s="1"/>
      <c r="I629" s="1"/>
      <c r="J629" s="1"/>
      <c r="K629" s="1"/>
      <c r="M629" s="1"/>
      <c r="N629" s="1"/>
      <c r="O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2"/>
      <c r="AB629" s="1"/>
      <c r="AC629" s="1"/>
      <c r="AD629" s="1"/>
      <c r="AE629" s="1"/>
      <c r="AF629" s="1"/>
      <c r="AG629" s="1"/>
      <c r="AH629" s="2"/>
      <c r="AI629" s="2"/>
      <c r="AJ629" s="2"/>
      <c r="AK629" s="2"/>
      <c r="AL629" s="2"/>
      <c r="AM629" s="1"/>
      <c r="AN629" s="2"/>
      <c r="AP629" s="2"/>
      <c r="AQ629" s="1"/>
      <c r="AR629" s="2"/>
      <c r="AU629" s="1"/>
      <c r="AW629" s="1"/>
      <c r="AY629" s="2"/>
    </row>
    <row r="630">
      <c r="A630" s="1"/>
      <c r="C630" s="1"/>
      <c r="E630" s="1"/>
      <c r="F630" s="1"/>
      <c r="G630" s="2"/>
      <c r="H630" s="1"/>
      <c r="I630" s="1"/>
      <c r="J630" s="1"/>
      <c r="K630" s="1"/>
      <c r="M630" s="1"/>
      <c r="N630" s="1"/>
      <c r="O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2"/>
      <c r="AB630" s="1"/>
      <c r="AC630" s="1"/>
      <c r="AD630" s="1"/>
      <c r="AE630" s="1"/>
      <c r="AF630" s="1"/>
      <c r="AG630" s="1"/>
      <c r="AH630" s="2"/>
      <c r="AI630" s="2"/>
      <c r="AJ630" s="2"/>
      <c r="AK630" s="2"/>
      <c r="AL630" s="2"/>
      <c r="AM630" s="1"/>
      <c r="AN630" s="2"/>
      <c r="AP630" s="2"/>
      <c r="AQ630" s="1"/>
      <c r="AR630" s="2"/>
      <c r="AU630" s="1"/>
      <c r="AW630" s="1"/>
      <c r="AY630" s="2"/>
    </row>
    <row r="631">
      <c r="A631" s="1"/>
      <c r="C631" s="1"/>
      <c r="E631" s="1"/>
      <c r="F631" s="1"/>
      <c r="G631" s="2"/>
      <c r="H631" s="1"/>
      <c r="I631" s="1"/>
      <c r="J631" s="1"/>
      <c r="K631" s="1"/>
      <c r="M631" s="1"/>
      <c r="N631" s="1"/>
      <c r="O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2"/>
      <c r="AB631" s="1"/>
      <c r="AC631" s="1"/>
      <c r="AD631" s="1"/>
      <c r="AE631" s="1"/>
      <c r="AF631" s="1"/>
      <c r="AG631" s="1"/>
      <c r="AH631" s="2"/>
      <c r="AI631" s="2"/>
      <c r="AJ631" s="2"/>
      <c r="AK631" s="2"/>
      <c r="AL631" s="2"/>
      <c r="AM631" s="1"/>
      <c r="AN631" s="2"/>
      <c r="AP631" s="2"/>
      <c r="AQ631" s="1"/>
      <c r="AR631" s="2"/>
      <c r="AU631" s="1"/>
      <c r="AW631" s="1"/>
      <c r="AY631" s="2"/>
    </row>
    <row r="632">
      <c r="A632" s="1"/>
      <c r="C632" s="1"/>
      <c r="E632" s="1"/>
      <c r="F632" s="1"/>
      <c r="G632" s="2"/>
      <c r="H632" s="1"/>
      <c r="I632" s="1"/>
      <c r="J632" s="1"/>
      <c r="K632" s="1"/>
      <c r="M632" s="1"/>
      <c r="N632" s="1"/>
      <c r="O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2"/>
      <c r="AB632" s="1"/>
      <c r="AC632" s="1"/>
      <c r="AD632" s="1"/>
      <c r="AE632" s="1"/>
      <c r="AF632" s="1"/>
      <c r="AG632" s="1"/>
      <c r="AH632" s="2"/>
      <c r="AI632" s="2"/>
      <c r="AJ632" s="2"/>
      <c r="AK632" s="2"/>
      <c r="AL632" s="2"/>
      <c r="AM632" s="1"/>
      <c r="AN632" s="2"/>
      <c r="AP632" s="2"/>
      <c r="AQ632" s="1"/>
      <c r="AR632" s="2"/>
      <c r="AU632" s="1"/>
      <c r="AW632" s="1"/>
      <c r="AY632" s="2"/>
    </row>
    <row r="633">
      <c r="A633" s="1"/>
      <c r="C633" s="1"/>
      <c r="E633" s="1"/>
      <c r="F633" s="1"/>
      <c r="G633" s="2"/>
      <c r="H633" s="1"/>
      <c r="I633" s="1"/>
      <c r="J633" s="1"/>
      <c r="K633" s="1"/>
      <c r="M633" s="1"/>
      <c r="N633" s="1"/>
      <c r="O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2"/>
      <c r="AB633" s="1"/>
      <c r="AC633" s="1"/>
      <c r="AD633" s="1"/>
      <c r="AE633" s="1"/>
      <c r="AF633" s="1"/>
      <c r="AG633" s="1"/>
      <c r="AH633" s="2"/>
      <c r="AI633" s="2"/>
      <c r="AJ633" s="2"/>
      <c r="AK633" s="2"/>
      <c r="AL633" s="2"/>
      <c r="AM633" s="1"/>
      <c r="AN633" s="2"/>
      <c r="AP633" s="2"/>
      <c r="AQ633" s="1"/>
      <c r="AR633" s="2"/>
      <c r="AU633" s="1"/>
      <c r="AW633" s="1"/>
      <c r="AY633" s="2"/>
    </row>
    <row r="634">
      <c r="A634" s="1"/>
      <c r="C634" s="1"/>
      <c r="E634" s="1"/>
      <c r="F634" s="1"/>
      <c r="G634" s="2"/>
      <c r="H634" s="1"/>
      <c r="I634" s="1"/>
      <c r="J634" s="1"/>
      <c r="K634" s="1"/>
      <c r="M634" s="1"/>
      <c r="N634" s="1"/>
      <c r="O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2"/>
      <c r="AB634" s="1"/>
      <c r="AC634" s="1"/>
      <c r="AD634" s="1"/>
      <c r="AE634" s="1"/>
      <c r="AF634" s="1"/>
      <c r="AG634" s="1"/>
      <c r="AH634" s="2"/>
      <c r="AI634" s="2"/>
      <c r="AJ634" s="2"/>
      <c r="AK634" s="2"/>
      <c r="AL634" s="2"/>
      <c r="AM634" s="1"/>
      <c r="AN634" s="2"/>
      <c r="AP634" s="2"/>
      <c r="AQ634" s="1"/>
      <c r="AR634" s="2"/>
      <c r="AU634" s="1"/>
      <c r="AW634" s="1"/>
      <c r="AY634" s="2"/>
    </row>
    <row r="635">
      <c r="A635" s="1"/>
      <c r="C635" s="1"/>
      <c r="E635" s="1"/>
      <c r="F635" s="1"/>
      <c r="G635" s="2"/>
      <c r="H635" s="1"/>
      <c r="I635" s="1"/>
      <c r="J635" s="1"/>
      <c r="K635" s="1"/>
      <c r="M635" s="1"/>
      <c r="N635" s="1"/>
      <c r="O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2"/>
      <c r="AB635" s="1"/>
      <c r="AC635" s="1"/>
      <c r="AD635" s="1"/>
      <c r="AE635" s="1"/>
      <c r="AF635" s="1"/>
      <c r="AG635" s="1"/>
      <c r="AH635" s="2"/>
      <c r="AI635" s="2"/>
      <c r="AJ635" s="2"/>
      <c r="AK635" s="2"/>
      <c r="AL635" s="2"/>
      <c r="AM635" s="1"/>
      <c r="AN635" s="2"/>
      <c r="AP635" s="2"/>
      <c r="AQ635" s="1"/>
      <c r="AR635" s="2"/>
      <c r="AU635" s="1"/>
      <c r="AW635" s="1"/>
      <c r="AY635" s="2"/>
    </row>
    <row r="636">
      <c r="A636" s="1"/>
      <c r="C636" s="1"/>
      <c r="E636" s="1"/>
      <c r="F636" s="1"/>
      <c r="G636" s="2"/>
      <c r="H636" s="1"/>
      <c r="I636" s="1"/>
      <c r="J636" s="1"/>
      <c r="K636" s="1"/>
      <c r="M636" s="1"/>
      <c r="N636" s="1"/>
      <c r="O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2"/>
      <c r="AB636" s="1"/>
      <c r="AC636" s="1"/>
      <c r="AD636" s="1"/>
      <c r="AE636" s="1"/>
      <c r="AF636" s="1"/>
      <c r="AG636" s="1"/>
      <c r="AH636" s="2"/>
      <c r="AI636" s="2"/>
      <c r="AJ636" s="2"/>
      <c r="AK636" s="2"/>
      <c r="AL636" s="2"/>
      <c r="AM636" s="1"/>
      <c r="AN636" s="2"/>
      <c r="AP636" s="2"/>
      <c r="AQ636" s="1"/>
      <c r="AR636" s="2"/>
      <c r="AU636" s="1"/>
      <c r="AW636" s="1"/>
      <c r="AY636" s="2"/>
    </row>
    <row r="637">
      <c r="A637" s="1"/>
      <c r="C637" s="1"/>
      <c r="E637" s="1"/>
      <c r="F637" s="1"/>
      <c r="G637" s="2"/>
      <c r="H637" s="1"/>
      <c r="I637" s="1"/>
      <c r="J637" s="1"/>
      <c r="K637" s="1"/>
      <c r="M637" s="1"/>
      <c r="N637" s="1"/>
      <c r="O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2"/>
      <c r="AB637" s="1"/>
      <c r="AC637" s="1"/>
      <c r="AD637" s="1"/>
      <c r="AE637" s="1"/>
      <c r="AF637" s="1"/>
      <c r="AG637" s="1"/>
      <c r="AH637" s="2"/>
      <c r="AI637" s="2"/>
      <c r="AJ637" s="2"/>
      <c r="AK637" s="2"/>
      <c r="AL637" s="2"/>
      <c r="AM637" s="1"/>
      <c r="AN637" s="2"/>
      <c r="AP637" s="2"/>
      <c r="AQ637" s="1"/>
      <c r="AR637" s="2"/>
      <c r="AU637" s="1"/>
      <c r="AW637" s="1"/>
      <c r="AY637" s="2"/>
    </row>
    <row r="638">
      <c r="A638" s="1"/>
      <c r="C638" s="1"/>
      <c r="E638" s="1"/>
      <c r="F638" s="1"/>
      <c r="G638" s="2"/>
      <c r="H638" s="1"/>
      <c r="I638" s="1"/>
      <c r="J638" s="1"/>
      <c r="K638" s="1"/>
      <c r="M638" s="1"/>
      <c r="N638" s="1"/>
      <c r="O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2"/>
      <c r="AB638" s="1"/>
      <c r="AC638" s="1"/>
      <c r="AD638" s="1"/>
      <c r="AE638" s="1"/>
      <c r="AF638" s="1"/>
      <c r="AG638" s="1"/>
      <c r="AH638" s="2"/>
      <c r="AI638" s="2"/>
      <c r="AJ638" s="2"/>
      <c r="AK638" s="2"/>
      <c r="AL638" s="2"/>
      <c r="AM638" s="1"/>
      <c r="AN638" s="2"/>
      <c r="AP638" s="2"/>
      <c r="AQ638" s="1"/>
      <c r="AR638" s="2"/>
      <c r="AU638" s="1"/>
      <c r="AW638" s="1"/>
      <c r="AY638" s="2"/>
    </row>
    <row r="639">
      <c r="A639" s="1"/>
      <c r="C639" s="1"/>
      <c r="E639" s="1"/>
      <c r="F639" s="1"/>
      <c r="G639" s="2"/>
      <c r="H639" s="1"/>
      <c r="I639" s="1"/>
      <c r="J639" s="1"/>
      <c r="K639" s="1"/>
      <c r="M639" s="1"/>
      <c r="N639" s="1"/>
      <c r="O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2"/>
      <c r="AB639" s="1"/>
      <c r="AC639" s="1"/>
      <c r="AD639" s="1"/>
      <c r="AE639" s="1"/>
      <c r="AF639" s="1"/>
      <c r="AG639" s="1"/>
      <c r="AH639" s="2"/>
      <c r="AI639" s="2"/>
      <c r="AJ639" s="2"/>
      <c r="AK639" s="2"/>
      <c r="AL639" s="2"/>
      <c r="AM639" s="1"/>
      <c r="AN639" s="2"/>
      <c r="AP639" s="2"/>
      <c r="AQ639" s="1"/>
      <c r="AR639" s="2"/>
      <c r="AU639" s="1"/>
      <c r="AW639" s="1"/>
      <c r="AY639" s="2"/>
    </row>
    <row r="640">
      <c r="A640" s="1"/>
      <c r="C640" s="1"/>
      <c r="E640" s="1"/>
      <c r="F640" s="1"/>
      <c r="G640" s="2"/>
      <c r="H640" s="1"/>
      <c r="I640" s="1"/>
      <c r="J640" s="1"/>
      <c r="K640" s="1"/>
      <c r="M640" s="1"/>
      <c r="N640" s="1"/>
      <c r="O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2"/>
      <c r="AB640" s="1"/>
      <c r="AC640" s="1"/>
      <c r="AD640" s="1"/>
      <c r="AE640" s="1"/>
      <c r="AF640" s="1"/>
      <c r="AG640" s="1"/>
      <c r="AH640" s="2"/>
      <c r="AI640" s="2"/>
      <c r="AJ640" s="2"/>
      <c r="AK640" s="2"/>
      <c r="AL640" s="2"/>
      <c r="AM640" s="1"/>
      <c r="AN640" s="2"/>
      <c r="AP640" s="2"/>
      <c r="AQ640" s="1"/>
      <c r="AR640" s="2"/>
      <c r="AU640" s="1"/>
      <c r="AW640" s="1"/>
      <c r="AY640" s="2"/>
    </row>
    <row r="641">
      <c r="A641" s="1"/>
      <c r="C641" s="1"/>
      <c r="E641" s="1"/>
      <c r="F641" s="1"/>
      <c r="G641" s="2"/>
      <c r="H641" s="1"/>
      <c r="I641" s="1"/>
      <c r="J641" s="1"/>
      <c r="K641" s="1"/>
      <c r="M641" s="1"/>
      <c r="N641" s="1"/>
      <c r="O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2"/>
      <c r="AB641" s="1"/>
      <c r="AC641" s="1"/>
      <c r="AD641" s="1"/>
      <c r="AE641" s="1"/>
      <c r="AF641" s="1"/>
      <c r="AG641" s="1"/>
      <c r="AH641" s="2"/>
      <c r="AI641" s="2"/>
      <c r="AJ641" s="2"/>
      <c r="AK641" s="2"/>
      <c r="AL641" s="2"/>
      <c r="AM641" s="1"/>
      <c r="AN641" s="2"/>
      <c r="AP641" s="2"/>
      <c r="AQ641" s="1"/>
      <c r="AR641" s="2"/>
      <c r="AU641" s="1"/>
      <c r="AW641" s="1"/>
      <c r="AY641" s="2"/>
    </row>
    <row r="642">
      <c r="A642" s="1"/>
      <c r="C642" s="1"/>
      <c r="E642" s="1"/>
      <c r="F642" s="1"/>
      <c r="G642" s="2"/>
      <c r="H642" s="1"/>
      <c r="I642" s="1"/>
      <c r="J642" s="1"/>
      <c r="K642" s="1"/>
      <c r="M642" s="1"/>
      <c r="N642" s="1"/>
      <c r="O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2"/>
      <c r="AB642" s="1"/>
      <c r="AC642" s="1"/>
      <c r="AD642" s="1"/>
      <c r="AE642" s="1"/>
      <c r="AF642" s="1"/>
      <c r="AG642" s="1"/>
      <c r="AH642" s="2"/>
      <c r="AI642" s="2"/>
      <c r="AJ642" s="2"/>
      <c r="AK642" s="2"/>
      <c r="AL642" s="2"/>
      <c r="AM642" s="1"/>
      <c r="AN642" s="2"/>
      <c r="AP642" s="2"/>
      <c r="AQ642" s="1"/>
      <c r="AR642" s="2"/>
      <c r="AU642" s="1"/>
      <c r="AW642" s="1"/>
      <c r="AY642" s="2"/>
    </row>
    <row r="643">
      <c r="A643" s="1"/>
      <c r="C643" s="1"/>
      <c r="E643" s="1"/>
      <c r="F643" s="1"/>
      <c r="G643" s="2"/>
      <c r="H643" s="1"/>
      <c r="I643" s="1"/>
      <c r="J643" s="1"/>
      <c r="K643" s="1"/>
      <c r="M643" s="1"/>
      <c r="N643" s="1"/>
      <c r="O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2"/>
      <c r="AB643" s="1"/>
      <c r="AC643" s="1"/>
      <c r="AD643" s="1"/>
      <c r="AE643" s="1"/>
      <c r="AF643" s="1"/>
      <c r="AG643" s="1"/>
      <c r="AH643" s="2"/>
      <c r="AI643" s="2"/>
      <c r="AJ643" s="2"/>
      <c r="AK643" s="2"/>
      <c r="AL643" s="2"/>
      <c r="AM643" s="1"/>
      <c r="AN643" s="2"/>
      <c r="AP643" s="2"/>
      <c r="AQ643" s="1"/>
      <c r="AR643" s="2"/>
      <c r="AU643" s="1"/>
      <c r="AW643" s="1"/>
      <c r="AY643" s="2"/>
    </row>
    <row r="644">
      <c r="A644" s="1"/>
      <c r="C644" s="1"/>
      <c r="E644" s="1"/>
      <c r="F644" s="1"/>
      <c r="G644" s="2"/>
      <c r="H644" s="1"/>
      <c r="I644" s="1"/>
      <c r="J644" s="1"/>
      <c r="K644" s="1"/>
      <c r="M644" s="1"/>
      <c r="N644" s="1"/>
      <c r="O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2"/>
      <c r="AB644" s="1"/>
      <c r="AC644" s="1"/>
      <c r="AD644" s="1"/>
      <c r="AE644" s="1"/>
      <c r="AF644" s="1"/>
      <c r="AG644" s="1"/>
      <c r="AH644" s="2"/>
      <c r="AI644" s="2"/>
      <c r="AJ644" s="2"/>
      <c r="AK644" s="2"/>
      <c r="AL644" s="2"/>
      <c r="AM644" s="1"/>
      <c r="AN644" s="2"/>
      <c r="AP644" s="2"/>
      <c r="AQ644" s="1"/>
      <c r="AR644" s="2"/>
      <c r="AU644" s="1"/>
      <c r="AW644" s="1"/>
      <c r="AY644" s="2"/>
    </row>
    <row r="645">
      <c r="A645" s="1"/>
      <c r="C645" s="1"/>
      <c r="E645" s="1"/>
      <c r="F645" s="1"/>
      <c r="G645" s="2"/>
      <c r="H645" s="1"/>
      <c r="I645" s="1"/>
      <c r="J645" s="1"/>
      <c r="K645" s="1"/>
      <c r="M645" s="1"/>
      <c r="N645" s="1"/>
      <c r="O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2"/>
      <c r="AB645" s="1"/>
      <c r="AC645" s="1"/>
      <c r="AD645" s="1"/>
      <c r="AE645" s="1"/>
      <c r="AF645" s="1"/>
      <c r="AG645" s="1"/>
      <c r="AH645" s="2"/>
      <c r="AI645" s="2"/>
      <c r="AJ645" s="2"/>
      <c r="AK645" s="2"/>
      <c r="AL645" s="2"/>
      <c r="AM645" s="1"/>
      <c r="AN645" s="2"/>
      <c r="AP645" s="2"/>
      <c r="AQ645" s="1"/>
      <c r="AR645" s="2"/>
      <c r="AU645" s="1"/>
      <c r="AW645" s="1"/>
      <c r="AY645" s="2"/>
    </row>
    <row r="646">
      <c r="A646" s="1"/>
      <c r="C646" s="1"/>
      <c r="E646" s="1"/>
      <c r="F646" s="1"/>
      <c r="G646" s="2"/>
      <c r="H646" s="1"/>
      <c r="I646" s="1"/>
      <c r="J646" s="1"/>
      <c r="K646" s="1"/>
      <c r="M646" s="1"/>
      <c r="N646" s="1"/>
      <c r="O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2"/>
      <c r="AB646" s="1"/>
      <c r="AC646" s="1"/>
      <c r="AD646" s="1"/>
      <c r="AE646" s="1"/>
      <c r="AF646" s="1"/>
      <c r="AG646" s="1"/>
      <c r="AH646" s="2"/>
      <c r="AI646" s="2"/>
      <c r="AJ646" s="2"/>
      <c r="AK646" s="2"/>
      <c r="AL646" s="2"/>
      <c r="AM646" s="1"/>
      <c r="AN646" s="2"/>
      <c r="AP646" s="2"/>
      <c r="AQ646" s="1"/>
      <c r="AR646" s="2"/>
      <c r="AU646" s="1"/>
      <c r="AW646" s="1"/>
      <c r="AY646" s="2"/>
    </row>
    <row r="647">
      <c r="A647" s="1"/>
      <c r="C647" s="1"/>
      <c r="E647" s="1"/>
      <c r="F647" s="1"/>
      <c r="G647" s="2"/>
      <c r="H647" s="1"/>
      <c r="I647" s="1"/>
      <c r="J647" s="1"/>
      <c r="K647" s="1"/>
      <c r="M647" s="1"/>
      <c r="N647" s="1"/>
      <c r="O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2"/>
      <c r="AB647" s="1"/>
      <c r="AC647" s="1"/>
      <c r="AD647" s="1"/>
      <c r="AE647" s="1"/>
      <c r="AF647" s="1"/>
      <c r="AG647" s="1"/>
      <c r="AH647" s="2"/>
      <c r="AI647" s="2"/>
      <c r="AJ647" s="2"/>
      <c r="AK647" s="2"/>
      <c r="AL647" s="2"/>
      <c r="AM647" s="1"/>
      <c r="AN647" s="2"/>
      <c r="AP647" s="2"/>
      <c r="AQ647" s="1"/>
      <c r="AR647" s="2"/>
      <c r="AU647" s="1"/>
      <c r="AW647" s="1"/>
      <c r="AY647" s="2"/>
    </row>
    <row r="648">
      <c r="A648" s="1"/>
      <c r="C648" s="1"/>
      <c r="E648" s="1"/>
      <c r="F648" s="1"/>
      <c r="G648" s="2"/>
      <c r="H648" s="1"/>
      <c r="I648" s="1"/>
      <c r="J648" s="1"/>
      <c r="K648" s="1"/>
      <c r="M648" s="1"/>
      <c r="N648" s="1"/>
      <c r="O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2"/>
      <c r="AB648" s="1"/>
      <c r="AC648" s="1"/>
      <c r="AD648" s="1"/>
      <c r="AE648" s="1"/>
      <c r="AF648" s="1"/>
      <c r="AG648" s="1"/>
      <c r="AH648" s="2"/>
      <c r="AI648" s="2"/>
      <c r="AJ648" s="2"/>
      <c r="AK648" s="2"/>
      <c r="AL648" s="2"/>
      <c r="AM648" s="1"/>
      <c r="AN648" s="2"/>
      <c r="AP648" s="2"/>
      <c r="AQ648" s="1"/>
      <c r="AR648" s="2"/>
      <c r="AU648" s="1"/>
      <c r="AW648" s="1"/>
      <c r="AY648" s="2"/>
    </row>
    <row r="649">
      <c r="A649" s="1"/>
      <c r="C649" s="1"/>
      <c r="E649" s="1"/>
      <c r="F649" s="1"/>
      <c r="G649" s="2"/>
      <c r="H649" s="1"/>
      <c r="I649" s="1"/>
      <c r="J649" s="1"/>
      <c r="K649" s="1"/>
      <c r="M649" s="1"/>
      <c r="N649" s="1"/>
      <c r="O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2"/>
      <c r="AB649" s="1"/>
      <c r="AC649" s="1"/>
      <c r="AD649" s="1"/>
      <c r="AE649" s="1"/>
      <c r="AF649" s="1"/>
      <c r="AG649" s="1"/>
      <c r="AH649" s="2"/>
      <c r="AI649" s="2"/>
      <c r="AJ649" s="2"/>
      <c r="AK649" s="2"/>
      <c r="AL649" s="2"/>
      <c r="AM649" s="1"/>
      <c r="AN649" s="2"/>
      <c r="AP649" s="2"/>
      <c r="AQ649" s="1"/>
      <c r="AR649" s="2"/>
      <c r="AU649" s="1"/>
      <c r="AW649" s="1"/>
      <c r="AY649" s="2"/>
    </row>
    <row r="650">
      <c r="A650" s="1"/>
      <c r="C650" s="1"/>
      <c r="E650" s="1"/>
      <c r="F650" s="1"/>
      <c r="G650" s="2"/>
      <c r="H650" s="1"/>
      <c r="I650" s="1"/>
      <c r="J650" s="1"/>
      <c r="K650" s="1"/>
      <c r="M650" s="1"/>
      <c r="N650" s="1"/>
      <c r="O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2"/>
      <c r="AB650" s="1"/>
      <c r="AC650" s="1"/>
      <c r="AD650" s="1"/>
      <c r="AE650" s="1"/>
      <c r="AF650" s="1"/>
      <c r="AG650" s="1"/>
      <c r="AH650" s="2"/>
      <c r="AI650" s="2"/>
      <c r="AJ650" s="2"/>
      <c r="AK650" s="2"/>
      <c r="AL650" s="2"/>
      <c r="AM650" s="1"/>
      <c r="AN650" s="2"/>
      <c r="AP650" s="2"/>
      <c r="AQ650" s="1"/>
      <c r="AR650" s="2"/>
      <c r="AU650" s="1"/>
      <c r="AW650" s="1"/>
      <c r="AY650" s="2"/>
    </row>
    <row r="651">
      <c r="A651" s="1"/>
      <c r="C651" s="1"/>
      <c r="E651" s="1"/>
      <c r="F651" s="1"/>
      <c r="G651" s="2"/>
      <c r="H651" s="1"/>
      <c r="I651" s="1"/>
      <c r="J651" s="1"/>
      <c r="K651" s="1"/>
      <c r="M651" s="1"/>
      <c r="N651" s="1"/>
      <c r="O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2"/>
      <c r="AB651" s="1"/>
      <c r="AC651" s="1"/>
      <c r="AD651" s="1"/>
      <c r="AE651" s="1"/>
      <c r="AF651" s="1"/>
      <c r="AG651" s="1"/>
      <c r="AH651" s="2"/>
      <c r="AI651" s="2"/>
      <c r="AJ651" s="2"/>
      <c r="AK651" s="2"/>
      <c r="AL651" s="2"/>
      <c r="AM651" s="1"/>
      <c r="AN651" s="2"/>
      <c r="AP651" s="2"/>
      <c r="AQ651" s="1"/>
      <c r="AR651" s="2"/>
      <c r="AU651" s="1"/>
      <c r="AW651" s="1"/>
      <c r="AY651" s="2"/>
    </row>
    <row r="652">
      <c r="A652" s="1"/>
      <c r="C652" s="1"/>
      <c r="E652" s="1"/>
      <c r="F652" s="1"/>
      <c r="G652" s="2"/>
      <c r="H652" s="1"/>
      <c r="I652" s="1"/>
      <c r="J652" s="1"/>
      <c r="K652" s="1"/>
      <c r="M652" s="1"/>
      <c r="N652" s="1"/>
      <c r="O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2"/>
      <c r="AB652" s="1"/>
      <c r="AC652" s="1"/>
      <c r="AD652" s="1"/>
      <c r="AE652" s="1"/>
      <c r="AF652" s="1"/>
      <c r="AG652" s="1"/>
      <c r="AH652" s="2"/>
      <c r="AI652" s="2"/>
      <c r="AJ652" s="2"/>
      <c r="AK652" s="2"/>
      <c r="AL652" s="2"/>
      <c r="AM652" s="1"/>
      <c r="AN652" s="2"/>
      <c r="AP652" s="2"/>
      <c r="AQ652" s="1"/>
      <c r="AR652" s="2"/>
      <c r="AU652" s="1"/>
      <c r="AW652" s="1"/>
      <c r="AY652" s="2"/>
    </row>
    <row r="653">
      <c r="A653" s="1"/>
      <c r="C653" s="1"/>
      <c r="E653" s="1"/>
      <c r="F653" s="1"/>
      <c r="G653" s="2"/>
      <c r="H653" s="1"/>
      <c r="I653" s="1"/>
      <c r="J653" s="1"/>
      <c r="K653" s="1"/>
      <c r="M653" s="1"/>
      <c r="N653" s="1"/>
      <c r="O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2"/>
      <c r="AB653" s="1"/>
      <c r="AC653" s="1"/>
      <c r="AD653" s="1"/>
      <c r="AE653" s="1"/>
      <c r="AF653" s="1"/>
      <c r="AG653" s="1"/>
      <c r="AH653" s="2"/>
      <c r="AI653" s="2"/>
      <c r="AJ653" s="2"/>
      <c r="AK653" s="2"/>
      <c r="AL653" s="2"/>
      <c r="AM653" s="1"/>
      <c r="AN653" s="2"/>
      <c r="AP653" s="2"/>
      <c r="AQ653" s="1"/>
      <c r="AR653" s="2"/>
      <c r="AU653" s="1"/>
      <c r="AW653" s="1"/>
      <c r="AY653" s="2"/>
    </row>
    <row r="654">
      <c r="A654" s="1"/>
      <c r="C654" s="1"/>
      <c r="E654" s="1"/>
      <c r="F654" s="1"/>
      <c r="G654" s="2"/>
      <c r="H654" s="1"/>
      <c r="I654" s="1"/>
      <c r="J654" s="1"/>
      <c r="K654" s="1"/>
      <c r="M654" s="1"/>
      <c r="N654" s="1"/>
      <c r="O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2"/>
      <c r="AB654" s="1"/>
      <c r="AC654" s="1"/>
      <c r="AD654" s="1"/>
      <c r="AE654" s="1"/>
      <c r="AF654" s="1"/>
      <c r="AG654" s="1"/>
      <c r="AH654" s="2"/>
      <c r="AI654" s="2"/>
      <c r="AJ654" s="2"/>
      <c r="AK654" s="2"/>
      <c r="AL654" s="2"/>
      <c r="AM654" s="1"/>
      <c r="AN654" s="2"/>
      <c r="AP654" s="2"/>
      <c r="AQ654" s="1"/>
      <c r="AR654" s="2"/>
      <c r="AU654" s="1"/>
      <c r="AW654" s="1"/>
      <c r="AY654" s="2"/>
    </row>
    <row r="655">
      <c r="A655" s="1"/>
      <c r="C655" s="1"/>
      <c r="E655" s="1"/>
      <c r="F655" s="1"/>
      <c r="G655" s="2"/>
      <c r="H655" s="1"/>
      <c r="I655" s="1"/>
      <c r="J655" s="1"/>
      <c r="K655" s="1"/>
      <c r="M655" s="1"/>
      <c r="N655" s="1"/>
      <c r="O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2"/>
      <c r="AB655" s="1"/>
      <c r="AC655" s="1"/>
      <c r="AD655" s="1"/>
      <c r="AE655" s="1"/>
      <c r="AF655" s="1"/>
      <c r="AG655" s="1"/>
      <c r="AH655" s="2"/>
      <c r="AI655" s="2"/>
      <c r="AJ655" s="2"/>
      <c r="AK655" s="2"/>
      <c r="AL655" s="2"/>
      <c r="AM655" s="1"/>
      <c r="AN655" s="2"/>
      <c r="AP655" s="2"/>
      <c r="AQ655" s="1"/>
      <c r="AR655" s="2"/>
      <c r="AU655" s="1"/>
      <c r="AW655" s="1"/>
      <c r="AY655" s="2"/>
    </row>
    <row r="656">
      <c r="A656" s="1"/>
      <c r="C656" s="1"/>
      <c r="E656" s="1"/>
      <c r="F656" s="1"/>
      <c r="G656" s="2"/>
      <c r="H656" s="1"/>
      <c r="I656" s="1"/>
      <c r="J656" s="1"/>
      <c r="K656" s="1"/>
      <c r="M656" s="1"/>
      <c r="N656" s="1"/>
      <c r="O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2"/>
      <c r="AI656" s="2"/>
      <c r="AJ656" s="2"/>
      <c r="AK656" s="2"/>
      <c r="AL656" s="2"/>
      <c r="AM656" s="1"/>
      <c r="AN656" s="2"/>
      <c r="AP656" s="2"/>
      <c r="AQ656" s="1"/>
      <c r="AR656" s="2"/>
      <c r="AU656" s="1"/>
      <c r="AW656" s="1"/>
      <c r="AY656" s="2"/>
    </row>
    <row r="657">
      <c r="A657" s="1"/>
      <c r="C657" s="1"/>
      <c r="E657" s="1"/>
      <c r="F657" s="1"/>
      <c r="G657" s="2"/>
      <c r="H657" s="1"/>
      <c r="I657" s="1"/>
      <c r="J657" s="1"/>
      <c r="K657" s="1"/>
      <c r="M657" s="1"/>
      <c r="N657" s="1"/>
      <c r="O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2"/>
      <c r="AB657" s="1"/>
      <c r="AC657" s="1"/>
      <c r="AD657" s="1"/>
      <c r="AE657" s="1"/>
      <c r="AF657" s="1"/>
      <c r="AG657" s="1"/>
      <c r="AH657" s="2"/>
      <c r="AI657" s="2"/>
      <c r="AJ657" s="2"/>
      <c r="AK657" s="2"/>
      <c r="AL657" s="2"/>
      <c r="AM657" s="1"/>
      <c r="AN657" s="2"/>
      <c r="AP657" s="2"/>
      <c r="AQ657" s="1"/>
      <c r="AR657" s="2"/>
      <c r="AU657" s="1"/>
      <c r="AW657" s="1"/>
      <c r="AY657" s="2"/>
    </row>
    <row r="658">
      <c r="A658" s="1"/>
      <c r="C658" s="1"/>
      <c r="E658" s="1"/>
      <c r="F658" s="1"/>
      <c r="G658" s="2"/>
      <c r="H658" s="1"/>
      <c r="I658" s="1"/>
      <c r="J658" s="1"/>
      <c r="K658" s="1"/>
      <c r="M658" s="1"/>
      <c r="N658" s="1"/>
      <c r="O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2"/>
      <c r="AB658" s="1"/>
      <c r="AC658" s="1"/>
      <c r="AD658" s="1"/>
      <c r="AE658" s="1"/>
      <c r="AF658" s="1"/>
      <c r="AG658" s="1"/>
      <c r="AH658" s="2"/>
      <c r="AI658" s="2"/>
      <c r="AJ658" s="2"/>
      <c r="AK658" s="2"/>
      <c r="AL658" s="2"/>
      <c r="AM658" s="1"/>
      <c r="AN658" s="2"/>
      <c r="AP658" s="2"/>
      <c r="AQ658" s="1"/>
      <c r="AR658" s="2"/>
      <c r="AU658" s="1"/>
      <c r="AW658" s="1"/>
      <c r="AY658" s="2"/>
    </row>
    <row r="659">
      <c r="A659" s="1"/>
      <c r="C659" s="1"/>
      <c r="E659" s="1"/>
      <c r="F659" s="1"/>
      <c r="G659" s="2"/>
      <c r="H659" s="1"/>
      <c r="I659" s="1"/>
      <c r="J659" s="1"/>
      <c r="K659" s="1"/>
      <c r="M659" s="1"/>
      <c r="N659" s="1"/>
      <c r="O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2"/>
      <c r="AB659" s="1"/>
      <c r="AC659" s="1"/>
      <c r="AD659" s="1"/>
      <c r="AE659" s="1"/>
      <c r="AF659" s="1"/>
      <c r="AG659" s="1"/>
      <c r="AH659" s="2"/>
      <c r="AI659" s="2"/>
      <c r="AJ659" s="2"/>
      <c r="AK659" s="2"/>
      <c r="AL659" s="2"/>
      <c r="AM659" s="1"/>
      <c r="AN659" s="2"/>
      <c r="AP659" s="2"/>
      <c r="AQ659" s="1"/>
      <c r="AR659" s="2"/>
      <c r="AU659" s="1"/>
      <c r="AW659" s="1"/>
      <c r="AY659" s="2"/>
    </row>
    <row r="660">
      <c r="A660" s="1"/>
      <c r="C660" s="1"/>
      <c r="E660" s="1"/>
      <c r="F660" s="1"/>
      <c r="G660" s="2"/>
      <c r="H660" s="1"/>
      <c r="I660" s="1"/>
      <c r="J660" s="1"/>
      <c r="K660" s="1"/>
      <c r="M660" s="1"/>
      <c r="N660" s="1"/>
      <c r="O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2"/>
      <c r="AB660" s="1"/>
      <c r="AC660" s="1"/>
      <c r="AD660" s="1"/>
      <c r="AE660" s="1"/>
      <c r="AF660" s="1"/>
      <c r="AG660" s="1"/>
      <c r="AH660" s="2"/>
      <c r="AI660" s="2"/>
      <c r="AJ660" s="2"/>
      <c r="AK660" s="2"/>
      <c r="AL660" s="2"/>
      <c r="AM660" s="1"/>
      <c r="AN660" s="2"/>
      <c r="AP660" s="2"/>
      <c r="AQ660" s="1"/>
      <c r="AR660" s="2"/>
      <c r="AU660" s="1"/>
      <c r="AW660" s="1"/>
      <c r="AY660" s="2"/>
    </row>
    <row r="661">
      <c r="A661" s="1"/>
      <c r="C661" s="1"/>
      <c r="E661" s="1"/>
      <c r="F661" s="1"/>
      <c r="G661" s="2"/>
      <c r="H661" s="1"/>
      <c r="I661" s="1"/>
      <c r="J661" s="1"/>
      <c r="K661" s="1"/>
      <c r="M661" s="1"/>
      <c r="N661" s="1"/>
      <c r="O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2"/>
      <c r="AB661" s="1"/>
      <c r="AC661" s="1"/>
      <c r="AD661" s="1"/>
      <c r="AE661" s="1"/>
      <c r="AF661" s="1"/>
      <c r="AG661" s="1"/>
      <c r="AH661" s="2"/>
      <c r="AI661" s="2"/>
      <c r="AJ661" s="2"/>
      <c r="AK661" s="2"/>
      <c r="AL661" s="2"/>
      <c r="AM661" s="1"/>
      <c r="AN661" s="2"/>
      <c r="AP661" s="2"/>
      <c r="AQ661" s="1"/>
      <c r="AR661" s="2"/>
      <c r="AU661" s="1"/>
      <c r="AW661" s="1"/>
      <c r="AY661" s="2"/>
    </row>
    <row r="662">
      <c r="A662" s="1"/>
      <c r="C662" s="1"/>
      <c r="E662" s="1"/>
      <c r="F662" s="1"/>
      <c r="G662" s="2"/>
      <c r="H662" s="1"/>
      <c r="I662" s="1"/>
      <c r="J662" s="1"/>
      <c r="K662" s="1"/>
      <c r="M662" s="1"/>
      <c r="N662" s="1"/>
      <c r="O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2"/>
      <c r="AB662" s="1"/>
      <c r="AC662" s="1"/>
      <c r="AD662" s="1"/>
      <c r="AE662" s="1"/>
      <c r="AF662" s="1"/>
      <c r="AG662" s="1"/>
      <c r="AH662" s="2"/>
      <c r="AI662" s="2"/>
      <c r="AJ662" s="2"/>
      <c r="AK662" s="2"/>
      <c r="AL662" s="2"/>
      <c r="AM662" s="1"/>
      <c r="AN662" s="2"/>
      <c r="AP662" s="2"/>
      <c r="AQ662" s="1"/>
      <c r="AR662" s="2"/>
      <c r="AU662" s="1"/>
      <c r="AW662" s="1"/>
      <c r="AY662" s="2"/>
    </row>
    <row r="663">
      <c r="A663" s="1"/>
      <c r="C663" s="1"/>
      <c r="E663" s="1"/>
      <c r="F663" s="1"/>
      <c r="G663" s="2"/>
      <c r="H663" s="1"/>
      <c r="I663" s="1"/>
      <c r="J663" s="1"/>
      <c r="K663" s="1"/>
      <c r="M663" s="1"/>
      <c r="N663" s="1"/>
      <c r="O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2"/>
      <c r="AB663" s="1"/>
      <c r="AC663" s="1"/>
      <c r="AD663" s="1"/>
      <c r="AE663" s="1"/>
      <c r="AF663" s="1"/>
      <c r="AG663" s="1"/>
      <c r="AH663" s="2"/>
      <c r="AI663" s="2"/>
      <c r="AJ663" s="2"/>
      <c r="AK663" s="2"/>
      <c r="AL663" s="2"/>
      <c r="AM663" s="1"/>
      <c r="AN663" s="2"/>
      <c r="AP663" s="2"/>
      <c r="AQ663" s="1"/>
      <c r="AR663" s="2"/>
      <c r="AU663" s="1"/>
      <c r="AW663" s="1"/>
      <c r="AY663" s="2"/>
    </row>
    <row r="664">
      <c r="A664" s="1"/>
      <c r="C664" s="1"/>
      <c r="E664" s="1"/>
      <c r="F664" s="1"/>
      <c r="G664" s="2"/>
      <c r="H664" s="1"/>
      <c r="I664" s="1"/>
      <c r="J664" s="1"/>
      <c r="K664" s="1"/>
      <c r="M664" s="1"/>
      <c r="N664" s="1"/>
      <c r="O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2"/>
      <c r="AB664" s="1"/>
      <c r="AC664" s="1"/>
      <c r="AD664" s="1"/>
      <c r="AE664" s="1"/>
      <c r="AF664" s="1"/>
      <c r="AG664" s="1"/>
      <c r="AH664" s="2"/>
      <c r="AI664" s="2"/>
      <c r="AJ664" s="2"/>
      <c r="AK664" s="2"/>
      <c r="AL664" s="2"/>
      <c r="AM664" s="1"/>
      <c r="AN664" s="2"/>
      <c r="AP664" s="2"/>
      <c r="AQ664" s="1"/>
      <c r="AR664" s="2"/>
      <c r="AU664" s="1"/>
      <c r="AW664" s="1"/>
      <c r="AY664" s="2"/>
    </row>
    <row r="665">
      <c r="A665" s="1"/>
      <c r="C665" s="1"/>
      <c r="E665" s="1"/>
      <c r="F665" s="1"/>
      <c r="G665" s="2"/>
      <c r="H665" s="1"/>
      <c r="I665" s="1"/>
      <c r="J665" s="1"/>
      <c r="K665" s="1"/>
      <c r="M665" s="1"/>
      <c r="N665" s="1"/>
      <c r="O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2"/>
      <c r="AB665" s="1"/>
      <c r="AC665" s="1"/>
      <c r="AD665" s="1"/>
      <c r="AE665" s="1"/>
      <c r="AF665" s="1"/>
      <c r="AG665" s="1"/>
      <c r="AH665" s="2"/>
      <c r="AI665" s="2"/>
      <c r="AJ665" s="2"/>
      <c r="AK665" s="2"/>
      <c r="AL665" s="2"/>
      <c r="AM665" s="1"/>
      <c r="AN665" s="2"/>
      <c r="AP665" s="2"/>
      <c r="AQ665" s="1"/>
      <c r="AR665" s="2"/>
      <c r="AU665" s="1"/>
      <c r="AW665" s="1"/>
      <c r="AY665" s="2"/>
    </row>
    <row r="666">
      <c r="A666" s="1"/>
      <c r="C666" s="1"/>
      <c r="E666" s="1"/>
      <c r="F666" s="1"/>
      <c r="G666" s="2"/>
      <c r="H666" s="1"/>
      <c r="I666" s="1"/>
      <c r="J666" s="1"/>
      <c r="K666" s="1"/>
      <c r="M666" s="1"/>
      <c r="N666" s="1"/>
      <c r="O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2"/>
      <c r="AB666" s="1"/>
      <c r="AC666" s="1"/>
      <c r="AD666" s="1"/>
      <c r="AE666" s="1"/>
      <c r="AF666" s="1"/>
      <c r="AG666" s="1"/>
      <c r="AH666" s="2"/>
      <c r="AI666" s="2"/>
      <c r="AJ666" s="2"/>
      <c r="AK666" s="2"/>
      <c r="AL666" s="2"/>
      <c r="AM666" s="1"/>
      <c r="AN666" s="2"/>
      <c r="AP666" s="2"/>
      <c r="AQ666" s="1"/>
      <c r="AR666" s="2"/>
      <c r="AU666" s="1"/>
      <c r="AW666" s="1"/>
      <c r="AY666" s="2"/>
    </row>
    <row r="667">
      <c r="A667" s="1"/>
      <c r="C667" s="1"/>
      <c r="E667" s="1"/>
      <c r="F667" s="1"/>
      <c r="G667" s="2"/>
      <c r="H667" s="1"/>
      <c r="I667" s="1"/>
      <c r="J667" s="1"/>
      <c r="K667" s="1"/>
      <c r="M667" s="1"/>
      <c r="N667" s="1"/>
      <c r="O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2"/>
      <c r="AB667" s="1"/>
      <c r="AC667" s="1"/>
      <c r="AD667" s="1"/>
      <c r="AE667" s="1"/>
      <c r="AF667" s="1"/>
      <c r="AG667" s="1"/>
      <c r="AH667" s="2"/>
      <c r="AI667" s="2"/>
      <c r="AJ667" s="2"/>
      <c r="AK667" s="2"/>
      <c r="AL667" s="2"/>
      <c r="AM667" s="1"/>
      <c r="AN667" s="2"/>
      <c r="AP667" s="2"/>
      <c r="AQ667" s="1"/>
      <c r="AR667" s="2"/>
      <c r="AU667" s="1"/>
      <c r="AW667" s="1"/>
      <c r="AY667" s="2"/>
    </row>
    <row r="668">
      <c r="A668" s="1"/>
      <c r="C668" s="1"/>
      <c r="E668" s="1"/>
      <c r="F668" s="1"/>
      <c r="G668" s="2"/>
      <c r="H668" s="1"/>
      <c r="I668" s="1"/>
      <c r="J668" s="1"/>
      <c r="K668" s="1"/>
      <c r="M668" s="1"/>
      <c r="N668" s="1"/>
      <c r="O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2"/>
      <c r="AB668" s="1"/>
      <c r="AC668" s="1"/>
      <c r="AD668" s="1"/>
      <c r="AE668" s="1"/>
      <c r="AF668" s="1"/>
      <c r="AG668" s="1"/>
      <c r="AH668" s="2"/>
      <c r="AI668" s="2"/>
      <c r="AJ668" s="2"/>
      <c r="AK668" s="2"/>
      <c r="AL668" s="2"/>
      <c r="AM668" s="1"/>
      <c r="AN668" s="2"/>
      <c r="AP668" s="2"/>
      <c r="AQ668" s="1"/>
      <c r="AR668" s="2"/>
      <c r="AU668" s="1"/>
      <c r="AW668" s="1"/>
      <c r="AY668" s="2"/>
    </row>
    <row r="669">
      <c r="A669" s="1"/>
      <c r="C669" s="1"/>
      <c r="E669" s="1"/>
      <c r="F669" s="1"/>
      <c r="G669" s="2"/>
      <c r="H669" s="1"/>
      <c r="I669" s="1"/>
      <c r="J669" s="1"/>
      <c r="K669" s="1"/>
      <c r="M669" s="1"/>
      <c r="N669" s="1"/>
      <c r="O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2"/>
      <c r="AB669" s="1"/>
      <c r="AC669" s="1"/>
      <c r="AD669" s="1"/>
      <c r="AE669" s="1"/>
      <c r="AF669" s="1"/>
      <c r="AG669" s="1"/>
      <c r="AH669" s="2"/>
      <c r="AI669" s="2"/>
      <c r="AJ669" s="2"/>
      <c r="AK669" s="2"/>
      <c r="AL669" s="2"/>
      <c r="AM669" s="1"/>
      <c r="AN669" s="2"/>
      <c r="AP669" s="2"/>
      <c r="AQ669" s="1"/>
      <c r="AR669" s="2"/>
      <c r="AU669" s="1"/>
      <c r="AW669" s="1"/>
      <c r="AY669" s="2"/>
    </row>
    <row r="670">
      <c r="A670" s="1"/>
      <c r="C670" s="1"/>
      <c r="E670" s="1"/>
      <c r="F670" s="1"/>
      <c r="G670" s="2"/>
      <c r="H670" s="1"/>
      <c r="I670" s="1"/>
      <c r="J670" s="1"/>
      <c r="K670" s="1"/>
      <c r="M670" s="1"/>
      <c r="N670" s="1"/>
      <c r="O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2"/>
      <c r="AB670" s="1"/>
      <c r="AC670" s="1"/>
      <c r="AD670" s="1"/>
      <c r="AE670" s="1"/>
      <c r="AF670" s="1"/>
      <c r="AG670" s="1"/>
      <c r="AH670" s="2"/>
      <c r="AI670" s="2"/>
      <c r="AJ670" s="2"/>
      <c r="AK670" s="2"/>
      <c r="AL670" s="2"/>
      <c r="AM670" s="1"/>
      <c r="AN670" s="2"/>
      <c r="AP670" s="2"/>
      <c r="AQ670" s="1"/>
      <c r="AR670" s="2"/>
      <c r="AU670" s="1"/>
      <c r="AW670" s="1"/>
      <c r="AY670" s="2"/>
    </row>
    <row r="671">
      <c r="A671" s="1"/>
      <c r="C671" s="1"/>
      <c r="E671" s="1"/>
      <c r="F671" s="1"/>
      <c r="G671" s="2"/>
      <c r="H671" s="1"/>
      <c r="I671" s="1"/>
      <c r="J671" s="1"/>
      <c r="K671" s="1"/>
      <c r="M671" s="1"/>
      <c r="N671" s="1"/>
      <c r="O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2"/>
      <c r="AB671" s="1"/>
      <c r="AC671" s="1"/>
      <c r="AD671" s="1"/>
      <c r="AE671" s="1"/>
      <c r="AF671" s="1"/>
      <c r="AG671" s="1"/>
      <c r="AH671" s="2"/>
      <c r="AI671" s="2"/>
      <c r="AJ671" s="2"/>
      <c r="AK671" s="2"/>
      <c r="AL671" s="2"/>
      <c r="AM671" s="1"/>
      <c r="AN671" s="2"/>
      <c r="AP671" s="2"/>
      <c r="AQ671" s="1"/>
      <c r="AR671" s="2"/>
      <c r="AU671" s="1"/>
      <c r="AW671" s="1"/>
      <c r="AY671" s="2"/>
    </row>
    <row r="672">
      <c r="A672" s="1"/>
      <c r="C672" s="1"/>
      <c r="E672" s="1"/>
      <c r="F672" s="1"/>
      <c r="G672" s="2"/>
      <c r="H672" s="1"/>
      <c r="I672" s="1"/>
      <c r="J672" s="1"/>
      <c r="K672" s="1"/>
      <c r="M672" s="1"/>
      <c r="N672" s="1"/>
      <c r="O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2"/>
      <c r="AB672" s="1"/>
      <c r="AC672" s="1"/>
      <c r="AD672" s="1"/>
      <c r="AE672" s="1"/>
      <c r="AF672" s="1"/>
      <c r="AG672" s="1"/>
      <c r="AH672" s="2"/>
      <c r="AI672" s="2"/>
      <c r="AJ672" s="2"/>
      <c r="AK672" s="2"/>
      <c r="AL672" s="2"/>
      <c r="AM672" s="1"/>
      <c r="AN672" s="2"/>
      <c r="AP672" s="2"/>
      <c r="AQ672" s="1"/>
      <c r="AR672" s="2"/>
      <c r="AU672" s="1"/>
      <c r="AW672" s="1"/>
      <c r="AY672" s="2"/>
    </row>
    <row r="673">
      <c r="A673" s="1"/>
      <c r="C673" s="1"/>
      <c r="E673" s="1"/>
      <c r="F673" s="1"/>
      <c r="G673" s="2"/>
      <c r="H673" s="1"/>
      <c r="I673" s="1"/>
      <c r="J673" s="1"/>
      <c r="K673" s="1"/>
      <c r="M673" s="1"/>
      <c r="N673" s="1"/>
      <c r="O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2"/>
      <c r="AB673" s="1"/>
      <c r="AC673" s="1"/>
      <c r="AD673" s="1"/>
      <c r="AE673" s="1"/>
      <c r="AF673" s="1"/>
      <c r="AG673" s="1"/>
      <c r="AH673" s="2"/>
      <c r="AI673" s="2"/>
      <c r="AJ673" s="2"/>
      <c r="AK673" s="2"/>
      <c r="AL673" s="2"/>
      <c r="AM673" s="1"/>
      <c r="AN673" s="2"/>
      <c r="AP673" s="2"/>
      <c r="AQ673" s="1"/>
      <c r="AR673" s="2"/>
      <c r="AU673" s="1"/>
      <c r="AW673" s="1"/>
      <c r="AY673" s="2"/>
    </row>
    <row r="674">
      <c r="A674" s="1"/>
      <c r="C674" s="1"/>
      <c r="E674" s="1"/>
      <c r="F674" s="1"/>
      <c r="G674" s="2"/>
      <c r="H674" s="1"/>
      <c r="I674" s="1"/>
      <c r="J674" s="1"/>
      <c r="K674" s="1"/>
      <c r="M674" s="1"/>
      <c r="N674" s="1"/>
      <c r="O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2"/>
      <c r="AB674" s="1"/>
      <c r="AC674" s="1"/>
      <c r="AD674" s="1"/>
      <c r="AE674" s="1"/>
      <c r="AF674" s="1"/>
      <c r="AG674" s="1"/>
      <c r="AH674" s="2"/>
      <c r="AI674" s="2"/>
      <c r="AJ674" s="2"/>
      <c r="AK674" s="2"/>
      <c r="AL674" s="2"/>
      <c r="AM674" s="1"/>
      <c r="AN674" s="2"/>
      <c r="AP674" s="2"/>
      <c r="AQ674" s="1"/>
      <c r="AR674" s="2"/>
      <c r="AU674" s="1"/>
      <c r="AW674" s="1"/>
      <c r="AY674" s="2"/>
    </row>
    <row r="675">
      <c r="A675" s="1"/>
      <c r="C675" s="1"/>
      <c r="E675" s="1"/>
      <c r="F675" s="1"/>
      <c r="G675" s="2"/>
      <c r="H675" s="1"/>
      <c r="I675" s="1"/>
      <c r="J675" s="1"/>
      <c r="K675" s="1"/>
      <c r="M675" s="1"/>
      <c r="N675" s="1"/>
      <c r="O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2"/>
      <c r="AB675" s="1"/>
      <c r="AC675" s="1"/>
      <c r="AD675" s="1"/>
      <c r="AE675" s="1"/>
      <c r="AF675" s="1"/>
      <c r="AG675" s="1"/>
      <c r="AH675" s="2"/>
      <c r="AI675" s="2"/>
      <c r="AJ675" s="2"/>
      <c r="AK675" s="2"/>
      <c r="AL675" s="2"/>
      <c r="AM675" s="1"/>
      <c r="AN675" s="2"/>
      <c r="AP675" s="2"/>
      <c r="AQ675" s="1"/>
      <c r="AR675" s="2"/>
      <c r="AU675" s="1"/>
      <c r="AW675" s="1"/>
      <c r="AY675" s="2"/>
    </row>
    <row r="676">
      <c r="A676" s="1"/>
      <c r="C676" s="1"/>
      <c r="E676" s="1"/>
      <c r="F676" s="1"/>
      <c r="G676" s="2"/>
      <c r="H676" s="1"/>
      <c r="I676" s="1"/>
      <c r="J676" s="1"/>
      <c r="K676" s="1"/>
      <c r="M676" s="1"/>
      <c r="N676" s="1"/>
      <c r="O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2"/>
      <c r="AB676" s="1"/>
      <c r="AC676" s="1"/>
      <c r="AD676" s="1"/>
      <c r="AE676" s="1"/>
      <c r="AF676" s="1"/>
      <c r="AG676" s="1"/>
      <c r="AH676" s="2"/>
      <c r="AI676" s="2"/>
      <c r="AJ676" s="2"/>
      <c r="AK676" s="2"/>
      <c r="AL676" s="2"/>
      <c r="AM676" s="1"/>
      <c r="AN676" s="2"/>
      <c r="AP676" s="2"/>
      <c r="AQ676" s="1"/>
      <c r="AR676" s="2"/>
      <c r="AU676" s="1"/>
      <c r="AW676" s="1"/>
      <c r="AY676" s="2"/>
    </row>
    <row r="677">
      <c r="A677" s="1"/>
      <c r="C677" s="1"/>
      <c r="E677" s="1"/>
      <c r="F677" s="1"/>
      <c r="G677" s="2"/>
      <c r="H677" s="1"/>
      <c r="I677" s="1"/>
      <c r="J677" s="1"/>
      <c r="K677" s="1"/>
      <c r="M677" s="1"/>
      <c r="N677" s="1"/>
      <c r="O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2"/>
      <c r="AB677" s="1"/>
      <c r="AC677" s="1"/>
      <c r="AD677" s="1"/>
      <c r="AE677" s="1"/>
      <c r="AF677" s="1"/>
      <c r="AG677" s="1"/>
      <c r="AH677" s="2"/>
      <c r="AI677" s="2"/>
      <c r="AJ677" s="2"/>
      <c r="AK677" s="2"/>
      <c r="AL677" s="2"/>
      <c r="AM677" s="1"/>
      <c r="AN677" s="2"/>
      <c r="AP677" s="2"/>
      <c r="AQ677" s="1"/>
      <c r="AR677" s="2"/>
      <c r="AU677" s="1"/>
      <c r="AW677" s="1"/>
      <c r="AY677" s="2"/>
    </row>
    <row r="678">
      <c r="A678" s="1"/>
      <c r="C678" s="1"/>
      <c r="E678" s="1"/>
      <c r="F678" s="1"/>
      <c r="G678" s="2"/>
      <c r="H678" s="1"/>
      <c r="I678" s="1"/>
      <c r="J678" s="1"/>
      <c r="K678" s="1"/>
      <c r="M678" s="1"/>
      <c r="N678" s="1"/>
      <c r="O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2"/>
      <c r="AB678" s="1"/>
      <c r="AC678" s="1"/>
      <c r="AD678" s="1"/>
      <c r="AE678" s="1"/>
      <c r="AF678" s="1"/>
      <c r="AG678" s="1"/>
      <c r="AH678" s="2"/>
      <c r="AI678" s="2"/>
      <c r="AJ678" s="2"/>
      <c r="AK678" s="2"/>
      <c r="AL678" s="2"/>
      <c r="AM678" s="1"/>
      <c r="AN678" s="2"/>
      <c r="AP678" s="2"/>
      <c r="AQ678" s="1"/>
      <c r="AR678" s="2"/>
      <c r="AU678" s="1"/>
      <c r="AW678" s="1"/>
      <c r="AY678" s="2"/>
    </row>
    <row r="679">
      <c r="A679" s="1"/>
      <c r="C679" s="1"/>
      <c r="E679" s="1"/>
      <c r="F679" s="1"/>
      <c r="G679" s="2"/>
      <c r="H679" s="1"/>
      <c r="I679" s="1"/>
      <c r="J679" s="1"/>
      <c r="K679" s="1"/>
      <c r="M679" s="1"/>
      <c r="N679" s="1"/>
      <c r="O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2"/>
      <c r="AB679" s="1"/>
      <c r="AC679" s="1"/>
      <c r="AD679" s="1"/>
      <c r="AE679" s="1"/>
      <c r="AF679" s="1"/>
      <c r="AG679" s="1"/>
      <c r="AH679" s="2"/>
      <c r="AI679" s="2"/>
      <c r="AJ679" s="2"/>
      <c r="AK679" s="2"/>
      <c r="AL679" s="2"/>
      <c r="AM679" s="1"/>
      <c r="AN679" s="2"/>
      <c r="AP679" s="2"/>
      <c r="AQ679" s="1"/>
      <c r="AR679" s="2"/>
      <c r="AU679" s="1"/>
      <c r="AW679" s="1"/>
      <c r="AY679" s="2"/>
    </row>
    <row r="680">
      <c r="A680" s="1"/>
      <c r="C680" s="1"/>
      <c r="E680" s="1"/>
      <c r="F680" s="1"/>
      <c r="G680" s="2"/>
      <c r="H680" s="1"/>
      <c r="I680" s="1"/>
      <c r="J680" s="1"/>
      <c r="K680" s="1"/>
      <c r="M680" s="1"/>
      <c r="N680" s="1"/>
      <c r="O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2"/>
      <c r="AB680" s="1"/>
      <c r="AC680" s="1"/>
      <c r="AD680" s="1"/>
      <c r="AE680" s="1"/>
      <c r="AF680" s="1"/>
      <c r="AG680" s="1"/>
      <c r="AH680" s="2"/>
      <c r="AI680" s="2"/>
      <c r="AJ680" s="2"/>
      <c r="AK680" s="2"/>
      <c r="AL680" s="2"/>
      <c r="AM680" s="1"/>
      <c r="AN680" s="2"/>
      <c r="AP680" s="2"/>
      <c r="AQ680" s="1"/>
      <c r="AR680" s="2"/>
      <c r="AU680" s="1"/>
      <c r="AW680" s="1"/>
      <c r="AY680" s="2"/>
    </row>
    <row r="681">
      <c r="A681" s="1"/>
      <c r="C681" s="1"/>
      <c r="E681" s="1"/>
      <c r="F681" s="1"/>
      <c r="G681" s="2"/>
      <c r="H681" s="1"/>
      <c r="I681" s="1"/>
      <c r="J681" s="1"/>
      <c r="K681" s="1"/>
      <c r="M681" s="1"/>
      <c r="N681" s="1"/>
      <c r="O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2"/>
      <c r="AB681" s="1"/>
      <c r="AC681" s="1"/>
      <c r="AD681" s="1"/>
      <c r="AE681" s="1"/>
      <c r="AF681" s="1"/>
      <c r="AG681" s="1"/>
      <c r="AH681" s="2"/>
      <c r="AI681" s="2"/>
      <c r="AJ681" s="2"/>
      <c r="AK681" s="2"/>
      <c r="AL681" s="2"/>
      <c r="AM681" s="1"/>
      <c r="AN681" s="2"/>
      <c r="AP681" s="2"/>
      <c r="AQ681" s="1"/>
      <c r="AR681" s="2"/>
      <c r="AU681" s="1"/>
      <c r="AW681" s="1"/>
      <c r="AY681" s="2"/>
    </row>
    <row r="682">
      <c r="A682" s="1"/>
      <c r="C682" s="1"/>
      <c r="E682" s="1"/>
      <c r="F682" s="1"/>
      <c r="G682" s="2"/>
      <c r="H682" s="1"/>
      <c r="I682" s="1"/>
      <c r="J682" s="1"/>
      <c r="K682" s="1"/>
      <c r="M682" s="1"/>
      <c r="N682" s="1"/>
      <c r="O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2"/>
      <c r="AB682" s="1"/>
      <c r="AC682" s="1"/>
      <c r="AD682" s="1"/>
      <c r="AE682" s="1"/>
      <c r="AF682" s="1"/>
      <c r="AG682" s="1"/>
      <c r="AH682" s="2"/>
      <c r="AI682" s="2"/>
      <c r="AJ682" s="2"/>
      <c r="AK682" s="2"/>
      <c r="AL682" s="2"/>
      <c r="AM682" s="1"/>
      <c r="AN682" s="2"/>
      <c r="AP682" s="2"/>
      <c r="AQ682" s="1"/>
      <c r="AR682" s="2"/>
      <c r="AU682" s="1"/>
      <c r="AW682" s="1"/>
      <c r="AY682" s="2"/>
    </row>
    <row r="683">
      <c r="A683" s="1"/>
      <c r="C683" s="1"/>
      <c r="E683" s="1"/>
      <c r="F683" s="1"/>
      <c r="G683" s="2"/>
      <c r="H683" s="1"/>
      <c r="I683" s="1"/>
      <c r="J683" s="1"/>
      <c r="K683" s="1"/>
      <c r="M683" s="1"/>
      <c r="N683" s="1"/>
      <c r="O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2"/>
      <c r="AB683" s="1"/>
      <c r="AC683" s="1"/>
      <c r="AD683" s="1"/>
      <c r="AE683" s="1"/>
      <c r="AF683" s="1"/>
      <c r="AG683" s="1"/>
      <c r="AH683" s="2"/>
      <c r="AI683" s="2"/>
      <c r="AJ683" s="2"/>
      <c r="AK683" s="2"/>
      <c r="AL683" s="2"/>
      <c r="AM683" s="1"/>
      <c r="AN683" s="2"/>
      <c r="AP683" s="2"/>
      <c r="AQ683" s="1"/>
      <c r="AR683" s="2"/>
      <c r="AU683" s="1"/>
      <c r="AW683" s="1"/>
      <c r="AY683" s="2"/>
    </row>
    <row r="684">
      <c r="A684" s="1"/>
      <c r="C684" s="1"/>
      <c r="E684" s="1"/>
      <c r="F684" s="1"/>
      <c r="G684" s="2"/>
      <c r="H684" s="1"/>
      <c r="I684" s="1"/>
      <c r="J684" s="1"/>
      <c r="K684" s="1"/>
      <c r="M684" s="1"/>
      <c r="N684" s="1"/>
      <c r="O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2"/>
      <c r="AB684" s="1"/>
      <c r="AC684" s="1"/>
      <c r="AD684" s="1"/>
      <c r="AE684" s="1"/>
      <c r="AF684" s="1"/>
      <c r="AG684" s="1"/>
      <c r="AH684" s="2"/>
      <c r="AI684" s="2"/>
      <c r="AJ684" s="2"/>
      <c r="AK684" s="2"/>
      <c r="AL684" s="2"/>
      <c r="AM684" s="1"/>
      <c r="AN684" s="2"/>
      <c r="AP684" s="2"/>
      <c r="AQ684" s="1"/>
      <c r="AR684" s="2"/>
      <c r="AU684" s="1"/>
      <c r="AW684" s="1"/>
      <c r="AY684" s="2"/>
    </row>
    <row r="685">
      <c r="A685" s="1"/>
      <c r="C685" s="1"/>
      <c r="E685" s="1"/>
      <c r="F685" s="1"/>
      <c r="G685" s="2"/>
      <c r="H685" s="1"/>
      <c r="I685" s="1"/>
      <c r="J685" s="1"/>
      <c r="K685" s="1"/>
      <c r="M685" s="1"/>
      <c r="N685" s="1"/>
      <c r="O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2"/>
      <c r="AB685" s="1"/>
      <c r="AC685" s="1"/>
      <c r="AD685" s="1"/>
      <c r="AE685" s="1"/>
      <c r="AF685" s="1"/>
      <c r="AG685" s="1"/>
      <c r="AH685" s="2"/>
      <c r="AI685" s="2"/>
      <c r="AJ685" s="2"/>
      <c r="AK685" s="2"/>
      <c r="AL685" s="2"/>
      <c r="AM685" s="1"/>
      <c r="AN685" s="2"/>
      <c r="AP685" s="2"/>
      <c r="AQ685" s="1"/>
      <c r="AR685" s="2"/>
      <c r="AU685" s="1"/>
      <c r="AW685" s="1"/>
      <c r="AY685" s="2"/>
    </row>
    <row r="686">
      <c r="A686" s="1"/>
      <c r="C686" s="1"/>
      <c r="E686" s="1"/>
      <c r="F686" s="1"/>
      <c r="G686" s="2"/>
      <c r="H686" s="1"/>
      <c r="I686" s="1"/>
      <c r="J686" s="1"/>
      <c r="K686" s="1"/>
      <c r="M686" s="1"/>
      <c r="N686" s="1"/>
      <c r="O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2"/>
      <c r="AB686" s="1"/>
      <c r="AC686" s="1"/>
      <c r="AD686" s="1"/>
      <c r="AE686" s="1"/>
      <c r="AF686" s="1"/>
      <c r="AG686" s="1"/>
      <c r="AH686" s="2"/>
      <c r="AI686" s="2"/>
      <c r="AJ686" s="2"/>
      <c r="AK686" s="2"/>
      <c r="AL686" s="2"/>
      <c r="AM686" s="1"/>
      <c r="AN686" s="2"/>
      <c r="AP686" s="2"/>
      <c r="AQ686" s="1"/>
      <c r="AR686" s="2"/>
      <c r="AU686" s="1"/>
      <c r="AW686" s="1"/>
      <c r="AY686" s="2"/>
    </row>
    <row r="687">
      <c r="A687" s="1"/>
      <c r="C687" s="1"/>
      <c r="E687" s="1"/>
      <c r="F687" s="1"/>
      <c r="G687" s="2"/>
      <c r="H687" s="1"/>
      <c r="I687" s="1"/>
      <c r="J687" s="1"/>
      <c r="K687" s="1"/>
      <c r="M687" s="1"/>
      <c r="N687" s="1"/>
      <c r="O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2"/>
      <c r="AB687" s="1"/>
      <c r="AC687" s="1"/>
      <c r="AD687" s="1"/>
      <c r="AE687" s="1"/>
      <c r="AF687" s="1"/>
      <c r="AG687" s="1"/>
      <c r="AH687" s="2"/>
      <c r="AI687" s="2"/>
      <c r="AJ687" s="2"/>
      <c r="AK687" s="2"/>
      <c r="AL687" s="2"/>
      <c r="AM687" s="1"/>
      <c r="AN687" s="2"/>
      <c r="AP687" s="2"/>
      <c r="AQ687" s="1"/>
      <c r="AR687" s="2"/>
      <c r="AU687" s="1"/>
      <c r="AW687" s="1"/>
      <c r="AY687" s="2"/>
    </row>
    <row r="688">
      <c r="A688" s="1"/>
      <c r="C688" s="1"/>
      <c r="E688" s="1"/>
      <c r="F688" s="1"/>
      <c r="G688" s="2"/>
      <c r="H688" s="1"/>
      <c r="I688" s="1"/>
      <c r="J688" s="1"/>
      <c r="K688" s="1"/>
      <c r="M688" s="1"/>
      <c r="N688" s="1"/>
      <c r="O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2"/>
      <c r="AB688" s="1"/>
      <c r="AC688" s="1"/>
      <c r="AD688" s="1"/>
      <c r="AE688" s="1"/>
      <c r="AF688" s="1"/>
      <c r="AG688" s="1"/>
      <c r="AH688" s="2"/>
      <c r="AI688" s="2"/>
      <c r="AJ688" s="2"/>
      <c r="AK688" s="2"/>
      <c r="AL688" s="2"/>
      <c r="AM688" s="1"/>
      <c r="AN688" s="2"/>
      <c r="AP688" s="2"/>
      <c r="AQ688" s="1"/>
      <c r="AR688" s="2"/>
      <c r="AU688" s="1"/>
      <c r="AW688" s="1"/>
      <c r="AY688" s="2"/>
    </row>
    <row r="689">
      <c r="A689" s="1"/>
      <c r="C689" s="1"/>
      <c r="E689" s="1"/>
      <c r="F689" s="1"/>
      <c r="G689" s="2"/>
      <c r="H689" s="1"/>
      <c r="I689" s="1"/>
      <c r="J689" s="1"/>
      <c r="K689" s="1"/>
      <c r="M689" s="1"/>
      <c r="N689" s="1"/>
      <c r="O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2"/>
      <c r="AB689" s="1"/>
      <c r="AC689" s="1"/>
      <c r="AD689" s="1"/>
      <c r="AE689" s="1"/>
      <c r="AF689" s="1"/>
      <c r="AG689" s="1"/>
      <c r="AH689" s="2"/>
      <c r="AI689" s="2"/>
      <c r="AJ689" s="2"/>
      <c r="AK689" s="2"/>
      <c r="AL689" s="2"/>
      <c r="AM689" s="1"/>
      <c r="AN689" s="2"/>
      <c r="AP689" s="2"/>
      <c r="AQ689" s="1"/>
      <c r="AR689" s="2"/>
      <c r="AU689" s="1"/>
      <c r="AW689" s="1"/>
      <c r="AY689" s="2"/>
    </row>
    <row r="690">
      <c r="A690" s="1"/>
      <c r="C690" s="1"/>
      <c r="E690" s="1"/>
      <c r="F690" s="1"/>
      <c r="G690" s="2"/>
      <c r="H690" s="1"/>
      <c r="I690" s="1"/>
      <c r="J690" s="1"/>
      <c r="K690" s="1"/>
      <c r="M690" s="1"/>
      <c r="N690" s="1"/>
      <c r="O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2"/>
      <c r="AB690" s="1"/>
      <c r="AC690" s="1"/>
      <c r="AD690" s="1"/>
      <c r="AE690" s="1"/>
      <c r="AF690" s="1"/>
      <c r="AG690" s="1"/>
      <c r="AH690" s="2"/>
      <c r="AI690" s="2"/>
      <c r="AJ690" s="2"/>
      <c r="AK690" s="2"/>
      <c r="AL690" s="2"/>
      <c r="AM690" s="1"/>
      <c r="AN690" s="2"/>
      <c r="AP690" s="2"/>
      <c r="AQ690" s="1"/>
      <c r="AR690" s="2"/>
      <c r="AU690" s="1"/>
      <c r="AW690" s="1"/>
      <c r="AY690" s="2"/>
    </row>
    <row r="691">
      <c r="A691" s="1"/>
      <c r="C691" s="1"/>
      <c r="E691" s="1"/>
      <c r="F691" s="1"/>
      <c r="G691" s="2"/>
      <c r="H691" s="1"/>
      <c r="I691" s="1"/>
      <c r="J691" s="1"/>
      <c r="K691" s="1"/>
      <c r="M691" s="1"/>
      <c r="N691" s="1"/>
      <c r="O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2"/>
      <c r="AB691" s="1"/>
      <c r="AC691" s="1"/>
      <c r="AD691" s="1"/>
      <c r="AE691" s="1"/>
      <c r="AF691" s="1"/>
      <c r="AG691" s="1"/>
      <c r="AH691" s="2"/>
      <c r="AI691" s="2"/>
      <c r="AJ691" s="2"/>
      <c r="AK691" s="2"/>
      <c r="AL691" s="2"/>
      <c r="AM691" s="1"/>
      <c r="AN691" s="2"/>
      <c r="AP691" s="2"/>
      <c r="AQ691" s="1"/>
      <c r="AR691" s="2"/>
      <c r="AU691" s="1"/>
      <c r="AW691" s="1"/>
      <c r="AY691" s="2"/>
    </row>
    <row r="692">
      <c r="A692" s="1"/>
      <c r="C692" s="1"/>
      <c r="E692" s="1"/>
      <c r="F692" s="1"/>
      <c r="G692" s="2"/>
      <c r="H692" s="1"/>
      <c r="I692" s="1"/>
      <c r="J692" s="1"/>
      <c r="K692" s="1"/>
      <c r="M692" s="1"/>
      <c r="N692" s="1"/>
      <c r="O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2"/>
      <c r="AB692" s="1"/>
      <c r="AC692" s="1"/>
      <c r="AD692" s="1"/>
      <c r="AE692" s="1"/>
      <c r="AF692" s="1"/>
      <c r="AG692" s="1"/>
      <c r="AH692" s="2"/>
      <c r="AI692" s="2"/>
      <c r="AJ692" s="2"/>
      <c r="AK692" s="2"/>
      <c r="AL692" s="2"/>
      <c r="AM692" s="1"/>
      <c r="AN692" s="2"/>
      <c r="AP692" s="2"/>
      <c r="AQ692" s="1"/>
      <c r="AR692" s="2"/>
      <c r="AU692" s="1"/>
      <c r="AW692" s="1"/>
      <c r="AY692" s="2"/>
    </row>
    <row r="693">
      <c r="A693" s="1"/>
      <c r="C693" s="1"/>
      <c r="E693" s="1"/>
      <c r="F693" s="1"/>
      <c r="G693" s="2"/>
      <c r="H693" s="1"/>
      <c r="I693" s="1"/>
      <c r="J693" s="1"/>
      <c r="K693" s="1"/>
      <c r="M693" s="1"/>
      <c r="N693" s="1"/>
      <c r="O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2"/>
      <c r="AB693" s="1"/>
      <c r="AC693" s="1"/>
      <c r="AD693" s="1"/>
      <c r="AE693" s="1"/>
      <c r="AF693" s="1"/>
      <c r="AG693" s="1"/>
      <c r="AH693" s="2"/>
      <c r="AI693" s="2"/>
      <c r="AJ693" s="2"/>
      <c r="AK693" s="2"/>
      <c r="AL693" s="2"/>
      <c r="AM693" s="1"/>
      <c r="AN693" s="2"/>
      <c r="AP693" s="2"/>
      <c r="AQ693" s="1"/>
      <c r="AR693" s="2"/>
      <c r="AU693" s="1"/>
      <c r="AW693" s="1"/>
      <c r="AY693" s="2"/>
    </row>
    <row r="694">
      <c r="A694" s="1"/>
      <c r="C694" s="1"/>
      <c r="E694" s="1"/>
      <c r="F694" s="1"/>
      <c r="G694" s="2"/>
      <c r="H694" s="1"/>
      <c r="I694" s="1"/>
      <c r="J694" s="1"/>
      <c r="K694" s="1"/>
      <c r="M694" s="1"/>
      <c r="N694" s="1"/>
      <c r="O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2"/>
      <c r="AB694" s="1"/>
      <c r="AC694" s="1"/>
      <c r="AD694" s="1"/>
      <c r="AE694" s="1"/>
      <c r="AF694" s="1"/>
      <c r="AG694" s="1"/>
      <c r="AH694" s="2"/>
      <c r="AI694" s="2"/>
      <c r="AJ694" s="2"/>
      <c r="AK694" s="2"/>
      <c r="AL694" s="2"/>
      <c r="AM694" s="1"/>
      <c r="AN694" s="2"/>
      <c r="AP694" s="2"/>
      <c r="AQ694" s="1"/>
      <c r="AR694" s="2"/>
      <c r="AU694" s="1"/>
      <c r="AW694" s="1"/>
      <c r="AY694" s="2"/>
    </row>
    <row r="695">
      <c r="A695" s="1"/>
      <c r="C695" s="1"/>
      <c r="E695" s="1"/>
      <c r="F695" s="1"/>
      <c r="G695" s="2"/>
      <c r="H695" s="1"/>
      <c r="I695" s="1"/>
      <c r="J695" s="1"/>
      <c r="K695" s="1"/>
      <c r="M695" s="1"/>
      <c r="N695" s="1"/>
      <c r="O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2"/>
      <c r="AB695" s="1"/>
      <c r="AC695" s="1"/>
      <c r="AD695" s="1"/>
      <c r="AE695" s="1"/>
      <c r="AF695" s="1"/>
      <c r="AG695" s="1"/>
      <c r="AH695" s="2"/>
      <c r="AI695" s="2"/>
      <c r="AJ695" s="2"/>
      <c r="AK695" s="2"/>
      <c r="AL695" s="2"/>
      <c r="AM695" s="1"/>
      <c r="AN695" s="2"/>
      <c r="AP695" s="2"/>
      <c r="AQ695" s="1"/>
      <c r="AR695" s="2"/>
      <c r="AU695" s="1"/>
      <c r="AW695" s="1"/>
      <c r="AY695" s="2"/>
    </row>
    <row r="696">
      <c r="A696" s="1"/>
      <c r="C696" s="1"/>
      <c r="E696" s="1"/>
      <c r="F696" s="1"/>
      <c r="G696" s="2"/>
      <c r="H696" s="1"/>
      <c r="I696" s="1"/>
      <c r="J696" s="1"/>
      <c r="K696" s="1"/>
      <c r="M696" s="1"/>
      <c r="N696" s="1"/>
      <c r="O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2"/>
      <c r="AB696" s="1"/>
      <c r="AC696" s="1"/>
      <c r="AD696" s="1"/>
      <c r="AE696" s="1"/>
      <c r="AF696" s="1"/>
      <c r="AG696" s="1"/>
      <c r="AH696" s="2"/>
      <c r="AI696" s="2"/>
      <c r="AJ696" s="2"/>
      <c r="AK696" s="2"/>
      <c r="AL696" s="2"/>
      <c r="AM696" s="1"/>
      <c r="AN696" s="2"/>
      <c r="AP696" s="2"/>
      <c r="AQ696" s="1"/>
      <c r="AR696" s="2"/>
      <c r="AU696" s="1"/>
      <c r="AW696" s="1"/>
      <c r="AY696" s="2"/>
    </row>
    <row r="697">
      <c r="A697" s="1"/>
      <c r="C697" s="1"/>
      <c r="E697" s="1"/>
      <c r="F697" s="1"/>
      <c r="G697" s="2"/>
      <c r="H697" s="1"/>
      <c r="I697" s="1"/>
      <c r="J697" s="1"/>
      <c r="K697" s="1"/>
      <c r="M697" s="1"/>
      <c r="N697" s="1"/>
      <c r="O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2"/>
      <c r="AB697" s="1"/>
      <c r="AC697" s="1"/>
      <c r="AD697" s="1"/>
      <c r="AE697" s="1"/>
      <c r="AF697" s="1"/>
      <c r="AG697" s="1"/>
      <c r="AH697" s="2"/>
      <c r="AI697" s="2"/>
      <c r="AJ697" s="2"/>
      <c r="AK697" s="2"/>
      <c r="AL697" s="2"/>
      <c r="AM697" s="1"/>
      <c r="AN697" s="2"/>
      <c r="AP697" s="2"/>
      <c r="AQ697" s="1"/>
      <c r="AR697" s="2"/>
      <c r="AU697" s="1"/>
      <c r="AW697" s="1"/>
      <c r="AY697" s="2"/>
    </row>
    <row r="698">
      <c r="A698" s="1"/>
      <c r="C698" s="1"/>
      <c r="E698" s="1"/>
      <c r="F698" s="1"/>
      <c r="G698" s="2"/>
      <c r="H698" s="1"/>
      <c r="I698" s="1"/>
      <c r="J698" s="1"/>
      <c r="K698" s="1"/>
      <c r="M698" s="1"/>
      <c r="N698" s="1"/>
      <c r="O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2"/>
      <c r="AB698" s="1"/>
      <c r="AC698" s="1"/>
      <c r="AD698" s="1"/>
      <c r="AE698" s="1"/>
      <c r="AF698" s="1"/>
      <c r="AG698" s="1"/>
      <c r="AH698" s="2"/>
      <c r="AI698" s="2"/>
      <c r="AJ698" s="2"/>
      <c r="AK698" s="2"/>
      <c r="AL698" s="2"/>
      <c r="AM698" s="1"/>
      <c r="AN698" s="2"/>
      <c r="AP698" s="2"/>
      <c r="AQ698" s="1"/>
      <c r="AR698" s="2"/>
      <c r="AU698" s="1"/>
      <c r="AW698" s="1"/>
      <c r="AY698" s="2"/>
    </row>
    <row r="699">
      <c r="A699" s="1"/>
      <c r="C699" s="1"/>
      <c r="E699" s="1"/>
      <c r="F699" s="1"/>
      <c r="G699" s="2"/>
      <c r="H699" s="1"/>
      <c r="I699" s="1"/>
      <c r="J699" s="1"/>
      <c r="K699" s="1"/>
      <c r="M699" s="1"/>
      <c r="N699" s="1"/>
      <c r="O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2"/>
      <c r="AB699" s="1"/>
      <c r="AC699" s="1"/>
      <c r="AD699" s="1"/>
      <c r="AE699" s="1"/>
      <c r="AF699" s="1"/>
      <c r="AG699" s="1"/>
      <c r="AH699" s="2"/>
      <c r="AI699" s="2"/>
      <c r="AJ699" s="2"/>
      <c r="AK699" s="2"/>
      <c r="AL699" s="2"/>
      <c r="AM699" s="1"/>
      <c r="AN699" s="2"/>
      <c r="AP699" s="2"/>
      <c r="AQ699" s="1"/>
      <c r="AR699" s="2"/>
      <c r="AU699" s="1"/>
      <c r="AW699" s="1"/>
      <c r="AY699" s="2"/>
    </row>
    <row r="700">
      <c r="A700" s="1"/>
      <c r="C700" s="1"/>
      <c r="E700" s="1"/>
      <c r="F700" s="1"/>
      <c r="G700" s="2"/>
      <c r="H700" s="1"/>
      <c r="I700" s="1"/>
      <c r="J700" s="1"/>
      <c r="K700" s="1"/>
      <c r="M700" s="1"/>
      <c r="N700" s="1"/>
      <c r="O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2"/>
      <c r="AB700" s="1"/>
      <c r="AC700" s="1"/>
      <c r="AD700" s="1"/>
      <c r="AE700" s="1"/>
      <c r="AF700" s="1"/>
      <c r="AG700" s="1"/>
      <c r="AH700" s="2"/>
      <c r="AI700" s="2"/>
      <c r="AJ700" s="2"/>
      <c r="AK700" s="2"/>
      <c r="AL700" s="2"/>
      <c r="AM700" s="1"/>
      <c r="AN700" s="2"/>
      <c r="AP700" s="2"/>
      <c r="AQ700" s="1"/>
      <c r="AR700" s="2"/>
      <c r="AU700" s="1"/>
      <c r="AW700" s="1"/>
      <c r="AY700" s="2"/>
    </row>
    <row r="701">
      <c r="A701" s="1"/>
      <c r="C701" s="1"/>
      <c r="E701" s="1"/>
      <c r="F701" s="1"/>
      <c r="G701" s="2"/>
      <c r="H701" s="1"/>
      <c r="I701" s="1"/>
      <c r="J701" s="1"/>
      <c r="K701" s="1"/>
      <c r="M701" s="1"/>
      <c r="N701" s="1"/>
      <c r="O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2"/>
      <c r="AB701" s="1"/>
      <c r="AC701" s="1"/>
      <c r="AD701" s="1"/>
      <c r="AE701" s="1"/>
      <c r="AF701" s="1"/>
      <c r="AG701" s="1"/>
      <c r="AH701" s="2"/>
      <c r="AI701" s="2"/>
      <c r="AJ701" s="2"/>
      <c r="AK701" s="2"/>
      <c r="AL701" s="2"/>
      <c r="AM701" s="1"/>
      <c r="AN701" s="2"/>
      <c r="AP701" s="2"/>
      <c r="AQ701" s="1"/>
      <c r="AR701" s="2"/>
      <c r="AU701" s="1"/>
      <c r="AW701" s="1"/>
      <c r="AY701" s="2"/>
    </row>
    <row r="702">
      <c r="A702" s="1"/>
      <c r="C702" s="1"/>
      <c r="E702" s="1"/>
      <c r="F702" s="1"/>
      <c r="G702" s="2"/>
      <c r="H702" s="1"/>
      <c r="I702" s="1"/>
      <c r="J702" s="1"/>
      <c r="K702" s="1"/>
      <c r="M702" s="1"/>
      <c r="N702" s="1"/>
      <c r="O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2"/>
      <c r="AB702" s="1"/>
      <c r="AC702" s="1"/>
      <c r="AD702" s="1"/>
      <c r="AE702" s="1"/>
      <c r="AF702" s="1"/>
      <c r="AG702" s="1"/>
      <c r="AH702" s="2"/>
      <c r="AI702" s="2"/>
      <c r="AJ702" s="2"/>
      <c r="AK702" s="2"/>
      <c r="AL702" s="2"/>
      <c r="AM702" s="1"/>
      <c r="AN702" s="2"/>
      <c r="AP702" s="2"/>
      <c r="AQ702" s="1"/>
      <c r="AR702" s="2"/>
      <c r="AU702" s="1"/>
      <c r="AW702" s="1"/>
      <c r="AY702" s="2"/>
    </row>
    <row r="703">
      <c r="A703" s="1"/>
      <c r="C703" s="1"/>
      <c r="E703" s="1"/>
      <c r="F703" s="1"/>
      <c r="G703" s="2"/>
      <c r="H703" s="1"/>
      <c r="I703" s="1"/>
      <c r="J703" s="1"/>
      <c r="K703" s="1"/>
      <c r="M703" s="1"/>
      <c r="N703" s="1"/>
      <c r="O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2"/>
      <c r="AB703" s="1"/>
      <c r="AC703" s="1"/>
      <c r="AD703" s="1"/>
      <c r="AE703" s="1"/>
      <c r="AF703" s="1"/>
      <c r="AG703" s="1"/>
      <c r="AH703" s="2"/>
      <c r="AI703" s="2"/>
      <c r="AJ703" s="2"/>
      <c r="AK703" s="2"/>
      <c r="AL703" s="2"/>
      <c r="AM703" s="1"/>
      <c r="AN703" s="2"/>
      <c r="AP703" s="2"/>
      <c r="AQ703" s="1"/>
      <c r="AR703" s="2"/>
      <c r="AU703" s="1"/>
      <c r="AW703" s="1"/>
      <c r="AY703" s="2"/>
    </row>
    <row r="704">
      <c r="A704" s="1"/>
      <c r="C704" s="1"/>
      <c r="E704" s="1"/>
      <c r="F704" s="1"/>
      <c r="G704" s="2"/>
      <c r="H704" s="1"/>
      <c r="I704" s="1"/>
      <c r="J704" s="1"/>
      <c r="K704" s="1"/>
      <c r="M704" s="1"/>
      <c r="N704" s="1"/>
      <c r="O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2"/>
      <c r="AB704" s="1"/>
      <c r="AC704" s="1"/>
      <c r="AD704" s="1"/>
      <c r="AE704" s="1"/>
      <c r="AF704" s="1"/>
      <c r="AG704" s="1"/>
      <c r="AH704" s="2"/>
      <c r="AI704" s="2"/>
      <c r="AJ704" s="2"/>
      <c r="AK704" s="2"/>
      <c r="AL704" s="2"/>
      <c r="AM704" s="1"/>
      <c r="AN704" s="2"/>
      <c r="AP704" s="2"/>
      <c r="AQ704" s="1"/>
      <c r="AR704" s="2"/>
      <c r="AU704" s="1"/>
      <c r="AW704" s="1"/>
      <c r="AY704" s="2"/>
    </row>
    <row r="705">
      <c r="A705" s="1"/>
      <c r="C705" s="1"/>
      <c r="E705" s="1"/>
      <c r="F705" s="1"/>
      <c r="G705" s="2"/>
      <c r="H705" s="1"/>
      <c r="I705" s="1"/>
      <c r="J705" s="1"/>
      <c r="K705" s="1"/>
      <c r="M705" s="1"/>
      <c r="N705" s="1"/>
      <c r="O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2"/>
      <c r="AB705" s="1"/>
      <c r="AC705" s="1"/>
      <c r="AD705" s="1"/>
      <c r="AE705" s="1"/>
      <c r="AF705" s="1"/>
      <c r="AG705" s="1"/>
      <c r="AH705" s="2"/>
      <c r="AI705" s="2"/>
      <c r="AJ705" s="2"/>
      <c r="AK705" s="2"/>
      <c r="AL705" s="2"/>
      <c r="AM705" s="1"/>
      <c r="AN705" s="2"/>
      <c r="AP705" s="2"/>
      <c r="AQ705" s="1"/>
      <c r="AR705" s="2"/>
      <c r="AU705" s="1"/>
      <c r="AW705" s="1"/>
      <c r="AY705" s="2"/>
    </row>
    <row r="706">
      <c r="A706" s="1"/>
      <c r="C706" s="1"/>
      <c r="E706" s="1"/>
      <c r="F706" s="1"/>
      <c r="G706" s="2"/>
      <c r="H706" s="1"/>
      <c r="I706" s="1"/>
      <c r="J706" s="1"/>
      <c r="K706" s="1"/>
      <c r="M706" s="1"/>
      <c r="N706" s="1"/>
      <c r="O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2"/>
      <c r="AB706" s="1"/>
      <c r="AC706" s="1"/>
      <c r="AD706" s="1"/>
      <c r="AE706" s="1"/>
      <c r="AF706" s="1"/>
      <c r="AG706" s="1"/>
      <c r="AH706" s="2"/>
      <c r="AI706" s="2"/>
      <c r="AJ706" s="2"/>
      <c r="AK706" s="2"/>
      <c r="AL706" s="2"/>
      <c r="AM706" s="1"/>
      <c r="AN706" s="2"/>
      <c r="AP706" s="2"/>
      <c r="AQ706" s="1"/>
      <c r="AR706" s="2"/>
      <c r="AU706" s="1"/>
      <c r="AW706" s="1"/>
      <c r="AY706" s="2"/>
    </row>
    <row r="707">
      <c r="A707" s="1"/>
      <c r="C707" s="1"/>
      <c r="E707" s="1"/>
      <c r="F707" s="1"/>
      <c r="G707" s="2"/>
      <c r="H707" s="1"/>
      <c r="I707" s="1"/>
      <c r="J707" s="1"/>
      <c r="K707" s="1"/>
      <c r="M707" s="1"/>
      <c r="N707" s="1"/>
      <c r="O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2"/>
      <c r="AI707" s="2"/>
      <c r="AJ707" s="2"/>
      <c r="AK707" s="2"/>
      <c r="AL707" s="2"/>
      <c r="AM707" s="1"/>
      <c r="AN707" s="2"/>
      <c r="AP707" s="2"/>
      <c r="AQ707" s="1"/>
      <c r="AR707" s="2"/>
      <c r="AU707" s="1"/>
      <c r="AW707" s="1"/>
      <c r="AY707" s="2"/>
    </row>
    <row r="708">
      <c r="A708" s="1"/>
      <c r="C708" s="1"/>
      <c r="E708" s="1"/>
      <c r="F708" s="1"/>
      <c r="G708" s="2"/>
      <c r="H708" s="1"/>
      <c r="I708" s="1"/>
      <c r="J708" s="1"/>
      <c r="K708" s="1"/>
      <c r="M708" s="1"/>
      <c r="N708" s="1"/>
      <c r="O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2"/>
      <c r="AB708" s="1"/>
      <c r="AC708" s="1"/>
      <c r="AD708" s="1"/>
      <c r="AE708" s="1"/>
      <c r="AF708" s="1"/>
      <c r="AG708" s="1"/>
      <c r="AH708" s="2"/>
      <c r="AI708" s="2"/>
      <c r="AJ708" s="2"/>
      <c r="AK708" s="2"/>
      <c r="AL708" s="2"/>
      <c r="AM708" s="1"/>
      <c r="AN708" s="2"/>
      <c r="AP708" s="2"/>
      <c r="AQ708" s="1"/>
      <c r="AR708" s="2"/>
      <c r="AU708" s="1"/>
      <c r="AW708" s="1"/>
      <c r="AY708" s="2"/>
    </row>
    <row r="709">
      <c r="A709" s="1"/>
      <c r="C709" s="1"/>
      <c r="E709" s="1"/>
      <c r="F709" s="1"/>
      <c r="G709" s="2"/>
      <c r="H709" s="1"/>
      <c r="I709" s="1"/>
      <c r="J709" s="1"/>
      <c r="K709" s="1"/>
      <c r="M709" s="1"/>
      <c r="N709" s="1"/>
      <c r="O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2"/>
      <c r="AB709" s="1"/>
      <c r="AC709" s="1"/>
      <c r="AD709" s="1"/>
      <c r="AE709" s="1"/>
      <c r="AF709" s="1"/>
      <c r="AG709" s="1"/>
      <c r="AH709" s="2"/>
      <c r="AI709" s="2"/>
      <c r="AJ709" s="2"/>
      <c r="AK709" s="2"/>
      <c r="AL709" s="2"/>
      <c r="AM709" s="1"/>
      <c r="AN709" s="2"/>
      <c r="AP709" s="2"/>
      <c r="AQ709" s="1"/>
      <c r="AR709" s="2"/>
      <c r="AU709" s="1"/>
      <c r="AW709" s="1"/>
      <c r="AY709" s="2"/>
    </row>
    <row r="710">
      <c r="A710" s="1"/>
      <c r="C710" s="1"/>
      <c r="E710" s="1"/>
      <c r="F710" s="1"/>
      <c r="G710" s="2"/>
      <c r="H710" s="1"/>
      <c r="I710" s="1"/>
      <c r="J710" s="1"/>
      <c r="K710" s="1"/>
      <c r="M710" s="1"/>
      <c r="N710" s="1"/>
      <c r="O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2"/>
      <c r="AB710" s="1"/>
      <c r="AC710" s="1"/>
      <c r="AD710" s="1"/>
      <c r="AE710" s="1"/>
      <c r="AF710" s="1"/>
      <c r="AG710" s="1"/>
      <c r="AH710" s="2"/>
      <c r="AI710" s="2"/>
      <c r="AJ710" s="2"/>
      <c r="AK710" s="2"/>
      <c r="AL710" s="2"/>
      <c r="AM710" s="1"/>
      <c r="AN710" s="2"/>
      <c r="AP710" s="2"/>
      <c r="AQ710" s="1"/>
      <c r="AR710" s="2"/>
      <c r="AU710" s="1"/>
      <c r="AW710" s="1"/>
      <c r="AY710" s="2"/>
    </row>
    <row r="711">
      <c r="A711" s="1"/>
      <c r="C711" s="1"/>
      <c r="E711" s="1"/>
      <c r="F711" s="1"/>
      <c r="G711" s="2"/>
      <c r="H711" s="1"/>
      <c r="I711" s="1"/>
      <c r="J711" s="1"/>
      <c r="K711" s="1"/>
      <c r="M711" s="1"/>
      <c r="N711" s="1"/>
      <c r="O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2"/>
      <c r="AB711" s="1"/>
      <c r="AC711" s="1"/>
      <c r="AD711" s="1"/>
      <c r="AE711" s="1"/>
      <c r="AF711" s="1"/>
      <c r="AG711" s="1"/>
      <c r="AH711" s="2"/>
      <c r="AI711" s="2"/>
      <c r="AJ711" s="2"/>
      <c r="AK711" s="2"/>
      <c r="AL711" s="2"/>
      <c r="AM711" s="1"/>
      <c r="AN711" s="2"/>
      <c r="AP711" s="2"/>
      <c r="AQ711" s="1"/>
      <c r="AR711" s="2"/>
      <c r="AU711" s="1"/>
      <c r="AW711" s="1"/>
      <c r="AY711" s="2"/>
    </row>
    <row r="712">
      <c r="A712" s="1"/>
      <c r="C712" s="1"/>
      <c r="E712" s="1"/>
      <c r="F712" s="1"/>
      <c r="G712" s="2"/>
      <c r="H712" s="1"/>
      <c r="I712" s="1"/>
      <c r="J712" s="1"/>
      <c r="K712" s="1"/>
      <c r="M712" s="1"/>
      <c r="N712" s="1"/>
      <c r="O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2"/>
      <c r="AB712" s="1"/>
      <c r="AC712" s="1"/>
      <c r="AD712" s="1"/>
      <c r="AE712" s="1"/>
      <c r="AF712" s="1"/>
      <c r="AG712" s="1"/>
      <c r="AH712" s="2"/>
      <c r="AI712" s="2"/>
      <c r="AJ712" s="2"/>
      <c r="AK712" s="2"/>
      <c r="AL712" s="2"/>
      <c r="AM712" s="1"/>
      <c r="AN712" s="2"/>
      <c r="AP712" s="2"/>
      <c r="AQ712" s="1"/>
      <c r="AR712" s="2"/>
      <c r="AU712" s="1"/>
      <c r="AW712" s="1"/>
      <c r="AY712" s="2"/>
    </row>
    <row r="713">
      <c r="A713" s="1"/>
      <c r="C713" s="1"/>
      <c r="E713" s="1"/>
      <c r="F713" s="1"/>
      <c r="G713" s="2"/>
      <c r="H713" s="1"/>
      <c r="I713" s="1"/>
      <c r="J713" s="1"/>
      <c r="K713" s="1"/>
      <c r="M713" s="1"/>
      <c r="N713" s="1"/>
      <c r="O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2"/>
      <c r="AB713" s="1"/>
      <c r="AC713" s="1"/>
      <c r="AD713" s="1"/>
      <c r="AE713" s="1"/>
      <c r="AF713" s="1"/>
      <c r="AG713" s="1"/>
      <c r="AH713" s="2"/>
      <c r="AI713" s="2"/>
      <c r="AJ713" s="2"/>
      <c r="AK713" s="2"/>
      <c r="AL713" s="2"/>
      <c r="AM713" s="1"/>
      <c r="AN713" s="2"/>
      <c r="AP713" s="2"/>
      <c r="AQ713" s="1"/>
      <c r="AR713" s="2"/>
      <c r="AU713" s="1"/>
      <c r="AW713" s="1"/>
      <c r="AY713" s="2"/>
    </row>
    <row r="714">
      <c r="A714" s="1"/>
      <c r="C714" s="1"/>
      <c r="E714" s="1"/>
      <c r="F714" s="1"/>
      <c r="G714" s="2"/>
      <c r="H714" s="1"/>
      <c r="I714" s="1"/>
      <c r="J714" s="1"/>
      <c r="K714" s="1"/>
      <c r="M714" s="1"/>
      <c r="N714" s="1"/>
      <c r="O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2"/>
      <c r="AB714" s="1"/>
      <c r="AC714" s="1"/>
      <c r="AD714" s="1"/>
      <c r="AE714" s="1"/>
      <c r="AF714" s="1"/>
      <c r="AG714" s="1"/>
      <c r="AH714" s="2"/>
      <c r="AI714" s="2"/>
      <c r="AJ714" s="2"/>
      <c r="AK714" s="2"/>
      <c r="AL714" s="2"/>
      <c r="AM714" s="1"/>
      <c r="AN714" s="2"/>
      <c r="AP714" s="2"/>
      <c r="AQ714" s="1"/>
      <c r="AR714" s="2"/>
      <c r="AU714" s="1"/>
      <c r="AW714" s="1"/>
      <c r="AY714" s="2"/>
    </row>
    <row r="715">
      <c r="A715" s="1"/>
      <c r="C715" s="1"/>
      <c r="E715" s="1"/>
      <c r="F715" s="1"/>
      <c r="G715" s="2"/>
      <c r="H715" s="1"/>
      <c r="I715" s="1"/>
      <c r="J715" s="1"/>
      <c r="K715" s="1"/>
      <c r="M715" s="1"/>
      <c r="N715" s="1"/>
      <c r="O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2"/>
      <c r="AB715" s="1"/>
      <c r="AC715" s="1"/>
      <c r="AD715" s="1"/>
      <c r="AE715" s="1"/>
      <c r="AF715" s="1"/>
      <c r="AG715" s="1"/>
      <c r="AH715" s="2"/>
      <c r="AI715" s="2"/>
      <c r="AJ715" s="2"/>
      <c r="AK715" s="2"/>
      <c r="AL715" s="2"/>
      <c r="AM715" s="1"/>
      <c r="AN715" s="2"/>
      <c r="AP715" s="2"/>
      <c r="AQ715" s="1"/>
      <c r="AR715" s="2"/>
      <c r="AU715" s="1"/>
      <c r="AW715" s="1"/>
      <c r="AY715" s="2"/>
    </row>
    <row r="716">
      <c r="A716" s="1"/>
      <c r="C716" s="1"/>
      <c r="E716" s="1"/>
      <c r="F716" s="1"/>
      <c r="G716" s="2"/>
      <c r="H716" s="1"/>
      <c r="I716" s="1"/>
      <c r="J716" s="1"/>
      <c r="K716" s="1"/>
      <c r="M716" s="1"/>
      <c r="N716" s="1"/>
      <c r="O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2"/>
      <c r="AB716" s="1"/>
      <c r="AC716" s="1"/>
      <c r="AD716" s="1"/>
      <c r="AE716" s="1"/>
      <c r="AF716" s="1"/>
      <c r="AG716" s="1"/>
      <c r="AH716" s="2"/>
      <c r="AI716" s="2"/>
      <c r="AJ716" s="2"/>
      <c r="AK716" s="2"/>
      <c r="AL716" s="2"/>
      <c r="AM716" s="1"/>
      <c r="AN716" s="2"/>
      <c r="AP716" s="2"/>
      <c r="AQ716" s="1"/>
      <c r="AR716" s="2"/>
      <c r="AU716" s="1"/>
      <c r="AW716" s="1"/>
      <c r="AY716" s="2"/>
    </row>
    <row r="717">
      <c r="A717" s="1"/>
      <c r="C717" s="1"/>
      <c r="E717" s="1"/>
      <c r="F717" s="1"/>
      <c r="G717" s="2"/>
      <c r="H717" s="1"/>
      <c r="I717" s="1"/>
      <c r="J717" s="1"/>
      <c r="K717" s="1"/>
      <c r="M717" s="1"/>
      <c r="N717" s="1"/>
      <c r="O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2"/>
      <c r="AB717" s="1"/>
      <c r="AC717" s="1"/>
      <c r="AD717" s="1"/>
      <c r="AE717" s="1"/>
      <c r="AF717" s="1"/>
      <c r="AG717" s="1"/>
      <c r="AH717" s="2"/>
      <c r="AI717" s="2"/>
      <c r="AJ717" s="2"/>
      <c r="AK717" s="2"/>
      <c r="AL717" s="2"/>
      <c r="AM717" s="1"/>
      <c r="AN717" s="2"/>
      <c r="AP717" s="2"/>
      <c r="AQ717" s="1"/>
      <c r="AR717" s="2"/>
      <c r="AU717" s="1"/>
      <c r="AW717" s="1"/>
      <c r="AY717" s="2"/>
    </row>
    <row r="718">
      <c r="A718" s="1"/>
      <c r="C718" s="1"/>
      <c r="E718" s="1"/>
      <c r="F718" s="1"/>
      <c r="G718" s="2"/>
      <c r="H718" s="1"/>
      <c r="I718" s="1"/>
      <c r="J718" s="1"/>
      <c r="K718" s="1"/>
      <c r="M718" s="1"/>
      <c r="N718" s="1"/>
      <c r="O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2"/>
      <c r="AB718" s="1"/>
      <c r="AC718" s="1"/>
      <c r="AD718" s="1"/>
      <c r="AE718" s="1"/>
      <c r="AF718" s="1"/>
      <c r="AG718" s="1"/>
      <c r="AH718" s="2"/>
      <c r="AI718" s="2"/>
      <c r="AJ718" s="2"/>
      <c r="AK718" s="2"/>
      <c r="AL718" s="2"/>
      <c r="AM718" s="1"/>
      <c r="AN718" s="2"/>
      <c r="AP718" s="2"/>
      <c r="AQ718" s="1"/>
      <c r="AR718" s="2"/>
      <c r="AU718" s="1"/>
      <c r="AW718" s="1"/>
      <c r="AY718" s="2"/>
    </row>
    <row r="719">
      <c r="A719" s="1"/>
      <c r="C719" s="1"/>
      <c r="E719" s="1"/>
      <c r="F719" s="1"/>
      <c r="G719" s="2"/>
      <c r="H719" s="1"/>
      <c r="I719" s="1"/>
      <c r="J719" s="1"/>
      <c r="K719" s="1"/>
      <c r="M719" s="1"/>
      <c r="N719" s="1"/>
      <c r="O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2"/>
      <c r="AB719" s="1"/>
      <c r="AC719" s="1"/>
      <c r="AD719" s="1"/>
      <c r="AE719" s="1"/>
      <c r="AF719" s="1"/>
      <c r="AG719" s="1"/>
      <c r="AH719" s="2"/>
      <c r="AI719" s="2"/>
      <c r="AJ719" s="2"/>
      <c r="AK719" s="2"/>
      <c r="AL719" s="2"/>
      <c r="AM719" s="1"/>
      <c r="AN719" s="2"/>
      <c r="AP719" s="2"/>
      <c r="AQ719" s="1"/>
      <c r="AR719" s="2"/>
      <c r="AU719" s="1"/>
      <c r="AW719" s="1"/>
      <c r="AY719" s="2"/>
    </row>
    <row r="720">
      <c r="A720" s="1"/>
      <c r="C720" s="1"/>
      <c r="E720" s="1"/>
      <c r="F720" s="1"/>
      <c r="G720" s="2"/>
      <c r="H720" s="1"/>
      <c r="I720" s="1"/>
      <c r="J720" s="1"/>
      <c r="K720" s="1"/>
      <c r="M720" s="1"/>
      <c r="N720" s="1"/>
      <c r="O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2"/>
      <c r="AB720" s="1"/>
      <c r="AC720" s="1"/>
      <c r="AD720" s="1"/>
      <c r="AE720" s="1"/>
      <c r="AF720" s="1"/>
      <c r="AG720" s="1"/>
      <c r="AH720" s="2"/>
      <c r="AI720" s="2"/>
      <c r="AJ720" s="2"/>
      <c r="AK720" s="2"/>
      <c r="AL720" s="2"/>
      <c r="AM720" s="1"/>
      <c r="AN720" s="2"/>
      <c r="AP720" s="2"/>
      <c r="AQ720" s="1"/>
      <c r="AR720" s="2"/>
      <c r="AU720" s="1"/>
      <c r="AW720" s="1"/>
      <c r="AY720" s="2"/>
    </row>
    <row r="721">
      <c r="A721" s="1"/>
      <c r="C721" s="1"/>
      <c r="E721" s="1"/>
      <c r="F721" s="1"/>
      <c r="G721" s="2"/>
      <c r="H721" s="1"/>
      <c r="I721" s="1"/>
      <c r="J721" s="1"/>
      <c r="K721" s="1"/>
      <c r="M721" s="1"/>
      <c r="N721" s="1"/>
      <c r="O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2"/>
      <c r="AB721" s="1"/>
      <c r="AC721" s="1"/>
      <c r="AD721" s="1"/>
      <c r="AE721" s="1"/>
      <c r="AF721" s="1"/>
      <c r="AG721" s="1"/>
      <c r="AH721" s="2"/>
      <c r="AI721" s="2"/>
      <c r="AJ721" s="2"/>
      <c r="AK721" s="2"/>
      <c r="AL721" s="2"/>
      <c r="AM721" s="1"/>
      <c r="AN721" s="2"/>
      <c r="AP721" s="2"/>
      <c r="AQ721" s="1"/>
      <c r="AR721" s="2"/>
      <c r="AU721" s="1"/>
      <c r="AW721" s="1"/>
      <c r="AY721" s="2"/>
    </row>
    <row r="722">
      <c r="A722" s="1"/>
      <c r="C722" s="1"/>
      <c r="E722" s="1"/>
      <c r="F722" s="1"/>
      <c r="G722" s="2"/>
      <c r="H722" s="1"/>
      <c r="I722" s="1"/>
      <c r="J722" s="1"/>
      <c r="K722" s="1"/>
      <c r="M722" s="1"/>
      <c r="N722" s="1"/>
      <c r="O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2"/>
      <c r="AB722" s="1"/>
      <c r="AC722" s="1"/>
      <c r="AD722" s="1"/>
      <c r="AE722" s="1"/>
      <c r="AF722" s="1"/>
      <c r="AG722" s="1"/>
      <c r="AH722" s="2"/>
      <c r="AI722" s="2"/>
      <c r="AJ722" s="2"/>
      <c r="AK722" s="2"/>
      <c r="AL722" s="2"/>
      <c r="AM722" s="1"/>
      <c r="AN722" s="2"/>
      <c r="AP722" s="2"/>
      <c r="AQ722" s="1"/>
      <c r="AR722" s="2"/>
      <c r="AU722" s="1"/>
      <c r="AW722" s="1"/>
      <c r="AY722" s="2"/>
    </row>
    <row r="723">
      <c r="A723" s="1"/>
      <c r="C723" s="1"/>
      <c r="E723" s="1"/>
      <c r="F723" s="1"/>
      <c r="G723" s="2"/>
      <c r="H723" s="1"/>
      <c r="I723" s="1"/>
      <c r="J723" s="1"/>
      <c r="K723" s="1"/>
      <c r="M723" s="1"/>
      <c r="N723" s="1"/>
      <c r="O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2"/>
      <c r="AB723" s="1"/>
      <c r="AC723" s="1"/>
      <c r="AD723" s="1"/>
      <c r="AE723" s="1"/>
      <c r="AF723" s="1"/>
      <c r="AG723" s="1"/>
      <c r="AH723" s="2"/>
      <c r="AI723" s="2"/>
      <c r="AJ723" s="2"/>
      <c r="AK723" s="2"/>
      <c r="AL723" s="2"/>
      <c r="AM723" s="1"/>
      <c r="AN723" s="2"/>
      <c r="AP723" s="2"/>
      <c r="AQ723" s="1"/>
      <c r="AR723" s="2"/>
      <c r="AU723" s="1"/>
      <c r="AW723" s="1"/>
      <c r="AY723" s="2"/>
    </row>
    <row r="724">
      <c r="A724" s="1"/>
      <c r="C724" s="1"/>
      <c r="E724" s="1"/>
      <c r="F724" s="1"/>
      <c r="G724" s="2"/>
      <c r="H724" s="1"/>
      <c r="I724" s="1"/>
      <c r="J724" s="1"/>
      <c r="K724" s="1"/>
      <c r="M724" s="1"/>
      <c r="N724" s="1"/>
      <c r="O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2"/>
      <c r="AB724" s="1"/>
      <c r="AC724" s="1"/>
      <c r="AD724" s="1"/>
      <c r="AE724" s="1"/>
      <c r="AF724" s="1"/>
      <c r="AG724" s="1"/>
      <c r="AH724" s="2"/>
      <c r="AI724" s="2"/>
      <c r="AJ724" s="2"/>
      <c r="AK724" s="2"/>
      <c r="AL724" s="2"/>
      <c r="AM724" s="1"/>
      <c r="AN724" s="2"/>
      <c r="AP724" s="2"/>
      <c r="AQ724" s="1"/>
      <c r="AR724" s="2"/>
      <c r="AU724" s="1"/>
      <c r="AW724" s="1"/>
      <c r="AY724" s="2"/>
    </row>
    <row r="725">
      <c r="A725" s="1"/>
      <c r="C725" s="1"/>
      <c r="E725" s="1"/>
      <c r="F725" s="1"/>
      <c r="G725" s="2"/>
      <c r="H725" s="1"/>
      <c r="I725" s="1"/>
      <c r="J725" s="1"/>
      <c r="K725" s="1"/>
      <c r="M725" s="1"/>
      <c r="N725" s="1"/>
      <c r="O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2"/>
      <c r="AB725" s="1"/>
      <c r="AC725" s="1"/>
      <c r="AD725" s="1"/>
      <c r="AE725" s="1"/>
      <c r="AF725" s="1"/>
      <c r="AG725" s="1"/>
      <c r="AH725" s="2"/>
      <c r="AI725" s="2"/>
      <c r="AJ725" s="2"/>
      <c r="AK725" s="2"/>
      <c r="AL725" s="2"/>
      <c r="AM725" s="1"/>
      <c r="AN725" s="2"/>
      <c r="AP725" s="2"/>
      <c r="AQ725" s="1"/>
      <c r="AR725" s="2"/>
      <c r="AU725" s="1"/>
      <c r="AW725" s="1"/>
      <c r="AY725" s="2"/>
    </row>
    <row r="726">
      <c r="A726" s="1"/>
      <c r="C726" s="1"/>
      <c r="E726" s="1"/>
      <c r="F726" s="1"/>
      <c r="G726" s="2"/>
      <c r="H726" s="1"/>
      <c r="I726" s="1"/>
      <c r="J726" s="1"/>
      <c r="K726" s="1"/>
      <c r="M726" s="1"/>
      <c r="N726" s="1"/>
      <c r="O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2"/>
      <c r="AB726" s="1"/>
      <c r="AC726" s="1"/>
      <c r="AD726" s="1"/>
      <c r="AE726" s="1"/>
      <c r="AF726" s="1"/>
      <c r="AG726" s="1"/>
      <c r="AH726" s="2"/>
      <c r="AI726" s="2"/>
      <c r="AJ726" s="2"/>
      <c r="AK726" s="2"/>
      <c r="AL726" s="2"/>
      <c r="AM726" s="1"/>
      <c r="AN726" s="2"/>
      <c r="AP726" s="2"/>
      <c r="AQ726" s="1"/>
      <c r="AR726" s="2"/>
      <c r="AU726" s="1"/>
      <c r="AW726" s="1"/>
      <c r="AY726" s="2"/>
    </row>
    <row r="727">
      <c r="A727" s="1"/>
      <c r="C727" s="1"/>
      <c r="E727" s="1"/>
      <c r="F727" s="1"/>
      <c r="G727" s="2"/>
      <c r="H727" s="1"/>
      <c r="I727" s="1"/>
      <c r="J727" s="1"/>
      <c r="K727" s="1"/>
      <c r="M727" s="1"/>
      <c r="N727" s="1"/>
      <c r="O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2"/>
      <c r="AB727" s="1"/>
      <c r="AC727" s="1"/>
      <c r="AD727" s="1"/>
      <c r="AE727" s="1"/>
      <c r="AF727" s="1"/>
      <c r="AG727" s="1"/>
      <c r="AH727" s="2"/>
      <c r="AI727" s="2"/>
      <c r="AJ727" s="2"/>
      <c r="AK727" s="2"/>
      <c r="AL727" s="2"/>
      <c r="AM727" s="1"/>
      <c r="AN727" s="2"/>
      <c r="AP727" s="2"/>
      <c r="AQ727" s="1"/>
      <c r="AR727" s="2"/>
      <c r="AU727" s="1"/>
      <c r="AW727" s="1"/>
      <c r="AY727" s="2"/>
    </row>
    <row r="728">
      <c r="A728" s="1"/>
      <c r="C728" s="1"/>
      <c r="E728" s="1"/>
      <c r="F728" s="1"/>
      <c r="G728" s="2"/>
      <c r="H728" s="1"/>
      <c r="I728" s="1"/>
      <c r="J728" s="1"/>
      <c r="K728" s="1"/>
      <c r="M728" s="1"/>
      <c r="N728" s="1"/>
      <c r="O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2"/>
      <c r="AB728" s="1"/>
      <c r="AC728" s="1"/>
      <c r="AD728" s="1"/>
      <c r="AE728" s="1"/>
      <c r="AF728" s="1"/>
      <c r="AG728" s="1"/>
      <c r="AH728" s="2"/>
      <c r="AI728" s="2"/>
      <c r="AJ728" s="2"/>
      <c r="AK728" s="2"/>
      <c r="AL728" s="2"/>
      <c r="AM728" s="1"/>
      <c r="AN728" s="2"/>
      <c r="AP728" s="2"/>
      <c r="AQ728" s="1"/>
      <c r="AR728" s="2"/>
      <c r="AU728" s="1"/>
      <c r="AW728" s="1"/>
      <c r="AY728" s="2"/>
    </row>
    <row r="729">
      <c r="A729" s="1"/>
      <c r="C729" s="1"/>
      <c r="E729" s="1"/>
      <c r="F729" s="1"/>
      <c r="G729" s="2"/>
      <c r="H729" s="1"/>
      <c r="I729" s="1"/>
      <c r="J729" s="1"/>
      <c r="K729" s="1"/>
      <c r="M729" s="1"/>
      <c r="N729" s="1"/>
      <c r="O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2"/>
      <c r="AB729" s="1"/>
      <c r="AC729" s="1"/>
      <c r="AD729" s="1"/>
      <c r="AE729" s="1"/>
      <c r="AF729" s="1"/>
      <c r="AG729" s="1"/>
      <c r="AH729" s="2"/>
      <c r="AI729" s="2"/>
      <c r="AJ729" s="2"/>
      <c r="AK729" s="2"/>
      <c r="AL729" s="2"/>
      <c r="AM729" s="1"/>
      <c r="AN729" s="2"/>
      <c r="AP729" s="2"/>
      <c r="AQ729" s="1"/>
      <c r="AR729" s="2"/>
      <c r="AU729" s="1"/>
      <c r="AW729" s="1"/>
      <c r="AY729" s="2"/>
    </row>
    <row r="730">
      <c r="A730" s="1"/>
      <c r="C730" s="1"/>
      <c r="E730" s="1"/>
      <c r="F730" s="1"/>
      <c r="G730" s="2"/>
      <c r="H730" s="1"/>
      <c r="I730" s="1"/>
      <c r="J730" s="1"/>
      <c r="K730" s="1"/>
      <c r="M730" s="1"/>
      <c r="N730" s="1"/>
      <c r="O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2"/>
      <c r="AB730" s="1"/>
      <c r="AC730" s="1"/>
      <c r="AD730" s="1"/>
      <c r="AE730" s="1"/>
      <c r="AF730" s="1"/>
      <c r="AG730" s="1"/>
      <c r="AH730" s="2"/>
      <c r="AI730" s="2"/>
      <c r="AJ730" s="2"/>
      <c r="AK730" s="2"/>
      <c r="AL730" s="2"/>
      <c r="AM730" s="1"/>
      <c r="AN730" s="2"/>
      <c r="AP730" s="2"/>
      <c r="AQ730" s="1"/>
      <c r="AR730" s="2"/>
      <c r="AU730" s="1"/>
      <c r="AW730" s="1"/>
      <c r="AY730" s="2"/>
    </row>
    <row r="731">
      <c r="A731" s="1"/>
      <c r="C731" s="1"/>
      <c r="E731" s="1"/>
      <c r="F731" s="1"/>
      <c r="G731" s="2"/>
      <c r="H731" s="1"/>
      <c r="I731" s="1"/>
      <c r="J731" s="1"/>
      <c r="K731" s="1"/>
      <c r="M731" s="1"/>
      <c r="N731" s="1"/>
      <c r="O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2"/>
      <c r="AB731" s="1"/>
      <c r="AC731" s="1"/>
      <c r="AD731" s="1"/>
      <c r="AE731" s="1"/>
      <c r="AF731" s="1"/>
      <c r="AG731" s="1"/>
      <c r="AH731" s="2"/>
      <c r="AI731" s="2"/>
      <c r="AJ731" s="2"/>
      <c r="AK731" s="2"/>
      <c r="AL731" s="2"/>
      <c r="AM731" s="1"/>
      <c r="AN731" s="2"/>
      <c r="AP731" s="2"/>
      <c r="AQ731" s="1"/>
      <c r="AR731" s="2"/>
      <c r="AU731" s="1"/>
      <c r="AW731" s="1"/>
      <c r="AY731" s="2"/>
    </row>
    <row r="732">
      <c r="A732" s="1"/>
      <c r="C732" s="1"/>
      <c r="E732" s="1"/>
      <c r="F732" s="1"/>
      <c r="G732" s="2"/>
      <c r="H732" s="1"/>
      <c r="I732" s="1"/>
      <c r="J732" s="1"/>
      <c r="K732" s="1"/>
      <c r="M732" s="1"/>
      <c r="N732" s="1"/>
      <c r="O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2"/>
      <c r="AB732" s="1"/>
      <c r="AC732" s="1"/>
      <c r="AD732" s="1"/>
      <c r="AE732" s="1"/>
      <c r="AF732" s="1"/>
      <c r="AG732" s="1"/>
      <c r="AH732" s="2"/>
      <c r="AI732" s="2"/>
      <c r="AJ732" s="2"/>
      <c r="AK732" s="2"/>
      <c r="AL732" s="2"/>
      <c r="AM732" s="1"/>
      <c r="AN732" s="2"/>
      <c r="AP732" s="2"/>
      <c r="AQ732" s="1"/>
      <c r="AR732" s="2"/>
      <c r="AU732" s="1"/>
      <c r="AW732" s="1"/>
      <c r="AY732" s="2"/>
    </row>
    <row r="733">
      <c r="A733" s="1"/>
      <c r="C733" s="1"/>
      <c r="E733" s="1"/>
      <c r="F733" s="1"/>
      <c r="G733" s="2"/>
      <c r="H733" s="1"/>
      <c r="I733" s="1"/>
      <c r="J733" s="1"/>
      <c r="K733" s="1"/>
      <c r="M733" s="1"/>
      <c r="N733" s="1"/>
      <c r="O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2"/>
      <c r="AB733" s="1"/>
      <c r="AC733" s="1"/>
      <c r="AD733" s="1"/>
      <c r="AE733" s="1"/>
      <c r="AF733" s="1"/>
      <c r="AG733" s="1"/>
      <c r="AH733" s="2"/>
      <c r="AI733" s="2"/>
      <c r="AJ733" s="2"/>
      <c r="AK733" s="2"/>
      <c r="AL733" s="2"/>
      <c r="AM733" s="1"/>
      <c r="AN733" s="2"/>
      <c r="AP733" s="2"/>
      <c r="AQ733" s="1"/>
      <c r="AR733" s="2"/>
      <c r="AU733" s="1"/>
      <c r="AW733" s="1"/>
      <c r="AY733" s="2"/>
    </row>
    <row r="734">
      <c r="A734" s="1"/>
      <c r="C734" s="1"/>
      <c r="E734" s="1"/>
      <c r="F734" s="1"/>
      <c r="G734" s="2"/>
      <c r="H734" s="1"/>
      <c r="I734" s="1"/>
      <c r="J734" s="1"/>
      <c r="K734" s="1"/>
      <c r="M734" s="1"/>
      <c r="N734" s="1"/>
      <c r="O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2"/>
      <c r="AB734" s="1"/>
      <c r="AC734" s="1"/>
      <c r="AD734" s="1"/>
      <c r="AE734" s="1"/>
      <c r="AF734" s="1"/>
      <c r="AG734" s="1"/>
      <c r="AH734" s="2"/>
      <c r="AI734" s="2"/>
      <c r="AJ734" s="2"/>
      <c r="AK734" s="2"/>
      <c r="AL734" s="2"/>
      <c r="AM734" s="1"/>
      <c r="AN734" s="2"/>
      <c r="AP734" s="2"/>
      <c r="AQ734" s="1"/>
      <c r="AR734" s="2"/>
      <c r="AU734" s="1"/>
      <c r="AW734" s="1"/>
      <c r="AY734" s="2"/>
    </row>
    <row r="735">
      <c r="A735" s="1"/>
      <c r="C735" s="1"/>
      <c r="E735" s="1"/>
      <c r="F735" s="1"/>
      <c r="G735" s="2"/>
      <c r="H735" s="1"/>
      <c r="I735" s="1"/>
      <c r="J735" s="1"/>
      <c r="K735" s="1"/>
      <c r="M735" s="1"/>
      <c r="N735" s="1"/>
      <c r="O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2"/>
      <c r="AB735" s="1"/>
      <c r="AC735" s="1"/>
      <c r="AD735" s="1"/>
      <c r="AE735" s="1"/>
      <c r="AF735" s="1"/>
      <c r="AG735" s="1"/>
      <c r="AH735" s="2"/>
      <c r="AI735" s="2"/>
      <c r="AJ735" s="2"/>
      <c r="AK735" s="2"/>
      <c r="AL735" s="2"/>
      <c r="AM735" s="1"/>
      <c r="AN735" s="2"/>
      <c r="AP735" s="2"/>
      <c r="AQ735" s="1"/>
      <c r="AR735" s="2"/>
      <c r="AU735" s="1"/>
      <c r="AW735" s="1"/>
      <c r="AY735" s="2"/>
    </row>
    <row r="736">
      <c r="A736" s="1"/>
      <c r="C736" s="1"/>
      <c r="E736" s="1"/>
      <c r="F736" s="1"/>
      <c r="G736" s="2"/>
      <c r="H736" s="1"/>
      <c r="I736" s="1"/>
      <c r="J736" s="1"/>
      <c r="K736" s="1"/>
      <c r="M736" s="1"/>
      <c r="N736" s="1"/>
      <c r="O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2"/>
      <c r="AB736" s="1"/>
      <c r="AC736" s="1"/>
      <c r="AD736" s="1"/>
      <c r="AE736" s="1"/>
      <c r="AF736" s="1"/>
      <c r="AG736" s="1"/>
      <c r="AH736" s="2"/>
      <c r="AI736" s="2"/>
      <c r="AJ736" s="2"/>
      <c r="AK736" s="2"/>
      <c r="AL736" s="2"/>
      <c r="AM736" s="1"/>
      <c r="AN736" s="2"/>
      <c r="AP736" s="2"/>
      <c r="AQ736" s="1"/>
      <c r="AR736" s="2"/>
      <c r="AU736" s="1"/>
      <c r="AW736" s="1"/>
      <c r="AY736" s="2"/>
    </row>
    <row r="737">
      <c r="A737" s="1"/>
      <c r="C737" s="1"/>
      <c r="E737" s="1"/>
      <c r="F737" s="1"/>
      <c r="G737" s="2"/>
      <c r="H737" s="1"/>
      <c r="I737" s="1"/>
      <c r="J737" s="1"/>
      <c r="K737" s="1"/>
      <c r="M737" s="1"/>
      <c r="N737" s="1"/>
      <c r="O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2"/>
      <c r="AB737" s="1"/>
      <c r="AC737" s="1"/>
      <c r="AD737" s="1"/>
      <c r="AE737" s="1"/>
      <c r="AF737" s="1"/>
      <c r="AG737" s="1"/>
      <c r="AH737" s="2"/>
      <c r="AI737" s="2"/>
      <c r="AJ737" s="2"/>
      <c r="AK737" s="2"/>
      <c r="AL737" s="2"/>
      <c r="AM737" s="1"/>
      <c r="AN737" s="2"/>
      <c r="AP737" s="2"/>
      <c r="AQ737" s="1"/>
      <c r="AR737" s="2"/>
      <c r="AU737" s="1"/>
      <c r="AW737" s="1"/>
      <c r="AY737" s="2"/>
    </row>
    <row r="738">
      <c r="A738" s="1"/>
      <c r="C738" s="1"/>
      <c r="E738" s="1"/>
      <c r="F738" s="1"/>
      <c r="G738" s="2"/>
      <c r="H738" s="1"/>
      <c r="I738" s="1"/>
      <c r="J738" s="1"/>
      <c r="K738" s="1"/>
      <c r="M738" s="1"/>
      <c r="N738" s="1"/>
      <c r="O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2"/>
      <c r="AB738" s="1"/>
      <c r="AC738" s="1"/>
      <c r="AD738" s="1"/>
      <c r="AE738" s="1"/>
      <c r="AF738" s="1"/>
      <c r="AG738" s="1"/>
      <c r="AH738" s="2"/>
      <c r="AI738" s="2"/>
      <c r="AJ738" s="2"/>
      <c r="AK738" s="2"/>
      <c r="AL738" s="2"/>
      <c r="AM738" s="1"/>
      <c r="AN738" s="2"/>
      <c r="AP738" s="2"/>
      <c r="AQ738" s="1"/>
      <c r="AR738" s="2"/>
      <c r="AU738" s="1"/>
      <c r="AW738" s="1"/>
      <c r="AY738" s="2"/>
    </row>
    <row r="739">
      <c r="A739" s="1"/>
      <c r="C739" s="1"/>
      <c r="E739" s="1"/>
      <c r="F739" s="1"/>
      <c r="G739" s="2"/>
      <c r="H739" s="1"/>
      <c r="I739" s="1"/>
      <c r="J739" s="1"/>
      <c r="K739" s="1"/>
      <c r="M739" s="1"/>
      <c r="N739" s="1"/>
      <c r="O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2"/>
      <c r="AB739" s="1"/>
      <c r="AC739" s="1"/>
      <c r="AD739" s="1"/>
      <c r="AE739" s="1"/>
      <c r="AF739" s="1"/>
      <c r="AG739" s="1"/>
      <c r="AH739" s="2"/>
      <c r="AI739" s="2"/>
      <c r="AJ739" s="2"/>
      <c r="AK739" s="2"/>
      <c r="AL739" s="2"/>
      <c r="AM739" s="1"/>
      <c r="AN739" s="2"/>
      <c r="AP739" s="2"/>
      <c r="AQ739" s="1"/>
      <c r="AR739" s="2"/>
      <c r="AU739" s="1"/>
      <c r="AW739" s="1"/>
      <c r="AY739" s="2"/>
    </row>
    <row r="740">
      <c r="A740" s="1"/>
      <c r="C740" s="1"/>
      <c r="E740" s="1"/>
      <c r="F740" s="1"/>
      <c r="G740" s="2"/>
      <c r="H740" s="1"/>
      <c r="I740" s="1"/>
      <c r="J740" s="1"/>
      <c r="K740" s="1"/>
      <c r="M740" s="1"/>
      <c r="N740" s="1"/>
      <c r="O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2"/>
      <c r="AB740" s="1"/>
      <c r="AC740" s="1"/>
      <c r="AD740" s="1"/>
      <c r="AE740" s="1"/>
      <c r="AF740" s="1"/>
      <c r="AG740" s="1"/>
      <c r="AH740" s="2"/>
      <c r="AI740" s="2"/>
      <c r="AJ740" s="2"/>
      <c r="AK740" s="2"/>
      <c r="AL740" s="2"/>
      <c r="AM740" s="1"/>
      <c r="AN740" s="2"/>
      <c r="AP740" s="2"/>
      <c r="AQ740" s="1"/>
      <c r="AR740" s="2"/>
      <c r="AU740" s="1"/>
      <c r="AW740" s="1"/>
      <c r="AY740" s="2"/>
    </row>
    <row r="741">
      <c r="A741" s="1"/>
      <c r="C741" s="1"/>
      <c r="E741" s="1"/>
      <c r="F741" s="1"/>
      <c r="G741" s="2"/>
      <c r="H741" s="1"/>
      <c r="I741" s="1"/>
      <c r="J741" s="1"/>
      <c r="K741" s="1"/>
      <c r="M741" s="1"/>
      <c r="N741" s="1"/>
      <c r="O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2"/>
      <c r="AB741" s="1"/>
      <c r="AC741" s="1"/>
      <c r="AD741" s="1"/>
      <c r="AE741" s="1"/>
      <c r="AF741" s="1"/>
      <c r="AG741" s="1"/>
      <c r="AH741" s="2"/>
      <c r="AI741" s="2"/>
      <c r="AJ741" s="2"/>
      <c r="AK741" s="2"/>
      <c r="AL741" s="2"/>
      <c r="AM741" s="1"/>
      <c r="AN741" s="2"/>
      <c r="AP741" s="2"/>
      <c r="AQ741" s="1"/>
      <c r="AR741" s="2"/>
      <c r="AU741" s="1"/>
      <c r="AW741" s="1"/>
      <c r="AY741" s="2"/>
    </row>
    <row r="742">
      <c r="A742" s="1"/>
      <c r="C742" s="1"/>
      <c r="E742" s="1"/>
      <c r="F742" s="1"/>
      <c r="G742" s="2"/>
      <c r="H742" s="1"/>
      <c r="I742" s="1"/>
      <c r="J742" s="1"/>
      <c r="K742" s="1"/>
      <c r="M742" s="1"/>
      <c r="N742" s="1"/>
      <c r="O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2"/>
      <c r="AB742" s="1"/>
      <c r="AC742" s="1"/>
      <c r="AD742" s="1"/>
      <c r="AE742" s="1"/>
      <c r="AF742" s="1"/>
      <c r="AG742" s="1"/>
      <c r="AH742" s="2"/>
      <c r="AI742" s="2"/>
      <c r="AJ742" s="2"/>
      <c r="AK742" s="2"/>
      <c r="AL742" s="2"/>
      <c r="AM742" s="1"/>
      <c r="AN742" s="2"/>
      <c r="AP742" s="2"/>
      <c r="AQ742" s="1"/>
      <c r="AR742" s="2"/>
      <c r="AU742" s="1"/>
      <c r="AW742" s="1"/>
      <c r="AY742" s="2"/>
    </row>
    <row r="743">
      <c r="A743" s="1"/>
      <c r="C743" s="1"/>
      <c r="E743" s="1"/>
      <c r="F743" s="1"/>
      <c r="G743" s="2"/>
      <c r="H743" s="1"/>
      <c r="I743" s="1"/>
      <c r="J743" s="1"/>
      <c r="K743" s="1"/>
      <c r="M743" s="1"/>
      <c r="N743" s="1"/>
      <c r="O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2"/>
      <c r="AB743" s="1"/>
      <c r="AC743" s="1"/>
      <c r="AD743" s="1"/>
      <c r="AE743" s="1"/>
      <c r="AF743" s="1"/>
      <c r="AG743" s="1"/>
      <c r="AH743" s="2"/>
      <c r="AI743" s="2"/>
      <c r="AJ743" s="2"/>
      <c r="AK743" s="2"/>
      <c r="AL743" s="2"/>
      <c r="AM743" s="1"/>
      <c r="AN743" s="2"/>
      <c r="AP743" s="2"/>
      <c r="AQ743" s="1"/>
      <c r="AR743" s="2"/>
      <c r="AU743" s="1"/>
      <c r="AW743" s="1"/>
      <c r="AY743" s="2"/>
    </row>
    <row r="744">
      <c r="A744" s="1"/>
      <c r="C744" s="1"/>
      <c r="E744" s="1"/>
      <c r="F744" s="1"/>
      <c r="G744" s="2"/>
      <c r="H744" s="1"/>
      <c r="I744" s="1"/>
      <c r="J744" s="1"/>
      <c r="K744" s="1"/>
      <c r="M744" s="1"/>
      <c r="N744" s="1"/>
      <c r="O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2"/>
      <c r="AB744" s="1"/>
      <c r="AC744" s="1"/>
      <c r="AD744" s="1"/>
      <c r="AE744" s="1"/>
      <c r="AF744" s="1"/>
      <c r="AG744" s="1"/>
      <c r="AH744" s="2"/>
      <c r="AI744" s="2"/>
      <c r="AJ744" s="2"/>
      <c r="AK744" s="2"/>
      <c r="AL744" s="2"/>
      <c r="AM744" s="1"/>
      <c r="AN744" s="2"/>
      <c r="AP744" s="2"/>
      <c r="AQ744" s="1"/>
      <c r="AR744" s="2"/>
      <c r="AU744" s="1"/>
      <c r="AW744" s="1"/>
      <c r="AY744" s="2"/>
    </row>
    <row r="745">
      <c r="A745" s="1"/>
      <c r="C745" s="1"/>
      <c r="E745" s="1"/>
      <c r="F745" s="1"/>
      <c r="G745" s="2"/>
      <c r="H745" s="1"/>
      <c r="I745" s="1"/>
      <c r="J745" s="1"/>
      <c r="K745" s="1"/>
      <c r="M745" s="1"/>
      <c r="N745" s="1"/>
      <c r="O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2"/>
      <c r="AB745" s="1"/>
      <c r="AC745" s="1"/>
      <c r="AD745" s="1"/>
      <c r="AE745" s="1"/>
      <c r="AF745" s="1"/>
      <c r="AG745" s="1"/>
      <c r="AH745" s="2"/>
      <c r="AI745" s="2"/>
      <c r="AJ745" s="2"/>
      <c r="AK745" s="2"/>
      <c r="AL745" s="2"/>
      <c r="AM745" s="1"/>
      <c r="AN745" s="2"/>
      <c r="AP745" s="2"/>
      <c r="AQ745" s="1"/>
      <c r="AR745" s="2"/>
      <c r="AU745" s="1"/>
      <c r="AW745" s="1"/>
      <c r="AY745" s="2"/>
    </row>
    <row r="746">
      <c r="A746" s="1"/>
      <c r="C746" s="1"/>
      <c r="E746" s="1"/>
      <c r="F746" s="1"/>
      <c r="G746" s="2"/>
      <c r="H746" s="1"/>
      <c r="I746" s="1"/>
      <c r="J746" s="1"/>
      <c r="K746" s="1"/>
      <c r="M746" s="1"/>
      <c r="N746" s="1"/>
      <c r="O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2"/>
      <c r="AB746" s="1"/>
      <c r="AC746" s="1"/>
      <c r="AD746" s="1"/>
      <c r="AE746" s="1"/>
      <c r="AF746" s="1"/>
      <c r="AG746" s="1"/>
      <c r="AH746" s="2"/>
      <c r="AI746" s="2"/>
      <c r="AJ746" s="2"/>
      <c r="AK746" s="2"/>
      <c r="AL746" s="2"/>
      <c r="AM746" s="1"/>
      <c r="AN746" s="2"/>
      <c r="AP746" s="2"/>
      <c r="AQ746" s="1"/>
      <c r="AR746" s="2"/>
      <c r="AU746" s="1"/>
      <c r="AW746" s="1"/>
      <c r="AY746" s="2"/>
    </row>
    <row r="747">
      <c r="A747" s="1"/>
      <c r="C747" s="1"/>
      <c r="E747" s="1"/>
      <c r="F747" s="1"/>
      <c r="G747" s="2"/>
      <c r="H747" s="1"/>
      <c r="I747" s="1"/>
      <c r="J747" s="1"/>
      <c r="K747" s="1"/>
      <c r="M747" s="1"/>
      <c r="N747" s="1"/>
      <c r="O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2"/>
      <c r="AB747" s="1"/>
      <c r="AC747" s="1"/>
      <c r="AD747" s="1"/>
      <c r="AE747" s="1"/>
      <c r="AF747" s="1"/>
      <c r="AG747" s="1"/>
      <c r="AH747" s="2"/>
      <c r="AI747" s="2"/>
      <c r="AJ747" s="2"/>
      <c r="AK747" s="2"/>
      <c r="AL747" s="2"/>
      <c r="AM747" s="1"/>
      <c r="AN747" s="2"/>
      <c r="AP747" s="2"/>
      <c r="AQ747" s="1"/>
      <c r="AR747" s="2"/>
      <c r="AU747" s="1"/>
      <c r="AW747" s="1"/>
      <c r="AY747" s="2"/>
    </row>
    <row r="748">
      <c r="A748" s="1"/>
      <c r="C748" s="1"/>
      <c r="E748" s="1"/>
      <c r="F748" s="1"/>
      <c r="G748" s="2"/>
      <c r="H748" s="1"/>
      <c r="I748" s="1"/>
      <c r="J748" s="1"/>
      <c r="K748" s="1"/>
      <c r="M748" s="1"/>
      <c r="N748" s="1"/>
      <c r="O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2"/>
      <c r="AB748" s="1"/>
      <c r="AC748" s="1"/>
      <c r="AD748" s="1"/>
      <c r="AE748" s="1"/>
      <c r="AF748" s="1"/>
      <c r="AG748" s="1"/>
      <c r="AH748" s="2"/>
      <c r="AI748" s="2"/>
      <c r="AJ748" s="2"/>
      <c r="AK748" s="2"/>
      <c r="AL748" s="2"/>
      <c r="AM748" s="1"/>
      <c r="AN748" s="2"/>
      <c r="AP748" s="2"/>
      <c r="AQ748" s="1"/>
      <c r="AR748" s="2"/>
      <c r="AU748" s="1"/>
      <c r="AW748" s="1"/>
      <c r="AY748" s="2"/>
    </row>
    <row r="749">
      <c r="A749" s="1"/>
      <c r="C749" s="1"/>
      <c r="E749" s="1"/>
      <c r="F749" s="1"/>
      <c r="G749" s="2"/>
      <c r="H749" s="1"/>
      <c r="I749" s="1"/>
      <c r="J749" s="1"/>
      <c r="K749" s="1"/>
      <c r="M749" s="1"/>
      <c r="N749" s="1"/>
      <c r="O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2"/>
      <c r="AB749" s="1"/>
      <c r="AC749" s="1"/>
      <c r="AD749" s="1"/>
      <c r="AE749" s="1"/>
      <c r="AF749" s="1"/>
      <c r="AG749" s="1"/>
      <c r="AH749" s="2"/>
      <c r="AI749" s="2"/>
      <c r="AJ749" s="2"/>
      <c r="AK749" s="2"/>
      <c r="AL749" s="2"/>
      <c r="AM749" s="1"/>
      <c r="AN749" s="2"/>
      <c r="AP749" s="2"/>
      <c r="AQ749" s="1"/>
      <c r="AR749" s="2"/>
      <c r="AU749" s="1"/>
      <c r="AW749" s="1"/>
      <c r="AY749" s="2"/>
    </row>
    <row r="750">
      <c r="A750" s="1"/>
      <c r="C750" s="1"/>
      <c r="E750" s="1"/>
      <c r="F750" s="1"/>
      <c r="G750" s="2"/>
      <c r="H750" s="1"/>
      <c r="I750" s="1"/>
      <c r="J750" s="1"/>
      <c r="K750" s="1"/>
      <c r="M750" s="1"/>
      <c r="N750" s="1"/>
      <c r="O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2"/>
      <c r="AB750" s="1"/>
      <c r="AC750" s="1"/>
      <c r="AD750" s="1"/>
      <c r="AE750" s="1"/>
      <c r="AF750" s="1"/>
      <c r="AG750" s="1"/>
      <c r="AH750" s="2"/>
      <c r="AI750" s="2"/>
      <c r="AJ750" s="2"/>
      <c r="AK750" s="2"/>
      <c r="AL750" s="2"/>
      <c r="AM750" s="1"/>
      <c r="AN750" s="2"/>
      <c r="AP750" s="2"/>
      <c r="AQ750" s="1"/>
      <c r="AR750" s="2"/>
      <c r="AU750" s="1"/>
      <c r="AW750" s="1"/>
      <c r="AY750" s="2"/>
    </row>
    <row r="751">
      <c r="A751" s="1"/>
      <c r="C751" s="1"/>
      <c r="E751" s="1"/>
      <c r="F751" s="1"/>
      <c r="G751" s="2"/>
      <c r="H751" s="1"/>
      <c r="I751" s="1"/>
      <c r="J751" s="1"/>
      <c r="K751" s="1"/>
      <c r="M751" s="1"/>
      <c r="N751" s="1"/>
      <c r="O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2"/>
      <c r="AB751" s="1"/>
      <c r="AC751" s="1"/>
      <c r="AD751" s="1"/>
      <c r="AE751" s="1"/>
      <c r="AF751" s="1"/>
      <c r="AG751" s="1"/>
      <c r="AH751" s="2"/>
      <c r="AI751" s="2"/>
      <c r="AJ751" s="2"/>
      <c r="AK751" s="2"/>
      <c r="AL751" s="2"/>
      <c r="AM751" s="1"/>
      <c r="AN751" s="2"/>
      <c r="AP751" s="2"/>
      <c r="AQ751" s="1"/>
      <c r="AR751" s="2"/>
      <c r="AU751" s="1"/>
      <c r="AW751" s="1"/>
      <c r="AY751" s="2"/>
    </row>
    <row r="752">
      <c r="A752" s="1"/>
      <c r="C752" s="1"/>
      <c r="E752" s="1"/>
      <c r="F752" s="1"/>
      <c r="G752" s="2"/>
      <c r="H752" s="1"/>
      <c r="I752" s="1"/>
      <c r="J752" s="1"/>
      <c r="K752" s="1"/>
      <c r="M752" s="1"/>
      <c r="N752" s="1"/>
      <c r="O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2"/>
      <c r="AB752" s="1"/>
      <c r="AC752" s="1"/>
      <c r="AD752" s="1"/>
      <c r="AE752" s="1"/>
      <c r="AF752" s="1"/>
      <c r="AG752" s="1"/>
      <c r="AH752" s="2"/>
      <c r="AI752" s="2"/>
      <c r="AJ752" s="2"/>
      <c r="AK752" s="2"/>
      <c r="AL752" s="2"/>
      <c r="AM752" s="1"/>
      <c r="AN752" s="2"/>
      <c r="AP752" s="2"/>
      <c r="AQ752" s="1"/>
      <c r="AR752" s="2"/>
      <c r="AU752" s="1"/>
      <c r="AW752" s="1"/>
      <c r="AY752" s="2"/>
    </row>
    <row r="753">
      <c r="A753" s="1"/>
      <c r="C753" s="1"/>
      <c r="E753" s="1"/>
      <c r="F753" s="1"/>
      <c r="G753" s="2"/>
      <c r="H753" s="1"/>
      <c r="I753" s="1"/>
      <c r="J753" s="1"/>
      <c r="K753" s="1"/>
      <c r="M753" s="1"/>
      <c r="N753" s="1"/>
      <c r="O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2"/>
      <c r="AB753" s="1"/>
      <c r="AC753" s="1"/>
      <c r="AD753" s="1"/>
      <c r="AE753" s="1"/>
      <c r="AF753" s="1"/>
      <c r="AG753" s="1"/>
      <c r="AH753" s="2"/>
      <c r="AI753" s="2"/>
      <c r="AJ753" s="2"/>
      <c r="AK753" s="2"/>
      <c r="AL753" s="2"/>
      <c r="AM753" s="1"/>
      <c r="AN753" s="2"/>
      <c r="AP753" s="2"/>
      <c r="AQ753" s="1"/>
      <c r="AR753" s="2"/>
      <c r="AU753" s="1"/>
      <c r="AW753" s="1"/>
      <c r="AY753" s="2"/>
    </row>
    <row r="754">
      <c r="A754" s="1"/>
      <c r="C754" s="1"/>
      <c r="E754" s="1"/>
      <c r="F754" s="1"/>
      <c r="G754" s="2"/>
      <c r="H754" s="1"/>
      <c r="I754" s="1"/>
      <c r="J754" s="1"/>
      <c r="K754" s="1"/>
      <c r="M754" s="1"/>
      <c r="N754" s="1"/>
      <c r="O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2"/>
      <c r="AB754" s="1"/>
      <c r="AC754" s="1"/>
      <c r="AD754" s="1"/>
      <c r="AE754" s="1"/>
      <c r="AF754" s="1"/>
      <c r="AG754" s="1"/>
      <c r="AH754" s="2"/>
      <c r="AI754" s="2"/>
      <c r="AJ754" s="2"/>
      <c r="AK754" s="2"/>
      <c r="AL754" s="2"/>
      <c r="AM754" s="1"/>
      <c r="AN754" s="2"/>
      <c r="AP754" s="2"/>
      <c r="AQ754" s="1"/>
      <c r="AR754" s="2"/>
      <c r="AU754" s="1"/>
      <c r="AW754" s="1"/>
      <c r="AY754" s="2"/>
    </row>
    <row r="755">
      <c r="A755" s="1"/>
      <c r="C755" s="1"/>
      <c r="E755" s="1"/>
      <c r="F755" s="1"/>
      <c r="G755" s="2"/>
      <c r="H755" s="1"/>
      <c r="I755" s="1"/>
      <c r="J755" s="1"/>
      <c r="K755" s="1"/>
      <c r="M755" s="1"/>
      <c r="N755" s="1"/>
      <c r="O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2"/>
      <c r="AB755" s="1"/>
      <c r="AC755" s="1"/>
      <c r="AD755" s="1"/>
      <c r="AE755" s="1"/>
      <c r="AF755" s="1"/>
      <c r="AG755" s="1"/>
      <c r="AH755" s="2"/>
      <c r="AI755" s="2"/>
      <c r="AJ755" s="2"/>
      <c r="AK755" s="2"/>
      <c r="AL755" s="2"/>
      <c r="AM755" s="1"/>
      <c r="AN755" s="2"/>
      <c r="AP755" s="2"/>
      <c r="AQ755" s="1"/>
      <c r="AR755" s="2"/>
      <c r="AU755" s="1"/>
      <c r="AW755" s="1"/>
      <c r="AY755" s="2"/>
    </row>
    <row r="756">
      <c r="A756" s="1"/>
      <c r="C756" s="1"/>
      <c r="E756" s="1"/>
      <c r="F756" s="1"/>
      <c r="G756" s="2"/>
      <c r="H756" s="1"/>
      <c r="I756" s="1"/>
      <c r="J756" s="1"/>
      <c r="K756" s="1"/>
      <c r="M756" s="1"/>
      <c r="N756" s="1"/>
      <c r="O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2"/>
      <c r="AB756" s="1"/>
      <c r="AC756" s="1"/>
      <c r="AD756" s="1"/>
      <c r="AE756" s="1"/>
      <c r="AF756" s="1"/>
      <c r="AG756" s="1"/>
      <c r="AH756" s="2"/>
      <c r="AI756" s="2"/>
      <c r="AJ756" s="2"/>
      <c r="AK756" s="2"/>
      <c r="AL756" s="2"/>
      <c r="AM756" s="1"/>
      <c r="AN756" s="2"/>
      <c r="AP756" s="2"/>
      <c r="AQ756" s="1"/>
      <c r="AR756" s="2"/>
      <c r="AU756" s="1"/>
      <c r="AW756" s="1"/>
      <c r="AY756" s="2"/>
    </row>
    <row r="757">
      <c r="A757" s="1"/>
      <c r="C757" s="1"/>
      <c r="E757" s="1"/>
      <c r="F757" s="1"/>
      <c r="G757" s="2"/>
      <c r="H757" s="1"/>
      <c r="I757" s="1"/>
      <c r="J757" s="1"/>
      <c r="K757" s="1"/>
      <c r="M757" s="1"/>
      <c r="N757" s="1"/>
      <c r="O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2"/>
      <c r="AB757" s="1"/>
      <c r="AC757" s="1"/>
      <c r="AD757" s="1"/>
      <c r="AE757" s="1"/>
      <c r="AF757" s="1"/>
      <c r="AG757" s="1"/>
      <c r="AH757" s="2"/>
      <c r="AI757" s="2"/>
      <c r="AJ757" s="2"/>
      <c r="AK757" s="2"/>
      <c r="AL757" s="2"/>
      <c r="AM757" s="1"/>
      <c r="AN757" s="2"/>
      <c r="AP757" s="2"/>
      <c r="AQ757" s="1"/>
      <c r="AR757" s="2"/>
      <c r="AU757" s="1"/>
      <c r="AW757" s="1"/>
      <c r="AY757" s="2"/>
    </row>
    <row r="758">
      <c r="A758" s="1"/>
      <c r="C758" s="1"/>
      <c r="E758" s="1"/>
      <c r="F758" s="1"/>
      <c r="G758" s="2"/>
      <c r="H758" s="1"/>
      <c r="I758" s="1"/>
      <c r="J758" s="1"/>
      <c r="K758" s="1"/>
      <c r="M758" s="1"/>
      <c r="N758" s="1"/>
      <c r="O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2"/>
      <c r="AB758" s="1"/>
      <c r="AC758" s="1"/>
      <c r="AD758" s="1"/>
      <c r="AE758" s="1"/>
      <c r="AF758" s="1"/>
      <c r="AG758" s="1"/>
      <c r="AH758" s="2"/>
      <c r="AI758" s="2"/>
      <c r="AJ758" s="2"/>
      <c r="AK758" s="2"/>
      <c r="AL758" s="2"/>
      <c r="AM758" s="1"/>
      <c r="AN758" s="2"/>
      <c r="AP758" s="2"/>
      <c r="AQ758" s="1"/>
      <c r="AR758" s="2"/>
      <c r="AU758" s="1"/>
      <c r="AW758" s="1"/>
      <c r="AY758" s="2"/>
    </row>
    <row r="759">
      <c r="A759" s="1"/>
      <c r="C759" s="1"/>
      <c r="E759" s="1"/>
      <c r="F759" s="1"/>
      <c r="G759" s="2"/>
      <c r="H759" s="1"/>
      <c r="I759" s="1"/>
      <c r="J759" s="1"/>
      <c r="K759" s="1"/>
      <c r="M759" s="1"/>
      <c r="N759" s="1"/>
      <c r="O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2"/>
      <c r="AB759" s="1"/>
      <c r="AC759" s="1"/>
      <c r="AD759" s="1"/>
      <c r="AE759" s="1"/>
      <c r="AF759" s="1"/>
      <c r="AG759" s="1"/>
      <c r="AH759" s="2"/>
      <c r="AI759" s="2"/>
      <c r="AJ759" s="2"/>
      <c r="AK759" s="2"/>
      <c r="AL759" s="2"/>
      <c r="AM759" s="1"/>
      <c r="AN759" s="2"/>
      <c r="AP759" s="2"/>
      <c r="AQ759" s="1"/>
      <c r="AR759" s="2"/>
      <c r="AU759" s="1"/>
      <c r="AW759" s="1"/>
      <c r="AY759" s="2"/>
    </row>
    <row r="760">
      <c r="A760" s="1"/>
      <c r="C760" s="1"/>
      <c r="E760" s="1"/>
      <c r="F760" s="1"/>
      <c r="G760" s="2"/>
      <c r="H760" s="1"/>
      <c r="I760" s="1"/>
      <c r="J760" s="1"/>
      <c r="K760" s="1"/>
      <c r="M760" s="1"/>
      <c r="N760" s="1"/>
      <c r="O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2"/>
      <c r="AB760" s="1"/>
      <c r="AC760" s="1"/>
      <c r="AD760" s="1"/>
      <c r="AE760" s="1"/>
      <c r="AF760" s="1"/>
      <c r="AG760" s="1"/>
      <c r="AH760" s="2"/>
      <c r="AI760" s="2"/>
      <c r="AJ760" s="2"/>
      <c r="AK760" s="2"/>
      <c r="AL760" s="2"/>
      <c r="AM760" s="1"/>
      <c r="AN760" s="2"/>
      <c r="AP760" s="2"/>
      <c r="AQ760" s="1"/>
      <c r="AR760" s="2"/>
      <c r="AU760" s="1"/>
      <c r="AW760" s="1"/>
      <c r="AY760" s="2"/>
    </row>
    <row r="761">
      <c r="A761" s="1"/>
      <c r="C761" s="1"/>
      <c r="E761" s="1"/>
      <c r="F761" s="1"/>
      <c r="G761" s="2"/>
      <c r="H761" s="1"/>
      <c r="I761" s="1"/>
      <c r="J761" s="1"/>
      <c r="K761" s="1"/>
      <c r="M761" s="1"/>
      <c r="N761" s="1"/>
      <c r="O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2"/>
      <c r="AB761" s="1"/>
      <c r="AC761" s="1"/>
      <c r="AD761" s="1"/>
      <c r="AE761" s="1"/>
      <c r="AF761" s="1"/>
      <c r="AG761" s="1"/>
      <c r="AH761" s="2"/>
      <c r="AI761" s="2"/>
      <c r="AJ761" s="2"/>
      <c r="AK761" s="2"/>
      <c r="AL761" s="2"/>
      <c r="AM761" s="1"/>
      <c r="AN761" s="2"/>
      <c r="AP761" s="2"/>
      <c r="AQ761" s="1"/>
      <c r="AR761" s="2"/>
      <c r="AU761" s="1"/>
      <c r="AW761" s="1"/>
      <c r="AY761" s="2"/>
    </row>
    <row r="762">
      <c r="A762" s="1"/>
      <c r="C762" s="1"/>
      <c r="E762" s="1"/>
      <c r="F762" s="1"/>
      <c r="G762" s="2"/>
      <c r="H762" s="1"/>
      <c r="I762" s="1"/>
      <c r="J762" s="1"/>
      <c r="K762" s="1"/>
      <c r="M762" s="1"/>
      <c r="N762" s="1"/>
      <c r="O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2"/>
      <c r="AB762" s="1"/>
      <c r="AC762" s="1"/>
      <c r="AD762" s="1"/>
      <c r="AE762" s="1"/>
      <c r="AF762" s="1"/>
      <c r="AG762" s="1"/>
      <c r="AH762" s="2"/>
      <c r="AI762" s="2"/>
      <c r="AJ762" s="2"/>
      <c r="AK762" s="2"/>
      <c r="AL762" s="2"/>
      <c r="AM762" s="1"/>
      <c r="AN762" s="2"/>
      <c r="AP762" s="2"/>
      <c r="AQ762" s="1"/>
      <c r="AR762" s="2"/>
      <c r="AU762" s="1"/>
      <c r="AW762" s="1"/>
      <c r="AY762" s="2"/>
    </row>
    <row r="763">
      <c r="A763" s="1"/>
      <c r="C763" s="1"/>
      <c r="E763" s="1"/>
      <c r="F763" s="1"/>
      <c r="G763" s="2"/>
      <c r="H763" s="1"/>
      <c r="I763" s="1"/>
      <c r="J763" s="1"/>
      <c r="K763" s="1"/>
      <c r="M763" s="1"/>
      <c r="N763" s="1"/>
      <c r="O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2"/>
      <c r="AB763" s="1"/>
      <c r="AC763" s="1"/>
      <c r="AD763" s="1"/>
      <c r="AE763" s="1"/>
      <c r="AF763" s="1"/>
      <c r="AG763" s="1"/>
      <c r="AH763" s="2"/>
      <c r="AI763" s="2"/>
      <c r="AJ763" s="2"/>
      <c r="AK763" s="2"/>
      <c r="AL763" s="2"/>
      <c r="AM763" s="1"/>
      <c r="AN763" s="2"/>
      <c r="AP763" s="2"/>
      <c r="AQ763" s="1"/>
      <c r="AR763" s="2"/>
      <c r="AU763" s="1"/>
      <c r="AW763" s="1"/>
      <c r="AY763" s="2"/>
    </row>
    <row r="764">
      <c r="A764" s="1"/>
      <c r="C764" s="1"/>
      <c r="E764" s="1"/>
      <c r="F764" s="1"/>
      <c r="G764" s="2"/>
      <c r="H764" s="1"/>
      <c r="I764" s="1"/>
      <c r="J764" s="1"/>
      <c r="K764" s="1"/>
      <c r="M764" s="1"/>
      <c r="N764" s="1"/>
      <c r="O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2"/>
      <c r="AB764" s="1"/>
      <c r="AC764" s="1"/>
      <c r="AD764" s="1"/>
      <c r="AE764" s="1"/>
      <c r="AF764" s="1"/>
      <c r="AG764" s="1"/>
      <c r="AH764" s="2"/>
      <c r="AI764" s="2"/>
      <c r="AJ764" s="2"/>
      <c r="AK764" s="2"/>
      <c r="AL764" s="2"/>
      <c r="AM764" s="1"/>
      <c r="AN764" s="2"/>
      <c r="AP764" s="2"/>
      <c r="AQ764" s="1"/>
      <c r="AR764" s="2"/>
      <c r="AU764" s="1"/>
      <c r="AW764" s="1"/>
      <c r="AY764" s="2"/>
    </row>
    <row r="765">
      <c r="A765" s="1"/>
      <c r="C765" s="1"/>
      <c r="E765" s="1"/>
      <c r="F765" s="1"/>
      <c r="G765" s="2"/>
      <c r="H765" s="1"/>
      <c r="I765" s="1"/>
      <c r="J765" s="1"/>
      <c r="K765" s="1"/>
      <c r="M765" s="1"/>
      <c r="N765" s="1"/>
      <c r="O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2"/>
      <c r="AB765" s="1"/>
      <c r="AC765" s="1"/>
      <c r="AD765" s="1"/>
      <c r="AE765" s="1"/>
      <c r="AF765" s="1"/>
      <c r="AG765" s="1"/>
      <c r="AH765" s="2"/>
      <c r="AI765" s="2"/>
      <c r="AJ765" s="2"/>
      <c r="AK765" s="2"/>
      <c r="AL765" s="2"/>
      <c r="AM765" s="1"/>
      <c r="AN765" s="2"/>
      <c r="AP765" s="2"/>
      <c r="AQ765" s="1"/>
      <c r="AR765" s="2"/>
      <c r="AU765" s="1"/>
      <c r="AW765" s="1"/>
      <c r="AY765" s="2"/>
    </row>
    <row r="766">
      <c r="A766" s="1"/>
      <c r="C766" s="1"/>
      <c r="E766" s="1"/>
      <c r="F766" s="1"/>
      <c r="G766" s="2"/>
      <c r="H766" s="1"/>
      <c r="I766" s="1"/>
      <c r="J766" s="1"/>
      <c r="K766" s="1"/>
      <c r="M766" s="1"/>
      <c r="N766" s="1"/>
      <c r="O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2"/>
      <c r="AB766" s="1"/>
      <c r="AC766" s="1"/>
      <c r="AD766" s="1"/>
      <c r="AE766" s="1"/>
      <c r="AF766" s="1"/>
      <c r="AG766" s="1"/>
      <c r="AH766" s="2"/>
      <c r="AI766" s="2"/>
      <c r="AJ766" s="2"/>
      <c r="AK766" s="2"/>
      <c r="AL766" s="2"/>
      <c r="AM766" s="1"/>
      <c r="AN766" s="2"/>
      <c r="AP766" s="2"/>
      <c r="AQ766" s="1"/>
      <c r="AR766" s="2"/>
      <c r="AU766" s="1"/>
      <c r="AW766" s="1"/>
      <c r="AY766" s="2"/>
    </row>
    <row r="767">
      <c r="A767" s="1"/>
      <c r="C767" s="1"/>
      <c r="E767" s="1"/>
      <c r="F767" s="1"/>
      <c r="G767" s="2"/>
      <c r="H767" s="1"/>
      <c r="I767" s="1"/>
      <c r="J767" s="1"/>
      <c r="K767" s="1"/>
      <c r="M767" s="1"/>
      <c r="N767" s="1"/>
      <c r="O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2"/>
      <c r="AB767" s="1"/>
      <c r="AC767" s="1"/>
      <c r="AD767" s="1"/>
      <c r="AE767" s="1"/>
      <c r="AF767" s="1"/>
      <c r="AG767" s="1"/>
      <c r="AH767" s="2"/>
      <c r="AI767" s="2"/>
      <c r="AJ767" s="2"/>
      <c r="AK767" s="2"/>
      <c r="AL767" s="2"/>
      <c r="AM767" s="1"/>
      <c r="AN767" s="2"/>
      <c r="AP767" s="2"/>
      <c r="AQ767" s="1"/>
      <c r="AR767" s="2"/>
      <c r="AU767" s="1"/>
      <c r="AW767" s="1"/>
      <c r="AY767" s="2"/>
    </row>
    <row r="768">
      <c r="A768" s="1"/>
      <c r="C768" s="1"/>
      <c r="E768" s="1"/>
      <c r="F768" s="1"/>
      <c r="G768" s="2"/>
      <c r="H768" s="1"/>
      <c r="I768" s="1"/>
      <c r="J768" s="1"/>
      <c r="K768" s="1"/>
      <c r="M768" s="1"/>
      <c r="N768" s="1"/>
      <c r="O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2"/>
      <c r="AB768" s="1"/>
      <c r="AC768" s="1"/>
      <c r="AD768" s="1"/>
      <c r="AE768" s="1"/>
      <c r="AF768" s="1"/>
      <c r="AG768" s="1"/>
      <c r="AH768" s="2"/>
      <c r="AI768" s="2"/>
      <c r="AJ768" s="2"/>
      <c r="AK768" s="2"/>
      <c r="AL768" s="2"/>
      <c r="AM768" s="1"/>
      <c r="AN768" s="2"/>
      <c r="AP768" s="2"/>
      <c r="AQ768" s="1"/>
      <c r="AR768" s="2"/>
      <c r="AU768" s="1"/>
      <c r="AW768" s="1"/>
      <c r="AY768" s="2"/>
    </row>
    <row r="769">
      <c r="A769" s="1"/>
      <c r="C769" s="1"/>
      <c r="E769" s="1"/>
      <c r="F769" s="1"/>
      <c r="G769" s="2"/>
      <c r="H769" s="1"/>
      <c r="I769" s="1"/>
      <c r="J769" s="1"/>
      <c r="K769" s="1"/>
      <c r="M769" s="1"/>
      <c r="N769" s="1"/>
      <c r="O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2"/>
      <c r="AB769" s="1"/>
      <c r="AC769" s="1"/>
      <c r="AD769" s="1"/>
      <c r="AE769" s="1"/>
      <c r="AF769" s="1"/>
      <c r="AG769" s="1"/>
      <c r="AH769" s="2"/>
      <c r="AI769" s="2"/>
      <c r="AJ769" s="2"/>
      <c r="AK769" s="2"/>
      <c r="AL769" s="2"/>
      <c r="AM769" s="1"/>
      <c r="AN769" s="2"/>
      <c r="AP769" s="2"/>
      <c r="AQ769" s="1"/>
      <c r="AR769" s="2"/>
      <c r="AU769" s="1"/>
      <c r="AW769" s="1"/>
      <c r="AY769" s="2"/>
    </row>
    <row r="770">
      <c r="A770" s="1"/>
      <c r="C770" s="1"/>
      <c r="E770" s="1"/>
      <c r="F770" s="1"/>
      <c r="G770" s="2"/>
      <c r="H770" s="1"/>
      <c r="I770" s="1"/>
      <c r="J770" s="1"/>
      <c r="K770" s="1"/>
      <c r="M770" s="1"/>
      <c r="N770" s="1"/>
      <c r="O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2"/>
      <c r="AB770" s="1"/>
      <c r="AC770" s="1"/>
      <c r="AD770" s="1"/>
      <c r="AE770" s="1"/>
      <c r="AF770" s="1"/>
      <c r="AG770" s="1"/>
      <c r="AH770" s="2"/>
      <c r="AI770" s="2"/>
      <c r="AJ770" s="2"/>
      <c r="AK770" s="2"/>
      <c r="AL770" s="2"/>
      <c r="AM770" s="1"/>
      <c r="AN770" s="2"/>
      <c r="AP770" s="2"/>
      <c r="AQ770" s="1"/>
      <c r="AR770" s="2"/>
      <c r="AU770" s="1"/>
      <c r="AW770" s="1"/>
      <c r="AY770" s="2"/>
    </row>
    <row r="771">
      <c r="A771" s="1"/>
      <c r="C771" s="1"/>
      <c r="E771" s="1"/>
      <c r="F771" s="1"/>
      <c r="G771" s="2"/>
      <c r="H771" s="1"/>
      <c r="I771" s="1"/>
      <c r="J771" s="1"/>
      <c r="K771" s="1"/>
      <c r="M771" s="1"/>
      <c r="N771" s="1"/>
      <c r="O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2"/>
      <c r="AB771" s="1"/>
      <c r="AC771" s="1"/>
      <c r="AD771" s="1"/>
      <c r="AE771" s="1"/>
      <c r="AF771" s="1"/>
      <c r="AG771" s="1"/>
      <c r="AH771" s="2"/>
      <c r="AI771" s="2"/>
      <c r="AJ771" s="2"/>
      <c r="AK771" s="2"/>
      <c r="AL771" s="2"/>
      <c r="AM771" s="1"/>
      <c r="AN771" s="2"/>
      <c r="AP771" s="2"/>
      <c r="AQ771" s="1"/>
      <c r="AR771" s="2"/>
      <c r="AU771" s="1"/>
      <c r="AW771" s="1"/>
      <c r="AY771" s="2"/>
    </row>
    <row r="772">
      <c r="A772" s="1"/>
      <c r="C772" s="1"/>
      <c r="E772" s="1"/>
      <c r="F772" s="1"/>
      <c r="G772" s="2"/>
      <c r="H772" s="1"/>
      <c r="I772" s="1"/>
      <c r="J772" s="1"/>
      <c r="K772" s="1"/>
      <c r="M772" s="1"/>
      <c r="N772" s="1"/>
      <c r="O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2"/>
      <c r="AB772" s="1"/>
      <c r="AC772" s="1"/>
      <c r="AD772" s="1"/>
      <c r="AE772" s="1"/>
      <c r="AF772" s="1"/>
      <c r="AG772" s="1"/>
      <c r="AH772" s="2"/>
      <c r="AI772" s="2"/>
      <c r="AJ772" s="2"/>
      <c r="AK772" s="2"/>
      <c r="AL772" s="2"/>
      <c r="AM772" s="1"/>
      <c r="AN772" s="2"/>
      <c r="AP772" s="2"/>
      <c r="AQ772" s="1"/>
      <c r="AR772" s="2"/>
      <c r="AU772" s="1"/>
      <c r="AW772" s="1"/>
      <c r="AY772" s="2"/>
    </row>
    <row r="773">
      <c r="A773" s="1"/>
      <c r="C773" s="1"/>
      <c r="E773" s="1"/>
      <c r="F773" s="1"/>
      <c r="G773" s="2"/>
      <c r="H773" s="1"/>
      <c r="I773" s="1"/>
      <c r="J773" s="1"/>
      <c r="K773" s="1"/>
      <c r="M773" s="1"/>
      <c r="N773" s="1"/>
      <c r="O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2"/>
      <c r="AB773" s="1"/>
      <c r="AC773" s="1"/>
      <c r="AD773" s="1"/>
      <c r="AE773" s="1"/>
      <c r="AF773" s="1"/>
      <c r="AG773" s="1"/>
      <c r="AH773" s="2"/>
      <c r="AI773" s="2"/>
      <c r="AJ773" s="2"/>
      <c r="AK773" s="2"/>
      <c r="AL773" s="2"/>
      <c r="AM773" s="1"/>
      <c r="AN773" s="2"/>
      <c r="AP773" s="2"/>
      <c r="AQ773" s="1"/>
      <c r="AR773" s="2"/>
      <c r="AU773" s="1"/>
      <c r="AW773" s="1"/>
      <c r="AY773" s="2"/>
    </row>
    <row r="774">
      <c r="A774" s="1"/>
      <c r="C774" s="1"/>
      <c r="E774" s="1"/>
      <c r="F774" s="1"/>
      <c r="G774" s="2"/>
      <c r="H774" s="1"/>
      <c r="I774" s="1"/>
      <c r="J774" s="1"/>
      <c r="K774" s="1"/>
      <c r="M774" s="1"/>
      <c r="N774" s="1"/>
      <c r="O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2"/>
      <c r="AB774" s="1"/>
      <c r="AC774" s="1"/>
      <c r="AD774" s="1"/>
      <c r="AE774" s="1"/>
      <c r="AF774" s="1"/>
      <c r="AG774" s="1"/>
      <c r="AH774" s="2"/>
      <c r="AI774" s="2"/>
      <c r="AJ774" s="2"/>
      <c r="AK774" s="2"/>
      <c r="AL774" s="2"/>
      <c r="AM774" s="1"/>
      <c r="AN774" s="2"/>
      <c r="AP774" s="2"/>
      <c r="AQ774" s="1"/>
      <c r="AR774" s="2"/>
      <c r="AU774" s="1"/>
      <c r="AW774" s="1"/>
      <c r="AY774" s="2"/>
    </row>
    <row r="775">
      <c r="A775" s="1"/>
      <c r="C775" s="1"/>
      <c r="E775" s="1"/>
      <c r="F775" s="1"/>
      <c r="G775" s="2"/>
      <c r="H775" s="1"/>
      <c r="I775" s="1"/>
      <c r="J775" s="1"/>
      <c r="K775" s="1"/>
      <c r="M775" s="1"/>
      <c r="N775" s="1"/>
      <c r="O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2"/>
      <c r="AB775" s="1"/>
      <c r="AC775" s="1"/>
      <c r="AD775" s="1"/>
      <c r="AE775" s="1"/>
      <c r="AF775" s="1"/>
      <c r="AG775" s="1"/>
      <c r="AH775" s="2"/>
      <c r="AI775" s="2"/>
      <c r="AJ775" s="2"/>
      <c r="AK775" s="2"/>
      <c r="AL775" s="2"/>
      <c r="AM775" s="1"/>
      <c r="AN775" s="2"/>
      <c r="AP775" s="2"/>
      <c r="AQ775" s="1"/>
      <c r="AR775" s="2"/>
      <c r="AU775" s="1"/>
      <c r="AW775" s="1"/>
      <c r="AY775" s="2"/>
    </row>
    <row r="776">
      <c r="A776" s="1"/>
      <c r="C776" s="1"/>
      <c r="E776" s="1"/>
      <c r="F776" s="1"/>
      <c r="G776" s="2"/>
      <c r="H776" s="1"/>
      <c r="I776" s="1"/>
      <c r="J776" s="1"/>
      <c r="K776" s="1"/>
      <c r="M776" s="1"/>
      <c r="N776" s="1"/>
      <c r="O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2"/>
      <c r="AB776" s="1"/>
      <c r="AC776" s="1"/>
      <c r="AD776" s="1"/>
      <c r="AE776" s="1"/>
      <c r="AF776" s="1"/>
      <c r="AG776" s="1"/>
      <c r="AH776" s="2"/>
      <c r="AI776" s="2"/>
      <c r="AJ776" s="2"/>
      <c r="AK776" s="2"/>
      <c r="AL776" s="2"/>
      <c r="AM776" s="1"/>
      <c r="AN776" s="2"/>
      <c r="AP776" s="2"/>
      <c r="AQ776" s="1"/>
      <c r="AR776" s="2"/>
      <c r="AU776" s="1"/>
      <c r="AW776" s="1"/>
      <c r="AY776" s="2"/>
    </row>
    <row r="777">
      <c r="A777" s="1"/>
      <c r="C777" s="1"/>
      <c r="E777" s="1"/>
      <c r="F777" s="1"/>
      <c r="G777" s="2"/>
      <c r="H777" s="1"/>
      <c r="I777" s="1"/>
      <c r="J777" s="1"/>
      <c r="K777" s="1"/>
      <c r="M777" s="1"/>
      <c r="N777" s="1"/>
      <c r="O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2"/>
      <c r="AB777" s="1"/>
      <c r="AC777" s="1"/>
      <c r="AD777" s="1"/>
      <c r="AE777" s="1"/>
      <c r="AF777" s="1"/>
      <c r="AG777" s="1"/>
      <c r="AH777" s="2"/>
      <c r="AI777" s="2"/>
      <c r="AJ777" s="2"/>
      <c r="AK777" s="2"/>
      <c r="AL777" s="2"/>
      <c r="AM777" s="1"/>
      <c r="AN777" s="2"/>
      <c r="AP777" s="2"/>
      <c r="AQ777" s="1"/>
      <c r="AR777" s="2"/>
      <c r="AU777" s="1"/>
      <c r="AW777" s="1"/>
      <c r="AY777" s="2"/>
    </row>
    <row r="778">
      <c r="A778" s="1"/>
      <c r="C778" s="1"/>
      <c r="E778" s="1"/>
      <c r="F778" s="1"/>
      <c r="G778" s="2"/>
      <c r="H778" s="1"/>
      <c r="I778" s="1"/>
      <c r="J778" s="1"/>
      <c r="K778" s="1"/>
      <c r="M778" s="1"/>
      <c r="N778" s="1"/>
      <c r="O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2"/>
      <c r="AB778" s="1"/>
      <c r="AC778" s="1"/>
      <c r="AD778" s="1"/>
      <c r="AE778" s="1"/>
      <c r="AF778" s="1"/>
      <c r="AG778" s="1"/>
      <c r="AH778" s="2"/>
      <c r="AI778" s="2"/>
      <c r="AJ778" s="2"/>
      <c r="AK778" s="2"/>
      <c r="AL778" s="2"/>
      <c r="AM778" s="1"/>
      <c r="AN778" s="2"/>
      <c r="AP778" s="2"/>
      <c r="AQ778" s="1"/>
      <c r="AR778" s="2"/>
      <c r="AU778" s="1"/>
      <c r="AW778" s="1"/>
      <c r="AY778" s="2"/>
    </row>
    <row r="779">
      <c r="A779" s="1"/>
      <c r="C779" s="1"/>
      <c r="E779" s="1"/>
      <c r="F779" s="1"/>
      <c r="G779" s="2"/>
      <c r="H779" s="1"/>
      <c r="I779" s="1"/>
      <c r="J779" s="1"/>
      <c r="K779" s="1"/>
      <c r="M779" s="1"/>
      <c r="N779" s="1"/>
      <c r="O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2"/>
      <c r="AB779" s="1"/>
      <c r="AC779" s="1"/>
      <c r="AD779" s="1"/>
      <c r="AE779" s="1"/>
      <c r="AF779" s="1"/>
      <c r="AG779" s="1"/>
      <c r="AH779" s="2"/>
      <c r="AI779" s="2"/>
      <c r="AJ779" s="2"/>
      <c r="AK779" s="2"/>
      <c r="AL779" s="2"/>
      <c r="AM779" s="1"/>
      <c r="AN779" s="2"/>
      <c r="AP779" s="2"/>
      <c r="AQ779" s="1"/>
      <c r="AR779" s="2"/>
      <c r="AU779" s="1"/>
      <c r="AW779" s="1"/>
      <c r="AY779" s="2"/>
    </row>
    <row r="780">
      <c r="A780" s="1"/>
      <c r="C780" s="1"/>
      <c r="E780" s="1"/>
      <c r="F780" s="1"/>
      <c r="G780" s="2"/>
      <c r="H780" s="1"/>
      <c r="I780" s="1"/>
      <c r="J780" s="1"/>
      <c r="K780" s="1"/>
      <c r="M780" s="1"/>
      <c r="N780" s="1"/>
      <c r="O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2"/>
      <c r="AB780" s="1"/>
      <c r="AC780" s="1"/>
      <c r="AD780" s="1"/>
      <c r="AE780" s="1"/>
      <c r="AF780" s="1"/>
      <c r="AG780" s="1"/>
      <c r="AH780" s="2"/>
      <c r="AI780" s="2"/>
      <c r="AJ780" s="2"/>
      <c r="AK780" s="2"/>
      <c r="AL780" s="2"/>
      <c r="AM780" s="1"/>
      <c r="AN780" s="2"/>
      <c r="AP780" s="2"/>
      <c r="AQ780" s="1"/>
      <c r="AR780" s="2"/>
      <c r="AU780" s="1"/>
      <c r="AW780" s="1"/>
      <c r="AY780" s="2"/>
    </row>
    <row r="781">
      <c r="A781" s="1"/>
      <c r="C781" s="1"/>
      <c r="E781" s="1"/>
      <c r="F781" s="1"/>
      <c r="G781" s="2"/>
      <c r="H781" s="1"/>
      <c r="I781" s="1"/>
      <c r="J781" s="1"/>
      <c r="K781" s="1"/>
      <c r="M781" s="1"/>
      <c r="N781" s="1"/>
      <c r="O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2"/>
      <c r="AB781" s="1"/>
      <c r="AC781" s="1"/>
      <c r="AD781" s="1"/>
      <c r="AE781" s="1"/>
      <c r="AF781" s="1"/>
      <c r="AG781" s="1"/>
      <c r="AH781" s="2"/>
      <c r="AI781" s="2"/>
      <c r="AJ781" s="2"/>
      <c r="AK781" s="2"/>
      <c r="AL781" s="2"/>
      <c r="AM781" s="1"/>
      <c r="AN781" s="2"/>
      <c r="AP781" s="2"/>
      <c r="AQ781" s="1"/>
      <c r="AR781" s="2"/>
      <c r="AU781" s="1"/>
      <c r="AW781" s="1"/>
      <c r="AY781" s="2"/>
    </row>
    <row r="782">
      <c r="A782" s="1"/>
      <c r="C782" s="1"/>
      <c r="E782" s="1"/>
      <c r="F782" s="1"/>
      <c r="G782" s="2"/>
      <c r="H782" s="1"/>
      <c r="I782" s="1"/>
      <c r="J782" s="1"/>
      <c r="K782" s="1"/>
      <c r="M782" s="1"/>
      <c r="N782" s="1"/>
      <c r="O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2"/>
      <c r="AB782" s="1"/>
      <c r="AC782" s="1"/>
      <c r="AD782" s="1"/>
      <c r="AE782" s="1"/>
      <c r="AF782" s="1"/>
      <c r="AG782" s="1"/>
      <c r="AH782" s="2"/>
      <c r="AI782" s="2"/>
      <c r="AJ782" s="2"/>
      <c r="AK782" s="2"/>
      <c r="AL782" s="2"/>
      <c r="AM782" s="1"/>
      <c r="AN782" s="2"/>
      <c r="AP782" s="2"/>
      <c r="AQ782" s="1"/>
      <c r="AR782" s="2"/>
      <c r="AU782" s="1"/>
      <c r="AW782" s="1"/>
      <c r="AY782" s="2"/>
    </row>
    <row r="783">
      <c r="A783" s="1"/>
      <c r="C783" s="1"/>
      <c r="E783" s="1"/>
      <c r="F783" s="1"/>
      <c r="G783" s="2"/>
      <c r="H783" s="1"/>
      <c r="I783" s="1"/>
      <c r="J783" s="1"/>
      <c r="K783" s="1"/>
      <c r="M783" s="1"/>
      <c r="N783" s="1"/>
      <c r="O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2"/>
      <c r="AB783" s="1"/>
      <c r="AC783" s="1"/>
      <c r="AD783" s="1"/>
      <c r="AE783" s="1"/>
      <c r="AF783" s="1"/>
      <c r="AG783" s="1"/>
      <c r="AH783" s="2"/>
      <c r="AI783" s="2"/>
      <c r="AJ783" s="2"/>
      <c r="AK783" s="2"/>
      <c r="AL783" s="2"/>
      <c r="AM783" s="1"/>
      <c r="AN783" s="2"/>
      <c r="AP783" s="2"/>
      <c r="AQ783" s="1"/>
      <c r="AR783" s="2"/>
      <c r="AU783" s="1"/>
      <c r="AW783" s="1"/>
      <c r="AY783" s="2"/>
    </row>
    <row r="784">
      <c r="A784" s="1"/>
      <c r="C784" s="1"/>
      <c r="E784" s="1"/>
      <c r="F784" s="1"/>
      <c r="G784" s="2"/>
      <c r="H784" s="1"/>
      <c r="I784" s="1"/>
      <c r="J784" s="1"/>
      <c r="K784" s="1"/>
      <c r="M784" s="1"/>
      <c r="N784" s="1"/>
      <c r="O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2"/>
      <c r="AI784" s="2"/>
      <c r="AJ784" s="2"/>
      <c r="AK784" s="2"/>
      <c r="AL784" s="2"/>
      <c r="AM784" s="1"/>
      <c r="AN784" s="2"/>
      <c r="AP784" s="2"/>
      <c r="AQ784" s="1"/>
      <c r="AR784" s="2"/>
      <c r="AU784" s="1"/>
      <c r="AW784" s="1"/>
      <c r="AY784" s="2"/>
    </row>
    <row r="785">
      <c r="A785" s="1"/>
      <c r="C785" s="1"/>
      <c r="E785" s="1"/>
      <c r="F785" s="1"/>
      <c r="G785" s="2"/>
      <c r="H785" s="1"/>
      <c r="I785" s="1"/>
      <c r="J785" s="1"/>
      <c r="K785" s="1"/>
      <c r="M785" s="1"/>
      <c r="N785" s="1"/>
      <c r="O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2"/>
      <c r="AB785" s="1"/>
      <c r="AC785" s="1"/>
      <c r="AD785" s="1"/>
      <c r="AE785" s="1"/>
      <c r="AF785" s="1"/>
      <c r="AG785" s="1"/>
      <c r="AH785" s="2"/>
      <c r="AI785" s="2"/>
      <c r="AJ785" s="2"/>
      <c r="AK785" s="2"/>
      <c r="AL785" s="2"/>
      <c r="AM785" s="1"/>
      <c r="AN785" s="2"/>
      <c r="AP785" s="2"/>
      <c r="AQ785" s="1"/>
      <c r="AR785" s="2"/>
      <c r="AU785" s="1"/>
      <c r="AW785" s="1"/>
      <c r="AY785" s="2"/>
    </row>
    <row r="786">
      <c r="A786" s="1"/>
      <c r="C786" s="1"/>
      <c r="E786" s="1"/>
      <c r="F786" s="1"/>
      <c r="G786" s="2"/>
      <c r="H786" s="1"/>
      <c r="I786" s="1"/>
      <c r="J786" s="1"/>
      <c r="K786" s="1"/>
      <c r="M786" s="1"/>
      <c r="N786" s="1"/>
      <c r="O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2"/>
      <c r="AB786" s="1"/>
      <c r="AC786" s="1"/>
      <c r="AD786" s="1"/>
      <c r="AE786" s="1"/>
      <c r="AF786" s="1"/>
      <c r="AG786" s="1"/>
      <c r="AH786" s="2"/>
      <c r="AI786" s="2"/>
      <c r="AJ786" s="2"/>
      <c r="AK786" s="2"/>
      <c r="AL786" s="2"/>
      <c r="AM786" s="1"/>
      <c r="AN786" s="2"/>
      <c r="AP786" s="2"/>
      <c r="AQ786" s="1"/>
      <c r="AR786" s="2"/>
      <c r="AU786" s="1"/>
      <c r="AW786" s="1"/>
      <c r="AY786" s="2"/>
    </row>
    <row r="787">
      <c r="A787" s="1"/>
      <c r="C787" s="1"/>
      <c r="E787" s="1"/>
      <c r="F787" s="1"/>
      <c r="G787" s="2"/>
      <c r="H787" s="1"/>
      <c r="I787" s="1"/>
      <c r="J787" s="1"/>
      <c r="K787" s="1"/>
      <c r="M787" s="1"/>
      <c r="N787" s="1"/>
      <c r="O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2"/>
      <c r="AB787" s="1"/>
      <c r="AC787" s="1"/>
      <c r="AD787" s="1"/>
      <c r="AE787" s="1"/>
      <c r="AF787" s="1"/>
      <c r="AG787" s="1"/>
      <c r="AH787" s="2"/>
      <c r="AI787" s="2"/>
      <c r="AJ787" s="2"/>
      <c r="AK787" s="2"/>
      <c r="AL787" s="2"/>
      <c r="AM787" s="1"/>
      <c r="AN787" s="2"/>
      <c r="AP787" s="2"/>
      <c r="AQ787" s="1"/>
      <c r="AR787" s="2"/>
      <c r="AU787" s="1"/>
      <c r="AW787" s="1"/>
      <c r="AY787" s="2"/>
    </row>
    <row r="788">
      <c r="A788" s="1"/>
      <c r="C788" s="1"/>
      <c r="E788" s="1"/>
      <c r="F788" s="1"/>
      <c r="G788" s="2"/>
      <c r="H788" s="1"/>
      <c r="I788" s="1"/>
      <c r="J788" s="1"/>
      <c r="K788" s="1"/>
      <c r="M788" s="1"/>
      <c r="N788" s="1"/>
      <c r="O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2"/>
      <c r="AB788" s="1"/>
      <c r="AC788" s="1"/>
      <c r="AD788" s="1"/>
      <c r="AE788" s="1"/>
      <c r="AF788" s="1"/>
      <c r="AG788" s="1"/>
      <c r="AH788" s="2"/>
      <c r="AI788" s="2"/>
      <c r="AJ788" s="2"/>
      <c r="AK788" s="2"/>
      <c r="AL788" s="2"/>
      <c r="AM788" s="1"/>
      <c r="AN788" s="2"/>
      <c r="AP788" s="2"/>
      <c r="AQ788" s="1"/>
      <c r="AR788" s="2"/>
      <c r="AU788" s="1"/>
      <c r="AW788" s="1"/>
      <c r="AY788" s="2"/>
    </row>
    <row r="789">
      <c r="A789" s="1"/>
      <c r="C789" s="1"/>
      <c r="E789" s="1"/>
      <c r="F789" s="1"/>
      <c r="G789" s="2"/>
      <c r="H789" s="1"/>
      <c r="I789" s="1"/>
      <c r="J789" s="1"/>
      <c r="K789" s="1"/>
      <c r="M789" s="1"/>
      <c r="N789" s="1"/>
      <c r="O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2"/>
      <c r="AB789" s="1"/>
      <c r="AC789" s="1"/>
      <c r="AD789" s="1"/>
      <c r="AE789" s="1"/>
      <c r="AF789" s="1"/>
      <c r="AG789" s="1"/>
      <c r="AH789" s="2"/>
      <c r="AI789" s="2"/>
      <c r="AJ789" s="2"/>
      <c r="AK789" s="2"/>
      <c r="AL789" s="2"/>
      <c r="AM789" s="1"/>
      <c r="AN789" s="2"/>
      <c r="AP789" s="2"/>
      <c r="AQ789" s="1"/>
      <c r="AR789" s="2"/>
      <c r="AU789" s="1"/>
      <c r="AW789" s="1"/>
      <c r="AY789" s="2"/>
    </row>
    <row r="790">
      <c r="A790" s="1"/>
      <c r="C790" s="1"/>
      <c r="E790" s="1"/>
      <c r="F790" s="1"/>
      <c r="G790" s="2"/>
      <c r="H790" s="1"/>
      <c r="I790" s="1"/>
      <c r="J790" s="1"/>
      <c r="K790" s="1"/>
      <c r="M790" s="1"/>
      <c r="N790" s="1"/>
      <c r="O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2"/>
      <c r="AB790" s="1"/>
      <c r="AC790" s="1"/>
      <c r="AD790" s="1"/>
      <c r="AE790" s="1"/>
      <c r="AF790" s="1"/>
      <c r="AG790" s="1"/>
      <c r="AH790" s="2"/>
      <c r="AI790" s="2"/>
      <c r="AJ790" s="2"/>
      <c r="AK790" s="2"/>
      <c r="AL790" s="2"/>
      <c r="AM790" s="1"/>
      <c r="AN790" s="2"/>
      <c r="AP790" s="2"/>
      <c r="AQ790" s="1"/>
      <c r="AR790" s="2"/>
      <c r="AU790" s="1"/>
      <c r="AW790" s="1"/>
      <c r="AY790" s="2"/>
    </row>
    <row r="791">
      <c r="A791" s="1"/>
      <c r="C791" s="1"/>
      <c r="E791" s="1"/>
      <c r="F791" s="1"/>
      <c r="G791" s="2"/>
      <c r="H791" s="1"/>
      <c r="I791" s="1"/>
      <c r="J791" s="1"/>
      <c r="K791" s="1"/>
      <c r="M791" s="1"/>
      <c r="N791" s="1"/>
      <c r="O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2"/>
      <c r="AB791" s="1"/>
      <c r="AC791" s="1"/>
      <c r="AD791" s="1"/>
      <c r="AE791" s="1"/>
      <c r="AF791" s="1"/>
      <c r="AG791" s="1"/>
      <c r="AH791" s="2"/>
      <c r="AI791" s="2"/>
      <c r="AJ791" s="2"/>
      <c r="AK791" s="2"/>
      <c r="AL791" s="2"/>
      <c r="AM791" s="1"/>
      <c r="AN791" s="2"/>
      <c r="AP791" s="2"/>
      <c r="AQ791" s="1"/>
      <c r="AR791" s="2"/>
      <c r="AU791" s="1"/>
      <c r="AW791" s="1"/>
      <c r="AY791" s="2"/>
    </row>
    <row r="792">
      <c r="A792" s="1"/>
      <c r="C792" s="1"/>
      <c r="E792" s="1"/>
      <c r="F792" s="1"/>
      <c r="G792" s="2"/>
      <c r="H792" s="1"/>
      <c r="I792" s="1"/>
      <c r="J792" s="1"/>
      <c r="K792" s="1"/>
      <c r="M792" s="1"/>
      <c r="N792" s="1"/>
      <c r="O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2"/>
      <c r="AB792" s="1"/>
      <c r="AC792" s="1"/>
      <c r="AD792" s="1"/>
      <c r="AE792" s="1"/>
      <c r="AF792" s="1"/>
      <c r="AG792" s="1"/>
      <c r="AH792" s="2"/>
      <c r="AI792" s="2"/>
      <c r="AJ792" s="2"/>
      <c r="AK792" s="2"/>
      <c r="AL792" s="2"/>
      <c r="AM792" s="1"/>
      <c r="AN792" s="2"/>
      <c r="AP792" s="2"/>
      <c r="AQ792" s="1"/>
      <c r="AR792" s="2"/>
      <c r="AU792" s="1"/>
      <c r="AW792" s="1"/>
      <c r="AY792" s="2"/>
    </row>
    <row r="793">
      <c r="A793" s="1"/>
      <c r="C793" s="1"/>
      <c r="E793" s="1"/>
      <c r="F793" s="1"/>
      <c r="G793" s="2"/>
      <c r="H793" s="1"/>
      <c r="I793" s="1"/>
      <c r="J793" s="1"/>
      <c r="K793" s="1"/>
      <c r="M793" s="1"/>
      <c r="N793" s="1"/>
      <c r="O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2"/>
      <c r="AB793" s="1"/>
      <c r="AC793" s="1"/>
      <c r="AD793" s="1"/>
      <c r="AE793" s="1"/>
      <c r="AF793" s="1"/>
      <c r="AG793" s="1"/>
      <c r="AH793" s="2"/>
      <c r="AI793" s="2"/>
      <c r="AJ793" s="2"/>
      <c r="AK793" s="2"/>
      <c r="AL793" s="2"/>
      <c r="AM793" s="1"/>
      <c r="AN793" s="2"/>
      <c r="AP793" s="2"/>
      <c r="AQ793" s="1"/>
      <c r="AR793" s="2"/>
      <c r="AU793" s="1"/>
      <c r="AW793" s="1"/>
      <c r="AY793" s="2"/>
    </row>
    <row r="794">
      <c r="A794" s="1"/>
      <c r="C794" s="1"/>
      <c r="E794" s="1"/>
      <c r="F794" s="1"/>
      <c r="G794" s="2"/>
      <c r="H794" s="1"/>
      <c r="I794" s="1"/>
      <c r="J794" s="1"/>
      <c r="K794" s="1"/>
      <c r="M794" s="1"/>
      <c r="N794" s="1"/>
      <c r="O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2"/>
      <c r="AB794" s="1"/>
      <c r="AC794" s="1"/>
      <c r="AD794" s="1"/>
      <c r="AE794" s="1"/>
      <c r="AF794" s="1"/>
      <c r="AG794" s="1"/>
      <c r="AH794" s="2"/>
      <c r="AI794" s="2"/>
      <c r="AJ794" s="2"/>
      <c r="AK794" s="2"/>
      <c r="AL794" s="2"/>
      <c r="AM794" s="1"/>
      <c r="AN794" s="2"/>
      <c r="AP794" s="2"/>
      <c r="AQ794" s="1"/>
      <c r="AR794" s="2"/>
      <c r="AU794" s="1"/>
      <c r="AW794" s="1"/>
      <c r="AY794" s="2"/>
    </row>
    <row r="795">
      <c r="A795" s="1"/>
      <c r="C795" s="1"/>
      <c r="E795" s="1"/>
      <c r="F795" s="1"/>
      <c r="G795" s="2"/>
      <c r="H795" s="1"/>
      <c r="I795" s="1"/>
      <c r="J795" s="1"/>
      <c r="K795" s="1"/>
      <c r="M795" s="1"/>
      <c r="N795" s="1"/>
      <c r="O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2"/>
      <c r="AB795" s="1"/>
      <c r="AC795" s="1"/>
      <c r="AD795" s="1"/>
      <c r="AE795" s="1"/>
      <c r="AF795" s="1"/>
      <c r="AG795" s="1"/>
      <c r="AH795" s="2"/>
      <c r="AI795" s="2"/>
      <c r="AJ795" s="2"/>
      <c r="AK795" s="2"/>
      <c r="AL795" s="2"/>
      <c r="AM795" s="1"/>
      <c r="AN795" s="2"/>
      <c r="AP795" s="2"/>
      <c r="AQ795" s="1"/>
      <c r="AR795" s="2"/>
      <c r="AU795" s="1"/>
      <c r="AW795" s="1"/>
      <c r="AY795" s="2"/>
    </row>
    <row r="796">
      <c r="A796" s="1"/>
      <c r="C796" s="1"/>
      <c r="E796" s="1"/>
      <c r="F796" s="1"/>
      <c r="G796" s="2"/>
      <c r="H796" s="1"/>
      <c r="I796" s="1"/>
      <c r="J796" s="1"/>
      <c r="K796" s="1"/>
      <c r="M796" s="1"/>
      <c r="N796" s="1"/>
      <c r="O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2"/>
      <c r="AB796" s="1"/>
      <c r="AC796" s="1"/>
      <c r="AD796" s="1"/>
      <c r="AE796" s="1"/>
      <c r="AF796" s="1"/>
      <c r="AG796" s="1"/>
      <c r="AH796" s="2"/>
      <c r="AI796" s="2"/>
      <c r="AJ796" s="2"/>
      <c r="AK796" s="2"/>
      <c r="AL796" s="2"/>
      <c r="AM796" s="1"/>
      <c r="AN796" s="2"/>
      <c r="AP796" s="2"/>
      <c r="AQ796" s="1"/>
      <c r="AR796" s="2"/>
      <c r="AU796" s="1"/>
      <c r="AW796" s="1"/>
      <c r="AY796" s="2"/>
    </row>
    <row r="797">
      <c r="A797" s="1"/>
      <c r="C797" s="1"/>
      <c r="E797" s="1"/>
      <c r="F797" s="1"/>
      <c r="G797" s="2"/>
      <c r="H797" s="1"/>
      <c r="I797" s="1"/>
      <c r="J797" s="1"/>
      <c r="K797" s="1"/>
      <c r="M797" s="1"/>
      <c r="N797" s="1"/>
      <c r="O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2"/>
      <c r="AI797" s="2"/>
      <c r="AJ797" s="2"/>
      <c r="AK797" s="2"/>
      <c r="AL797" s="2"/>
      <c r="AM797" s="1"/>
      <c r="AN797" s="2"/>
      <c r="AP797" s="2"/>
      <c r="AQ797" s="1"/>
      <c r="AR797" s="2"/>
      <c r="AU797" s="1"/>
      <c r="AW797" s="1"/>
      <c r="AY797" s="2"/>
    </row>
    <row r="798">
      <c r="A798" s="1"/>
      <c r="C798" s="1"/>
      <c r="E798" s="1"/>
      <c r="F798" s="1"/>
      <c r="G798" s="2"/>
      <c r="H798" s="1"/>
      <c r="I798" s="1"/>
      <c r="J798" s="1"/>
      <c r="K798" s="1"/>
      <c r="M798" s="1"/>
      <c r="N798" s="1"/>
      <c r="O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2"/>
      <c r="AB798" s="1"/>
      <c r="AC798" s="1"/>
      <c r="AD798" s="1"/>
      <c r="AE798" s="1"/>
      <c r="AF798" s="1"/>
      <c r="AG798" s="1"/>
      <c r="AH798" s="2"/>
      <c r="AI798" s="2"/>
      <c r="AJ798" s="2"/>
      <c r="AK798" s="2"/>
      <c r="AL798" s="2"/>
      <c r="AM798" s="1"/>
      <c r="AN798" s="2"/>
      <c r="AP798" s="2"/>
      <c r="AQ798" s="1"/>
      <c r="AR798" s="2"/>
      <c r="AU798" s="1"/>
      <c r="AW798" s="1"/>
      <c r="AY798" s="2"/>
    </row>
    <row r="799">
      <c r="A799" s="1"/>
      <c r="C799" s="1"/>
      <c r="E799" s="1"/>
      <c r="F799" s="1"/>
      <c r="G799" s="2"/>
      <c r="H799" s="1"/>
      <c r="I799" s="1"/>
      <c r="J799" s="1"/>
      <c r="K799" s="1"/>
      <c r="M799" s="1"/>
      <c r="N799" s="1"/>
      <c r="O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2"/>
      <c r="AB799" s="1"/>
      <c r="AC799" s="1"/>
      <c r="AD799" s="1"/>
      <c r="AE799" s="1"/>
      <c r="AF799" s="1"/>
      <c r="AG799" s="1"/>
      <c r="AH799" s="2"/>
      <c r="AI799" s="2"/>
      <c r="AJ799" s="2"/>
      <c r="AK799" s="2"/>
      <c r="AL799" s="2"/>
      <c r="AM799" s="1"/>
      <c r="AN799" s="2"/>
      <c r="AP799" s="2"/>
      <c r="AQ799" s="1"/>
      <c r="AR799" s="2"/>
      <c r="AU799" s="1"/>
      <c r="AW799" s="1"/>
      <c r="AY799" s="2"/>
    </row>
    <row r="800">
      <c r="A800" s="1"/>
      <c r="C800" s="1"/>
      <c r="E800" s="1"/>
      <c r="F800" s="1"/>
      <c r="G800" s="2"/>
      <c r="H800" s="1"/>
      <c r="I800" s="1"/>
      <c r="J800" s="1"/>
      <c r="K800" s="1"/>
      <c r="M800" s="1"/>
      <c r="N800" s="1"/>
      <c r="O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2"/>
      <c r="AB800" s="1"/>
      <c r="AC800" s="1"/>
      <c r="AD800" s="1"/>
      <c r="AE800" s="1"/>
      <c r="AF800" s="1"/>
      <c r="AG800" s="1"/>
      <c r="AH800" s="2"/>
      <c r="AI800" s="2"/>
      <c r="AJ800" s="2"/>
      <c r="AK800" s="2"/>
      <c r="AL800" s="2"/>
      <c r="AM800" s="1"/>
      <c r="AN800" s="2"/>
      <c r="AP800" s="2"/>
      <c r="AQ800" s="1"/>
      <c r="AR800" s="2"/>
      <c r="AU800" s="1"/>
      <c r="AW800" s="1"/>
      <c r="AY800" s="2"/>
    </row>
    <row r="801">
      <c r="A801" s="1"/>
      <c r="C801" s="1"/>
      <c r="E801" s="1"/>
      <c r="F801" s="1"/>
      <c r="G801" s="2"/>
      <c r="H801" s="1"/>
      <c r="I801" s="1"/>
      <c r="J801" s="1"/>
      <c r="K801" s="1"/>
      <c r="M801" s="1"/>
      <c r="N801" s="1"/>
      <c r="O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2"/>
      <c r="AB801" s="1"/>
      <c r="AC801" s="1"/>
      <c r="AD801" s="1"/>
      <c r="AE801" s="1"/>
      <c r="AF801" s="1"/>
      <c r="AG801" s="1"/>
      <c r="AH801" s="2"/>
      <c r="AI801" s="2"/>
      <c r="AJ801" s="2"/>
      <c r="AK801" s="2"/>
      <c r="AL801" s="2"/>
      <c r="AM801" s="1"/>
      <c r="AN801" s="2"/>
      <c r="AP801" s="2"/>
      <c r="AQ801" s="1"/>
      <c r="AR801" s="2"/>
      <c r="AU801" s="1"/>
      <c r="AW801" s="1"/>
      <c r="AY801" s="2"/>
    </row>
    <row r="802">
      <c r="A802" s="1"/>
      <c r="C802" s="1"/>
      <c r="E802" s="1"/>
      <c r="F802" s="1"/>
      <c r="G802" s="2"/>
      <c r="H802" s="1"/>
      <c r="I802" s="1"/>
      <c r="J802" s="1"/>
      <c r="K802" s="1"/>
      <c r="M802" s="1"/>
      <c r="N802" s="1"/>
      <c r="O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2"/>
      <c r="AB802" s="1"/>
      <c r="AC802" s="1"/>
      <c r="AD802" s="1"/>
      <c r="AE802" s="1"/>
      <c r="AF802" s="1"/>
      <c r="AG802" s="1"/>
      <c r="AH802" s="2"/>
      <c r="AI802" s="2"/>
      <c r="AJ802" s="2"/>
      <c r="AK802" s="2"/>
      <c r="AL802" s="2"/>
      <c r="AM802" s="1"/>
      <c r="AN802" s="2"/>
      <c r="AP802" s="2"/>
      <c r="AQ802" s="1"/>
      <c r="AR802" s="2"/>
      <c r="AU802" s="1"/>
      <c r="AW802" s="1"/>
      <c r="AY802" s="2"/>
    </row>
    <row r="803">
      <c r="A803" s="1"/>
      <c r="C803" s="1"/>
      <c r="E803" s="1"/>
      <c r="F803" s="1"/>
      <c r="G803" s="2"/>
      <c r="H803" s="1"/>
      <c r="I803" s="1"/>
      <c r="J803" s="1"/>
      <c r="K803" s="1"/>
      <c r="M803" s="1"/>
      <c r="N803" s="1"/>
      <c r="O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2"/>
      <c r="AB803" s="1"/>
      <c r="AC803" s="1"/>
      <c r="AD803" s="1"/>
      <c r="AE803" s="1"/>
      <c r="AF803" s="1"/>
      <c r="AG803" s="1"/>
      <c r="AH803" s="2"/>
      <c r="AI803" s="2"/>
      <c r="AJ803" s="2"/>
      <c r="AK803" s="2"/>
      <c r="AL803" s="2"/>
      <c r="AM803" s="1"/>
      <c r="AN803" s="2"/>
      <c r="AP803" s="2"/>
      <c r="AQ803" s="1"/>
      <c r="AR803" s="2"/>
      <c r="AU803" s="1"/>
      <c r="AW803" s="1"/>
      <c r="AY803" s="2"/>
    </row>
    <row r="804">
      <c r="A804" s="1"/>
      <c r="C804" s="1"/>
      <c r="E804" s="1"/>
      <c r="F804" s="1"/>
      <c r="G804" s="2"/>
      <c r="H804" s="1"/>
      <c r="I804" s="1"/>
      <c r="J804" s="1"/>
      <c r="K804" s="1"/>
      <c r="M804" s="1"/>
      <c r="N804" s="1"/>
      <c r="O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2"/>
      <c r="AB804" s="1"/>
      <c r="AC804" s="1"/>
      <c r="AD804" s="1"/>
      <c r="AE804" s="1"/>
      <c r="AF804" s="1"/>
      <c r="AG804" s="1"/>
      <c r="AH804" s="2"/>
      <c r="AI804" s="2"/>
      <c r="AJ804" s="2"/>
      <c r="AK804" s="2"/>
      <c r="AL804" s="2"/>
      <c r="AM804" s="1"/>
      <c r="AN804" s="2"/>
      <c r="AP804" s="2"/>
      <c r="AQ804" s="1"/>
      <c r="AR804" s="2"/>
      <c r="AU804" s="1"/>
      <c r="AW804" s="1"/>
      <c r="AY804" s="2"/>
    </row>
    <row r="805">
      <c r="A805" s="1"/>
      <c r="C805" s="1"/>
      <c r="E805" s="1"/>
      <c r="F805" s="1"/>
      <c r="G805" s="2"/>
      <c r="H805" s="1"/>
      <c r="I805" s="1"/>
      <c r="J805" s="1"/>
      <c r="K805" s="1"/>
      <c r="M805" s="1"/>
      <c r="N805" s="1"/>
      <c r="O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2"/>
      <c r="AB805" s="1"/>
      <c r="AC805" s="1"/>
      <c r="AD805" s="1"/>
      <c r="AE805" s="1"/>
      <c r="AF805" s="1"/>
      <c r="AG805" s="1"/>
      <c r="AH805" s="2"/>
      <c r="AI805" s="2"/>
      <c r="AJ805" s="2"/>
      <c r="AK805" s="2"/>
      <c r="AL805" s="2"/>
      <c r="AM805" s="1"/>
      <c r="AN805" s="2"/>
      <c r="AP805" s="2"/>
      <c r="AQ805" s="1"/>
      <c r="AR805" s="2"/>
      <c r="AU805" s="1"/>
      <c r="AW805" s="1"/>
      <c r="AY805" s="2"/>
    </row>
    <row r="806">
      <c r="A806" s="1"/>
      <c r="C806" s="1"/>
      <c r="E806" s="1"/>
      <c r="F806" s="1"/>
      <c r="G806" s="2"/>
      <c r="H806" s="1"/>
      <c r="I806" s="1"/>
      <c r="J806" s="1"/>
      <c r="K806" s="1"/>
      <c r="M806" s="1"/>
      <c r="N806" s="1"/>
      <c r="O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2"/>
      <c r="AB806" s="1"/>
      <c r="AC806" s="1"/>
      <c r="AD806" s="1"/>
      <c r="AE806" s="1"/>
      <c r="AF806" s="1"/>
      <c r="AG806" s="1"/>
      <c r="AH806" s="2"/>
      <c r="AI806" s="2"/>
      <c r="AJ806" s="2"/>
      <c r="AK806" s="2"/>
      <c r="AL806" s="2"/>
      <c r="AM806" s="1"/>
      <c r="AN806" s="2"/>
      <c r="AP806" s="2"/>
      <c r="AQ806" s="1"/>
      <c r="AR806" s="2"/>
      <c r="AU806" s="1"/>
      <c r="AW806" s="1"/>
      <c r="AY806" s="2"/>
    </row>
    <row r="807">
      <c r="A807" s="1"/>
      <c r="C807" s="1"/>
      <c r="E807" s="1"/>
      <c r="F807" s="1"/>
      <c r="G807" s="2"/>
      <c r="H807" s="1"/>
      <c r="I807" s="1"/>
      <c r="J807" s="1"/>
      <c r="K807" s="1"/>
      <c r="M807" s="1"/>
      <c r="N807" s="1"/>
      <c r="O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2"/>
      <c r="AB807" s="1"/>
      <c r="AC807" s="1"/>
      <c r="AD807" s="1"/>
      <c r="AE807" s="1"/>
      <c r="AF807" s="1"/>
      <c r="AG807" s="1"/>
      <c r="AH807" s="2"/>
      <c r="AI807" s="2"/>
      <c r="AJ807" s="2"/>
      <c r="AK807" s="2"/>
      <c r="AL807" s="2"/>
      <c r="AM807" s="1"/>
      <c r="AN807" s="2"/>
      <c r="AP807" s="2"/>
      <c r="AQ807" s="1"/>
      <c r="AR807" s="2"/>
      <c r="AU807" s="1"/>
      <c r="AW807" s="1"/>
      <c r="AY807" s="2"/>
    </row>
    <row r="808">
      <c r="A808" s="1"/>
      <c r="C808" s="1"/>
      <c r="E808" s="1"/>
      <c r="F808" s="1"/>
      <c r="G808" s="2"/>
      <c r="H808" s="1"/>
      <c r="I808" s="1"/>
      <c r="J808" s="1"/>
      <c r="K808" s="1"/>
      <c r="M808" s="1"/>
      <c r="N808" s="1"/>
      <c r="O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2"/>
      <c r="AB808" s="1"/>
      <c r="AC808" s="1"/>
      <c r="AD808" s="1"/>
      <c r="AE808" s="1"/>
      <c r="AF808" s="1"/>
      <c r="AG808" s="1"/>
      <c r="AH808" s="2"/>
      <c r="AI808" s="2"/>
      <c r="AJ808" s="2"/>
      <c r="AK808" s="2"/>
      <c r="AL808" s="2"/>
      <c r="AM808" s="1"/>
      <c r="AN808" s="2"/>
      <c r="AP808" s="2"/>
      <c r="AQ808" s="1"/>
      <c r="AR808" s="2"/>
      <c r="AU808" s="1"/>
      <c r="AW808" s="1"/>
      <c r="AY808" s="2"/>
    </row>
    <row r="809">
      <c r="A809" s="1"/>
      <c r="C809" s="1"/>
      <c r="E809" s="1"/>
      <c r="F809" s="1"/>
      <c r="G809" s="2"/>
      <c r="H809" s="1"/>
      <c r="I809" s="1"/>
      <c r="J809" s="1"/>
      <c r="K809" s="1"/>
      <c r="M809" s="1"/>
      <c r="N809" s="1"/>
      <c r="O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2"/>
      <c r="AB809" s="1"/>
      <c r="AC809" s="1"/>
      <c r="AD809" s="1"/>
      <c r="AE809" s="1"/>
      <c r="AF809" s="1"/>
      <c r="AG809" s="1"/>
      <c r="AH809" s="2"/>
      <c r="AI809" s="2"/>
      <c r="AJ809" s="2"/>
      <c r="AK809" s="2"/>
      <c r="AL809" s="2"/>
      <c r="AM809" s="1"/>
      <c r="AN809" s="2"/>
      <c r="AP809" s="2"/>
      <c r="AQ809" s="1"/>
      <c r="AR809" s="2"/>
      <c r="AU809" s="1"/>
      <c r="AW809" s="1"/>
      <c r="AY809" s="2"/>
    </row>
    <row r="810">
      <c r="A810" s="1"/>
      <c r="C810" s="1"/>
      <c r="E810" s="1"/>
      <c r="F810" s="1"/>
      <c r="G810" s="2"/>
      <c r="H810" s="1"/>
      <c r="I810" s="1"/>
      <c r="J810" s="1"/>
      <c r="K810" s="1"/>
      <c r="M810" s="1"/>
      <c r="N810" s="1"/>
      <c r="O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2"/>
      <c r="AB810" s="1"/>
      <c r="AC810" s="1"/>
      <c r="AD810" s="1"/>
      <c r="AE810" s="1"/>
      <c r="AF810" s="1"/>
      <c r="AG810" s="1"/>
      <c r="AH810" s="2"/>
      <c r="AI810" s="2"/>
      <c r="AJ810" s="2"/>
      <c r="AK810" s="2"/>
      <c r="AL810" s="2"/>
      <c r="AM810" s="1"/>
      <c r="AN810" s="2"/>
      <c r="AP810" s="2"/>
      <c r="AQ810" s="1"/>
      <c r="AR810" s="2"/>
      <c r="AU810" s="1"/>
      <c r="AW810" s="1"/>
      <c r="AY810" s="2"/>
    </row>
    <row r="811">
      <c r="A811" s="1"/>
      <c r="C811" s="1"/>
      <c r="E811" s="1"/>
      <c r="F811" s="1"/>
      <c r="G811" s="2"/>
      <c r="H811" s="1"/>
      <c r="I811" s="1"/>
      <c r="J811" s="1"/>
      <c r="K811" s="1"/>
      <c r="M811" s="1"/>
      <c r="N811" s="1"/>
      <c r="O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2"/>
      <c r="AB811" s="1"/>
      <c r="AC811" s="1"/>
      <c r="AD811" s="1"/>
      <c r="AE811" s="1"/>
      <c r="AF811" s="1"/>
      <c r="AG811" s="1"/>
      <c r="AH811" s="2"/>
      <c r="AI811" s="2"/>
      <c r="AJ811" s="2"/>
      <c r="AK811" s="2"/>
      <c r="AL811" s="2"/>
      <c r="AM811" s="1"/>
      <c r="AN811" s="2"/>
      <c r="AP811" s="2"/>
      <c r="AQ811" s="1"/>
      <c r="AR811" s="2"/>
      <c r="AU811" s="1"/>
      <c r="AW811" s="1"/>
      <c r="AY811" s="2"/>
    </row>
    <row r="812">
      <c r="A812" s="1"/>
      <c r="C812" s="1"/>
      <c r="E812" s="1"/>
      <c r="F812" s="1"/>
      <c r="G812" s="2"/>
      <c r="H812" s="1"/>
      <c r="I812" s="1"/>
      <c r="J812" s="1"/>
      <c r="K812" s="1"/>
      <c r="M812" s="1"/>
      <c r="N812" s="1"/>
      <c r="O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2"/>
      <c r="AB812" s="1"/>
      <c r="AC812" s="1"/>
      <c r="AD812" s="1"/>
      <c r="AE812" s="1"/>
      <c r="AF812" s="1"/>
      <c r="AG812" s="1"/>
      <c r="AH812" s="2"/>
      <c r="AI812" s="2"/>
      <c r="AJ812" s="2"/>
      <c r="AK812" s="2"/>
      <c r="AL812" s="2"/>
      <c r="AM812" s="1"/>
      <c r="AN812" s="2"/>
      <c r="AP812" s="2"/>
      <c r="AQ812" s="1"/>
      <c r="AR812" s="2"/>
      <c r="AU812" s="1"/>
      <c r="AW812" s="1"/>
      <c r="AY812" s="2"/>
    </row>
    <row r="813">
      <c r="A813" s="1"/>
      <c r="C813" s="1"/>
      <c r="E813" s="1"/>
      <c r="F813" s="1"/>
      <c r="G813" s="2"/>
      <c r="H813" s="1"/>
      <c r="I813" s="1"/>
      <c r="J813" s="1"/>
      <c r="K813" s="1"/>
      <c r="M813" s="1"/>
      <c r="N813" s="1"/>
      <c r="O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2"/>
      <c r="AB813" s="1"/>
      <c r="AC813" s="1"/>
      <c r="AD813" s="1"/>
      <c r="AE813" s="1"/>
      <c r="AF813" s="1"/>
      <c r="AG813" s="1"/>
      <c r="AH813" s="2"/>
      <c r="AI813" s="2"/>
      <c r="AJ813" s="2"/>
      <c r="AK813" s="2"/>
      <c r="AL813" s="2"/>
      <c r="AM813" s="1"/>
      <c r="AN813" s="2"/>
      <c r="AP813" s="2"/>
      <c r="AQ813" s="1"/>
      <c r="AR813" s="2"/>
      <c r="AU813" s="1"/>
      <c r="AW813" s="1"/>
      <c r="AY813" s="2"/>
    </row>
    <row r="814">
      <c r="A814" s="1"/>
      <c r="C814" s="1"/>
      <c r="E814" s="1"/>
      <c r="F814" s="1"/>
      <c r="G814" s="2"/>
      <c r="H814" s="1"/>
      <c r="I814" s="1"/>
      <c r="J814" s="1"/>
      <c r="K814" s="1"/>
      <c r="M814" s="1"/>
      <c r="N814" s="1"/>
      <c r="O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2"/>
      <c r="AB814" s="1"/>
      <c r="AC814" s="1"/>
      <c r="AD814" s="1"/>
      <c r="AE814" s="1"/>
      <c r="AF814" s="1"/>
      <c r="AG814" s="1"/>
      <c r="AH814" s="2"/>
      <c r="AI814" s="2"/>
      <c r="AJ814" s="2"/>
      <c r="AK814" s="2"/>
      <c r="AL814" s="2"/>
      <c r="AM814" s="1"/>
      <c r="AN814" s="2"/>
      <c r="AP814" s="2"/>
      <c r="AQ814" s="1"/>
      <c r="AR814" s="2"/>
      <c r="AU814" s="1"/>
      <c r="AW814" s="1"/>
      <c r="AY814" s="2"/>
    </row>
    <row r="815">
      <c r="A815" s="1"/>
      <c r="C815" s="1"/>
      <c r="E815" s="1"/>
      <c r="F815" s="1"/>
      <c r="G815" s="2"/>
      <c r="H815" s="1"/>
      <c r="I815" s="1"/>
      <c r="J815" s="1"/>
      <c r="K815" s="1"/>
      <c r="M815" s="1"/>
      <c r="N815" s="1"/>
      <c r="O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2"/>
      <c r="AB815" s="1"/>
      <c r="AC815" s="1"/>
      <c r="AD815" s="1"/>
      <c r="AE815" s="1"/>
      <c r="AF815" s="1"/>
      <c r="AG815" s="1"/>
      <c r="AH815" s="2"/>
      <c r="AI815" s="2"/>
      <c r="AJ815" s="2"/>
      <c r="AK815" s="2"/>
      <c r="AL815" s="2"/>
      <c r="AM815" s="1"/>
      <c r="AN815" s="2"/>
      <c r="AP815" s="2"/>
      <c r="AQ815" s="1"/>
      <c r="AR815" s="2"/>
      <c r="AU815" s="1"/>
      <c r="AW815" s="1"/>
      <c r="AY815" s="2"/>
    </row>
    <row r="816">
      <c r="A816" s="1"/>
      <c r="C816" s="1"/>
      <c r="E816" s="1"/>
      <c r="F816" s="1"/>
      <c r="G816" s="2"/>
      <c r="H816" s="1"/>
      <c r="I816" s="1"/>
      <c r="J816" s="1"/>
      <c r="K816" s="1"/>
      <c r="M816" s="1"/>
      <c r="N816" s="1"/>
      <c r="O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2"/>
      <c r="AB816" s="1"/>
      <c r="AC816" s="1"/>
      <c r="AD816" s="1"/>
      <c r="AE816" s="1"/>
      <c r="AF816" s="1"/>
      <c r="AG816" s="1"/>
      <c r="AH816" s="2"/>
      <c r="AI816" s="2"/>
      <c r="AJ816" s="2"/>
      <c r="AK816" s="2"/>
      <c r="AL816" s="2"/>
      <c r="AM816" s="1"/>
      <c r="AN816" s="2"/>
      <c r="AP816" s="2"/>
      <c r="AQ816" s="1"/>
      <c r="AR816" s="2"/>
      <c r="AU816" s="1"/>
      <c r="AW816" s="1"/>
      <c r="AY816" s="2"/>
    </row>
    <row r="817">
      <c r="A817" s="1"/>
      <c r="C817" s="1"/>
      <c r="E817" s="1"/>
      <c r="F817" s="1"/>
      <c r="G817" s="2"/>
      <c r="H817" s="1"/>
      <c r="I817" s="1"/>
      <c r="J817" s="1"/>
      <c r="K817" s="1"/>
      <c r="M817" s="1"/>
      <c r="N817" s="1"/>
      <c r="O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2"/>
      <c r="AI817" s="2"/>
      <c r="AJ817" s="2"/>
      <c r="AK817" s="2"/>
      <c r="AL817" s="2"/>
      <c r="AM817" s="1"/>
      <c r="AN817" s="2"/>
      <c r="AP817" s="2"/>
      <c r="AQ817" s="1"/>
      <c r="AR817" s="2"/>
      <c r="AU817" s="1"/>
      <c r="AW817" s="1"/>
      <c r="AY817" s="2"/>
    </row>
    <row r="818">
      <c r="A818" s="1"/>
      <c r="C818" s="1"/>
      <c r="E818" s="1"/>
      <c r="F818" s="1"/>
      <c r="G818" s="2"/>
      <c r="H818" s="1"/>
      <c r="I818" s="1"/>
      <c r="J818" s="1"/>
      <c r="K818" s="1"/>
      <c r="M818" s="1"/>
      <c r="N818" s="1"/>
      <c r="O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2"/>
      <c r="AB818" s="1"/>
      <c r="AC818" s="1"/>
      <c r="AD818" s="1"/>
      <c r="AE818" s="1"/>
      <c r="AF818" s="1"/>
      <c r="AG818" s="1"/>
      <c r="AH818" s="2"/>
      <c r="AI818" s="2"/>
      <c r="AJ818" s="2"/>
      <c r="AK818" s="2"/>
      <c r="AL818" s="2"/>
      <c r="AM818" s="1"/>
      <c r="AN818" s="2"/>
      <c r="AP818" s="2"/>
      <c r="AQ818" s="1"/>
      <c r="AR818" s="2"/>
      <c r="AU818" s="1"/>
      <c r="AW818" s="1"/>
      <c r="AY818" s="2"/>
    </row>
    <row r="819">
      <c r="A819" s="1"/>
      <c r="C819" s="1"/>
      <c r="E819" s="1"/>
      <c r="F819" s="1"/>
      <c r="G819" s="2"/>
      <c r="H819" s="1"/>
      <c r="I819" s="1"/>
      <c r="J819" s="1"/>
      <c r="K819" s="1"/>
      <c r="M819" s="1"/>
      <c r="N819" s="1"/>
      <c r="O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2"/>
      <c r="AB819" s="1"/>
      <c r="AC819" s="1"/>
      <c r="AD819" s="1"/>
      <c r="AE819" s="1"/>
      <c r="AF819" s="1"/>
      <c r="AG819" s="1"/>
      <c r="AH819" s="2"/>
      <c r="AI819" s="2"/>
      <c r="AJ819" s="2"/>
      <c r="AK819" s="2"/>
      <c r="AL819" s="2"/>
      <c r="AM819" s="1"/>
      <c r="AN819" s="2"/>
      <c r="AP819" s="2"/>
      <c r="AQ819" s="1"/>
      <c r="AR819" s="2"/>
      <c r="AU819" s="1"/>
      <c r="AW819" s="1"/>
      <c r="AY819" s="2"/>
    </row>
    <row r="820">
      <c r="A820" s="1"/>
      <c r="C820" s="1"/>
      <c r="E820" s="1"/>
      <c r="F820" s="1"/>
      <c r="G820" s="2"/>
      <c r="H820" s="1"/>
      <c r="I820" s="1"/>
      <c r="J820" s="1"/>
      <c r="K820" s="1"/>
      <c r="M820" s="1"/>
      <c r="N820" s="1"/>
      <c r="O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2"/>
      <c r="AB820" s="1"/>
      <c r="AC820" s="1"/>
      <c r="AD820" s="1"/>
      <c r="AE820" s="1"/>
      <c r="AF820" s="1"/>
      <c r="AG820" s="1"/>
      <c r="AH820" s="2"/>
      <c r="AI820" s="2"/>
      <c r="AJ820" s="2"/>
      <c r="AK820" s="2"/>
      <c r="AL820" s="2"/>
      <c r="AM820" s="1"/>
      <c r="AN820" s="2"/>
      <c r="AP820" s="2"/>
      <c r="AQ820" s="1"/>
      <c r="AR820" s="2"/>
      <c r="AU820" s="1"/>
      <c r="AW820" s="1"/>
      <c r="AY820" s="2"/>
    </row>
    <row r="821">
      <c r="A821" s="1"/>
      <c r="C821" s="1"/>
      <c r="E821" s="1"/>
      <c r="F821" s="1"/>
      <c r="G821" s="2"/>
      <c r="H821" s="1"/>
      <c r="I821" s="1"/>
      <c r="J821" s="1"/>
      <c r="K821" s="1"/>
      <c r="M821" s="1"/>
      <c r="N821" s="1"/>
      <c r="O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2"/>
      <c r="AB821" s="1"/>
      <c r="AC821" s="1"/>
      <c r="AD821" s="1"/>
      <c r="AE821" s="1"/>
      <c r="AF821" s="1"/>
      <c r="AG821" s="1"/>
      <c r="AH821" s="2"/>
      <c r="AI821" s="2"/>
      <c r="AJ821" s="2"/>
      <c r="AK821" s="2"/>
      <c r="AL821" s="2"/>
      <c r="AM821" s="1"/>
      <c r="AN821" s="2"/>
      <c r="AP821" s="2"/>
      <c r="AQ821" s="1"/>
      <c r="AR821" s="2"/>
      <c r="AU821" s="1"/>
      <c r="AW821" s="1"/>
      <c r="AY821" s="2"/>
    </row>
    <row r="822">
      <c r="A822" s="1"/>
      <c r="C822" s="1"/>
      <c r="E822" s="1"/>
      <c r="F822" s="1"/>
      <c r="G822" s="2"/>
      <c r="H822" s="1"/>
      <c r="I822" s="1"/>
      <c r="J822" s="1"/>
      <c r="K822" s="1"/>
      <c r="M822" s="1"/>
      <c r="N822" s="1"/>
      <c r="O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2"/>
      <c r="AB822" s="1"/>
      <c r="AC822" s="1"/>
      <c r="AD822" s="1"/>
      <c r="AE822" s="1"/>
      <c r="AF822" s="1"/>
      <c r="AG822" s="1"/>
      <c r="AH822" s="2"/>
      <c r="AI822" s="2"/>
      <c r="AJ822" s="2"/>
      <c r="AK822" s="2"/>
      <c r="AL822" s="2"/>
      <c r="AM822" s="1"/>
      <c r="AN822" s="2"/>
      <c r="AP822" s="2"/>
      <c r="AQ822" s="1"/>
      <c r="AR822" s="2"/>
      <c r="AU822" s="1"/>
      <c r="AW822" s="1"/>
      <c r="AY822" s="2"/>
    </row>
    <row r="823">
      <c r="A823" s="1"/>
      <c r="C823" s="1"/>
      <c r="E823" s="1"/>
      <c r="F823" s="1"/>
      <c r="G823" s="2"/>
      <c r="H823" s="1"/>
      <c r="I823" s="1"/>
      <c r="J823" s="1"/>
      <c r="K823" s="1"/>
      <c r="M823" s="1"/>
      <c r="N823" s="1"/>
      <c r="O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2"/>
      <c r="AB823" s="1"/>
      <c r="AC823" s="1"/>
      <c r="AD823" s="1"/>
      <c r="AE823" s="1"/>
      <c r="AF823" s="1"/>
      <c r="AG823" s="1"/>
      <c r="AH823" s="2"/>
      <c r="AI823" s="2"/>
      <c r="AJ823" s="2"/>
      <c r="AK823" s="2"/>
      <c r="AL823" s="2"/>
      <c r="AM823" s="1"/>
      <c r="AN823" s="2"/>
      <c r="AP823" s="2"/>
      <c r="AQ823" s="1"/>
      <c r="AR823" s="2"/>
      <c r="AU823" s="1"/>
      <c r="AW823" s="1"/>
      <c r="AY823" s="2"/>
    </row>
    <row r="824">
      <c r="A824" s="1"/>
      <c r="C824" s="1"/>
      <c r="E824" s="1"/>
      <c r="F824" s="1"/>
      <c r="G824" s="2"/>
      <c r="H824" s="1"/>
      <c r="I824" s="1"/>
      <c r="J824" s="1"/>
      <c r="K824" s="1"/>
      <c r="M824" s="1"/>
      <c r="N824" s="1"/>
      <c r="O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2"/>
      <c r="AB824" s="1"/>
      <c r="AC824" s="1"/>
      <c r="AD824" s="1"/>
      <c r="AE824" s="1"/>
      <c r="AF824" s="1"/>
      <c r="AG824" s="1"/>
      <c r="AH824" s="2"/>
      <c r="AI824" s="2"/>
      <c r="AJ824" s="2"/>
      <c r="AK824" s="2"/>
      <c r="AL824" s="2"/>
      <c r="AM824" s="1"/>
      <c r="AN824" s="2"/>
      <c r="AP824" s="2"/>
      <c r="AQ824" s="1"/>
      <c r="AR824" s="2"/>
      <c r="AU824" s="1"/>
      <c r="AW824" s="1"/>
      <c r="AY824" s="2"/>
    </row>
    <row r="825">
      <c r="A825" s="1"/>
      <c r="C825" s="1"/>
      <c r="E825" s="1"/>
      <c r="F825" s="1"/>
      <c r="G825" s="2"/>
      <c r="H825" s="1"/>
      <c r="I825" s="1"/>
      <c r="J825" s="1"/>
      <c r="K825" s="1"/>
      <c r="M825" s="1"/>
      <c r="N825" s="1"/>
      <c r="O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2"/>
      <c r="AB825" s="1"/>
      <c r="AC825" s="1"/>
      <c r="AD825" s="1"/>
      <c r="AE825" s="1"/>
      <c r="AF825" s="1"/>
      <c r="AG825" s="1"/>
      <c r="AH825" s="2"/>
      <c r="AI825" s="2"/>
      <c r="AJ825" s="2"/>
      <c r="AK825" s="2"/>
      <c r="AL825" s="2"/>
      <c r="AM825" s="1"/>
      <c r="AN825" s="2"/>
      <c r="AP825" s="2"/>
      <c r="AQ825" s="1"/>
      <c r="AR825" s="2"/>
      <c r="AU825" s="1"/>
      <c r="AW825" s="1"/>
      <c r="AY825" s="2"/>
    </row>
    <row r="826">
      <c r="A826" s="1"/>
      <c r="C826" s="1"/>
      <c r="E826" s="1"/>
      <c r="F826" s="1"/>
      <c r="G826" s="2"/>
      <c r="H826" s="1"/>
      <c r="I826" s="1"/>
      <c r="J826" s="1"/>
      <c r="K826" s="1"/>
      <c r="M826" s="1"/>
      <c r="N826" s="1"/>
      <c r="O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2"/>
      <c r="AB826" s="1"/>
      <c r="AC826" s="1"/>
      <c r="AD826" s="1"/>
      <c r="AE826" s="1"/>
      <c r="AF826" s="1"/>
      <c r="AG826" s="1"/>
      <c r="AH826" s="2"/>
      <c r="AI826" s="2"/>
      <c r="AJ826" s="2"/>
      <c r="AK826" s="2"/>
      <c r="AL826" s="2"/>
      <c r="AM826" s="1"/>
      <c r="AN826" s="2"/>
      <c r="AP826" s="2"/>
      <c r="AQ826" s="1"/>
      <c r="AR826" s="2"/>
      <c r="AU826" s="1"/>
      <c r="AW826" s="1"/>
      <c r="AY826" s="2"/>
    </row>
    <row r="827">
      <c r="A827" s="1"/>
      <c r="C827" s="1"/>
      <c r="E827" s="1"/>
      <c r="F827" s="1"/>
      <c r="G827" s="2"/>
      <c r="H827" s="1"/>
      <c r="I827" s="1"/>
      <c r="J827" s="1"/>
      <c r="K827" s="1"/>
      <c r="M827" s="1"/>
      <c r="N827" s="1"/>
      <c r="O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2"/>
      <c r="AB827" s="1"/>
      <c r="AC827" s="1"/>
      <c r="AD827" s="1"/>
      <c r="AE827" s="1"/>
      <c r="AF827" s="1"/>
      <c r="AG827" s="1"/>
      <c r="AH827" s="2"/>
      <c r="AI827" s="2"/>
      <c r="AJ827" s="2"/>
      <c r="AK827" s="2"/>
      <c r="AL827" s="2"/>
      <c r="AM827" s="1"/>
      <c r="AN827" s="2"/>
      <c r="AP827" s="2"/>
      <c r="AQ827" s="1"/>
      <c r="AR827" s="2"/>
      <c r="AU827" s="1"/>
      <c r="AW827" s="1"/>
      <c r="AY827" s="2"/>
    </row>
    <row r="828">
      <c r="A828" s="1"/>
      <c r="C828" s="1"/>
      <c r="E828" s="1"/>
      <c r="F828" s="1"/>
      <c r="G828" s="2"/>
      <c r="H828" s="1"/>
      <c r="I828" s="1"/>
      <c r="J828" s="1"/>
      <c r="K828" s="1"/>
      <c r="M828" s="1"/>
      <c r="N828" s="1"/>
      <c r="O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2"/>
      <c r="AB828" s="1"/>
      <c r="AC828" s="1"/>
      <c r="AD828" s="1"/>
      <c r="AE828" s="1"/>
      <c r="AF828" s="1"/>
      <c r="AG828" s="1"/>
      <c r="AH828" s="2"/>
      <c r="AI828" s="2"/>
      <c r="AJ828" s="2"/>
      <c r="AK828" s="2"/>
      <c r="AL828" s="2"/>
      <c r="AM828" s="1"/>
      <c r="AN828" s="2"/>
      <c r="AP828" s="2"/>
      <c r="AQ828" s="1"/>
      <c r="AR828" s="2"/>
      <c r="AU828" s="1"/>
      <c r="AW828" s="1"/>
      <c r="AY828" s="2"/>
    </row>
    <row r="829">
      <c r="A829" s="1"/>
      <c r="C829" s="1"/>
      <c r="E829" s="1"/>
      <c r="F829" s="1"/>
      <c r="G829" s="2"/>
      <c r="H829" s="1"/>
      <c r="I829" s="1"/>
      <c r="J829" s="1"/>
      <c r="K829" s="1"/>
      <c r="M829" s="1"/>
      <c r="N829" s="1"/>
      <c r="O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2"/>
      <c r="AB829" s="1"/>
      <c r="AC829" s="1"/>
      <c r="AD829" s="1"/>
      <c r="AE829" s="1"/>
      <c r="AF829" s="1"/>
      <c r="AG829" s="1"/>
      <c r="AH829" s="2"/>
      <c r="AI829" s="2"/>
      <c r="AJ829" s="2"/>
      <c r="AK829" s="2"/>
      <c r="AL829" s="2"/>
      <c r="AM829" s="1"/>
      <c r="AN829" s="2"/>
      <c r="AP829" s="2"/>
      <c r="AQ829" s="1"/>
      <c r="AR829" s="2"/>
      <c r="AU829" s="1"/>
      <c r="AW829" s="1"/>
      <c r="AY829" s="2"/>
    </row>
    <row r="830">
      <c r="A830" s="1"/>
      <c r="C830" s="1"/>
      <c r="E830" s="1"/>
      <c r="F830" s="1"/>
      <c r="G830" s="2"/>
      <c r="H830" s="1"/>
      <c r="I830" s="1"/>
      <c r="J830" s="1"/>
      <c r="K830" s="1"/>
      <c r="M830" s="1"/>
      <c r="N830" s="1"/>
      <c r="O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2"/>
      <c r="AB830" s="1"/>
      <c r="AC830" s="1"/>
      <c r="AD830" s="1"/>
      <c r="AE830" s="1"/>
      <c r="AF830" s="1"/>
      <c r="AG830" s="1"/>
      <c r="AH830" s="2"/>
      <c r="AI830" s="2"/>
      <c r="AJ830" s="2"/>
      <c r="AK830" s="2"/>
      <c r="AL830" s="2"/>
      <c r="AM830" s="1"/>
      <c r="AN830" s="2"/>
      <c r="AP830" s="2"/>
      <c r="AQ830" s="1"/>
      <c r="AR830" s="2"/>
      <c r="AU830" s="1"/>
      <c r="AW830" s="1"/>
      <c r="AY830" s="2"/>
    </row>
    <row r="831">
      <c r="A831" s="1"/>
      <c r="C831" s="1"/>
      <c r="E831" s="1"/>
      <c r="F831" s="1"/>
      <c r="G831" s="2"/>
      <c r="H831" s="1"/>
      <c r="I831" s="1"/>
      <c r="J831" s="1"/>
      <c r="K831" s="1"/>
      <c r="M831" s="1"/>
      <c r="N831" s="1"/>
      <c r="O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2"/>
      <c r="AB831" s="1"/>
      <c r="AC831" s="1"/>
      <c r="AD831" s="1"/>
      <c r="AE831" s="1"/>
      <c r="AF831" s="1"/>
      <c r="AG831" s="1"/>
      <c r="AH831" s="2"/>
      <c r="AI831" s="2"/>
      <c r="AJ831" s="2"/>
      <c r="AK831" s="2"/>
      <c r="AL831" s="2"/>
      <c r="AM831" s="1"/>
      <c r="AN831" s="2"/>
      <c r="AP831" s="2"/>
      <c r="AQ831" s="1"/>
      <c r="AR831" s="2"/>
      <c r="AU831" s="1"/>
      <c r="AW831" s="1"/>
      <c r="AY831" s="2"/>
    </row>
    <row r="832">
      <c r="A832" s="1"/>
      <c r="C832" s="1"/>
      <c r="E832" s="1"/>
      <c r="F832" s="1"/>
      <c r="G832" s="2"/>
      <c r="H832" s="1"/>
      <c r="I832" s="1"/>
      <c r="J832" s="1"/>
      <c r="K832" s="1"/>
      <c r="M832" s="1"/>
      <c r="N832" s="1"/>
      <c r="O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2"/>
      <c r="AB832" s="1"/>
      <c r="AC832" s="1"/>
      <c r="AD832" s="1"/>
      <c r="AE832" s="1"/>
      <c r="AF832" s="1"/>
      <c r="AG832" s="1"/>
      <c r="AH832" s="2"/>
      <c r="AI832" s="2"/>
      <c r="AJ832" s="2"/>
      <c r="AK832" s="2"/>
      <c r="AL832" s="2"/>
      <c r="AM832" s="1"/>
      <c r="AN832" s="2"/>
      <c r="AP832" s="2"/>
      <c r="AQ832" s="1"/>
      <c r="AR832" s="2"/>
      <c r="AU832" s="1"/>
      <c r="AW832" s="1"/>
      <c r="AY832" s="2"/>
    </row>
    <row r="833">
      <c r="A833" s="1"/>
      <c r="C833" s="1"/>
      <c r="E833" s="1"/>
      <c r="F833" s="1"/>
      <c r="G833" s="2"/>
      <c r="H833" s="1"/>
      <c r="I833" s="1"/>
      <c r="J833" s="1"/>
      <c r="K833" s="1"/>
      <c r="M833" s="1"/>
      <c r="N833" s="1"/>
      <c r="O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2"/>
      <c r="AB833" s="1"/>
      <c r="AC833" s="1"/>
      <c r="AD833" s="1"/>
      <c r="AE833" s="1"/>
      <c r="AF833" s="1"/>
      <c r="AG833" s="1"/>
      <c r="AH833" s="2"/>
      <c r="AI833" s="2"/>
      <c r="AJ833" s="2"/>
      <c r="AK833" s="2"/>
      <c r="AL833" s="2"/>
      <c r="AM833" s="1"/>
      <c r="AN833" s="2"/>
      <c r="AP833" s="2"/>
      <c r="AQ833" s="1"/>
      <c r="AR833" s="2"/>
      <c r="AU833" s="1"/>
      <c r="AW833" s="1"/>
      <c r="AY833" s="2"/>
    </row>
    <row r="834">
      <c r="A834" s="1"/>
      <c r="C834" s="1"/>
      <c r="E834" s="1"/>
      <c r="F834" s="1"/>
      <c r="G834" s="2"/>
      <c r="H834" s="1"/>
      <c r="I834" s="1"/>
      <c r="J834" s="1"/>
      <c r="K834" s="1"/>
      <c r="M834" s="1"/>
      <c r="N834" s="1"/>
      <c r="O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2"/>
      <c r="AB834" s="1"/>
      <c r="AC834" s="1"/>
      <c r="AD834" s="1"/>
      <c r="AE834" s="1"/>
      <c r="AF834" s="1"/>
      <c r="AG834" s="1"/>
      <c r="AH834" s="2"/>
      <c r="AI834" s="2"/>
      <c r="AJ834" s="2"/>
      <c r="AK834" s="2"/>
      <c r="AL834" s="2"/>
      <c r="AM834" s="1"/>
      <c r="AN834" s="2"/>
      <c r="AP834" s="2"/>
      <c r="AQ834" s="1"/>
      <c r="AR834" s="2"/>
      <c r="AU834" s="1"/>
      <c r="AW834" s="1"/>
      <c r="AY834" s="2"/>
    </row>
    <row r="835">
      <c r="A835" s="1"/>
      <c r="C835" s="1"/>
      <c r="E835" s="1"/>
      <c r="F835" s="1"/>
      <c r="G835" s="2"/>
      <c r="H835" s="1"/>
      <c r="I835" s="1"/>
      <c r="J835" s="1"/>
      <c r="K835" s="1"/>
      <c r="M835" s="1"/>
      <c r="N835" s="1"/>
      <c r="O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2"/>
      <c r="AB835" s="1"/>
      <c r="AC835" s="1"/>
      <c r="AD835" s="1"/>
      <c r="AE835" s="1"/>
      <c r="AF835" s="1"/>
      <c r="AG835" s="1"/>
      <c r="AH835" s="2"/>
      <c r="AI835" s="2"/>
      <c r="AJ835" s="2"/>
      <c r="AK835" s="2"/>
      <c r="AL835" s="2"/>
      <c r="AM835" s="1"/>
      <c r="AN835" s="2"/>
      <c r="AP835" s="2"/>
      <c r="AQ835" s="1"/>
      <c r="AR835" s="2"/>
      <c r="AU835" s="1"/>
      <c r="AW835" s="1"/>
      <c r="AY835" s="2"/>
    </row>
    <row r="836">
      <c r="A836" s="1"/>
      <c r="C836" s="1"/>
      <c r="E836" s="1"/>
      <c r="F836" s="1"/>
      <c r="G836" s="2"/>
      <c r="H836" s="1"/>
      <c r="I836" s="1"/>
      <c r="J836" s="1"/>
      <c r="K836" s="1"/>
      <c r="M836" s="1"/>
      <c r="N836" s="1"/>
      <c r="O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2"/>
      <c r="AB836" s="1"/>
      <c r="AC836" s="1"/>
      <c r="AD836" s="1"/>
      <c r="AE836" s="1"/>
      <c r="AF836" s="1"/>
      <c r="AG836" s="1"/>
      <c r="AH836" s="2"/>
      <c r="AI836" s="2"/>
      <c r="AJ836" s="2"/>
      <c r="AK836" s="2"/>
      <c r="AL836" s="2"/>
      <c r="AM836" s="1"/>
      <c r="AN836" s="2"/>
      <c r="AP836" s="2"/>
      <c r="AQ836" s="1"/>
      <c r="AR836" s="2"/>
      <c r="AU836" s="1"/>
      <c r="AW836" s="1"/>
      <c r="AY836" s="2"/>
    </row>
    <row r="837">
      <c r="A837" s="1"/>
      <c r="C837" s="1"/>
      <c r="E837" s="1"/>
      <c r="F837" s="1"/>
      <c r="G837" s="2"/>
      <c r="H837" s="1"/>
      <c r="I837" s="1"/>
      <c r="J837" s="1"/>
      <c r="K837" s="1"/>
      <c r="M837" s="1"/>
      <c r="N837" s="1"/>
      <c r="O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2"/>
      <c r="AB837" s="1"/>
      <c r="AC837" s="1"/>
      <c r="AD837" s="1"/>
      <c r="AE837" s="1"/>
      <c r="AF837" s="1"/>
      <c r="AG837" s="1"/>
      <c r="AH837" s="2"/>
      <c r="AI837" s="2"/>
      <c r="AJ837" s="2"/>
      <c r="AK837" s="2"/>
      <c r="AL837" s="2"/>
      <c r="AM837" s="1"/>
      <c r="AN837" s="2"/>
      <c r="AP837" s="2"/>
      <c r="AQ837" s="1"/>
      <c r="AR837" s="2"/>
      <c r="AU837" s="1"/>
      <c r="AW837" s="1"/>
      <c r="AY837" s="2"/>
    </row>
    <row r="838">
      <c r="A838" s="1"/>
      <c r="C838" s="1"/>
      <c r="E838" s="1"/>
      <c r="F838" s="1"/>
      <c r="G838" s="2"/>
      <c r="H838" s="1"/>
      <c r="I838" s="1"/>
      <c r="J838" s="1"/>
      <c r="K838" s="1"/>
      <c r="M838" s="1"/>
      <c r="N838" s="1"/>
      <c r="O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2"/>
      <c r="AB838" s="1"/>
      <c r="AC838" s="1"/>
      <c r="AD838" s="1"/>
      <c r="AE838" s="1"/>
      <c r="AF838" s="1"/>
      <c r="AG838" s="1"/>
      <c r="AH838" s="2"/>
      <c r="AI838" s="2"/>
      <c r="AJ838" s="2"/>
      <c r="AK838" s="2"/>
      <c r="AL838" s="2"/>
      <c r="AM838" s="1"/>
      <c r="AN838" s="2"/>
      <c r="AP838" s="2"/>
      <c r="AQ838" s="1"/>
      <c r="AR838" s="2"/>
      <c r="AU838" s="1"/>
      <c r="AW838" s="1"/>
      <c r="AY838" s="2"/>
    </row>
    <row r="839">
      <c r="A839" s="1"/>
      <c r="C839" s="1"/>
      <c r="E839" s="1"/>
      <c r="F839" s="1"/>
      <c r="G839" s="2"/>
      <c r="H839" s="1"/>
      <c r="I839" s="1"/>
      <c r="J839" s="1"/>
      <c r="K839" s="1"/>
      <c r="M839" s="1"/>
      <c r="N839" s="1"/>
      <c r="O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2"/>
      <c r="AB839" s="1"/>
      <c r="AC839" s="1"/>
      <c r="AD839" s="1"/>
      <c r="AE839" s="1"/>
      <c r="AF839" s="1"/>
      <c r="AG839" s="1"/>
      <c r="AH839" s="2"/>
      <c r="AI839" s="2"/>
      <c r="AJ839" s="2"/>
      <c r="AK839" s="2"/>
      <c r="AL839" s="2"/>
      <c r="AM839" s="1"/>
      <c r="AN839" s="2"/>
      <c r="AP839" s="2"/>
      <c r="AQ839" s="1"/>
      <c r="AR839" s="2"/>
      <c r="AU839" s="1"/>
      <c r="AW839" s="1"/>
      <c r="AY839" s="2"/>
    </row>
    <row r="840">
      <c r="A840" s="1"/>
      <c r="C840" s="1"/>
      <c r="E840" s="1"/>
      <c r="F840" s="1"/>
      <c r="G840" s="2"/>
      <c r="H840" s="1"/>
      <c r="I840" s="1"/>
      <c r="J840" s="1"/>
      <c r="K840" s="1"/>
      <c r="M840" s="1"/>
      <c r="N840" s="1"/>
      <c r="O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2"/>
      <c r="AB840" s="1"/>
      <c r="AC840" s="1"/>
      <c r="AD840" s="1"/>
      <c r="AE840" s="1"/>
      <c r="AF840" s="1"/>
      <c r="AG840" s="1"/>
      <c r="AH840" s="2"/>
      <c r="AI840" s="2"/>
      <c r="AJ840" s="2"/>
      <c r="AK840" s="2"/>
      <c r="AL840" s="2"/>
      <c r="AM840" s="1"/>
      <c r="AN840" s="2"/>
      <c r="AP840" s="2"/>
      <c r="AQ840" s="1"/>
      <c r="AR840" s="2"/>
      <c r="AU840" s="1"/>
      <c r="AW840" s="1"/>
      <c r="AY840" s="2"/>
    </row>
    <row r="841">
      <c r="A841" s="1"/>
      <c r="C841" s="1"/>
      <c r="E841" s="1"/>
      <c r="F841" s="1"/>
      <c r="G841" s="2"/>
      <c r="H841" s="1"/>
      <c r="I841" s="1"/>
      <c r="J841" s="1"/>
      <c r="K841" s="1"/>
      <c r="M841" s="1"/>
      <c r="N841" s="1"/>
      <c r="O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2"/>
      <c r="AB841" s="1"/>
      <c r="AC841" s="1"/>
      <c r="AD841" s="1"/>
      <c r="AE841" s="1"/>
      <c r="AF841" s="1"/>
      <c r="AG841" s="1"/>
      <c r="AH841" s="2"/>
      <c r="AI841" s="2"/>
      <c r="AJ841" s="2"/>
      <c r="AK841" s="2"/>
      <c r="AL841" s="2"/>
      <c r="AM841" s="1"/>
      <c r="AN841" s="2"/>
      <c r="AP841" s="2"/>
      <c r="AQ841" s="1"/>
      <c r="AR841" s="2"/>
      <c r="AU841" s="1"/>
      <c r="AW841" s="1"/>
      <c r="AY841" s="2"/>
    </row>
    <row r="842">
      <c r="A842" s="1"/>
      <c r="C842" s="1"/>
      <c r="E842" s="1"/>
      <c r="F842" s="1"/>
      <c r="G842" s="2"/>
      <c r="H842" s="1"/>
      <c r="I842" s="1"/>
      <c r="J842" s="1"/>
      <c r="K842" s="1"/>
      <c r="M842" s="1"/>
      <c r="N842" s="1"/>
      <c r="O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2"/>
      <c r="AB842" s="1"/>
      <c r="AC842" s="1"/>
      <c r="AD842" s="1"/>
      <c r="AE842" s="1"/>
      <c r="AF842" s="1"/>
      <c r="AG842" s="1"/>
      <c r="AH842" s="2"/>
      <c r="AI842" s="2"/>
      <c r="AJ842" s="2"/>
      <c r="AK842" s="2"/>
      <c r="AL842" s="2"/>
      <c r="AM842" s="1"/>
      <c r="AN842" s="2"/>
      <c r="AP842" s="2"/>
      <c r="AQ842" s="1"/>
      <c r="AR842" s="2"/>
      <c r="AU842" s="1"/>
      <c r="AW842" s="1"/>
      <c r="AY842" s="2"/>
    </row>
    <row r="843">
      <c r="A843" s="1"/>
      <c r="C843" s="1"/>
      <c r="E843" s="1"/>
      <c r="F843" s="1"/>
      <c r="G843" s="2"/>
      <c r="H843" s="1"/>
      <c r="I843" s="1"/>
      <c r="J843" s="1"/>
      <c r="K843" s="1"/>
      <c r="M843" s="1"/>
      <c r="N843" s="1"/>
      <c r="O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2"/>
      <c r="AB843" s="1"/>
      <c r="AC843" s="1"/>
      <c r="AD843" s="1"/>
      <c r="AE843" s="1"/>
      <c r="AF843" s="1"/>
      <c r="AG843" s="1"/>
      <c r="AH843" s="2"/>
      <c r="AI843" s="2"/>
      <c r="AJ843" s="2"/>
      <c r="AK843" s="2"/>
      <c r="AL843" s="2"/>
      <c r="AM843" s="1"/>
      <c r="AN843" s="2"/>
      <c r="AP843" s="2"/>
      <c r="AQ843" s="1"/>
      <c r="AR843" s="2"/>
      <c r="AU843" s="1"/>
      <c r="AW843" s="1"/>
      <c r="AY843" s="2"/>
    </row>
    <row r="844">
      <c r="A844" s="1"/>
      <c r="C844" s="1"/>
      <c r="E844" s="1"/>
      <c r="F844" s="1"/>
      <c r="G844" s="2"/>
      <c r="H844" s="1"/>
      <c r="I844" s="1"/>
      <c r="J844" s="1"/>
      <c r="K844" s="1"/>
      <c r="M844" s="1"/>
      <c r="N844" s="1"/>
      <c r="O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2"/>
      <c r="AB844" s="1"/>
      <c r="AC844" s="1"/>
      <c r="AD844" s="1"/>
      <c r="AE844" s="1"/>
      <c r="AF844" s="1"/>
      <c r="AG844" s="1"/>
      <c r="AH844" s="2"/>
      <c r="AI844" s="2"/>
      <c r="AJ844" s="2"/>
      <c r="AK844" s="2"/>
      <c r="AL844" s="2"/>
      <c r="AM844" s="1"/>
      <c r="AN844" s="2"/>
      <c r="AP844" s="2"/>
      <c r="AQ844" s="1"/>
      <c r="AR844" s="2"/>
      <c r="AU844" s="1"/>
      <c r="AW844" s="1"/>
      <c r="AY844" s="2"/>
    </row>
    <row r="845">
      <c r="A845" s="1"/>
      <c r="C845" s="1"/>
      <c r="E845" s="1"/>
      <c r="F845" s="1"/>
      <c r="G845" s="2"/>
      <c r="H845" s="1"/>
      <c r="I845" s="1"/>
      <c r="J845" s="1"/>
      <c r="K845" s="1"/>
      <c r="M845" s="1"/>
      <c r="N845" s="1"/>
      <c r="O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2"/>
      <c r="AB845" s="1"/>
      <c r="AC845" s="1"/>
      <c r="AD845" s="1"/>
      <c r="AE845" s="1"/>
      <c r="AF845" s="1"/>
      <c r="AG845" s="1"/>
      <c r="AH845" s="2"/>
      <c r="AI845" s="2"/>
      <c r="AJ845" s="2"/>
      <c r="AK845" s="2"/>
      <c r="AL845" s="2"/>
      <c r="AM845" s="1"/>
      <c r="AN845" s="2"/>
      <c r="AP845" s="2"/>
      <c r="AQ845" s="1"/>
      <c r="AR845" s="2"/>
      <c r="AU845" s="1"/>
      <c r="AW845" s="1"/>
      <c r="AY845" s="2"/>
    </row>
    <row r="846">
      <c r="A846" s="1"/>
      <c r="C846" s="1"/>
      <c r="E846" s="1"/>
      <c r="F846" s="1"/>
      <c r="G846" s="2"/>
      <c r="H846" s="1"/>
      <c r="I846" s="1"/>
      <c r="J846" s="1"/>
      <c r="K846" s="1"/>
      <c r="M846" s="1"/>
      <c r="N846" s="1"/>
      <c r="O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2"/>
      <c r="AB846" s="1"/>
      <c r="AC846" s="1"/>
      <c r="AD846" s="1"/>
      <c r="AE846" s="1"/>
      <c r="AF846" s="1"/>
      <c r="AG846" s="1"/>
      <c r="AH846" s="2"/>
      <c r="AI846" s="2"/>
      <c r="AJ846" s="2"/>
      <c r="AK846" s="2"/>
      <c r="AL846" s="2"/>
      <c r="AM846" s="1"/>
      <c r="AN846" s="2"/>
      <c r="AP846" s="2"/>
      <c r="AQ846" s="1"/>
      <c r="AR846" s="2"/>
      <c r="AU846" s="1"/>
      <c r="AW846" s="1"/>
      <c r="AY846" s="2"/>
    </row>
    <row r="847">
      <c r="A847" s="1"/>
      <c r="C847" s="1"/>
      <c r="E847" s="1"/>
      <c r="F847" s="1"/>
      <c r="G847" s="2"/>
      <c r="H847" s="1"/>
      <c r="I847" s="1"/>
      <c r="J847" s="1"/>
      <c r="K847" s="1"/>
      <c r="M847" s="1"/>
      <c r="N847" s="1"/>
      <c r="O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2"/>
      <c r="AB847" s="1"/>
      <c r="AC847" s="1"/>
      <c r="AD847" s="1"/>
      <c r="AE847" s="1"/>
      <c r="AF847" s="1"/>
      <c r="AG847" s="1"/>
      <c r="AH847" s="2"/>
      <c r="AI847" s="2"/>
      <c r="AJ847" s="2"/>
      <c r="AK847" s="2"/>
      <c r="AL847" s="2"/>
      <c r="AM847" s="1"/>
      <c r="AN847" s="2"/>
      <c r="AP847" s="2"/>
      <c r="AQ847" s="1"/>
      <c r="AR847" s="2"/>
      <c r="AU847" s="1"/>
      <c r="AW847" s="1"/>
      <c r="AY847" s="2"/>
    </row>
    <row r="848">
      <c r="A848" s="1"/>
      <c r="C848" s="1"/>
      <c r="E848" s="1"/>
      <c r="F848" s="1"/>
      <c r="G848" s="2"/>
      <c r="H848" s="1"/>
      <c r="I848" s="1"/>
      <c r="J848" s="1"/>
      <c r="K848" s="1"/>
      <c r="M848" s="1"/>
      <c r="N848" s="1"/>
      <c r="O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2"/>
      <c r="AB848" s="1"/>
      <c r="AC848" s="1"/>
      <c r="AD848" s="1"/>
      <c r="AE848" s="1"/>
      <c r="AF848" s="1"/>
      <c r="AG848" s="1"/>
      <c r="AH848" s="2"/>
      <c r="AI848" s="2"/>
      <c r="AJ848" s="2"/>
      <c r="AK848" s="2"/>
      <c r="AL848" s="2"/>
      <c r="AM848" s="1"/>
      <c r="AN848" s="2"/>
      <c r="AP848" s="2"/>
      <c r="AQ848" s="1"/>
      <c r="AR848" s="2"/>
      <c r="AU848" s="1"/>
      <c r="AW848" s="1"/>
      <c r="AY848" s="2"/>
    </row>
    <row r="849">
      <c r="A849" s="1"/>
      <c r="C849" s="1"/>
      <c r="E849" s="1"/>
      <c r="F849" s="1"/>
      <c r="G849" s="2"/>
      <c r="H849" s="1"/>
      <c r="I849" s="1"/>
      <c r="J849" s="1"/>
      <c r="K849" s="1"/>
      <c r="M849" s="1"/>
      <c r="N849" s="1"/>
      <c r="O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1"/>
      <c r="AE849" s="1"/>
      <c r="AF849" s="1"/>
      <c r="AG849" s="1"/>
      <c r="AH849" s="2"/>
      <c r="AI849" s="2"/>
      <c r="AJ849" s="2"/>
      <c r="AK849" s="2"/>
      <c r="AL849" s="2"/>
      <c r="AM849" s="1"/>
      <c r="AN849" s="2"/>
      <c r="AP849" s="2"/>
      <c r="AQ849" s="1"/>
      <c r="AR849" s="2"/>
      <c r="AU849" s="1"/>
      <c r="AW849" s="1"/>
      <c r="AY849" s="2"/>
    </row>
    <row r="850">
      <c r="A850" s="1"/>
      <c r="C850" s="1"/>
      <c r="E850" s="1"/>
      <c r="F850" s="1"/>
      <c r="G850" s="2"/>
      <c r="H850" s="1"/>
      <c r="I850" s="1"/>
      <c r="J850" s="1"/>
      <c r="K850" s="1"/>
      <c r="M850" s="1"/>
      <c r="N850" s="1"/>
      <c r="O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2"/>
      <c r="AB850" s="1"/>
      <c r="AC850" s="1"/>
      <c r="AD850" s="1"/>
      <c r="AE850" s="1"/>
      <c r="AF850" s="1"/>
      <c r="AG850" s="1"/>
      <c r="AH850" s="2"/>
      <c r="AI850" s="2"/>
      <c r="AJ850" s="2"/>
      <c r="AK850" s="2"/>
      <c r="AL850" s="2"/>
      <c r="AM850" s="1"/>
      <c r="AN850" s="2"/>
      <c r="AP850" s="2"/>
      <c r="AQ850" s="1"/>
      <c r="AR850" s="2"/>
      <c r="AU850" s="1"/>
      <c r="AW850" s="1"/>
      <c r="AY850" s="2"/>
    </row>
    <row r="851">
      <c r="A851" s="1"/>
      <c r="C851" s="1"/>
      <c r="E851" s="1"/>
      <c r="F851" s="1"/>
      <c r="G851" s="2"/>
      <c r="H851" s="1"/>
      <c r="I851" s="1"/>
      <c r="J851" s="1"/>
      <c r="K851" s="1"/>
      <c r="M851" s="1"/>
      <c r="N851" s="1"/>
      <c r="O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2"/>
      <c r="AB851" s="1"/>
      <c r="AC851" s="1"/>
      <c r="AD851" s="1"/>
      <c r="AE851" s="1"/>
      <c r="AF851" s="1"/>
      <c r="AG851" s="1"/>
      <c r="AH851" s="2"/>
      <c r="AI851" s="2"/>
      <c r="AJ851" s="2"/>
      <c r="AK851" s="2"/>
      <c r="AL851" s="2"/>
      <c r="AM851" s="1"/>
      <c r="AN851" s="2"/>
      <c r="AP851" s="2"/>
      <c r="AQ851" s="1"/>
      <c r="AR851" s="2"/>
      <c r="AU851" s="1"/>
      <c r="AW851" s="1"/>
      <c r="AY851" s="2"/>
    </row>
    <row r="852">
      <c r="A852" s="1"/>
      <c r="C852" s="1"/>
      <c r="E852" s="1"/>
      <c r="F852" s="1"/>
      <c r="G852" s="2"/>
      <c r="H852" s="1"/>
      <c r="I852" s="1"/>
      <c r="J852" s="1"/>
      <c r="K852" s="1"/>
      <c r="M852" s="1"/>
      <c r="N852" s="1"/>
      <c r="O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2"/>
      <c r="AB852" s="1"/>
      <c r="AC852" s="1"/>
      <c r="AD852" s="1"/>
      <c r="AE852" s="1"/>
      <c r="AF852" s="1"/>
      <c r="AG852" s="1"/>
      <c r="AH852" s="2"/>
      <c r="AI852" s="2"/>
      <c r="AJ852" s="2"/>
      <c r="AK852" s="2"/>
      <c r="AL852" s="2"/>
      <c r="AM852" s="1"/>
      <c r="AN852" s="2"/>
      <c r="AP852" s="2"/>
      <c r="AQ852" s="1"/>
      <c r="AR852" s="2"/>
      <c r="AU852" s="1"/>
      <c r="AW852" s="1"/>
      <c r="AY852" s="2"/>
    </row>
    <row r="853">
      <c r="A853" s="1"/>
      <c r="C853" s="1"/>
      <c r="E853" s="1"/>
      <c r="F853" s="1"/>
      <c r="G853" s="2"/>
      <c r="H853" s="1"/>
      <c r="I853" s="1"/>
      <c r="J853" s="1"/>
      <c r="K853" s="1"/>
      <c r="M853" s="1"/>
      <c r="N853" s="1"/>
      <c r="O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2"/>
      <c r="AB853" s="1"/>
      <c r="AC853" s="1"/>
      <c r="AD853" s="1"/>
      <c r="AE853" s="1"/>
      <c r="AF853" s="1"/>
      <c r="AG853" s="1"/>
      <c r="AH853" s="2"/>
      <c r="AI853" s="2"/>
      <c r="AJ853" s="2"/>
      <c r="AK853" s="2"/>
      <c r="AL853" s="2"/>
      <c r="AM853" s="1"/>
      <c r="AN853" s="2"/>
      <c r="AP853" s="2"/>
      <c r="AQ853" s="1"/>
      <c r="AR853" s="2"/>
      <c r="AU853" s="1"/>
      <c r="AW853" s="1"/>
      <c r="AY853" s="2"/>
    </row>
    <row r="854">
      <c r="A854" s="1"/>
      <c r="C854" s="1"/>
      <c r="E854" s="1"/>
      <c r="F854" s="1"/>
      <c r="G854" s="2"/>
      <c r="H854" s="1"/>
      <c r="I854" s="1"/>
      <c r="J854" s="1"/>
      <c r="K854" s="1"/>
      <c r="M854" s="1"/>
      <c r="N854" s="1"/>
      <c r="O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2"/>
      <c r="AB854" s="1"/>
      <c r="AC854" s="1"/>
      <c r="AD854" s="1"/>
      <c r="AE854" s="1"/>
      <c r="AF854" s="1"/>
      <c r="AG854" s="1"/>
      <c r="AH854" s="2"/>
      <c r="AI854" s="2"/>
      <c r="AJ854" s="2"/>
      <c r="AK854" s="2"/>
      <c r="AL854" s="2"/>
      <c r="AM854" s="1"/>
      <c r="AN854" s="2"/>
      <c r="AP854" s="2"/>
      <c r="AQ854" s="1"/>
      <c r="AR854" s="2"/>
      <c r="AU854" s="1"/>
      <c r="AW854" s="1"/>
      <c r="AY854" s="2"/>
    </row>
    <row r="855">
      <c r="A855" s="1"/>
      <c r="C855" s="1"/>
      <c r="E855" s="1"/>
      <c r="F855" s="1"/>
      <c r="G855" s="2"/>
      <c r="H855" s="1"/>
      <c r="I855" s="1"/>
      <c r="J855" s="1"/>
      <c r="K855" s="1"/>
      <c r="M855" s="1"/>
      <c r="N855" s="1"/>
      <c r="O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2"/>
      <c r="AB855" s="1"/>
      <c r="AC855" s="1"/>
      <c r="AD855" s="1"/>
      <c r="AE855" s="1"/>
      <c r="AF855" s="1"/>
      <c r="AG855" s="1"/>
      <c r="AH855" s="2"/>
      <c r="AI855" s="2"/>
      <c r="AJ855" s="2"/>
      <c r="AK855" s="2"/>
      <c r="AL855" s="2"/>
      <c r="AM855" s="1"/>
      <c r="AN855" s="2"/>
      <c r="AP855" s="2"/>
      <c r="AQ855" s="1"/>
      <c r="AR855" s="2"/>
      <c r="AU855" s="1"/>
      <c r="AW855" s="1"/>
      <c r="AY855" s="2"/>
    </row>
    <row r="856">
      <c r="A856" s="1"/>
      <c r="C856" s="1"/>
      <c r="E856" s="1"/>
      <c r="F856" s="1"/>
      <c r="G856" s="2"/>
      <c r="H856" s="1"/>
      <c r="I856" s="1"/>
      <c r="J856" s="1"/>
      <c r="K856" s="1"/>
      <c r="M856" s="1"/>
      <c r="N856" s="1"/>
      <c r="O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2"/>
      <c r="AB856" s="1"/>
      <c r="AC856" s="1"/>
      <c r="AD856" s="1"/>
      <c r="AE856" s="1"/>
      <c r="AF856" s="1"/>
      <c r="AG856" s="1"/>
      <c r="AH856" s="2"/>
      <c r="AI856" s="2"/>
      <c r="AJ856" s="2"/>
      <c r="AK856" s="2"/>
      <c r="AL856" s="2"/>
      <c r="AM856" s="1"/>
      <c r="AN856" s="2"/>
      <c r="AP856" s="2"/>
      <c r="AQ856" s="1"/>
      <c r="AR856" s="2"/>
      <c r="AU856" s="1"/>
      <c r="AW856" s="1"/>
      <c r="AY856" s="2"/>
    </row>
    <row r="857">
      <c r="A857" s="1"/>
      <c r="C857" s="1"/>
      <c r="E857" s="1"/>
      <c r="F857" s="1"/>
      <c r="G857" s="2"/>
      <c r="H857" s="1"/>
      <c r="I857" s="1"/>
      <c r="J857" s="1"/>
      <c r="K857" s="1"/>
      <c r="M857" s="1"/>
      <c r="N857" s="1"/>
      <c r="O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2"/>
      <c r="AB857" s="1"/>
      <c r="AC857" s="1"/>
      <c r="AD857" s="1"/>
      <c r="AE857" s="1"/>
      <c r="AF857" s="1"/>
      <c r="AG857" s="1"/>
      <c r="AH857" s="2"/>
      <c r="AI857" s="2"/>
      <c r="AJ857" s="2"/>
      <c r="AK857" s="2"/>
      <c r="AL857" s="2"/>
      <c r="AM857" s="1"/>
      <c r="AN857" s="2"/>
      <c r="AP857" s="2"/>
      <c r="AQ857" s="1"/>
      <c r="AR857" s="2"/>
      <c r="AU857" s="1"/>
      <c r="AW857" s="1"/>
      <c r="AY857" s="2"/>
    </row>
    <row r="858">
      <c r="A858" s="1"/>
      <c r="C858" s="1"/>
      <c r="E858" s="1"/>
      <c r="F858" s="1"/>
      <c r="G858" s="2"/>
      <c r="H858" s="1"/>
      <c r="I858" s="1"/>
      <c r="J858" s="1"/>
      <c r="K858" s="1"/>
      <c r="M858" s="1"/>
      <c r="N858" s="1"/>
      <c r="O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2"/>
      <c r="AB858" s="1"/>
      <c r="AC858" s="1"/>
      <c r="AD858" s="1"/>
      <c r="AE858" s="1"/>
      <c r="AF858" s="1"/>
      <c r="AG858" s="1"/>
      <c r="AH858" s="2"/>
      <c r="AI858" s="2"/>
      <c r="AJ858" s="2"/>
      <c r="AK858" s="2"/>
      <c r="AL858" s="2"/>
      <c r="AM858" s="1"/>
      <c r="AN858" s="2"/>
      <c r="AP858" s="2"/>
      <c r="AQ858" s="1"/>
      <c r="AR858" s="2"/>
      <c r="AU858" s="1"/>
      <c r="AW858" s="1"/>
      <c r="AY858" s="2"/>
    </row>
    <row r="859">
      <c r="A859" s="1"/>
      <c r="C859" s="1"/>
      <c r="E859" s="1"/>
      <c r="F859" s="1"/>
      <c r="G859" s="2"/>
      <c r="H859" s="1"/>
      <c r="I859" s="1"/>
      <c r="J859" s="1"/>
      <c r="K859" s="1"/>
      <c r="M859" s="1"/>
      <c r="N859" s="1"/>
      <c r="O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2"/>
      <c r="AB859" s="1"/>
      <c r="AC859" s="1"/>
      <c r="AD859" s="1"/>
      <c r="AE859" s="1"/>
      <c r="AF859" s="1"/>
      <c r="AG859" s="1"/>
      <c r="AH859" s="2"/>
      <c r="AI859" s="2"/>
      <c r="AJ859" s="2"/>
      <c r="AK859" s="2"/>
      <c r="AL859" s="2"/>
      <c r="AM859" s="1"/>
      <c r="AN859" s="2"/>
      <c r="AP859" s="2"/>
      <c r="AQ859" s="1"/>
      <c r="AR859" s="2"/>
      <c r="AU859" s="1"/>
      <c r="AW859" s="1"/>
      <c r="AY859" s="2"/>
    </row>
    <row r="860">
      <c r="A860" s="1"/>
      <c r="C860" s="1"/>
      <c r="E860" s="1"/>
      <c r="F860" s="1"/>
      <c r="G860" s="2"/>
      <c r="H860" s="1"/>
      <c r="I860" s="1"/>
      <c r="J860" s="1"/>
      <c r="K860" s="1"/>
      <c r="M860" s="1"/>
      <c r="N860" s="1"/>
      <c r="O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2"/>
      <c r="AB860" s="1"/>
      <c r="AC860" s="1"/>
      <c r="AD860" s="1"/>
      <c r="AE860" s="1"/>
      <c r="AF860" s="1"/>
      <c r="AG860" s="1"/>
      <c r="AH860" s="2"/>
      <c r="AI860" s="2"/>
      <c r="AJ860" s="2"/>
      <c r="AK860" s="2"/>
      <c r="AL860" s="2"/>
      <c r="AM860" s="1"/>
      <c r="AN860" s="2"/>
      <c r="AP860" s="2"/>
      <c r="AQ860" s="1"/>
      <c r="AR860" s="2"/>
      <c r="AU860" s="1"/>
      <c r="AW860" s="1"/>
      <c r="AY860" s="2"/>
    </row>
    <row r="861">
      <c r="A861" s="1"/>
      <c r="C861" s="1"/>
      <c r="E861" s="1"/>
      <c r="F861" s="1"/>
      <c r="G861" s="2"/>
      <c r="H861" s="1"/>
      <c r="I861" s="1"/>
      <c r="J861" s="1"/>
      <c r="K861" s="1"/>
      <c r="M861" s="1"/>
      <c r="N861" s="1"/>
      <c r="O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2"/>
      <c r="AB861" s="1"/>
      <c r="AC861" s="1"/>
      <c r="AD861" s="1"/>
      <c r="AE861" s="1"/>
      <c r="AF861" s="1"/>
      <c r="AG861" s="1"/>
      <c r="AH861" s="2"/>
      <c r="AI861" s="2"/>
      <c r="AJ861" s="2"/>
      <c r="AK861" s="2"/>
      <c r="AL861" s="2"/>
      <c r="AM861" s="1"/>
      <c r="AN861" s="2"/>
      <c r="AP861" s="2"/>
      <c r="AQ861" s="1"/>
      <c r="AR861" s="2"/>
      <c r="AU861" s="1"/>
      <c r="AW861" s="1"/>
      <c r="AY861" s="2"/>
    </row>
    <row r="862">
      <c r="A862" s="1"/>
      <c r="C862" s="1"/>
      <c r="E862" s="1"/>
      <c r="F862" s="1"/>
      <c r="G862" s="2"/>
      <c r="H862" s="1"/>
      <c r="I862" s="1"/>
      <c r="J862" s="1"/>
      <c r="K862" s="1"/>
      <c r="M862" s="1"/>
      <c r="N862" s="1"/>
      <c r="O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2"/>
      <c r="AB862" s="1"/>
      <c r="AC862" s="1"/>
      <c r="AD862" s="1"/>
      <c r="AE862" s="1"/>
      <c r="AF862" s="1"/>
      <c r="AG862" s="1"/>
      <c r="AH862" s="2"/>
      <c r="AI862" s="2"/>
      <c r="AJ862" s="2"/>
      <c r="AK862" s="2"/>
      <c r="AL862" s="2"/>
      <c r="AM862" s="1"/>
      <c r="AN862" s="2"/>
      <c r="AP862" s="2"/>
      <c r="AQ862" s="1"/>
      <c r="AR862" s="2"/>
      <c r="AU862" s="1"/>
      <c r="AW862" s="1"/>
      <c r="AY862" s="2"/>
    </row>
    <row r="863">
      <c r="A863" s="1"/>
      <c r="C863" s="1"/>
      <c r="E863" s="1"/>
      <c r="F863" s="1"/>
      <c r="G863" s="2"/>
      <c r="H863" s="1"/>
      <c r="I863" s="1"/>
      <c r="J863" s="1"/>
      <c r="K863" s="1"/>
      <c r="M863" s="1"/>
      <c r="N863" s="1"/>
      <c r="O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2"/>
      <c r="AB863" s="1"/>
      <c r="AC863" s="1"/>
      <c r="AD863" s="1"/>
      <c r="AE863" s="1"/>
      <c r="AF863" s="1"/>
      <c r="AG863" s="1"/>
      <c r="AH863" s="2"/>
      <c r="AI863" s="2"/>
      <c r="AJ863" s="2"/>
      <c r="AK863" s="2"/>
      <c r="AL863" s="2"/>
      <c r="AM863" s="1"/>
      <c r="AN863" s="2"/>
      <c r="AP863" s="2"/>
      <c r="AQ863" s="1"/>
      <c r="AR863" s="2"/>
      <c r="AU863" s="1"/>
      <c r="AW863" s="1"/>
      <c r="AY863" s="2"/>
    </row>
    <row r="864">
      <c r="A864" s="1"/>
      <c r="C864" s="1"/>
      <c r="E864" s="1"/>
      <c r="F864" s="1"/>
      <c r="G864" s="2"/>
      <c r="H864" s="1"/>
      <c r="I864" s="1"/>
      <c r="J864" s="1"/>
      <c r="K864" s="1"/>
      <c r="M864" s="1"/>
      <c r="N864" s="1"/>
      <c r="O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2"/>
      <c r="AB864" s="1"/>
      <c r="AC864" s="1"/>
      <c r="AD864" s="1"/>
      <c r="AE864" s="1"/>
      <c r="AF864" s="1"/>
      <c r="AG864" s="1"/>
      <c r="AH864" s="2"/>
      <c r="AI864" s="2"/>
      <c r="AJ864" s="2"/>
      <c r="AK864" s="2"/>
      <c r="AL864" s="2"/>
      <c r="AM864" s="1"/>
      <c r="AN864" s="2"/>
      <c r="AP864" s="2"/>
      <c r="AQ864" s="1"/>
      <c r="AR864" s="2"/>
      <c r="AU864" s="1"/>
      <c r="AW864" s="1"/>
      <c r="AY864" s="2"/>
    </row>
    <row r="865">
      <c r="A865" s="1"/>
      <c r="C865" s="1"/>
      <c r="E865" s="1"/>
      <c r="F865" s="1"/>
      <c r="G865" s="2"/>
      <c r="H865" s="1"/>
      <c r="I865" s="1"/>
      <c r="J865" s="1"/>
      <c r="K865" s="1"/>
      <c r="M865" s="1"/>
      <c r="N865" s="1"/>
      <c r="O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2"/>
      <c r="AB865" s="1"/>
      <c r="AC865" s="1"/>
      <c r="AD865" s="1"/>
      <c r="AE865" s="1"/>
      <c r="AF865" s="1"/>
      <c r="AG865" s="1"/>
      <c r="AH865" s="2"/>
      <c r="AI865" s="2"/>
      <c r="AJ865" s="2"/>
      <c r="AK865" s="2"/>
      <c r="AL865" s="2"/>
      <c r="AM865" s="1"/>
      <c r="AN865" s="2"/>
      <c r="AP865" s="2"/>
      <c r="AQ865" s="1"/>
      <c r="AR865" s="2"/>
      <c r="AU865" s="1"/>
      <c r="AW865" s="1"/>
      <c r="AY865" s="2"/>
    </row>
    <row r="866">
      <c r="A866" s="1"/>
      <c r="C866" s="1"/>
      <c r="E866" s="1"/>
      <c r="F866" s="1"/>
      <c r="G866" s="2"/>
      <c r="H866" s="1"/>
      <c r="I866" s="1"/>
      <c r="J866" s="1"/>
      <c r="K866" s="1"/>
      <c r="M866" s="1"/>
      <c r="N866" s="1"/>
      <c r="O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2"/>
      <c r="AB866" s="1"/>
      <c r="AC866" s="1"/>
      <c r="AD866" s="1"/>
      <c r="AE866" s="1"/>
      <c r="AF866" s="1"/>
      <c r="AG866" s="1"/>
      <c r="AH866" s="2"/>
      <c r="AI866" s="2"/>
      <c r="AJ866" s="2"/>
      <c r="AK866" s="2"/>
      <c r="AL866" s="2"/>
      <c r="AM866" s="1"/>
      <c r="AN866" s="2"/>
      <c r="AP866" s="2"/>
      <c r="AQ866" s="1"/>
      <c r="AR866" s="2"/>
      <c r="AU866" s="1"/>
      <c r="AW866" s="1"/>
      <c r="AY866" s="2"/>
    </row>
    <row r="867">
      <c r="A867" s="1"/>
      <c r="C867" s="1"/>
      <c r="E867" s="1"/>
      <c r="F867" s="1"/>
      <c r="G867" s="2"/>
      <c r="H867" s="1"/>
      <c r="I867" s="1"/>
      <c r="J867" s="1"/>
      <c r="K867" s="1"/>
      <c r="M867" s="1"/>
      <c r="N867" s="1"/>
      <c r="O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2"/>
      <c r="AB867" s="1"/>
      <c r="AC867" s="1"/>
      <c r="AD867" s="1"/>
      <c r="AE867" s="1"/>
      <c r="AF867" s="1"/>
      <c r="AG867" s="1"/>
      <c r="AH867" s="2"/>
      <c r="AI867" s="2"/>
      <c r="AJ867" s="2"/>
      <c r="AK867" s="2"/>
      <c r="AL867" s="2"/>
      <c r="AM867" s="1"/>
      <c r="AN867" s="2"/>
      <c r="AP867" s="2"/>
      <c r="AQ867" s="1"/>
      <c r="AR867" s="2"/>
      <c r="AU867" s="1"/>
      <c r="AW867" s="1"/>
      <c r="AY867" s="2"/>
    </row>
    <row r="868">
      <c r="A868" s="1"/>
      <c r="C868" s="1"/>
      <c r="E868" s="1"/>
      <c r="F868" s="1"/>
      <c r="G868" s="2"/>
      <c r="H868" s="1"/>
      <c r="I868" s="1"/>
      <c r="J868" s="1"/>
      <c r="K868" s="1"/>
      <c r="M868" s="1"/>
      <c r="N868" s="1"/>
      <c r="O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2"/>
      <c r="AB868" s="1"/>
      <c r="AC868" s="1"/>
      <c r="AD868" s="1"/>
      <c r="AE868" s="1"/>
      <c r="AF868" s="1"/>
      <c r="AG868" s="1"/>
      <c r="AH868" s="2"/>
      <c r="AI868" s="2"/>
      <c r="AJ868" s="2"/>
      <c r="AK868" s="2"/>
      <c r="AL868" s="2"/>
      <c r="AM868" s="1"/>
      <c r="AN868" s="2"/>
      <c r="AP868" s="2"/>
      <c r="AQ868" s="1"/>
      <c r="AR868" s="2"/>
      <c r="AU868" s="1"/>
      <c r="AW868" s="1"/>
      <c r="AY868" s="2"/>
    </row>
    <row r="869">
      <c r="A869" s="1"/>
      <c r="C869" s="1"/>
      <c r="E869" s="1"/>
      <c r="F869" s="1"/>
      <c r="G869" s="2"/>
      <c r="H869" s="1"/>
      <c r="I869" s="1"/>
      <c r="J869" s="1"/>
      <c r="K869" s="1"/>
      <c r="M869" s="1"/>
      <c r="N869" s="1"/>
      <c r="O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2"/>
      <c r="AB869" s="1"/>
      <c r="AC869" s="1"/>
      <c r="AD869" s="1"/>
      <c r="AE869" s="1"/>
      <c r="AF869" s="1"/>
      <c r="AG869" s="1"/>
      <c r="AH869" s="2"/>
      <c r="AI869" s="2"/>
      <c r="AJ869" s="2"/>
      <c r="AK869" s="2"/>
      <c r="AL869" s="2"/>
      <c r="AM869" s="1"/>
      <c r="AN869" s="2"/>
      <c r="AP869" s="2"/>
      <c r="AQ869" s="1"/>
      <c r="AR869" s="2"/>
      <c r="AU869" s="1"/>
      <c r="AW869" s="1"/>
      <c r="AY869" s="2"/>
    </row>
    <row r="870">
      <c r="A870" s="1"/>
      <c r="C870" s="1"/>
      <c r="E870" s="1"/>
      <c r="F870" s="1"/>
      <c r="G870" s="2"/>
      <c r="H870" s="1"/>
      <c r="I870" s="1"/>
      <c r="J870" s="1"/>
      <c r="K870" s="1"/>
      <c r="M870" s="1"/>
      <c r="N870" s="1"/>
      <c r="O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2"/>
      <c r="AB870" s="1"/>
      <c r="AC870" s="1"/>
      <c r="AD870" s="1"/>
      <c r="AE870" s="1"/>
      <c r="AF870" s="1"/>
      <c r="AG870" s="1"/>
      <c r="AH870" s="2"/>
      <c r="AI870" s="2"/>
      <c r="AJ870" s="2"/>
      <c r="AK870" s="2"/>
      <c r="AL870" s="2"/>
      <c r="AM870" s="1"/>
      <c r="AN870" s="2"/>
      <c r="AP870" s="2"/>
      <c r="AQ870" s="1"/>
      <c r="AR870" s="2"/>
      <c r="AU870" s="1"/>
      <c r="AW870" s="1"/>
      <c r="AY870" s="2"/>
    </row>
    <row r="871">
      <c r="A871" s="1"/>
      <c r="C871" s="1"/>
      <c r="E871" s="1"/>
      <c r="F871" s="1"/>
      <c r="G871" s="2"/>
      <c r="H871" s="1"/>
      <c r="I871" s="1"/>
      <c r="J871" s="1"/>
      <c r="K871" s="1"/>
      <c r="M871" s="1"/>
      <c r="N871" s="1"/>
      <c r="O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2"/>
      <c r="AB871" s="1"/>
      <c r="AC871" s="1"/>
      <c r="AD871" s="1"/>
      <c r="AE871" s="1"/>
      <c r="AF871" s="1"/>
      <c r="AG871" s="1"/>
      <c r="AH871" s="2"/>
      <c r="AI871" s="2"/>
      <c r="AJ871" s="2"/>
      <c r="AK871" s="2"/>
      <c r="AL871" s="2"/>
      <c r="AM871" s="1"/>
      <c r="AN871" s="2"/>
      <c r="AP871" s="2"/>
      <c r="AQ871" s="1"/>
      <c r="AR871" s="2"/>
      <c r="AU871" s="1"/>
      <c r="AW871" s="1"/>
      <c r="AY871" s="2"/>
    </row>
    <row r="872">
      <c r="A872" s="1"/>
      <c r="C872" s="1"/>
      <c r="E872" s="1"/>
      <c r="F872" s="1"/>
      <c r="G872" s="2"/>
      <c r="H872" s="1"/>
      <c r="I872" s="1"/>
      <c r="J872" s="1"/>
      <c r="K872" s="1"/>
      <c r="M872" s="1"/>
      <c r="N872" s="1"/>
      <c r="O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2"/>
      <c r="AB872" s="1"/>
      <c r="AC872" s="1"/>
      <c r="AD872" s="1"/>
      <c r="AE872" s="1"/>
      <c r="AF872" s="1"/>
      <c r="AG872" s="1"/>
      <c r="AH872" s="2"/>
      <c r="AI872" s="2"/>
      <c r="AJ872" s="2"/>
      <c r="AK872" s="2"/>
      <c r="AL872" s="2"/>
      <c r="AM872" s="1"/>
      <c r="AN872" s="2"/>
      <c r="AP872" s="2"/>
      <c r="AQ872" s="1"/>
      <c r="AR872" s="2"/>
      <c r="AU872" s="1"/>
      <c r="AW872" s="1"/>
      <c r="AY872" s="2"/>
    </row>
    <row r="873">
      <c r="A873" s="1"/>
      <c r="C873" s="1"/>
      <c r="E873" s="1"/>
      <c r="F873" s="1"/>
      <c r="G873" s="2"/>
      <c r="H873" s="1"/>
      <c r="I873" s="1"/>
      <c r="J873" s="1"/>
      <c r="K873" s="1"/>
      <c r="M873" s="1"/>
      <c r="N873" s="1"/>
      <c r="O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2"/>
      <c r="AB873" s="1"/>
      <c r="AC873" s="1"/>
      <c r="AD873" s="1"/>
      <c r="AE873" s="1"/>
      <c r="AF873" s="1"/>
      <c r="AG873" s="1"/>
      <c r="AH873" s="2"/>
      <c r="AI873" s="2"/>
      <c r="AJ873" s="2"/>
      <c r="AK873" s="2"/>
      <c r="AL873" s="2"/>
      <c r="AM873" s="1"/>
      <c r="AN873" s="2"/>
      <c r="AP873" s="2"/>
      <c r="AQ873" s="1"/>
      <c r="AR873" s="2"/>
      <c r="AU873" s="1"/>
      <c r="AW873" s="1"/>
      <c r="AY873" s="2"/>
    </row>
    <row r="874">
      <c r="A874" s="1"/>
      <c r="C874" s="1"/>
      <c r="E874" s="1"/>
      <c r="F874" s="1"/>
      <c r="G874" s="2"/>
      <c r="H874" s="1"/>
      <c r="I874" s="1"/>
      <c r="J874" s="1"/>
      <c r="K874" s="1"/>
      <c r="M874" s="1"/>
      <c r="N874" s="1"/>
      <c r="O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2"/>
      <c r="AB874" s="1"/>
      <c r="AC874" s="1"/>
      <c r="AD874" s="1"/>
      <c r="AE874" s="1"/>
      <c r="AF874" s="1"/>
      <c r="AG874" s="1"/>
      <c r="AH874" s="2"/>
      <c r="AI874" s="2"/>
      <c r="AJ874" s="2"/>
      <c r="AK874" s="2"/>
      <c r="AL874" s="2"/>
      <c r="AM874" s="1"/>
      <c r="AN874" s="2"/>
      <c r="AP874" s="2"/>
      <c r="AQ874" s="1"/>
      <c r="AR874" s="2"/>
      <c r="AU874" s="1"/>
      <c r="AW874" s="1"/>
      <c r="AY874" s="2"/>
    </row>
    <row r="875">
      <c r="A875" s="1"/>
      <c r="C875" s="1"/>
      <c r="E875" s="1"/>
      <c r="F875" s="1"/>
      <c r="G875" s="2"/>
      <c r="H875" s="1"/>
      <c r="I875" s="1"/>
      <c r="J875" s="1"/>
      <c r="K875" s="1"/>
      <c r="M875" s="1"/>
      <c r="N875" s="1"/>
      <c r="O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2"/>
      <c r="AB875" s="1"/>
      <c r="AC875" s="1"/>
      <c r="AD875" s="1"/>
      <c r="AE875" s="1"/>
      <c r="AF875" s="1"/>
      <c r="AG875" s="1"/>
      <c r="AH875" s="2"/>
      <c r="AI875" s="2"/>
      <c r="AJ875" s="2"/>
      <c r="AK875" s="2"/>
      <c r="AL875" s="2"/>
      <c r="AM875" s="1"/>
      <c r="AN875" s="2"/>
      <c r="AP875" s="2"/>
      <c r="AQ875" s="1"/>
      <c r="AR875" s="2"/>
      <c r="AU875" s="1"/>
      <c r="AW875" s="1"/>
      <c r="AY875" s="2"/>
    </row>
    <row r="876">
      <c r="A876" s="1"/>
      <c r="C876" s="1"/>
      <c r="E876" s="1"/>
      <c r="F876" s="1"/>
      <c r="G876" s="2"/>
      <c r="H876" s="1"/>
      <c r="I876" s="1"/>
      <c r="J876" s="1"/>
      <c r="K876" s="1"/>
      <c r="M876" s="1"/>
      <c r="N876" s="1"/>
      <c r="O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2"/>
      <c r="AB876" s="1"/>
      <c r="AC876" s="1"/>
      <c r="AD876" s="1"/>
      <c r="AE876" s="1"/>
      <c r="AF876" s="1"/>
      <c r="AG876" s="1"/>
      <c r="AH876" s="2"/>
      <c r="AI876" s="2"/>
      <c r="AJ876" s="2"/>
      <c r="AK876" s="2"/>
      <c r="AL876" s="2"/>
      <c r="AM876" s="1"/>
      <c r="AN876" s="2"/>
      <c r="AP876" s="2"/>
      <c r="AQ876" s="1"/>
      <c r="AR876" s="2"/>
      <c r="AU876" s="1"/>
      <c r="AW876" s="1"/>
      <c r="AY876" s="2"/>
    </row>
    <row r="877">
      <c r="A877" s="1"/>
      <c r="C877" s="1"/>
      <c r="E877" s="1"/>
      <c r="F877" s="1"/>
      <c r="G877" s="2"/>
      <c r="H877" s="1"/>
      <c r="I877" s="1"/>
      <c r="J877" s="1"/>
      <c r="K877" s="1"/>
      <c r="M877" s="1"/>
      <c r="N877" s="1"/>
      <c r="O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2"/>
      <c r="AB877" s="1"/>
      <c r="AC877" s="1"/>
      <c r="AD877" s="1"/>
      <c r="AE877" s="1"/>
      <c r="AF877" s="1"/>
      <c r="AG877" s="1"/>
      <c r="AH877" s="2"/>
      <c r="AI877" s="2"/>
      <c r="AJ877" s="2"/>
      <c r="AK877" s="2"/>
      <c r="AL877" s="2"/>
      <c r="AM877" s="1"/>
      <c r="AN877" s="2"/>
      <c r="AP877" s="2"/>
      <c r="AQ877" s="1"/>
      <c r="AR877" s="2"/>
      <c r="AU877" s="1"/>
      <c r="AW877" s="1"/>
      <c r="AY877" s="2"/>
    </row>
    <row r="878">
      <c r="A878" s="1"/>
      <c r="C878" s="1"/>
      <c r="E878" s="1"/>
      <c r="F878" s="1"/>
      <c r="G878" s="2"/>
      <c r="H878" s="1"/>
      <c r="I878" s="1"/>
      <c r="J878" s="1"/>
      <c r="K878" s="1"/>
      <c r="M878" s="1"/>
      <c r="N878" s="1"/>
      <c r="O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2"/>
      <c r="AB878" s="1"/>
      <c r="AC878" s="1"/>
      <c r="AD878" s="1"/>
      <c r="AE878" s="1"/>
      <c r="AF878" s="1"/>
      <c r="AG878" s="1"/>
      <c r="AH878" s="2"/>
      <c r="AI878" s="2"/>
      <c r="AJ878" s="2"/>
      <c r="AK878" s="2"/>
      <c r="AL878" s="2"/>
      <c r="AM878" s="1"/>
      <c r="AN878" s="2"/>
      <c r="AP878" s="2"/>
      <c r="AQ878" s="1"/>
      <c r="AR878" s="2"/>
      <c r="AU878" s="1"/>
      <c r="AW878" s="1"/>
      <c r="AY878" s="2"/>
    </row>
    <row r="879">
      <c r="A879" s="1"/>
      <c r="C879" s="1"/>
      <c r="E879" s="1"/>
      <c r="F879" s="1"/>
      <c r="G879" s="2"/>
      <c r="H879" s="1"/>
      <c r="I879" s="1"/>
      <c r="J879" s="1"/>
      <c r="K879" s="1"/>
      <c r="M879" s="1"/>
      <c r="N879" s="1"/>
      <c r="O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2"/>
      <c r="AB879" s="1"/>
      <c r="AC879" s="1"/>
      <c r="AD879" s="1"/>
      <c r="AE879" s="1"/>
      <c r="AF879" s="1"/>
      <c r="AG879" s="1"/>
      <c r="AH879" s="2"/>
      <c r="AI879" s="2"/>
      <c r="AJ879" s="2"/>
      <c r="AK879" s="2"/>
      <c r="AL879" s="2"/>
      <c r="AM879" s="1"/>
      <c r="AN879" s="2"/>
      <c r="AP879" s="2"/>
      <c r="AQ879" s="1"/>
      <c r="AR879" s="2"/>
      <c r="AU879" s="1"/>
      <c r="AW879" s="1"/>
      <c r="AY879" s="2"/>
    </row>
    <row r="880">
      <c r="A880" s="1"/>
      <c r="C880" s="1"/>
      <c r="E880" s="1"/>
      <c r="F880" s="1"/>
      <c r="G880" s="2"/>
      <c r="H880" s="1"/>
      <c r="I880" s="1"/>
      <c r="J880" s="1"/>
      <c r="K880" s="1"/>
      <c r="M880" s="1"/>
      <c r="N880" s="1"/>
      <c r="O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2"/>
      <c r="AB880" s="1"/>
      <c r="AC880" s="1"/>
      <c r="AD880" s="1"/>
      <c r="AE880" s="1"/>
      <c r="AF880" s="1"/>
      <c r="AG880" s="1"/>
      <c r="AH880" s="2"/>
      <c r="AI880" s="2"/>
      <c r="AJ880" s="2"/>
      <c r="AK880" s="2"/>
      <c r="AL880" s="2"/>
      <c r="AM880" s="1"/>
      <c r="AN880" s="2"/>
      <c r="AP880" s="2"/>
      <c r="AQ880" s="1"/>
      <c r="AR880" s="2"/>
      <c r="AU880" s="1"/>
      <c r="AW880" s="1"/>
      <c r="AY880" s="2"/>
    </row>
    <row r="881">
      <c r="A881" s="1"/>
      <c r="C881" s="1"/>
      <c r="E881" s="1"/>
      <c r="F881" s="1"/>
      <c r="G881" s="2"/>
      <c r="H881" s="1"/>
      <c r="I881" s="1"/>
      <c r="J881" s="1"/>
      <c r="K881" s="1"/>
      <c r="M881" s="1"/>
      <c r="N881" s="1"/>
      <c r="O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2"/>
      <c r="AB881" s="1"/>
      <c r="AC881" s="1"/>
      <c r="AD881" s="1"/>
      <c r="AE881" s="1"/>
      <c r="AF881" s="1"/>
      <c r="AG881" s="1"/>
      <c r="AH881" s="2"/>
      <c r="AI881" s="2"/>
      <c r="AJ881" s="2"/>
      <c r="AK881" s="2"/>
      <c r="AL881" s="2"/>
      <c r="AM881" s="1"/>
      <c r="AN881" s="2"/>
      <c r="AP881" s="2"/>
      <c r="AQ881" s="1"/>
      <c r="AR881" s="2"/>
      <c r="AU881" s="1"/>
      <c r="AW881" s="1"/>
      <c r="AY881" s="2"/>
    </row>
    <row r="882">
      <c r="A882" s="1"/>
      <c r="C882" s="1"/>
      <c r="E882" s="1"/>
      <c r="F882" s="1"/>
      <c r="G882" s="2"/>
      <c r="H882" s="1"/>
      <c r="I882" s="1"/>
      <c r="J882" s="1"/>
      <c r="K882" s="1"/>
      <c r="M882" s="1"/>
      <c r="N882" s="1"/>
      <c r="O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2"/>
      <c r="AB882" s="1"/>
      <c r="AC882" s="1"/>
      <c r="AD882" s="1"/>
      <c r="AE882" s="1"/>
      <c r="AF882" s="1"/>
      <c r="AG882" s="1"/>
      <c r="AH882" s="2"/>
      <c r="AI882" s="2"/>
      <c r="AJ882" s="2"/>
      <c r="AK882" s="2"/>
      <c r="AL882" s="2"/>
      <c r="AM882" s="1"/>
      <c r="AN882" s="2"/>
      <c r="AP882" s="2"/>
      <c r="AQ882" s="1"/>
      <c r="AR882" s="2"/>
      <c r="AU882" s="1"/>
      <c r="AW882" s="1"/>
      <c r="AY882" s="2"/>
    </row>
    <row r="883">
      <c r="A883" s="1"/>
      <c r="C883" s="1"/>
      <c r="E883" s="1"/>
      <c r="F883" s="1"/>
      <c r="G883" s="2"/>
      <c r="H883" s="1"/>
      <c r="I883" s="1"/>
      <c r="J883" s="1"/>
      <c r="K883" s="1"/>
      <c r="M883" s="1"/>
      <c r="N883" s="1"/>
      <c r="O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2"/>
      <c r="AB883" s="1"/>
      <c r="AC883" s="1"/>
      <c r="AD883" s="1"/>
      <c r="AE883" s="1"/>
      <c r="AF883" s="1"/>
      <c r="AG883" s="1"/>
      <c r="AH883" s="2"/>
      <c r="AI883" s="2"/>
      <c r="AJ883" s="2"/>
      <c r="AK883" s="2"/>
      <c r="AL883" s="2"/>
      <c r="AM883" s="1"/>
      <c r="AN883" s="2"/>
      <c r="AP883" s="2"/>
      <c r="AQ883" s="1"/>
      <c r="AR883" s="2"/>
      <c r="AU883" s="1"/>
      <c r="AW883" s="1"/>
      <c r="AY883" s="2"/>
    </row>
    <row r="884">
      <c r="A884" s="1"/>
      <c r="C884" s="1"/>
      <c r="E884" s="1"/>
      <c r="F884" s="1"/>
      <c r="G884" s="2"/>
      <c r="H884" s="1"/>
      <c r="I884" s="1"/>
      <c r="J884" s="1"/>
      <c r="K884" s="1"/>
      <c r="M884" s="1"/>
      <c r="N884" s="1"/>
      <c r="O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2"/>
      <c r="AB884" s="1"/>
      <c r="AC884" s="1"/>
      <c r="AD884" s="1"/>
      <c r="AE884" s="1"/>
      <c r="AF884" s="1"/>
      <c r="AG884" s="1"/>
      <c r="AH884" s="2"/>
      <c r="AI884" s="2"/>
      <c r="AJ884" s="2"/>
      <c r="AK884" s="2"/>
      <c r="AL884" s="2"/>
      <c r="AM884" s="1"/>
      <c r="AN884" s="2"/>
      <c r="AP884" s="2"/>
      <c r="AQ884" s="1"/>
      <c r="AR884" s="2"/>
      <c r="AU884" s="1"/>
      <c r="AW884" s="1"/>
      <c r="AY884" s="2"/>
    </row>
    <row r="885">
      <c r="A885" s="1"/>
      <c r="C885" s="1"/>
      <c r="E885" s="1"/>
      <c r="F885" s="1"/>
      <c r="G885" s="2"/>
      <c r="H885" s="1"/>
      <c r="I885" s="1"/>
      <c r="J885" s="1"/>
      <c r="K885" s="1"/>
      <c r="M885" s="1"/>
      <c r="N885" s="1"/>
      <c r="O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2"/>
      <c r="AB885" s="1"/>
      <c r="AC885" s="1"/>
      <c r="AD885" s="1"/>
      <c r="AE885" s="1"/>
      <c r="AF885" s="1"/>
      <c r="AG885" s="1"/>
      <c r="AH885" s="2"/>
      <c r="AI885" s="2"/>
      <c r="AJ885" s="2"/>
      <c r="AK885" s="2"/>
      <c r="AL885" s="2"/>
      <c r="AM885" s="1"/>
      <c r="AN885" s="2"/>
      <c r="AP885" s="2"/>
      <c r="AQ885" s="1"/>
      <c r="AR885" s="2"/>
      <c r="AU885" s="1"/>
      <c r="AW885" s="1"/>
      <c r="AY885" s="2"/>
    </row>
    <row r="886">
      <c r="A886" s="1"/>
      <c r="C886" s="1"/>
      <c r="E886" s="1"/>
      <c r="F886" s="1"/>
      <c r="G886" s="2"/>
      <c r="H886" s="1"/>
      <c r="I886" s="1"/>
      <c r="J886" s="1"/>
      <c r="K886" s="1"/>
      <c r="M886" s="1"/>
      <c r="N886" s="1"/>
      <c r="O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2"/>
      <c r="AB886" s="1"/>
      <c r="AC886" s="1"/>
      <c r="AD886" s="1"/>
      <c r="AE886" s="1"/>
      <c r="AF886" s="1"/>
      <c r="AG886" s="1"/>
      <c r="AH886" s="2"/>
      <c r="AI886" s="2"/>
      <c r="AJ886" s="2"/>
      <c r="AK886" s="2"/>
      <c r="AL886" s="2"/>
      <c r="AM886" s="1"/>
      <c r="AN886" s="2"/>
      <c r="AP886" s="2"/>
      <c r="AQ886" s="1"/>
      <c r="AR886" s="2"/>
      <c r="AU886" s="1"/>
      <c r="AW886" s="1"/>
      <c r="AY886" s="2"/>
    </row>
    <row r="887">
      <c r="A887" s="1"/>
      <c r="C887" s="1"/>
      <c r="E887" s="1"/>
      <c r="F887" s="1"/>
      <c r="G887" s="2"/>
      <c r="H887" s="1"/>
      <c r="I887" s="1"/>
      <c r="J887" s="1"/>
      <c r="K887" s="1"/>
      <c r="M887" s="1"/>
      <c r="N887" s="1"/>
      <c r="O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2"/>
      <c r="AB887" s="1"/>
      <c r="AC887" s="1"/>
      <c r="AD887" s="1"/>
      <c r="AE887" s="1"/>
      <c r="AF887" s="1"/>
      <c r="AG887" s="1"/>
      <c r="AH887" s="2"/>
      <c r="AI887" s="2"/>
      <c r="AJ887" s="2"/>
      <c r="AK887" s="2"/>
      <c r="AL887" s="2"/>
      <c r="AM887" s="1"/>
      <c r="AN887" s="2"/>
      <c r="AP887" s="2"/>
      <c r="AQ887" s="1"/>
      <c r="AR887" s="2"/>
      <c r="AU887" s="1"/>
      <c r="AW887" s="1"/>
      <c r="AY887" s="2"/>
    </row>
    <row r="888">
      <c r="A888" s="1"/>
      <c r="C888" s="1"/>
      <c r="E888" s="1"/>
      <c r="F888" s="1"/>
      <c r="G888" s="2"/>
      <c r="H888" s="1"/>
      <c r="I888" s="1"/>
      <c r="J888" s="1"/>
      <c r="K888" s="1"/>
      <c r="M888" s="1"/>
      <c r="N888" s="1"/>
      <c r="O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2"/>
      <c r="AI888" s="2"/>
      <c r="AJ888" s="2"/>
      <c r="AK888" s="2"/>
      <c r="AL888" s="2"/>
      <c r="AM888" s="1"/>
      <c r="AN888" s="2"/>
      <c r="AP888" s="2"/>
      <c r="AQ888" s="1"/>
      <c r="AR888" s="2"/>
      <c r="AU888" s="1"/>
      <c r="AW888" s="1"/>
      <c r="AY888" s="2"/>
    </row>
    <row r="889">
      <c r="A889" s="1"/>
      <c r="C889" s="1"/>
      <c r="E889" s="1"/>
      <c r="F889" s="1"/>
      <c r="G889" s="2"/>
      <c r="H889" s="1"/>
      <c r="I889" s="1"/>
      <c r="J889" s="1"/>
      <c r="K889" s="1"/>
      <c r="M889" s="1"/>
      <c r="N889" s="1"/>
      <c r="O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2"/>
      <c r="AB889" s="1"/>
      <c r="AC889" s="1"/>
      <c r="AD889" s="1"/>
      <c r="AE889" s="1"/>
      <c r="AF889" s="1"/>
      <c r="AG889" s="1"/>
      <c r="AH889" s="2"/>
      <c r="AI889" s="2"/>
      <c r="AJ889" s="2"/>
      <c r="AK889" s="2"/>
      <c r="AL889" s="2"/>
      <c r="AM889" s="1"/>
      <c r="AN889" s="2"/>
      <c r="AP889" s="2"/>
      <c r="AQ889" s="1"/>
      <c r="AR889" s="2"/>
      <c r="AU889" s="1"/>
      <c r="AW889" s="1"/>
      <c r="AY889" s="2"/>
    </row>
    <row r="890">
      <c r="A890" s="1"/>
      <c r="C890" s="1"/>
      <c r="E890" s="1"/>
      <c r="F890" s="1"/>
      <c r="G890" s="2"/>
      <c r="H890" s="1"/>
      <c r="I890" s="1"/>
      <c r="J890" s="1"/>
      <c r="K890" s="1"/>
      <c r="M890" s="1"/>
      <c r="N890" s="1"/>
      <c r="O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2"/>
      <c r="AB890" s="1"/>
      <c r="AC890" s="1"/>
      <c r="AD890" s="1"/>
      <c r="AE890" s="1"/>
      <c r="AF890" s="1"/>
      <c r="AG890" s="1"/>
      <c r="AH890" s="2"/>
      <c r="AI890" s="2"/>
      <c r="AJ890" s="2"/>
      <c r="AK890" s="2"/>
      <c r="AL890" s="2"/>
      <c r="AM890" s="1"/>
      <c r="AN890" s="2"/>
      <c r="AP890" s="2"/>
      <c r="AQ890" s="1"/>
      <c r="AR890" s="2"/>
      <c r="AU890" s="1"/>
      <c r="AW890" s="1"/>
      <c r="AY890" s="2"/>
    </row>
    <row r="891">
      <c r="A891" s="1"/>
      <c r="C891" s="1"/>
      <c r="E891" s="1"/>
      <c r="F891" s="1"/>
      <c r="G891" s="2"/>
      <c r="H891" s="1"/>
      <c r="I891" s="1"/>
      <c r="J891" s="1"/>
      <c r="K891" s="1"/>
      <c r="M891" s="1"/>
      <c r="N891" s="1"/>
      <c r="O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2"/>
      <c r="AB891" s="1"/>
      <c r="AC891" s="1"/>
      <c r="AD891" s="1"/>
      <c r="AE891" s="1"/>
      <c r="AF891" s="1"/>
      <c r="AG891" s="1"/>
      <c r="AH891" s="2"/>
      <c r="AI891" s="2"/>
      <c r="AJ891" s="2"/>
      <c r="AK891" s="2"/>
      <c r="AL891" s="2"/>
      <c r="AM891" s="1"/>
      <c r="AN891" s="2"/>
      <c r="AP891" s="2"/>
      <c r="AQ891" s="1"/>
      <c r="AR891" s="2"/>
      <c r="AU891" s="1"/>
      <c r="AW891" s="1"/>
      <c r="AY891" s="2"/>
    </row>
    <row r="892">
      <c r="A892" s="1"/>
      <c r="C892" s="1"/>
      <c r="E892" s="1"/>
      <c r="F892" s="1"/>
      <c r="G892" s="2"/>
      <c r="H892" s="1"/>
      <c r="I892" s="1"/>
      <c r="J892" s="1"/>
      <c r="K892" s="1"/>
      <c r="M892" s="1"/>
      <c r="N892" s="1"/>
      <c r="O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2"/>
      <c r="AB892" s="1"/>
      <c r="AC892" s="1"/>
      <c r="AD892" s="1"/>
      <c r="AE892" s="1"/>
      <c r="AF892" s="1"/>
      <c r="AG892" s="1"/>
      <c r="AH892" s="2"/>
      <c r="AI892" s="2"/>
      <c r="AJ892" s="2"/>
      <c r="AK892" s="2"/>
      <c r="AL892" s="2"/>
      <c r="AM892" s="1"/>
      <c r="AN892" s="2"/>
      <c r="AP892" s="2"/>
      <c r="AQ892" s="1"/>
      <c r="AR892" s="2"/>
      <c r="AU892" s="1"/>
      <c r="AW892" s="1"/>
      <c r="AY892" s="2"/>
    </row>
    <row r="893">
      <c r="A893" s="1"/>
      <c r="C893" s="1"/>
      <c r="E893" s="1"/>
      <c r="F893" s="1"/>
      <c r="G893" s="2"/>
      <c r="H893" s="1"/>
      <c r="I893" s="1"/>
      <c r="J893" s="1"/>
      <c r="K893" s="1"/>
      <c r="M893" s="1"/>
      <c r="N893" s="1"/>
      <c r="O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2"/>
      <c r="AB893" s="1"/>
      <c r="AC893" s="1"/>
      <c r="AD893" s="1"/>
      <c r="AE893" s="1"/>
      <c r="AF893" s="1"/>
      <c r="AG893" s="1"/>
      <c r="AH893" s="2"/>
      <c r="AI893" s="2"/>
      <c r="AJ893" s="2"/>
      <c r="AK893" s="2"/>
      <c r="AL893" s="2"/>
      <c r="AM893" s="1"/>
      <c r="AN893" s="2"/>
      <c r="AP893" s="2"/>
      <c r="AQ893" s="1"/>
      <c r="AR893" s="2"/>
      <c r="AU893" s="1"/>
      <c r="AW893" s="1"/>
      <c r="AY893" s="2"/>
    </row>
    <row r="894">
      <c r="A894" s="1"/>
      <c r="C894" s="1"/>
      <c r="E894" s="1"/>
      <c r="F894" s="1"/>
      <c r="G894" s="2"/>
      <c r="H894" s="1"/>
      <c r="I894" s="1"/>
      <c r="J894" s="1"/>
      <c r="K894" s="1"/>
      <c r="M894" s="1"/>
      <c r="N894" s="1"/>
      <c r="O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2"/>
      <c r="AB894" s="1"/>
      <c r="AC894" s="1"/>
      <c r="AD894" s="1"/>
      <c r="AE894" s="1"/>
      <c r="AF894" s="1"/>
      <c r="AG894" s="1"/>
      <c r="AH894" s="2"/>
      <c r="AI894" s="2"/>
      <c r="AJ894" s="2"/>
      <c r="AK894" s="2"/>
      <c r="AL894" s="2"/>
      <c r="AM894" s="1"/>
      <c r="AN894" s="2"/>
      <c r="AP894" s="2"/>
      <c r="AQ894" s="1"/>
      <c r="AR894" s="2"/>
      <c r="AU894" s="1"/>
      <c r="AW894" s="1"/>
      <c r="AY894" s="2"/>
    </row>
    <row r="895">
      <c r="A895" s="1"/>
      <c r="C895" s="1"/>
      <c r="E895" s="1"/>
      <c r="F895" s="1"/>
      <c r="G895" s="2"/>
      <c r="H895" s="1"/>
      <c r="I895" s="1"/>
      <c r="J895" s="1"/>
      <c r="K895" s="1"/>
      <c r="M895" s="1"/>
      <c r="N895" s="1"/>
      <c r="O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2"/>
      <c r="AB895" s="1"/>
      <c r="AC895" s="1"/>
      <c r="AD895" s="1"/>
      <c r="AE895" s="1"/>
      <c r="AF895" s="1"/>
      <c r="AG895" s="1"/>
      <c r="AH895" s="2"/>
      <c r="AI895" s="2"/>
      <c r="AJ895" s="2"/>
      <c r="AK895" s="2"/>
      <c r="AL895" s="2"/>
      <c r="AM895" s="1"/>
      <c r="AN895" s="2"/>
      <c r="AP895" s="2"/>
      <c r="AQ895" s="1"/>
      <c r="AR895" s="2"/>
      <c r="AU895" s="1"/>
      <c r="AW895" s="1"/>
      <c r="AY895" s="2"/>
    </row>
    <row r="896">
      <c r="A896" s="1"/>
      <c r="C896" s="1"/>
      <c r="E896" s="1"/>
      <c r="F896" s="1"/>
      <c r="G896" s="2"/>
      <c r="H896" s="1"/>
      <c r="I896" s="1"/>
      <c r="J896" s="1"/>
      <c r="K896" s="1"/>
      <c r="M896" s="1"/>
      <c r="N896" s="1"/>
      <c r="O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2"/>
      <c r="AB896" s="1"/>
      <c r="AC896" s="1"/>
      <c r="AD896" s="1"/>
      <c r="AE896" s="1"/>
      <c r="AF896" s="1"/>
      <c r="AG896" s="1"/>
      <c r="AH896" s="2"/>
      <c r="AI896" s="2"/>
      <c r="AJ896" s="2"/>
      <c r="AK896" s="2"/>
      <c r="AL896" s="2"/>
      <c r="AM896" s="1"/>
      <c r="AN896" s="2"/>
      <c r="AP896" s="2"/>
      <c r="AQ896" s="1"/>
      <c r="AR896" s="2"/>
      <c r="AU896" s="1"/>
      <c r="AW896" s="1"/>
      <c r="AY896" s="2"/>
    </row>
    <row r="897">
      <c r="A897" s="1"/>
      <c r="C897" s="1"/>
      <c r="E897" s="1"/>
      <c r="F897" s="1"/>
      <c r="G897" s="2"/>
      <c r="H897" s="1"/>
      <c r="I897" s="1"/>
      <c r="J897" s="1"/>
      <c r="K897" s="1"/>
      <c r="M897" s="1"/>
      <c r="N897" s="1"/>
      <c r="O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2"/>
      <c r="AB897" s="1"/>
      <c r="AC897" s="1"/>
      <c r="AD897" s="1"/>
      <c r="AE897" s="1"/>
      <c r="AF897" s="1"/>
      <c r="AG897" s="1"/>
      <c r="AH897" s="2"/>
      <c r="AI897" s="2"/>
      <c r="AJ897" s="2"/>
      <c r="AK897" s="2"/>
      <c r="AL897" s="2"/>
      <c r="AM897" s="1"/>
      <c r="AN897" s="2"/>
      <c r="AP897" s="2"/>
      <c r="AQ897" s="1"/>
      <c r="AR897" s="2"/>
      <c r="AU897" s="1"/>
      <c r="AW897" s="1"/>
      <c r="AY897" s="2"/>
    </row>
    <row r="898">
      <c r="A898" s="1"/>
      <c r="C898" s="1"/>
      <c r="E898" s="1"/>
      <c r="F898" s="1"/>
      <c r="G898" s="2"/>
      <c r="H898" s="1"/>
      <c r="I898" s="1"/>
      <c r="J898" s="1"/>
      <c r="K898" s="1"/>
      <c r="M898" s="1"/>
      <c r="N898" s="1"/>
      <c r="O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2"/>
      <c r="AB898" s="1"/>
      <c r="AC898" s="1"/>
      <c r="AD898" s="1"/>
      <c r="AE898" s="1"/>
      <c r="AF898" s="1"/>
      <c r="AG898" s="1"/>
      <c r="AH898" s="2"/>
      <c r="AI898" s="2"/>
      <c r="AJ898" s="2"/>
      <c r="AK898" s="2"/>
      <c r="AL898" s="2"/>
      <c r="AM898" s="1"/>
      <c r="AN898" s="2"/>
      <c r="AP898" s="2"/>
      <c r="AQ898" s="1"/>
      <c r="AR898" s="2"/>
      <c r="AU898" s="1"/>
      <c r="AW898" s="1"/>
      <c r="AY898" s="2"/>
    </row>
    <row r="899">
      <c r="A899" s="1"/>
      <c r="C899" s="1"/>
      <c r="E899" s="1"/>
      <c r="F899" s="1"/>
      <c r="G899" s="2"/>
      <c r="H899" s="1"/>
      <c r="I899" s="1"/>
      <c r="J899" s="1"/>
      <c r="K899" s="1"/>
      <c r="M899" s="1"/>
      <c r="N899" s="1"/>
      <c r="O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2"/>
      <c r="AJ899" s="2"/>
      <c r="AK899" s="2"/>
      <c r="AL899" s="2"/>
      <c r="AM899" s="1"/>
      <c r="AN899" s="2"/>
      <c r="AP899" s="2"/>
      <c r="AQ899" s="1"/>
      <c r="AR899" s="2"/>
      <c r="AU899" s="1"/>
      <c r="AW899" s="1"/>
      <c r="AY899" s="2"/>
    </row>
    <row r="900">
      <c r="A900" s="1"/>
      <c r="C900" s="1"/>
      <c r="E900" s="1"/>
      <c r="F900" s="1"/>
      <c r="G900" s="2"/>
      <c r="H900" s="1"/>
      <c r="I900" s="1"/>
      <c r="J900" s="1"/>
      <c r="K900" s="1"/>
      <c r="M900" s="1"/>
      <c r="N900" s="1"/>
      <c r="O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2"/>
      <c r="AB900" s="1"/>
      <c r="AC900" s="1"/>
      <c r="AD900" s="1"/>
      <c r="AE900" s="1"/>
      <c r="AF900" s="1"/>
      <c r="AG900" s="1"/>
      <c r="AH900" s="2"/>
      <c r="AI900" s="2"/>
      <c r="AJ900" s="2"/>
      <c r="AK900" s="2"/>
      <c r="AL900" s="2"/>
      <c r="AM900" s="1"/>
      <c r="AN900" s="2"/>
      <c r="AP900" s="2"/>
      <c r="AQ900" s="1"/>
      <c r="AR900" s="2"/>
      <c r="AU900" s="1"/>
      <c r="AW900" s="1"/>
      <c r="AY900" s="2"/>
    </row>
    <row r="901">
      <c r="A901" s="1"/>
      <c r="C901" s="1"/>
      <c r="E901" s="1"/>
      <c r="F901" s="1"/>
      <c r="G901" s="2"/>
      <c r="H901" s="1"/>
      <c r="I901" s="1"/>
      <c r="J901" s="1"/>
      <c r="K901" s="1"/>
      <c r="M901" s="1"/>
      <c r="N901" s="1"/>
      <c r="O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2"/>
      <c r="AB901" s="1"/>
      <c r="AC901" s="1"/>
      <c r="AD901" s="1"/>
      <c r="AE901" s="1"/>
      <c r="AF901" s="1"/>
      <c r="AG901" s="1"/>
      <c r="AH901" s="2"/>
      <c r="AI901" s="2"/>
      <c r="AJ901" s="2"/>
      <c r="AK901" s="2"/>
      <c r="AL901" s="2"/>
      <c r="AM901" s="1"/>
      <c r="AN901" s="2"/>
      <c r="AP901" s="2"/>
      <c r="AQ901" s="1"/>
      <c r="AR901" s="2"/>
      <c r="AU901" s="1"/>
      <c r="AW901" s="1"/>
      <c r="AY901" s="2"/>
    </row>
    <row r="902">
      <c r="A902" s="1"/>
      <c r="C902" s="1"/>
      <c r="E902" s="1"/>
      <c r="F902" s="1"/>
      <c r="G902" s="2"/>
      <c r="H902" s="1"/>
      <c r="I902" s="1"/>
      <c r="J902" s="1"/>
      <c r="K902" s="1"/>
      <c r="M902" s="1"/>
      <c r="N902" s="1"/>
      <c r="O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2"/>
      <c r="AB902" s="1"/>
      <c r="AC902" s="1"/>
      <c r="AD902" s="1"/>
      <c r="AE902" s="1"/>
      <c r="AF902" s="1"/>
      <c r="AG902" s="1"/>
      <c r="AH902" s="2"/>
      <c r="AI902" s="2"/>
      <c r="AJ902" s="2"/>
      <c r="AK902" s="2"/>
      <c r="AL902" s="2"/>
      <c r="AM902" s="1"/>
      <c r="AN902" s="2"/>
      <c r="AP902" s="2"/>
      <c r="AQ902" s="1"/>
      <c r="AR902" s="2"/>
      <c r="AU902" s="1"/>
      <c r="AW902" s="1"/>
      <c r="AY902" s="2"/>
    </row>
    <row r="903">
      <c r="A903" s="1"/>
      <c r="C903" s="1"/>
      <c r="E903" s="1"/>
      <c r="F903" s="1"/>
      <c r="G903" s="2"/>
      <c r="H903" s="1"/>
      <c r="I903" s="1"/>
      <c r="J903" s="1"/>
      <c r="K903" s="1"/>
      <c r="M903" s="1"/>
      <c r="N903" s="1"/>
      <c r="O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2"/>
      <c r="AB903" s="1"/>
      <c r="AC903" s="1"/>
      <c r="AD903" s="1"/>
      <c r="AE903" s="1"/>
      <c r="AF903" s="1"/>
      <c r="AG903" s="1"/>
      <c r="AH903" s="2"/>
      <c r="AI903" s="2"/>
      <c r="AJ903" s="2"/>
      <c r="AK903" s="2"/>
      <c r="AL903" s="2"/>
      <c r="AM903" s="1"/>
      <c r="AN903" s="2"/>
      <c r="AP903" s="2"/>
      <c r="AQ903" s="1"/>
      <c r="AR903" s="2"/>
      <c r="AU903" s="1"/>
      <c r="AW903" s="1"/>
      <c r="AY903" s="2"/>
    </row>
    <row r="904">
      <c r="A904" s="1"/>
      <c r="C904" s="1"/>
      <c r="E904" s="1"/>
      <c r="F904" s="1"/>
      <c r="G904" s="2"/>
      <c r="H904" s="1"/>
      <c r="I904" s="1"/>
      <c r="J904" s="1"/>
      <c r="K904" s="1"/>
      <c r="M904" s="1"/>
      <c r="N904" s="1"/>
      <c r="O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2"/>
      <c r="AB904" s="1"/>
      <c r="AC904" s="1"/>
      <c r="AD904" s="1"/>
      <c r="AE904" s="1"/>
      <c r="AF904" s="1"/>
      <c r="AG904" s="1"/>
      <c r="AH904" s="2"/>
      <c r="AI904" s="2"/>
      <c r="AJ904" s="2"/>
      <c r="AK904" s="2"/>
      <c r="AL904" s="2"/>
      <c r="AM904" s="1"/>
      <c r="AN904" s="2"/>
      <c r="AP904" s="2"/>
      <c r="AQ904" s="1"/>
      <c r="AR904" s="2"/>
      <c r="AU904" s="1"/>
      <c r="AW904" s="1"/>
      <c r="AY904" s="2"/>
    </row>
    <row r="905">
      <c r="A905" s="1"/>
      <c r="C905" s="1"/>
      <c r="E905" s="1"/>
      <c r="F905" s="1"/>
      <c r="G905" s="2"/>
      <c r="H905" s="1"/>
      <c r="I905" s="1"/>
      <c r="J905" s="1"/>
      <c r="K905" s="1"/>
      <c r="M905" s="1"/>
      <c r="N905" s="1"/>
      <c r="O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2"/>
      <c r="AB905" s="1"/>
      <c r="AC905" s="1"/>
      <c r="AD905" s="1"/>
      <c r="AE905" s="1"/>
      <c r="AF905" s="1"/>
      <c r="AG905" s="1"/>
      <c r="AH905" s="2"/>
      <c r="AI905" s="2"/>
      <c r="AJ905" s="2"/>
      <c r="AK905" s="2"/>
      <c r="AL905" s="2"/>
      <c r="AM905" s="1"/>
      <c r="AN905" s="2"/>
      <c r="AP905" s="2"/>
      <c r="AQ905" s="1"/>
      <c r="AR905" s="2"/>
      <c r="AU905" s="1"/>
      <c r="AW905" s="1"/>
      <c r="AY905" s="2"/>
    </row>
    <row r="906">
      <c r="A906" s="1"/>
      <c r="C906" s="1"/>
      <c r="E906" s="1"/>
      <c r="F906" s="1"/>
      <c r="G906" s="2"/>
      <c r="H906" s="1"/>
      <c r="I906" s="1"/>
      <c r="J906" s="1"/>
      <c r="K906" s="1"/>
      <c r="M906" s="1"/>
      <c r="N906" s="1"/>
      <c r="O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2"/>
      <c r="AB906" s="1"/>
      <c r="AC906" s="1"/>
      <c r="AD906" s="1"/>
      <c r="AE906" s="1"/>
      <c r="AF906" s="1"/>
      <c r="AG906" s="1"/>
      <c r="AH906" s="2"/>
      <c r="AI906" s="2"/>
      <c r="AJ906" s="2"/>
      <c r="AK906" s="2"/>
      <c r="AL906" s="2"/>
      <c r="AM906" s="1"/>
      <c r="AN906" s="2"/>
      <c r="AP906" s="2"/>
      <c r="AQ906" s="1"/>
      <c r="AR906" s="2"/>
      <c r="AU906" s="1"/>
      <c r="AW906" s="1"/>
      <c r="AY906" s="2"/>
    </row>
    <row r="907">
      <c r="A907" s="1"/>
      <c r="C907" s="1"/>
      <c r="E907" s="1"/>
      <c r="F907" s="1"/>
      <c r="G907" s="2"/>
      <c r="H907" s="1"/>
      <c r="I907" s="1"/>
      <c r="J907" s="1"/>
      <c r="K907" s="1"/>
      <c r="M907" s="1"/>
      <c r="N907" s="1"/>
      <c r="O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2"/>
      <c r="AB907" s="1"/>
      <c r="AC907" s="1"/>
      <c r="AD907" s="1"/>
      <c r="AE907" s="1"/>
      <c r="AF907" s="1"/>
      <c r="AG907" s="1"/>
      <c r="AH907" s="2"/>
      <c r="AI907" s="2"/>
      <c r="AJ907" s="2"/>
      <c r="AK907" s="2"/>
      <c r="AL907" s="2"/>
      <c r="AM907" s="1"/>
      <c r="AN907" s="2"/>
      <c r="AP907" s="2"/>
      <c r="AQ907" s="1"/>
      <c r="AR907" s="2"/>
      <c r="AU907" s="1"/>
      <c r="AW907" s="1"/>
      <c r="AY907" s="2"/>
    </row>
    <row r="908">
      <c r="A908" s="1"/>
      <c r="C908" s="1"/>
      <c r="E908" s="1"/>
      <c r="F908" s="1"/>
      <c r="G908" s="2"/>
      <c r="H908" s="1"/>
      <c r="I908" s="1"/>
      <c r="J908" s="1"/>
      <c r="K908" s="1"/>
      <c r="M908" s="1"/>
      <c r="N908" s="1"/>
      <c r="O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2"/>
      <c r="AB908" s="1"/>
      <c r="AC908" s="1"/>
      <c r="AD908" s="1"/>
      <c r="AE908" s="1"/>
      <c r="AF908" s="1"/>
      <c r="AG908" s="1"/>
      <c r="AH908" s="2"/>
      <c r="AI908" s="2"/>
      <c r="AJ908" s="2"/>
      <c r="AK908" s="2"/>
      <c r="AL908" s="2"/>
      <c r="AM908" s="1"/>
      <c r="AN908" s="2"/>
      <c r="AP908" s="2"/>
      <c r="AQ908" s="1"/>
      <c r="AR908" s="2"/>
      <c r="AU908" s="1"/>
      <c r="AW908" s="1"/>
      <c r="AY908" s="2"/>
    </row>
    <row r="909">
      <c r="A909" s="1"/>
      <c r="C909" s="1"/>
      <c r="E909" s="1"/>
      <c r="F909" s="1"/>
      <c r="G909" s="2"/>
      <c r="H909" s="1"/>
      <c r="I909" s="1"/>
      <c r="J909" s="1"/>
      <c r="K909" s="1"/>
      <c r="M909" s="1"/>
      <c r="N909" s="1"/>
      <c r="O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2"/>
      <c r="AB909" s="1"/>
      <c r="AC909" s="1"/>
      <c r="AD909" s="1"/>
      <c r="AE909" s="1"/>
      <c r="AF909" s="1"/>
      <c r="AG909" s="1"/>
      <c r="AH909" s="2"/>
      <c r="AI909" s="2"/>
      <c r="AJ909" s="2"/>
      <c r="AK909" s="2"/>
      <c r="AL909" s="2"/>
      <c r="AM909" s="1"/>
      <c r="AN909" s="2"/>
      <c r="AP909" s="2"/>
      <c r="AQ909" s="1"/>
      <c r="AR909" s="2"/>
      <c r="AU909" s="1"/>
      <c r="AW909" s="1"/>
      <c r="AY909" s="2"/>
    </row>
    <row r="910">
      <c r="A910" s="1"/>
      <c r="C910" s="1"/>
      <c r="E910" s="1"/>
      <c r="F910" s="1"/>
      <c r="G910" s="2"/>
      <c r="H910" s="1"/>
      <c r="I910" s="1"/>
      <c r="J910" s="1"/>
      <c r="K910" s="1"/>
      <c r="M910" s="1"/>
      <c r="N910" s="1"/>
      <c r="O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2"/>
      <c r="AB910" s="1"/>
      <c r="AC910" s="1"/>
      <c r="AD910" s="1"/>
      <c r="AE910" s="1"/>
      <c r="AF910" s="1"/>
      <c r="AG910" s="1"/>
      <c r="AH910" s="2"/>
      <c r="AI910" s="2"/>
      <c r="AJ910" s="2"/>
      <c r="AK910" s="2"/>
      <c r="AL910" s="2"/>
      <c r="AM910" s="1"/>
      <c r="AN910" s="2"/>
      <c r="AP910" s="2"/>
      <c r="AQ910" s="1"/>
      <c r="AR910" s="2"/>
      <c r="AU910" s="1"/>
      <c r="AW910" s="1"/>
      <c r="AY910" s="2"/>
    </row>
    <row r="911">
      <c r="A911" s="1"/>
      <c r="C911" s="1"/>
      <c r="E911" s="1"/>
      <c r="F911" s="1"/>
      <c r="G911" s="2"/>
      <c r="H911" s="1"/>
      <c r="I911" s="1"/>
      <c r="J911" s="1"/>
      <c r="K911" s="1"/>
      <c r="M911" s="1"/>
      <c r="N911" s="1"/>
      <c r="O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2"/>
      <c r="AI911" s="2"/>
      <c r="AJ911" s="2"/>
      <c r="AK911" s="2"/>
      <c r="AL911" s="2"/>
      <c r="AM911" s="1"/>
      <c r="AN911" s="2"/>
      <c r="AP911" s="2"/>
      <c r="AQ911" s="1"/>
      <c r="AR911" s="2"/>
      <c r="AU911" s="1"/>
      <c r="AW911" s="1"/>
      <c r="AY911" s="2"/>
    </row>
    <row r="912">
      <c r="A912" s="1"/>
      <c r="C912" s="1"/>
      <c r="E912" s="1"/>
      <c r="F912" s="1"/>
      <c r="G912" s="2"/>
      <c r="H912" s="1"/>
      <c r="I912" s="1"/>
      <c r="J912" s="1"/>
      <c r="K912" s="1"/>
      <c r="M912" s="1"/>
      <c r="N912" s="1"/>
      <c r="O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2"/>
      <c r="AB912" s="1"/>
      <c r="AC912" s="1"/>
      <c r="AD912" s="1"/>
      <c r="AE912" s="1"/>
      <c r="AF912" s="1"/>
      <c r="AG912" s="1"/>
      <c r="AH912" s="2"/>
      <c r="AI912" s="2"/>
      <c r="AJ912" s="2"/>
      <c r="AK912" s="2"/>
      <c r="AL912" s="2"/>
      <c r="AM912" s="1"/>
      <c r="AN912" s="2"/>
      <c r="AP912" s="2"/>
      <c r="AQ912" s="1"/>
      <c r="AR912" s="2"/>
      <c r="AU912" s="1"/>
      <c r="AW912" s="1"/>
      <c r="AY912" s="2"/>
    </row>
    <row r="913">
      <c r="A913" s="1"/>
      <c r="C913" s="1"/>
      <c r="E913" s="1"/>
      <c r="F913" s="1"/>
      <c r="G913" s="2"/>
      <c r="H913" s="1"/>
      <c r="I913" s="1"/>
      <c r="J913" s="1"/>
      <c r="K913" s="1"/>
      <c r="M913" s="1"/>
      <c r="N913" s="1"/>
      <c r="O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2"/>
      <c r="AB913" s="1"/>
      <c r="AC913" s="1"/>
      <c r="AD913" s="1"/>
      <c r="AE913" s="1"/>
      <c r="AF913" s="1"/>
      <c r="AG913" s="1"/>
      <c r="AH913" s="2"/>
      <c r="AI913" s="2"/>
      <c r="AJ913" s="2"/>
      <c r="AK913" s="2"/>
      <c r="AL913" s="2"/>
      <c r="AM913" s="1"/>
      <c r="AN913" s="2"/>
      <c r="AP913" s="2"/>
      <c r="AQ913" s="1"/>
      <c r="AR913" s="2"/>
      <c r="AU913" s="1"/>
      <c r="AW913" s="1"/>
      <c r="AY913" s="2"/>
    </row>
    <row r="914">
      <c r="A914" s="1"/>
      <c r="C914" s="1"/>
      <c r="E914" s="1"/>
      <c r="F914" s="1"/>
      <c r="G914" s="2"/>
      <c r="H914" s="1"/>
      <c r="I914" s="1"/>
      <c r="J914" s="1"/>
      <c r="K914" s="1"/>
      <c r="M914" s="1"/>
      <c r="N914" s="1"/>
      <c r="O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2"/>
      <c r="AB914" s="1"/>
      <c r="AC914" s="1"/>
      <c r="AD914" s="1"/>
      <c r="AE914" s="1"/>
      <c r="AF914" s="1"/>
      <c r="AG914" s="1"/>
      <c r="AH914" s="2"/>
      <c r="AI914" s="2"/>
      <c r="AJ914" s="2"/>
      <c r="AK914" s="2"/>
      <c r="AL914" s="2"/>
      <c r="AM914" s="1"/>
      <c r="AN914" s="2"/>
      <c r="AP914" s="2"/>
      <c r="AQ914" s="1"/>
      <c r="AR914" s="2"/>
      <c r="AU914" s="1"/>
      <c r="AW914" s="1"/>
      <c r="AY914" s="2"/>
    </row>
    <row r="915">
      <c r="A915" s="1"/>
      <c r="C915" s="1"/>
      <c r="E915" s="1"/>
      <c r="F915" s="1"/>
      <c r="G915" s="2"/>
      <c r="H915" s="1"/>
      <c r="I915" s="1"/>
      <c r="J915" s="1"/>
      <c r="K915" s="1"/>
      <c r="M915" s="1"/>
      <c r="N915" s="1"/>
      <c r="O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2"/>
      <c r="AB915" s="1"/>
      <c r="AC915" s="1"/>
      <c r="AD915" s="1"/>
      <c r="AE915" s="1"/>
      <c r="AF915" s="1"/>
      <c r="AG915" s="1"/>
      <c r="AH915" s="2"/>
      <c r="AI915" s="2"/>
      <c r="AJ915" s="2"/>
      <c r="AK915" s="2"/>
      <c r="AL915" s="2"/>
      <c r="AM915" s="1"/>
      <c r="AN915" s="2"/>
      <c r="AP915" s="2"/>
      <c r="AQ915" s="1"/>
      <c r="AR915" s="2"/>
      <c r="AU915" s="1"/>
      <c r="AW915" s="1"/>
      <c r="AY915" s="2"/>
    </row>
    <row r="916">
      <c r="A916" s="1"/>
      <c r="C916" s="1"/>
      <c r="E916" s="1"/>
      <c r="F916" s="1"/>
      <c r="G916" s="2"/>
      <c r="H916" s="1"/>
      <c r="I916" s="1"/>
      <c r="J916" s="1"/>
      <c r="K916" s="1"/>
      <c r="M916" s="1"/>
      <c r="N916" s="1"/>
      <c r="O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2"/>
      <c r="AB916" s="1"/>
      <c r="AC916" s="1"/>
      <c r="AD916" s="1"/>
      <c r="AE916" s="1"/>
      <c r="AF916" s="1"/>
      <c r="AG916" s="1"/>
      <c r="AH916" s="2"/>
      <c r="AI916" s="2"/>
      <c r="AJ916" s="2"/>
      <c r="AK916" s="2"/>
      <c r="AL916" s="2"/>
      <c r="AM916" s="1"/>
      <c r="AN916" s="2"/>
      <c r="AP916" s="2"/>
      <c r="AQ916" s="1"/>
      <c r="AR916" s="2"/>
      <c r="AU916" s="1"/>
      <c r="AW916" s="1"/>
      <c r="AY916" s="2"/>
    </row>
    <row r="917">
      <c r="A917" s="1"/>
      <c r="C917" s="1"/>
      <c r="E917" s="1"/>
      <c r="F917" s="1"/>
      <c r="G917" s="2"/>
      <c r="H917" s="1"/>
      <c r="I917" s="1"/>
      <c r="J917" s="1"/>
      <c r="K917" s="1"/>
      <c r="M917" s="1"/>
      <c r="N917" s="1"/>
      <c r="O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2"/>
      <c r="AB917" s="1"/>
      <c r="AC917" s="1"/>
      <c r="AD917" s="1"/>
      <c r="AE917" s="1"/>
      <c r="AF917" s="1"/>
      <c r="AG917" s="1"/>
      <c r="AH917" s="2"/>
      <c r="AI917" s="2"/>
      <c r="AJ917" s="2"/>
      <c r="AK917" s="2"/>
      <c r="AL917" s="2"/>
      <c r="AM917" s="1"/>
      <c r="AN917" s="2"/>
      <c r="AP917" s="2"/>
      <c r="AQ917" s="1"/>
      <c r="AR917" s="2"/>
      <c r="AU917" s="1"/>
      <c r="AW917" s="1"/>
      <c r="AY917" s="2"/>
    </row>
    <row r="918">
      <c r="A918" s="1"/>
      <c r="C918" s="1"/>
      <c r="E918" s="1"/>
      <c r="F918" s="1"/>
      <c r="G918" s="2"/>
      <c r="H918" s="1"/>
      <c r="I918" s="1"/>
      <c r="J918" s="1"/>
      <c r="K918" s="1"/>
      <c r="M918" s="1"/>
      <c r="N918" s="1"/>
      <c r="O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2"/>
      <c r="AB918" s="1"/>
      <c r="AC918" s="1"/>
      <c r="AD918" s="1"/>
      <c r="AE918" s="1"/>
      <c r="AF918" s="1"/>
      <c r="AG918" s="1"/>
      <c r="AH918" s="2"/>
      <c r="AI918" s="2"/>
      <c r="AJ918" s="2"/>
      <c r="AK918" s="2"/>
      <c r="AL918" s="2"/>
      <c r="AM918" s="1"/>
      <c r="AN918" s="2"/>
      <c r="AP918" s="2"/>
      <c r="AQ918" s="1"/>
      <c r="AR918" s="2"/>
      <c r="AU918" s="1"/>
      <c r="AW918" s="1"/>
      <c r="AY918" s="2"/>
    </row>
    <row r="919">
      <c r="A919" s="1"/>
      <c r="C919" s="1"/>
      <c r="E919" s="1"/>
      <c r="F919" s="1"/>
      <c r="G919" s="2"/>
      <c r="H919" s="1"/>
      <c r="I919" s="1"/>
      <c r="J919" s="1"/>
      <c r="K919" s="1"/>
      <c r="M919" s="1"/>
      <c r="N919" s="1"/>
      <c r="O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2"/>
      <c r="AB919" s="1"/>
      <c r="AC919" s="1"/>
      <c r="AD919" s="1"/>
      <c r="AE919" s="1"/>
      <c r="AF919" s="1"/>
      <c r="AG919" s="1"/>
      <c r="AH919" s="2"/>
      <c r="AI919" s="2"/>
      <c r="AJ919" s="2"/>
      <c r="AK919" s="2"/>
      <c r="AL919" s="2"/>
      <c r="AM919" s="1"/>
      <c r="AN919" s="2"/>
      <c r="AP919" s="2"/>
      <c r="AQ919" s="1"/>
      <c r="AR919" s="2"/>
      <c r="AU919" s="1"/>
      <c r="AW919" s="1"/>
      <c r="AY919" s="2"/>
    </row>
    <row r="920">
      <c r="A920" s="1"/>
      <c r="C920" s="1"/>
      <c r="E920" s="1"/>
      <c r="F920" s="1"/>
      <c r="G920" s="2"/>
      <c r="H920" s="1"/>
      <c r="I920" s="1"/>
      <c r="J920" s="1"/>
      <c r="K920" s="1"/>
      <c r="M920" s="1"/>
      <c r="N920" s="1"/>
      <c r="O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2"/>
      <c r="AB920" s="1"/>
      <c r="AC920" s="1"/>
      <c r="AD920" s="1"/>
      <c r="AE920" s="1"/>
      <c r="AF920" s="1"/>
      <c r="AG920" s="1"/>
      <c r="AH920" s="2"/>
      <c r="AI920" s="2"/>
      <c r="AJ920" s="2"/>
      <c r="AK920" s="2"/>
      <c r="AL920" s="2"/>
      <c r="AM920" s="1"/>
      <c r="AN920" s="2"/>
      <c r="AP920" s="2"/>
      <c r="AQ920" s="1"/>
      <c r="AR920" s="2"/>
      <c r="AU920" s="1"/>
      <c r="AW920" s="1"/>
      <c r="AY920" s="2"/>
    </row>
    <row r="921">
      <c r="A921" s="1"/>
      <c r="C921" s="1"/>
      <c r="E921" s="1"/>
      <c r="F921" s="1"/>
      <c r="G921" s="2"/>
      <c r="H921" s="1"/>
      <c r="I921" s="1"/>
      <c r="J921" s="1"/>
      <c r="K921" s="1"/>
      <c r="M921" s="1"/>
      <c r="N921" s="1"/>
      <c r="O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2"/>
      <c r="AB921" s="1"/>
      <c r="AC921" s="1"/>
      <c r="AD921" s="1"/>
      <c r="AE921" s="1"/>
      <c r="AF921" s="1"/>
      <c r="AG921" s="1"/>
      <c r="AH921" s="2"/>
      <c r="AI921" s="2"/>
      <c r="AJ921" s="2"/>
      <c r="AK921" s="2"/>
      <c r="AL921" s="2"/>
      <c r="AM921" s="1"/>
      <c r="AN921" s="2"/>
      <c r="AP921" s="2"/>
      <c r="AQ921" s="1"/>
      <c r="AR921" s="2"/>
      <c r="AU921" s="1"/>
      <c r="AW921" s="1"/>
      <c r="AY921" s="2"/>
    </row>
    <row r="922">
      <c r="A922" s="1"/>
      <c r="C922" s="1"/>
      <c r="E922" s="1"/>
      <c r="F922" s="1"/>
      <c r="G922" s="2"/>
      <c r="H922" s="1"/>
      <c r="I922" s="1"/>
      <c r="J922" s="1"/>
      <c r="K922" s="1"/>
      <c r="M922" s="1"/>
      <c r="N922" s="1"/>
      <c r="O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2"/>
      <c r="AB922" s="1"/>
      <c r="AC922" s="1"/>
      <c r="AD922" s="1"/>
      <c r="AE922" s="1"/>
      <c r="AF922" s="1"/>
      <c r="AG922" s="1"/>
      <c r="AH922" s="2"/>
      <c r="AI922" s="2"/>
      <c r="AJ922" s="2"/>
      <c r="AK922" s="2"/>
      <c r="AL922" s="2"/>
      <c r="AM922" s="1"/>
      <c r="AN922" s="2"/>
      <c r="AP922" s="2"/>
      <c r="AQ922" s="1"/>
      <c r="AR922" s="2"/>
      <c r="AU922" s="1"/>
      <c r="AW922" s="1"/>
      <c r="AY922" s="2"/>
    </row>
    <row r="923">
      <c r="A923" s="1"/>
      <c r="C923" s="1"/>
      <c r="E923" s="1"/>
      <c r="F923" s="1"/>
      <c r="G923" s="2"/>
      <c r="H923" s="1"/>
      <c r="I923" s="1"/>
      <c r="J923" s="1"/>
      <c r="K923" s="1"/>
      <c r="M923" s="1"/>
      <c r="N923" s="1"/>
      <c r="O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2"/>
      <c r="AB923" s="1"/>
      <c r="AC923" s="1"/>
      <c r="AD923" s="1"/>
      <c r="AE923" s="1"/>
      <c r="AF923" s="1"/>
      <c r="AG923" s="1"/>
      <c r="AH923" s="2"/>
      <c r="AI923" s="2"/>
      <c r="AJ923" s="2"/>
      <c r="AK923" s="2"/>
      <c r="AL923" s="2"/>
      <c r="AM923" s="1"/>
      <c r="AN923" s="2"/>
      <c r="AP923" s="2"/>
      <c r="AQ923" s="1"/>
      <c r="AR923" s="2"/>
      <c r="AU923" s="1"/>
      <c r="AW923" s="1"/>
      <c r="AY923" s="2"/>
    </row>
    <row r="924">
      <c r="A924" s="1"/>
      <c r="C924" s="1"/>
      <c r="E924" s="1"/>
      <c r="F924" s="1"/>
      <c r="G924" s="2"/>
      <c r="H924" s="1"/>
      <c r="I924" s="1"/>
      <c r="J924" s="1"/>
      <c r="K924" s="1"/>
      <c r="M924" s="1"/>
      <c r="N924" s="1"/>
      <c r="O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2"/>
      <c r="AB924" s="1"/>
      <c r="AC924" s="1"/>
      <c r="AD924" s="1"/>
      <c r="AE924" s="1"/>
      <c r="AF924" s="1"/>
      <c r="AG924" s="1"/>
      <c r="AH924" s="2"/>
      <c r="AI924" s="2"/>
      <c r="AJ924" s="2"/>
      <c r="AK924" s="2"/>
      <c r="AL924" s="2"/>
      <c r="AM924" s="1"/>
      <c r="AN924" s="2"/>
      <c r="AP924" s="2"/>
      <c r="AQ924" s="1"/>
      <c r="AR924" s="2"/>
      <c r="AU924" s="1"/>
      <c r="AW924" s="1"/>
      <c r="AY924" s="2"/>
    </row>
    <row r="925">
      <c r="A925" s="1"/>
      <c r="C925" s="1"/>
      <c r="E925" s="1"/>
      <c r="F925" s="1"/>
      <c r="G925" s="2"/>
      <c r="H925" s="1"/>
      <c r="I925" s="1"/>
      <c r="J925" s="1"/>
      <c r="K925" s="1"/>
      <c r="M925" s="1"/>
      <c r="N925" s="1"/>
      <c r="O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2"/>
      <c r="AI925" s="2"/>
      <c r="AJ925" s="2"/>
      <c r="AK925" s="2"/>
      <c r="AL925" s="2"/>
      <c r="AM925" s="1"/>
      <c r="AN925" s="2"/>
      <c r="AP925" s="2"/>
      <c r="AQ925" s="1"/>
      <c r="AR925" s="2"/>
      <c r="AU925" s="1"/>
      <c r="AW925" s="1"/>
      <c r="AY925" s="2"/>
    </row>
    <row r="926">
      <c r="A926" s="1"/>
      <c r="C926" s="1"/>
      <c r="E926" s="1"/>
      <c r="F926" s="1"/>
      <c r="G926" s="2"/>
      <c r="H926" s="1"/>
      <c r="I926" s="1"/>
      <c r="J926" s="1"/>
      <c r="K926" s="1"/>
      <c r="M926" s="1"/>
      <c r="N926" s="1"/>
      <c r="O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2"/>
      <c r="AB926" s="1"/>
      <c r="AC926" s="1"/>
      <c r="AD926" s="1"/>
      <c r="AE926" s="1"/>
      <c r="AF926" s="1"/>
      <c r="AG926" s="1"/>
      <c r="AH926" s="2"/>
      <c r="AI926" s="2"/>
      <c r="AJ926" s="2"/>
      <c r="AK926" s="2"/>
      <c r="AL926" s="2"/>
      <c r="AM926" s="1"/>
      <c r="AN926" s="2"/>
      <c r="AP926" s="2"/>
      <c r="AQ926" s="1"/>
      <c r="AR926" s="2"/>
      <c r="AU926" s="1"/>
      <c r="AW926" s="1"/>
      <c r="AY926" s="2"/>
    </row>
    <row r="927">
      <c r="A927" s="1"/>
      <c r="C927" s="1"/>
      <c r="E927" s="1"/>
      <c r="F927" s="1"/>
      <c r="G927" s="2"/>
      <c r="H927" s="1"/>
      <c r="I927" s="1"/>
      <c r="J927" s="1"/>
      <c r="K927" s="1"/>
      <c r="M927" s="1"/>
      <c r="N927" s="1"/>
      <c r="O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2"/>
      <c r="AB927" s="1"/>
      <c r="AC927" s="1"/>
      <c r="AD927" s="1"/>
      <c r="AE927" s="1"/>
      <c r="AF927" s="1"/>
      <c r="AG927" s="1"/>
      <c r="AH927" s="2"/>
      <c r="AI927" s="2"/>
      <c r="AJ927" s="2"/>
      <c r="AK927" s="2"/>
      <c r="AL927" s="2"/>
      <c r="AM927" s="1"/>
      <c r="AN927" s="2"/>
      <c r="AP927" s="2"/>
      <c r="AQ927" s="1"/>
      <c r="AR927" s="2"/>
      <c r="AU927" s="1"/>
      <c r="AW927" s="1"/>
      <c r="AY927" s="2"/>
    </row>
    <row r="928">
      <c r="A928" s="1"/>
      <c r="C928" s="1"/>
      <c r="E928" s="1"/>
      <c r="F928" s="1"/>
      <c r="G928" s="2"/>
      <c r="H928" s="1"/>
      <c r="I928" s="1"/>
      <c r="J928" s="1"/>
      <c r="K928" s="1"/>
      <c r="M928" s="1"/>
      <c r="N928" s="1"/>
      <c r="O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2"/>
      <c r="AB928" s="1"/>
      <c r="AC928" s="1"/>
      <c r="AD928" s="1"/>
      <c r="AE928" s="1"/>
      <c r="AF928" s="1"/>
      <c r="AG928" s="1"/>
      <c r="AH928" s="2"/>
      <c r="AI928" s="2"/>
      <c r="AJ928" s="2"/>
      <c r="AK928" s="2"/>
      <c r="AL928" s="2"/>
      <c r="AM928" s="1"/>
      <c r="AN928" s="2"/>
      <c r="AP928" s="2"/>
      <c r="AQ928" s="1"/>
      <c r="AR928" s="2"/>
      <c r="AU928" s="1"/>
      <c r="AW928" s="1"/>
      <c r="AY928" s="2"/>
    </row>
    <row r="929">
      <c r="A929" s="1"/>
      <c r="C929" s="1"/>
      <c r="E929" s="1"/>
      <c r="F929" s="1"/>
      <c r="G929" s="2"/>
      <c r="H929" s="1"/>
      <c r="I929" s="1"/>
      <c r="J929" s="1"/>
      <c r="K929" s="1"/>
      <c r="M929" s="1"/>
      <c r="N929" s="1"/>
      <c r="O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2"/>
      <c r="AB929" s="1"/>
      <c r="AC929" s="1"/>
      <c r="AD929" s="1"/>
      <c r="AE929" s="1"/>
      <c r="AF929" s="1"/>
      <c r="AG929" s="1"/>
      <c r="AH929" s="2"/>
      <c r="AI929" s="2"/>
      <c r="AJ929" s="2"/>
      <c r="AK929" s="2"/>
      <c r="AL929" s="2"/>
      <c r="AM929" s="1"/>
      <c r="AN929" s="2"/>
      <c r="AP929" s="2"/>
      <c r="AQ929" s="1"/>
      <c r="AR929" s="2"/>
      <c r="AU929" s="1"/>
      <c r="AW929" s="1"/>
      <c r="AY929" s="2"/>
    </row>
    <row r="930">
      <c r="A930" s="1"/>
      <c r="C930" s="1"/>
      <c r="E930" s="1"/>
      <c r="F930" s="1"/>
      <c r="G930" s="2"/>
      <c r="H930" s="1"/>
      <c r="I930" s="1"/>
      <c r="J930" s="1"/>
      <c r="K930" s="1"/>
      <c r="M930" s="1"/>
      <c r="N930" s="1"/>
      <c r="O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2"/>
      <c r="AB930" s="1"/>
      <c r="AC930" s="1"/>
      <c r="AD930" s="1"/>
      <c r="AE930" s="1"/>
      <c r="AF930" s="1"/>
      <c r="AG930" s="1"/>
      <c r="AH930" s="2"/>
      <c r="AI930" s="2"/>
      <c r="AJ930" s="2"/>
      <c r="AK930" s="2"/>
      <c r="AL930" s="2"/>
      <c r="AM930" s="1"/>
      <c r="AN930" s="2"/>
      <c r="AP930" s="2"/>
      <c r="AQ930" s="1"/>
      <c r="AR930" s="2"/>
      <c r="AU930" s="1"/>
      <c r="AW930" s="1"/>
      <c r="AY930" s="2"/>
    </row>
    <row r="931">
      <c r="A931" s="1"/>
      <c r="C931" s="1"/>
      <c r="E931" s="1"/>
      <c r="F931" s="1"/>
      <c r="G931" s="2"/>
      <c r="H931" s="1"/>
      <c r="I931" s="1"/>
      <c r="J931" s="1"/>
      <c r="K931" s="1"/>
      <c r="M931" s="1"/>
      <c r="N931" s="1"/>
      <c r="O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2"/>
      <c r="AB931" s="1"/>
      <c r="AC931" s="1"/>
      <c r="AD931" s="1"/>
      <c r="AE931" s="1"/>
      <c r="AF931" s="1"/>
      <c r="AG931" s="1"/>
      <c r="AH931" s="2"/>
      <c r="AI931" s="2"/>
      <c r="AJ931" s="2"/>
      <c r="AK931" s="2"/>
      <c r="AL931" s="2"/>
      <c r="AM931" s="1"/>
      <c r="AN931" s="2"/>
      <c r="AP931" s="2"/>
      <c r="AQ931" s="1"/>
      <c r="AR931" s="2"/>
      <c r="AU931" s="1"/>
      <c r="AW931" s="1"/>
      <c r="AY931" s="2"/>
    </row>
    <row r="932">
      <c r="A932" s="1"/>
      <c r="C932" s="1"/>
      <c r="E932" s="1"/>
      <c r="F932" s="1"/>
      <c r="G932" s="2"/>
      <c r="H932" s="1"/>
      <c r="I932" s="1"/>
      <c r="J932" s="1"/>
      <c r="K932" s="1"/>
      <c r="M932" s="1"/>
      <c r="N932" s="1"/>
      <c r="O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2"/>
      <c r="AB932" s="1"/>
      <c r="AC932" s="1"/>
      <c r="AD932" s="1"/>
      <c r="AE932" s="1"/>
      <c r="AF932" s="1"/>
      <c r="AG932" s="1"/>
      <c r="AH932" s="2"/>
      <c r="AI932" s="2"/>
      <c r="AJ932" s="2"/>
      <c r="AK932" s="2"/>
      <c r="AL932" s="2"/>
      <c r="AM932" s="1"/>
      <c r="AN932" s="2"/>
      <c r="AP932" s="2"/>
      <c r="AQ932" s="1"/>
      <c r="AR932" s="2"/>
      <c r="AU932" s="1"/>
      <c r="AW932" s="1"/>
      <c r="AY932" s="2"/>
    </row>
    <row r="933">
      <c r="A933" s="1"/>
      <c r="C933" s="1"/>
      <c r="E933" s="1"/>
      <c r="F933" s="1"/>
      <c r="G933" s="2"/>
      <c r="H933" s="1"/>
      <c r="I933" s="1"/>
      <c r="J933" s="1"/>
      <c r="K933" s="1"/>
      <c r="M933" s="1"/>
      <c r="N933" s="1"/>
      <c r="O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2"/>
      <c r="AB933" s="1"/>
      <c r="AC933" s="1"/>
      <c r="AD933" s="1"/>
      <c r="AE933" s="1"/>
      <c r="AF933" s="1"/>
      <c r="AG933" s="1"/>
      <c r="AH933" s="2"/>
      <c r="AI933" s="2"/>
      <c r="AJ933" s="2"/>
      <c r="AK933" s="2"/>
      <c r="AL933" s="2"/>
      <c r="AM933" s="1"/>
      <c r="AN933" s="2"/>
      <c r="AP933" s="2"/>
      <c r="AQ933" s="1"/>
      <c r="AR933" s="2"/>
      <c r="AU933" s="1"/>
      <c r="AW933" s="1"/>
      <c r="AY933" s="2"/>
    </row>
    <row r="934">
      <c r="A934" s="1"/>
      <c r="C934" s="1"/>
      <c r="E934" s="1"/>
      <c r="F934" s="1"/>
      <c r="G934" s="2"/>
      <c r="H934" s="1"/>
      <c r="I934" s="1"/>
      <c r="J934" s="1"/>
      <c r="K934" s="1"/>
      <c r="M934" s="1"/>
      <c r="N934" s="1"/>
      <c r="O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2"/>
      <c r="AB934" s="1"/>
      <c r="AC934" s="1"/>
      <c r="AD934" s="1"/>
      <c r="AE934" s="1"/>
      <c r="AF934" s="1"/>
      <c r="AG934" s="1"/>
      <c r="AH934" s="2"/>
      <c r="AI934" s="2"/>
      <c r="AJ934" s="2"/>
      <c r="AK934" s="2"/>
      <c r="AL934" s="2"/>
      <c r="AM934" s="1"/>
      <c r="AN934" s="2"/>
      <c r="AP934" s="2"/>
      <c r="AQ934" s="1"/>
      <c r="AR934" s="2"/>
      <c r="AU934" s="1"/>
      <c r="AW934" s="1"/>
      <c r="AY934" s="2"/>
    </row>
    <row r="935">
      <c r="A935" s="1"/>
      <c r="C935" s="1"/>
      <c r="E935" s="1"/>
      <c r="F935" s="1"/>
      <c r="G935" s="2"/>
      <c r="H935" s="1"/>
      <c r="I935" s="1"/>
      <c r="J935" s="1"/>
      <c r="K935" s="1"/>
      <c r="M935" s="1"/>
      <c r="N935" s="1"/>
      <c r="O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2"/>
      <c r="AB935" s="1"/>
      <c r="AC935" s="1"/>
      <c r="AD935" s="1"/>
      <c r="AE935" s="1"/>
      <c r="AF935" s="1"/>
      <c r="AG935" s="1"/>
      <c r="AH935" s="2"/>
      <c r="AI935" s="2"/>
      <c r="AJ935" s="2"/>
      <c r="AK935" s="2"/>
      <c r="AL935" s="2"/>
      <c r="AM935" s="1"/>
      <c r="AN935" s="2"/>
      <c r="AP935" s="2"/>
      <c r="AQ935" s="1"/>
      <c r="AR935" s="2"/>
      <c r="AU935" s="1"/>
      <c r="AW935" s="1"/>
      <c r="AY935" s="2"/>
    </row>
    <row r="936">
      <c r="A936" s="1"/>
      <c r="C936" s="1"/>
      <c r="E936" s="1"/>
      <c r="F936" s="1"/>
      <c r="G936" s="2"/>
      <c r="H936" s="1"/>
      <c r="I936" s="1"/>
      <c r="J936" s="1"/>
      <c r="K936" s="1"/>
      <c r="M936" s="1"/>
      <c r="N936" s="1"/>
      <c r="O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2"/>
      <c r="AB936" s="1"/>
      <c r="AC936" s="1"/>
      <c r="AD936" s="1"/>
      <c r="AE936" s="1"/>
      <c r="AF936" s="1"/>
      <c r="AG936" s="1"/>
      <c r="AH936" s="2"/>
      <c r="AI936" s="2"/>
      <c r="AJ936" s="2"/>
      <c r="AK936" s="2"/>
      <c r="AL936" s="2"/>
      <c r="AM936" s="1"/>
      <c r="AN936" s="2"/>
      <c r="AP936" s="2"/>
      <c r="AQ936" s="1"/>
      <c r="AR936" s="2"/>
      <c r="AU936" s="1"/>
      <c r="AW936" s="1"/>
      <c r="AY936" s="2"/>
    </row>
    <row r="937">
      <c r="A937" s="1"/>
      <c r="C937" s="1"/>
      <c r="E937" s="1"/>
      <c r="F937" s="1"/>
      <c r="G937" s="2"/>
      <c r="H937" s="1"/>
      <c r="I937" s="1"/>
      <c r="J937" s="1"/>
      <c r="K937" s="1"/>
      <c r="M937" s="1"/>
      <c r="N937" s="1"/>
      <c r="O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2"/>
      <c r="AB937" s="1"/>
      <c r="AC937" s="1"/>
      <c r="AD937" s="1"/>
      <c r="AE937" s="1"/>
      <c r="AF937" s="1"/>
      <c r="AG937" s="1"/>
      <c r="AH937" s="2"/>
      <c r="AI937" s="2"/>
      <c r="AJ937" s="2"/>
      <c r="AK937" s="2"/>
      <c r="AL937" s="2"/>
      <c r="AM937" s="1"/>
      <c r="AN937" s="2"/>
      <c r="AP937" s="2"/>
      <c r="AQ937" s="1"/>
      <c r="AR937" s="2"/>
      <c r="AU937" s="1"/>
      <c r="AW937" s="1"/>
      <c r="AY937" s="2"/>
    </row>
    <row r="938">
      <c r="A938" s="1"/>
      <c r="C938" s="1"/>
      <c r="E938" s="1"/>
      <c r="F938" s="1"/>
      <c r="G938" s="2"/>
      <c r="H938" s="1"/>
      <c r="I938" s="1"/>
      <c r="J938" s="1"/>
      <c r="K938" s="1"/>
      <c r="M938" s="1"/>
      <c r="N938" s="1"/>
      <c r="O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2"/>
      <c r="AB938" s="1"/>
      <c r="AC938" s="1"/>
      <c r="AD938" s="1"/>
      <c r="AE938" s="1"/>
      <c r="AF938" s="1"/>
      <c r="AG938" s="1"/>
      <c r="AH938" s="2"/>
      <c r="AI938" s="2"/>
      <c r="AJ938" s="2"/>
      <c r="AK938" s="2"/>
      <c r="AL938" s="2"/>
      <c r="AM938" s="1"/>
      <c r="AN938" s="2"/>
      <c r="AP938" s="2"/>
      <c r="AQ938" s="1"/>
      <c r="AR938" s="2"/>
      <c r="AU938" s="1"/>
      <c r="AW938" s="1"/>
      <c r="AY938" s="2"/>
    </row>
    <row r="939">
      <c r="A939" s="1"/>
      <c r="C939" s="1"/>
      <c r="E939" s="1"/>
      <c r="F939" s="1"/>
      <c r="G939" s="2"/>
      <c r="H939" s="1"/>
      <c r="I939" s="1"/>
      <c r="J939" s="1"/>
      <c r="K939" s="1"/>
      <c r="M939" s="1"/>
      <c r="N939" s="1"/>
      <c r="O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2"/>
      <c r="AB939" s="1"/>
      <c r="AC939" s="1"/>
      <c r="AD939" s="1"/>
      <c r="AE939" s="1"/>
      <c r="AF939" s="1"/>
      <c r="AG939" s="1"/>
      <c r="AH939" s="2"/>
      <c r="AI939" s="2"/>
      <c r="AJ939" s="2"/>
      <c r="AK939" s="2"/>
      <c r="AL939" s="2"/>
      <c r="AM939" s="1"/>
      <c r="AN939" s="2"/>
      <c r="AP939" s="2"/>
      <c r="AQ939" s="1"/>
      <c r="AR939" s="2"/>
      <c r="AU939" s="1"/>
      <c r="AW939" s="1"/>
      <c r="AY939" s="2"/>
    </row>
    <row r="940">
      <c r="A940" s="1"/>
      <c r="C940" s="1"/>
      <c r="E940" s="1"/>
      <c r="F940" s="1"/>
      <c r="G940" s="2"/>
      <c r="H940" s="1"/>
      <c r="I940" s="1"/>
      <c r="J940" s="1"/>
      <c r="K940" s="1"/>
      <c r="M940" s="1"/>
      <c r="N940" s="1"/>
      <c r="O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2"/>
      <c r="AB940" s="1"/>
      <c r="AC940" s="1"/>
      <c r="AD940" s="1"/>
      <c r="AE940" s="1"/>
      <c r="AF940" s="1"/>
      <c r="AG940" s="1"/>
      <c r="AH940" s="2"/>
      <c r="AI940" s="2"/>
      <c r="AJ940" s="2"/>
      <c r="AK940" s="2"/>
      <c r="AL940" s="2"/>
      <c r="AM940" s="1"/>
      <c r="AN940" s="2"/>
      <c r="AP940" s="2"/>
      <c r="AQ940" s="1"/>
      <c r="AR940" s="2"/>
      <c r="AU940" s="1"/>
      <c r="AW940" s="1"/>
      <c r="AY940" s="2"/>
    </row>
    <row r="941">
      <c r="A941" s="1"/>
      <c r="C941" s="1"/>
      <c r="E941" s="1"/>
      <c r="F941" s="1"/>
      <c r="G941" s="2"/>
      <c r="H941" s="1"/>
      <c r="I941" s="1"/>
      <c r="J941" s="1"/>
      <c r="K941" s="1"/>
      <c r="M941" s="1"/>
      <c r="N941" s="1"/>
      <c r="O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2"/>
      <c r="AB941" s="1"/>
      <c r="AC941" s="1"/>
      <c r="AD941" s="1"/>
      <c r="AE941" s="1"/>
      <c r="AF941" s="1"/>
      <c r="AG941" s="1"/>
      <c r="AH941" s="2"/>
      <c r="AI941" s="2"/>
      <c r="AJ941" s="2"/>
      <c r="AK941" s="2"/>
      <c r="AL941" s="2"/>
      <c r="AM941" s="1"/>
      <c r="AN941" s="2"/>
      <c r="AP941" s="2"/>
      <c r="AQ941" s="1"/>
      <c r="AR941" s="2"/>
      <c r="AU941" s="1"/>
      <c r="AW941" s="1"/>
      <c r="AY941" s="2"/>
    </row>
    <row r="942">
      <c r="A942" s="1"/>
      <c r="C942" s="1"/>
      <c r="E942" s="1"/>
      <c r="F942" s="1"/>
      <c r="G942" s="2"/>
      <c r="H942" s="1"/>
      <c r="I942" s="1"/>
      <c r="J942" s="1"/>
      <c r="K942" s="1"/>
      <c r="M942" s="1"/>
      <c r="N942" s="1"/>
      <c r="O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2"/>
      <c r="AB942" s="1"/>
      <c r="AC942" s="1"/>
      <c r="AD942" s="1"/>
      <c r="AE942" s="1"/>
      <c r="AF942" s="1"/>
      <c r="AG942" s="1"/>
      <c r="AH942" s="2"/>
      <c r="AI942" s="2"/>
      <c r="AJ942" s="2"/>
      <c r="AK942" s="2"/>
      <c r="AL942" s="2"/>
      <c r="AM942" s="1"/>
      <c r="AN942" s="2"/>
      <c r="AP942" s="2"/>
      <c r="AQ942" s="1"/>
      <c r="AR942" s="2"/>
      <c r="AU942" s="1"/>
      <c r="AW942" s="1"/>
      <c r="AY942" s="2"/>
    </row>
    <row r="943">
      <c r="A943" s="1"/>
      <c r="C943" s="1"/>
      <c r="E943" s="1"/>
      <c r="F943" s="1"/>
      <c r="G943" s="2"/>
      <c r="H943" s="1"/>
      <c r="I943" s="1"/>
      <c r="J943" s="1"/>
      <c r="K943" s="1"/>
      <c r="M943" s="1"/>
      <c r="N943" s="1"/>
      <c r="O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2"/>
      <c r="AB943" s="1"/>
      <c r="AC943" s="1"/>
      <c r="AD943" s="1"/>
      <c r="AE943" s="1"/>
      <c r="AF943" s="1"/>
      <c r="AG943" s="1"/>
      <c r="AH943" s="2"/>
      <c r="AI943" s="2"/>
      <c r="AJ943" s="2"/>
      <c r="AK943" s="2"/>
      <c r="AL943" s="2"/>
      <c r="AM943" s="1"/>
      <c r="AN943" s="2"/>
      <c r="AP943" s="2"/>
      <c r="AQ943" s="1"/>
      <c r="AR943" s="2"/>
      <c r="AU943" s="1"/>
      <c r="AW943" s="1"/>
      <c r="AY943" s="2"/>
    </row>
    <row r="944">
      <c r="A944" s="1"/>
      <c r="C944" s="1"/>
      <c r="E944" s="1"/>
      <c r="F944" s="1"/>
      <c r="G944" s="2"/>
      <c r="H944" s="1"/>
      <c r="I944" s="1"/>
      <c r="J944" s="1"/>
      <c r="K944" s="1"/>
      <c r="M944" s="1"/>
      <c r="N944" s="1"/>
      <c r="O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2"/>
      <c r="AB944" s="1"/>
      <c r="AC944" s="1"/>
      <c r="AD944" s="1"/>
      <c r="AE944" s="1"/>
      <c r="AF944" s="1"/>
      <c r="AG944" s="1"/>
      <c r="AH944" s="2"/>
      <c r="AI944" s="2"/>
      <c r="AJ944" s="2"/>
      <c r="AK944" s="2"/>
      <c r="AL944" s="2"/>
      <c r="AM944" s="1"/>
      <c r="AN944" s="2"/>
      <c r="AP944" s="2"/>
      <c r="AQ944" s="1"/>
      <c r="AR944" s="2"/>
      <c r="AU944" s="1"/>
      <c r="AW944" s="1"/>
      <c r="AY944" s="2"/>
    </row>
    <row r="945">
      <c r="A945" s="1"/>
      <c r="C945" s="1"/>
      <c r="E945" s="1"/>
      <c r="F945" s="1"/>
      <c r="G945" s="2"/>
      <c r="H945" s="1"/>
      <c r="I945" s="1"/>
      <c r="J945" s="1"/>
      <c r="K945" s="1"/>
      <c r="M945" s="1"/>
      <c r="N945" s="1"/>
      <c r="O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2"/>
      <c r="AB945" s="1"/>
      <c r="AC945" s="1"/>
      <c r="AD945" s="1"/>
      <c r="AE945" s="1"/>
      <c r="AF945" s="1"/>
      <c r="AG945" s="1"/>
      <c r="AH945" s="2"/>
      <c r="AI945" s="2"/>
      <c r="AJ945" s="2"/>
      <c r="AK945" s="2"/>
      <c r="AL945" s="2"/>
      <c r="AM945" s="1"/>
      <c r="AN945" s="2"/>
      <c r="AP945" s="2"/>
      <c r="AQ945" s="1"/>
      <c r="AR945" s="2"/>
      <c r="AU945" s="1"/>
      <c r="AW945" s="1"/>
      <c r="AY945" s="2"/>
    </row>
    <row r="946">
      <c r="A946" s="1"/>
      <c r="C946" s="1"/>
      <c r="E946" s="1"/>
      <c r="F946" s="1"/>
      <c r="G946" s="2"/>
      <c r="H946" s="1"/>
      <c r="I946" s="1"/>
      <c r="J946" s="1"/>
      <c r="K946" s="1"/>
      <c r="M946" s="1"/>
      <c r="N946" s="1"/>
      <c r="O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2"/>
      <c r="AB946" s="1"/>
      <c r="AC946" s="1"/>
      <c r="AD946" s="1"/>
      <c r="AE946" s="1"/>
      <c r="AF946" s="1"/>
      <c r="AG946" s="1"/>
      <c r="AH946" s="2"/>
      <c r="AI946" s="2"/>
      <c r="AJ946" s="2"/>
      <c r="AK946" s="2"/>
      <c r="AL946" s="2"/>
      <c r="AM946" s="1"/>
      <c r="AN946" s="2"/>
      <c r="AP946" s="2"/>
      <c r="AQ946" s="1"/>
      <c r="AR946" s="2"/>
      <c r="AU946" s="1"/>
      <c r="AW946" s="1"/>
      <c r="AY946" s="2"/>
    </row>
    <row r="947">
      <c r="A947" s="1"/>
      <c r="C947" s="1"/>
      <c r="E947" s="1"/>
      <c r="F947" s="1"/>
      <c r="G947" s="2"/>
      <c r="H947" s="1"/>
      <c r="I947" s="1"/>
      <c r="J947" s="1"/>
      <c r="K947" s="1"/>
      <c r="M947" s="1"/>
      <c r="N947" s="1"/>
      <c r="O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2"/>
      <c r="AB947" s="1"/>
      <c r="AC947" s="1"/>
      <c r="AD947" s="1"/>
      <c r="AE947" s="1"/>
      <c r="AF947" s="1"/>
      <c r="AG947" s="1"/>
      <c r="AH947" s="2"/>
      <c r="AI947" s="2"/>
      <c r="AJ947" s="2"/>
      <c r="AK947" s="2"/>
      <c r="AL947" s="2"/>
      <c r="AM947" s="1"/>
      <c r="AN947" s="2"/>
      <c r="AP947" s="2"/>
      <c r="AQ947" s="1"/>
      <c r="AR947" s="2"/>
      <c r="AU947" s="1"/>
      <c r="AW947" s="1"/>
      <c r="AY947" s="2"/>
    </row>
    <row r="948">
      <c r="A948" s="1"/>
      <c r="C948" s="1"/>
      <c r="E948" s="1"/>
      <c r="F948" s="1"/>
      <c r="G948" s="2"/>
      <c r="H948" s="1"/>
      <c r="I948" s="1"/>
      <c r="J948" s="1"/>
      <c r="K948" s="1"/>
      <c r="M948" s="1"/>
      <c r="N948" s="1"/>
      <c r="O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2"/>
      <c r="AB948" s="1"/>
      <c r="AC948" s="1"/>
      <c r="AD948" s="1"/>
      <c r="AE948" s="1"/>
      <c r="AF948" s="1"/>
      <c r="AG948" s="1"/>
      <c r="AH948" s="2"/>
      <c r="AI948" s="2"/>
      <c r="AJ948" s="2"/>
      <c r="AK948" s="2"/>
      <c r="AL948" s="2"/>
      <c r="AM948" s="1"/>
      <c r="AN948" s="2"/>
      <c r="AP948" s="2"/>
      <c r="AQ948" s="1"/>
      <c r="AR948" s="2"/>
      <c r="AU948" s="1"/>
      <c r="AW948" s="1"/>
      <c r="AY948" s="2"/>
    </row>
    <row r="949">
      <c r="A949" s="1"/>
      <c r="C949" s="1"/>
      <c r="E949" s="1"/>
      <c r="F949" s="1"/>
      <c r="G949" s="2"/>
      <c r="H949" s="1"/>
      <c r="I949" s="1"/>
      <c r="J949" s="1"/>
      <c r="K949" s="1"/>
      <c r="M949" s="1"/>
      <c r="N949" s="1"/>
      <c r="O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2"/>
      <c r="AB949" s="1"/>
      <c r="AC949" s="1"/>
      <c r="AD949" s="1"/>
      <c r="AE949" s="1"/>
      <c r="AF949" s="1"/>
      <c r="AG949" s="1"/>
      <c r="AH949" s="2"/>
      <c r="AI949" s="2"/>
      <c r="AJ949" s="2"/>
      <c r="AK949" s="2"/>
      <c r="AL949" s="2"/>
      <c r="AM949" s="1"/>
      <c r="AN949" s="2"/>
      <c r="AP949" s="2"/>
      <c r="AQ949" s="1"/>
      <c r="AR949" s="2"/>
      <c r="AU949" s="1"/>
      <c r="AW949" s="1"/>
      <c r="AY949" s="2"/>
    </row>
    <row r="950">
      <c r="A950" s="1"/>
      <c r="C950" s="1"/>
      <c r="E950" s="1"/>
      <c r="F950" s="1"/>
      <c r="G950" s="2"/>
      <c r="H950" s="1"/>
      <c r="I950" s="1"/>
      <c r="J950" s="1"/>
      <c r="K950" s="1"/>
      <c r="M950" s="1"/>
      <c r="N950" s="1"/>
      <c r="O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2"/>
      <c r="AB950" s="1"/>
      <c r="AC950" s="1"/>
      <c r="AD950" s="1"/>
      <c r="AE950" s="1"/>
      <c r="AF950" s="1"/>
      <c r="AG950" s="1"/>
      <c r="AH950" s="2"/>
      <c r="AI950" s="2"/>
      <c r="AJ950" s="2"/>
      <c r="AK950" s="2"/>
      <c r="AL950" s="2"/>
      <c r="AM950" s="1"/>
      <c r="AN950" s="2"/>
      <c r="AP950" s="2"/>
      <c r="AQ950" s="1"/>
      <c r="AR950" s="2"/>
      <c r="AU950" s="1"/>
      <c r="AW950" s="1"/>
      <c r="AY950" s="2"/>
    </row>
    <row r="951">
      <c r="A951" s="1"/>
      <c r="C951" s="1"/>
      <c r="E951" s="1"/>
      <c r="F951" s="1"/>
      <c r="G951" s="2"/>
      <c r="H951" s="1"/>
      <c r="I951" s="1"/>
      <c r="J951" s="1"/>
      <c r="K951" s="1"/>
      <c r="M951" s="1"/>
      <c r="N951" s="1"/>
      <c r="O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2"/>
      <c r="AB951" s="1"/>
      <c r="AC951" s="1"/>
      <c r="AD951" s="1"/>
      <c r="AE951" s="1"/>
      <c r="AF951" s="1"/>
      <c r="AG951" s="1"/>
      <c r="AH951" s="2"/>
      <c r="AI951" s="2"/>
      <c r="AJ951" s="2"/>
      <c r="AK951" s="2"/>
      <c r="AL951" s="2"/>
      <c r="AM951" s="1"/>
      <c r="AN951" s="2"/>
      <c r="AP951" s="2"/>
      <c r="AQ951" s="1"/>
      <c r="AR951" s="2"/>
      <c r="AU951" s="1"/>
      <c r="AW951" s="1"/>
      <c r="AY951" s="2"/>
    </row>
    <row r="952">
      <c r="A952" s="1"/>
      <c r="C952" s="1"/>
      <c r="E952" s="1"/>
      <c r="F952" s="1"/>
      <c r="G952" s="2"/>
      <c r="H952" s="1"/>
      <c r="I952" s="1"/>
      <c r="J952" s="1"/>
      <c r="K952" s="1"/>
      <c r="M952" s="1"/>
      <c r="N952" s="1"/>
      <c r="O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2"/>
      <c r="AB952" s="1"/>
      <c r="AC952" s="1"/>
      <c r="AD952" s="1"/>
      <c r="AE952" s="1"/>
      <c r="AF952" s="1"/>
      <c r="AG952" s="1"/>
      <c r="AH952" s="2"/>
      <c r="AI952" s="2"/>
      <c r="AJ952" s="2"/>
      <c r="AK952" s="2"/>
      <c r="AL952" s="2"/>
      <c r="AM952" s="1"/>
      <c r="AN952" s="2"/>
      <c r="AP952" s="2"/>
      <c r="AQ952" s="1"/>
      <c r="AR952" s="2"/>
      <c r="AU952" s="1"/>
      <c r="AW952" s="1"/>
      <c r="AY952" s="2"/>
    </row>
    <row r="953">
      <c r="A953" s="1"/>
      <c r="C953" s="1"/>
      <c r="E953" s="1"/>
      <c r="F953" s="1"/>
      <c r="G953" s="2"/>
      <c r="H953" s="1"/>
      <c r="I953" s="1"/>
      <c r="J953" s="1"/>
      <c r="K953" s="1"/>
      <c r="M953" s="1"/>
      <c r="N953" s="1"/>
      <c r="O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2"/>
      <c r="AB953" s="1"/>
      <c r="AC953" s="1"/>
      <c r="AD953" s="1"/>
      <c r="AE953" s="1"/>
      <c r="AF953" s="1"/>
      <c r="AG953" s="1"/>
      <c r="AH953" s="2"/>
      <c r="AI953" s="2"/>
      <c r="AJ953" s="2"/>
      <c r="AK953" s="2"/>
      <c r="AL953" s="2"/>
      <c r="AM953" s="1"/>
      <c r="AN953" s="2"/>
      <c r="AP953" s="2"/>
      <c r="AQ953" s="1"/>
      <c r="AR953" s="2"/>
      <c r="AU953" s="1"/>
      <c r="AW953" s="1"/>
      <c r="AY953" s="2"/>
    </row>
    <row r="954">
      <c r="A954" s="1"/>
      <c r="C954" s="1"/>
      <c r="E954" s="1"/>
      <c r="F954" s="1"/>
      <c r="G954" s="2"/>
      <c r="H954" s="1"/>
      <c r="I954" s="1"/>
      <c r="J954" s="1"/>
      <c r="K954" s="1"/>
      <c r="M954" s="1"/>
      <c r="N954" s="1"/>
      <c r="O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2"/>
      <c r="AB954" s="1"/>
      <c r="AC954" s="1"/>
      <c r="AD954" s="1"/>
      <c r="AE954" s="1"/>
      <c r="AF954" s="1"/>
      <c r="AG954" s="1"/>
      <c r="AH954" s="2"/>
      <c r="AI954" s="2"/>
      <c r="AJ954" s="2"/>
      <c r="AK954" s="2"/>
      <c r="AL954" s="2"/>
      <c r="AM954" s="1"/>
      <c r="AN954" s="2"/>
      <c r="AP954" s="2"/>
      <c r="AQ954" s="1"/>
      <c r="AR954" s="2"/>
      <c r="AU954" s="1"/>
      <c r="AW954" s="1"/>
      <c r="AY954" s="2"/>
    </row>
    <row r="955">
      <c r="A955" s="1"/>
      <c r="C955" s="1"/>
      <c r="E955" s="1"/>
      <c r="F955" s="1"/>
      <c r="G955" s="2"/>
      <c r="H955" s="1"/>
      <c r="I955" s="1"/>
      <c r="J955" s="1"/>
      <c r="K955" s="1"/>
      <c r="M955" s="1"/>
      <c r="N955" s="1"/>
      <c r="O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2"/>
      <c r="AB955" s="1"/>
      <c r="AC955" s="1"/>
      <c r="AD955" s="1"/>
      <c r="AE955" s="1"/>
      <c r="AF955" s="1"/>
      <c r="AG955" s="1"/>
      <c r="AH955" s="2"/>
      <c r="AI955" s="2"/>
      <c r="AJ955" s="2"/>
      <c r="AK955" s="2"/>
      <c r="AL955" s="2"/>
      <c r="AM955" s="1"/>
      <c r="AN955" s="2"/>
      <c r="AP955" s="2"/>
      <c r="AQ955" s="1"/>
      <c r="AR955" s="2"/>
      <c r="AU955" s="1"/>
      <c r="AW955" s="1"/>
      <c r="AY955" s="2"/>
    </row>
    <row r="956">
      <c r="A956" s="1"/>
      <c r="C956" s="1"/>
      <c r="E956" s="1"/>
      <c r="F956" s="1"/>
      <c r="G956" s="2"/>
      <c r="H956" s="1"/>
      <c r="I956" s="1"/>
      <c r="J956" s="1"/>
      <c r="K956" s="1"/>
      <c r="M956" s="1"/>
      <c r="N956" s="1"/>
      <c r="O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2"/>
      <c r="AB956" s="1"/>
      <c r="AC956" s="1"/>
      <c r="AD956" s="1"/>
      <c r="AE956" s="1"/>
      <c r="AF956" s="1"/>
      <c r="AG956" s="1"/>
      <c r="AH956" s="2"/>
      <c r="AI956" s="2"/>
      <c r="AJ956" s="2"/>
      <c r="AK956" s="2"/>
      <c r="AL956" s="2"/>
      <c r="AM956" s="1"/>
      <c r="AN956" s="2"/>
      <c r="AP956" s="2"/>
      <c r="AQ956" s="1"/>
      <c r="AR956" s="2"/>
      <c r="AU956" s="1"/>
      <c r="AW956" s="1"/>
      <c r="AY956" s="2"/>
    </row>
    <row r="957">
      <c r="A957" s="1"/>
      <c r="C957" s="1"/>
      <c r="E957" s="1"/>
      <c r="F957" s="1"/>
      <c r="G957" s="2"/>
      <c r="H957" s="1"/>
      <c r="I957" s="1"/>
      <c r="J957" s="1"/>
      <c r="K957" s="1"/>
      <c r="M957" s="1"/>
      <c r="N957" s="1"/>
      <c r="O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2"/>
      <c r="AB957" s="1"/>
      <c r="AC957" s="1"/>
      <c r="AD957" s="1"/>
      <c r="AE957" s="1"/>
      <c r="AF957" s="1"/>
      <c r="AG957" s="1"/>
      <c r="AH957" s="2"/>
      <c r="AI957" s="2"/>
      <c r="AJ957" s="2"/>
      <c r="AK957" s="2"/>
      <c r="AL957" s="2"/>
      <c r="AM957" s="1"/>
      <c r="AN957" s="2"/>
      <c r="AP957" s="2"/>
      <c r="AQ957" s="1"/>
      <c r="AR957" s="2"/>
      <c r="AU957" s="1"/>
      <c r="AW957" s="1"/>
      <c r="AY957" s="2"/>
    </row>
    <row r="958">
      <c r="A958" s="1"/>
      <c r="C958" s="1"/>
      <c r="E958" s="1"/>
      <c r="F958" s="1"/>
      <c r="G958" s="2"/>
      <c r="H958" s="1"/>
      <c r="I958" s="1"/>
      <c r="J958" s="1"/>
      <c r="K958" s="1"/>
      <c r="M958" s="1"/>
      <c r="N958" s="1"/>
      <c r="O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2"/>
      <c r="AB958" s="1"/>
      <c r="AC958" s="1"/>
      <c r="AD958" s="1"/>
      <c r="AE958" s="1"/>
      <c r="AF958" s="1"/>
      <c r="AG958" s="1"/>
      <c r="AH958" s="2"/>
      <c r="AI958" s="2"/>
      <c r="AJ958" s="2"/>
      <c r="AK958" s="2"/>
      <c r="AL958" s="2"/>
      <c r="AM958" s="1"/>
      <c r="AN958" s="2"/>
      <c r="AP958" s="2"/>
      <c r="AQ958" s="1"/>
      <c r="AR958" s="2"/>
      <c r="AU958" s="1"/>
      <c r="AW958" s="1"/>
      <c r="AY958" s="2"/>
    </row>
    <row r="959">
      <c r="A959" s="1"/>
      <c r="C959" s="1"/>
      <c r="E959" s="1"/>
      <c r="F959" s="1"/>
      <c r="G959" s="2"/>
      <c r="H959" s="1"/>
      <c r="I959" s="1"/>
      <c r="J959" s="1"/>
      <c r="K959" s="1"/>
      <c r="M959" s="1"/>
      <c r="N959" s="1"/>
      <c r="O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2"/>
      <c r="AB959" s="1"/>
      <c r="AC959" s="1"/>
      <c r="AD959" s="1"/>
      <c r="AE959" s="1"/>
      <c r="AF959" s="1"/>
      <c r="AG959" s="1"/>
      <c r="AH959" s="2"/>
      <c r="AI959" s="2"/>
      <c r="AJ959" s="2"/>
      <c r="AK959" s="2"/>
      <c r="AL959" s="2"/>
      <c r="AM959" s="1"/>
      <c r="AN959" s="2"/>
      <c r="AP959" s="2"/>
      <c r="AQ959" s="1"/>
      <c r="AR959" s="2"/>
      <c r="AU959" s="1"/>
      <c r="AW959" s="1"/>
      <c r="AY959" s="2"/>
    </row>
    <row r="960">
      <c r="A960" s="1"/>
      <c r="C960" s="1"/>
      <c r="E960" s="1"/>
      <c r="F960" s="1"/>
      <c r="G960" s="2"/>
      <c r="H960" s="1"/>
      <c r="I960" s="1"/>
      <c r="J960" s="1"/>
      <c r="K960" s="1"/>
      <c r="M960" s="1"/>
      <c r="N960" s="1"/>
      <c r="O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2"/>
      <c r="AB960" s="1"/>
      <c r="AC960" s="1"/>
      <c r="AD960" s="1"/>
      <c r="AE960" s="1"/>
      <c r="AF960" s="1"/>
      <c r="AG960" s="1"/>
      <c r="AH960" s="2"/>
      <c r="AI960" s="2"/>
      <c r="AJ960" s="2"/>
      <c r="AK960" s="2"/>
      <c r="AL960" s="2"/>
      <c r="AM960" s="1"/>
      <c r="AN960" s="2"/>
      <c r="AP960" s="2"/>
      <c r="AQ960" s="1"/>
      <c r="AR960" s="2"/>
      <c r="AU960" s="1"/>
      <c r="AW960" s="1"/>
      <c r="AY960" s="2"/>
    </row>
    <row r="961">
      <c r="A961" s="1"/>
      <c r="C961" s="1"/>
      <c r="E961" s="1"/>
      <c r="F961" s="1"/>
      <c r="G961" s="2"/>
      <c r="H961" s="1"/>
      <c r="I961" s="1"/>
      <c r="J961" s="1"/>
      <c r="K961" s="1"/>
      <c r="M961" s="1"/>
      <c r="N961" s="1"/>
      <c r="O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2"/>
      <c r="AB961" s="1"/>
      <c r="AC961" s="1"/>
      <c r="AD961" s="1"/>
      <c r="AE961" s="1"/>
      <c r="AF961" s="1"/>
      <c r="AG961" s="1"/>
      <c r="AH961" s="2"/>
      <c r="AI961" s="2"/>
      <c r="AJ961" s="2"/>
      <c r="AK961" s="2"/>
      <c r="AL961" s="2"/>
      <c r="AM961" s="1"/>
      <c r="AN961" s="2"/>
      <c r="AP961" s="2"/>
      <c r="AQ961" s="1"/>
      <c r="AR961" s="2"/>
      <c r="AU961" s="1"/>
      <c r="AW961" s="1"/>
      <c r="AY961" s="2"/>
    </row>
    <row r="962">
      <c r="A962" s="1"/>
      <c r="C962" s="1"/>
      <c r="E962" s="1"/>
      <c r="F962" s="1"/>
      <c r="G962" s="2"/>
      <c r="H962" s="1"/>
      <c r="I962" s="1"/>
      <c r="J962" s="1"/>
      <c r="K962" s="1"/>
      <c r="M962" s="1"/>
      <c r="N962" s="1"/>
      <c r="O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2"/>
      <c r="AB962" s="1"/>
      <c r="AC962" s="1"/>
      <c r="AD962" s="1"/>
      <c r="AE962" s="1"/>
      <c r="AF962" s="1"/>
      <c r="AG962" s="1"/>
      <c r="AH962" s="2"/>
      <c r="AI962" s="2"/>
      <c r="AJ962" s="2"/>
      <c r="AK962" s="2"/>
      <c r="AL962" s="2"/>
      <c r="AM962" s="1"/>
      <c r="AN962" s="2"/>
      <c r="AP962" s="2"/>
      <c r="AQ962" s="1"/>
      <c r="AR962" s="2"/>
      <c r="AU962" s="1"/>
      <c r="AW962" s="1"/>
      <c r="AY962" s="2"/>
    </row>
    <row r="963">
      <c r="A963" s="1"/>
      <c r="C963" s="1"/>
      <c r="E963" s="1"/>
      <c r="F963" s="1"/>
      <c r="G963" s="2"/>
      <c r="H963" s="1"/>
      <c r="I963" s="1"/>
      <c r="J963" s="1"/>
      <c r="K963" s="1"/>
      <c r="M963" s="1"/>
      <c r="N963" s="1"/>
      <c r="O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2"/>
      <c r="AB963" s="1"/>
      <c r="AC963" s="1"/>
      <c r="AD963" s="1"/>
      <c r="AE963" s="1"/>
      <c r="AF963" s="1"/>
      <c r="AG963" s="1"/>
      <c r="AH963" s="2"/>
      <c r="AI963" s="2"/>
      <c r="AJ963" s="2"/>
      <c r="AK963" s="2"/>
      <c r="AL963" s="2"/>
      <c r="AM963" s="1"/>
      <c r="AN963" s="2"/>
      <c r="AP963" s="2"/>
      <c r="AQ963" s="1"/>
      <c r="AR963" s="2"/>
      <c r="AU963" s="1"/>
      <c r="AW963" s="1"/>
      <c r="AY963" s="2"/>
    </row>
    <row r="964">
      <c r="A964" s="1"/>
      <c r="C964" s="1"/>
      <c r="E964" s="1"/>
      <c r="F964" s="1"/>
      <c r="G964" s="2"/>
      <c r="H964" s="1"/>
      <c r="I964" s="1"/>
      <c r="J964" s="1"/>
      <c r="K964" s="1"/>
      <c r="M964" s="1"/>
      <c r="N964" s="1"/>
      <c r="O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2"/>
      <c r="AB964" s="1"/>
      <c r="AC964" s="1"/>
      <c r="AD964" s="1"/>
      <c r="AE964" s="1"/>
      <c r="AF964" s="1"/>
      <c r="AG964" s="1"/>
      <c r="AH964" s="2"/>
      <c r="AI964" s="2"/>
      <c r="AJ964" s="2"/>
      <c r="AK964" s="2"/>
      <c r="AL964" s="2"/>
      <c r="AM964" s="1"/>
      <c r="AN964" s="2"/>
      <c r="AP964" s="2"/>
      <c r="AQ964" s="1"/>
      <c r="AR964" s="2"/>
      <c r="AU964" s="1"/>
      <c r="AW964" s="1"/>
      <c r="AY964" s="2"/>
    </row>
    <row r="965">
      <c r="A965" s="1"/>
      <c r="C965" s="1"/>
      <c r="E965" s="1"/>
      <c r="F965" s="1"/>
      <c r="G965" s="2"/>
      <c r="H965" s="1"/>
      <c r="I965" s="1"/>
      <c r="J965" s="1"/>
      <c r="K965" s="1"/>
      <c r="M965" s="1"/>
      <c r="N965" s="1"/>
      <c r="O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2"/>
      <c r="AB965" s="1"/>
      <c r="AC965" s="1"/>
      <c r="AD965" s="1"/>
      <c r="AE965" s="1"/>
      <c r="AF965" s="1"/>
      <c r="AG965" s="1"/>
      <c r="AH965" s="2"/>
      <c r="AI965" s="2"/>
      <c r="AJ965" s="2"/>
      <c r="AK965" s="2"/>
      <c r="AL965" s="2"/>
      <c r="AM965" s="1"/>
      <c r="AN965" s="2"/>
      <c r="AP965" s="2"/>
      <c r="AQ965" s="1"/>
      <c r="AR965" s="2"/>
      <c r="AU965" s="1"/>
      <c r="AW965" s="1"/>
      <c r="AY965" s="2"/>
    </row>
    <row r="966">
      <c r="A966" s="1"/>
      <c r="C966" s="1"/>
      <c r="E966" s="1"/>
      <c r="F966" s="1"/>
      <c r="G966" s="2"/>
      <c r="H966" s="1"/>
      <c r="I966" s="1"/>
      <c r="J966" s="1"/>
      <c r="K966" s="1"/>
      <c r="M966" s="1"/>
      <c r="N966" s="1"/>
      <c r="O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2"/>
      <c r="AB966" s="1"/>
      <c r="AC966" s="1"/>
      <c r="AD966" s="1"/>
      <c r="AE966" s="1"/>
      <c r="AF966" s="1"/>
      <c r="AG966" s="1"/>
      <c r="AH966" s="2"/>
      <c r="AI966" s="2"/>
      <c r="AJ966" s="2"/>
      <c r="AK966" s="2"/>
      <c r="AL966" s="2"/>
      <c r="AM966" s="1"/>
      <c r="AN966" s="2"/>
      <c r="AP966" s="2"/>
      <c r="AQ966" s="1"/>
      <c r="AR966" s="2"/>
      <c r="AU966" s="1"/>
      <c r="AW966" s="1"/>
      <c r="AY966" s="2"/>
    </row>
    <row r="967">
      <c r="A967" s="1"/>
      <c r="C967" s="1"/>
      <c r="E967" s="1"/>
      <c r="F967" s="1"/>
      <c r="G967" s="2"/>
      <c r="H967" s="1"/>
      <c r="I967" s="1"/>
      <c r="J967" s="1"/>
      <c r="K967" s="1"/>
      <c r="M967" s="1"/>
      <c r="N967" s="1"/>
      <c r="O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2"/>
      <c r="AB967" s="1"/>
      <c r="AC967" s="1"/>
      <c r="AD967" s="1"/>
      <c r="AE967" s="1"/>
      <c r="AF967" s="1"/>
      <c r="AG967" s="1"/>
      <c r="AH967" s="2"/>
      <c r="AI967" s="2"/>
      <c r="AJ967" s="2"/>
      <c r="AK967" s="2"/>
      <c r="AL967" s="2"/>
      <c r="AM967" s="1"/>
      <c r="AN967" s="2"/>
      <c r="AP967" s="2"/>
      <c r="AQ967" s="1"/>
      <c r="AR967" s="2"/>
      <c r="AU967" s="1"/>
      <c r="AW967" s="1"/>
      <c r="AY967" s="2"/>
    </row>
    <row r="968">
      <c r="A968" s="1"/>
      <c r="C968" s="1"/>
      <c r="E968" s="1"/>
      <c r="F968" s="1"/>
      <c r="G968" s="2"/>
      <c r="H968" s="1"/>
      <c r="I968" s="1"/>
      <c r="J968" s="1"/>
      <c r="K968" s="1"/>
      <c r="M968" s="1"/>
      <c r="N968" s="1"/>
      <c r="O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2"/>
      <c r="AB968" s="1"/>
      <c r="AC968" s="1"/>
      <c r="AD968" s="1"/>
      <c r="AE968" s="1"/>
      <c r="AF968" s="1"/>
      <c r="AG968" s="1"/>
      <c r="AH968" s="2"/>
      <c r="AI968" s="2"/>
      <c r="AJ968" s="2"/>
      <c r="AK968" s="2"/>
      <c r="AL968" s="2"/>
      <c r="AM968" s="1"/>
      <c r="AN968" s="2"/>
      <c r="AP968" s="2"/>
      <c r="AQ968" s="1"/>
      <c r="AR968" s="2"/>
      <c r="AU968" s="1"/>
      <c r="AW968" s="1"/>
      <c r="AY968" s="2"/>
    </row>
    <row r="969">
      <c r="A969" s="1"/>
      <c r="C969" s="1"/>
      <c r="E969" s="1"/>
      <c r="F969" s="1"/>
      <c r="G969" s="2"/>
      <c r="H969" s="1"/>
      <c r="I969" s="1"/>
      <c r="J969" s="1"/>
      <c r="K969" s="1"/>
      <c r="M969" s="1"/>
      <c r="N969" s="1"/>
      <c r="O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2"/>
      <c r="AB969" s="1"/>
      <c r="AC969" s="1"/>
      <c r="AD969" s="1"/>
      <c r="AE969" s="1"/>
      <c r="AF969" s="1"/>
      <c r="AG969" s="1"/>
      <c r="AH969" s="2"/>
      <c r="AI969" s="2"/>
      <c r="AJ969" s="2"/>
      <c r="AK969" s="2"/>
      <c r="AL969" s="2"/>
      <c r="AM969" s="1"/>
      <c r="AN969" s="2"/>
      <c r="AP969" s="2"/>
      <c r="AQ969" s="1"/>
      <c r="AR969" s="2"/>
      <c r="AU969" s="1"/>
      <c r="AW969" s="1"/>
      <c r="AY969" s="2"/>
    </row>
    <row r="970">
      <c r="A970" s="1"/>
      <c r="C970" s="1"/>
      <c r="E970" s="1"/>
      <c r="F970" s="1"/>
      <c r="G970" s="2"/>
      <c r="H970" s="1"/>
      <c r="I970" s="1"/>
      <c r="J970" s="1"/>
      <c r="K970" s="1"/>
      <c r="M970" s="1"/>
      <c r="N970" s="1"/>
      <c r="O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2"/>
      <c r="AB970" s="1"/>
      <c r="AC970" s="1"/>
      <c r="AD970" s="1"/>
      <c r="AE970" s="1"/>
      <c r="AF970" s="1"/>
      <c r="AG970" s="1"/>
      <c r="AH970" s="2"/>
      <c r="AI970" s="2"/>
      <c r="AJ970" s="2"/>
      <c r="AK970" s="2"/>
      <c r="AL970" s="2"/>
      <c r="AM970" s="1"/>
      <c r="AN970" s="2"/>
      <c r="AP970" s="2"/>
      <c r="AQ970" s="1"/>
      <c r="AR970" s="2"/>
      <c r="AU970" s="1"/>
      <c r="AW970" s="1"/>
      <c r="AY970" s="2"/>
    </row>
    <row r="971">
      <c r="A971" s="1"/>
      <c r="C971" s="1"/>
      <c r="E971" s="1"/>
      <c r="F971" s="1"/>
      <c r="G971" s="2"/>
      <c r="H971" s="1"/>
      <c r="I971" s="1"/>
      <c r="J971" s="1"/>
      <c r="K971" s="1"/>
      <c r="M971" s="1"/>
      <c r="N971" s="1"/>
      <c r="O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2"/>
      <c r="AB971" s="1"/>
      <c r="AC971" s="1"/>
      <c r="AD971" s="1"/>
      <c r="AE971" s="1"/>
      <c r="AF971" s="1"/>
      <c r="AG971" s="1"/>
      <c r="AH971" s="2"/>
      <c r="AI971" s="2"/>
      <c r="AJ971" s="2"/>
      <c r="AK971" s="2"/>
      <c r="AL971" s="2"/>
      <c r="AM971" s="1"/>
      <c r="AN971" s="2"/>
      <c r="AP971" s="2"/>
      <c r="AQ971" s="1"/>
      <c r="AR971" s="2"/>
      <c r="AU971" s="1"/>
      <c r="AW971" s="1"/>
      <c r="AY971" s="2"/>
    </row>
    <row r="972">
      <c r="A972" s="1"/>
      <c r="C972" s="1"/>
      <c r="E972" s="1"/>
      <c r="F972" s="1"/>
      <c r="G972" s="2"/>
      <c r="H972" s="1"/>
      <c r="I972" s="1"/>
      <c r="J972" s="1"/>
      <c r="K972" s="1"/>
      <c r="M972" s="1"/>
      <c r="N972" s="1"/>
      <c r="O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2"/>
      <c r="AB972" s="1"/>
      <c r="AC972" s="1"/>
      <c r="AD972" s="1"/>
      <c r="AE972" s="1"/>
      <c r="AF972" s="1"/>
      <c r="AG972" s="1"/>
      <c r="AH972" s="2"/>
      <c r="AI972" s="2"/>
      <c r="AJ972" s="2"/>
      <c r="AK972" s="2"/>
      <c r="AL972" s="2"/>
      <c r="AM972" s="1"/>
      <c r="AN972" s="2"/>
      <c r="AP972" s="2"/>
      <c r="AQ972" s="1"/>
      <c r="AR972" s="2"/>
      <c r="AU972" s="1"/>
      <c r="AW972" s="1"/>
      <c r="AY972" s="2"/>
    </row>
    <row r="973">
      <c r="A973" s="1"/>
      <c r="C973" s="1"/>
      <c r="E973" s="1"/>
      <c r="F973" s="1"/>
      <c r="G973" s="2"/>
      <c r="H973" s="1"/>
      <c r="I973" s="1"/>
      <c r="J973" s="1"/>
      <c r="K973" s="1"/>
      <c r="M973" s="1"/>
      <c r="N973" s="1"/>
      <c r="O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2"/>
      <c r="AB973" s="1"/>
      <c r="AC973" s="1"/>
      <c r="AD973" s="1"/>
      <c r="AE973" s="1"/>
      <c r="AF973" s="1"/>
      <c r="AG973" s="1"/>
      <c r="AH973" s="2"/>
      <c r="AI973" s="2"/>
      <c r="AJ973" s="2"/>
      <c r="AK973" s="2"/>
      <c r="AL973" s="2"/>
      <c r="AM973" s="1"/>
      <c r="AN973" s="2"/>
      <c r="AP973" s="2"/>
      <c r="AQ973" s="1"/>
      <c r="AR973" s="2"/>
      <c r="AU973" s="1"/>
      <c r="AW973" s="1"/>
      <c r="AY973" s="2"/>
    </row>
    <row r="974">
      <c r="A974" s="1"/>
      <c r="C974" s="1"/>
      <c r="E974" s="1"/>
      <c r="F974" s="1"/>
      <c r="G974" s="2"/>
      <c r="H974" s="1"/>
      <c r="I974" s="1"/>
      <c r="J974" s="1"/>
      <c r="K974" s="1"/>
      <c r="M974" s="1"/>
      <c r="N974" s="1"/>
      <c r="O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2"/>
      <c r="AB974" s="1"/>
      <c r="AC974" s="1"/>
      <c r="AD974" s="1"/>
      <c r="AE974" s="1"/>
      <c r="AF974" s="1"/>
      <c r="AG974" s="1"/>
      <c r="AH974" s="2"/>
      <c r="AI974" s="2"/>
      <c r="AJ974" s="2"/>
      <c r="AK974" s="2"/>
      <c r="AL974" s="2"/>
      <c r="AM974" s="1"/>
      <c r="AN974" s="2"/>
      <c r="AP974" s="2"/>
      <c r="AQ974" s="1"/>
      <c r="AR974" s="2"/>
      <c r="AU974" s="1"/>
      <c r="AW974" s="1"/>
      <c r="AY974" s="2"/>
    </row>
    <row r="975">
      <c r="A975" s="1"/>
      <c r="C975" s="1"/>
      <c r="E975" s="1"/>
      <c r="F975" s="1"/>
      <c r="G975" s="2"/>
      <c r="H975" s="1"/>
      <c r="I975" s="1"/>
      <c r="J975" s="1"/>
      <c r="K975" s="1"/>
      <c r="M975" s="1"/>
      <c r="N975" s="1"/>
      <c r="O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2"/>
      <c r="AI975" s="2"/>
      <c r="AJ975" s="2"/>
      <c r="AK975" s="2"/>
      <c r="AL975" s="2"/>
      <c r="AM975" s="1"/>
      <c r="AN975" s="2"/>
      <c r="AP975" s="2"/>
      <c r="AQ975" s="1"/>
      <c r="AR975" s="2"/>
      <c r="AU975" s="1"/>
      <c r="AW975" s="1"/>
      <c r="AY975" s="2"/>
    </row>
    <row r="976">
      <c r="A976" s="1"/>
      <c r="C976" s="1"/>
      <c r="E976" s="1"/>
      <c r="F976" s="1"/>
      <c r="G976" s="2"/>
      <c r="H976" s="1"/>
      <c r="I976" s="1"/>
      <c r="J976" s="1"/>
      <c r="K976" s="1"/>
      <c r="M976" s="1"/>
      <c r="N976" s="1"/>
      <c r="O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2"/>
      <c r="AB976" s="1"/>
      <c r="AC976" s="1"/>
      <c r="AD976" s="1"/>
      <c r="AE976" s="1"/>
      <c r="AF976" s="1"/>
      <c r="AG976" s="1"/>
      <c r="AH976" s="2"/>
      <c r="AI976" s="2"/>
      <c r="AJ976" s="2"/>
      <c r="AK976" s="2"/>
      <c r="AL976" s="2"/>
      <c r="AM976" s="1"/>
      <c r="AN976" s="2"/>
      <c r="AP976" s="2"/>
      <c r="AQ976" s="1"/>
      <c r="AR976" s="2"/>
      <c r="AU976" s="1"/>
      <c r="AW976" s="1"/>
      <c r="AY976" s="2"/>
    </row>
    <row r="977">
      <c r="A977" s="1"/>
      <c r="C977" s="1"/>
      <c r="E977" s="1"/>
      <c r="F977" s="1"/>
      <c r="G977" s="2"/>
      <c r="H977" s="1"/>
      <c r="I977" s="1"/>
      <c r="J977" s="1"/>
      <c r="K977" s="1"/>
      <c r="M977" s="1"/>
      <c r="N977" s="1"/>
      <c r="O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2"/>
      <c r="AB977" s="1"/>
      <c r="AC977" s="1"/>
      <c r="AD977" s="1"/>
      <c r="AE977" s="1"/>
      <c r="AF977" s="1"/>
      <c r="AG977" s="1"/>
      <c r="AH977" s="2"/>
      <c r="AI977" s="2"/>
      <c r="AJ977" s="2"/>
      <c r="AK977" s="2"/>
      <c r="AL977" s="2"/>
      <c r="AM977" s="1"/>
      <c r="AN977" s="2"/>
      <c r="AP977" s="2"/>
      <c r="AQ977" s="1"/>
      <c r="AR977" s="2"/>
      <c r="AU977" s="1"/>
      <c r="AW977" s="1"/>
      <c r="AY977" s="2"/>
    </row>
    <row r="978">
      <c r="A978" s="1"/>
      <c r="C978" s="1"/>
      <c r="E978" s="1"/>
      <c r="F978" s="1"/>
      <c r="G978" s="2"/>
      <c r="H978" s="1"/>
      <c r="I978" s="1"/>
      <c r="J978" s="1"/>
      <c r="K978" s="1"/>
      <c r="M978" s="1"/>
      <c r="N978" s="1"/>
      <c r="O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2"/>
      <c r="AB978" s="1"/>
      <c r="AC978" s="1"/>
      <c r="AD978" s="1"/>
      <c r="AE978" s="1"/>
      <c r="AF978" s="1"/>
      <c r="AG978" s="1"/>
      <c r="AH978" s="2"/>
      <c r="AI978" s="2"/>
      <c r="AJ978" s="2"/>
      <c r="AK978" s="2"/>
      <c r="AL978" s="2"/>
      <c r="AM978" s="1"/>
      <c r="AN978" s="2"/>
      <c r="AP978" s="2"/>
      <c r="AQ978" s="1"/>
      <c r="AR978" s="2"/>
      <c r="AU978" s="1"/>
      <c r="AW978" s="1"/>
      <c r="AY978" s="2"/>
    </row>
    <row r="979">
      <c r="A979" s="1"/>
      <c r="C979" s="1"/>
      <c r="E979" s="1"/>
      <c r="F979" s="1"/>
      <c r="G979" s="2"/>
      <c r="H979" s="1"/>
      <c r="I979" s="1"/>
      <c r="J979" s="1"/>
      <c r="K979" s="1"/>
      <c r="M979" s="1"/>
      <c r="N979" s="1"/>
      <c r="O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2"/>
      <c r="AB979" s="1"/>
      <c r="AC979" s="1"/>
      <c r="AD979" s="1"/>
      <c r="AE979" s="1"/>
      <c r="AF979" s="1"/>
      <c r="AG979" s="1"/>
      <c r="AH979" s="2"/>
      <c r="AI979" s="2"/>
      <c r="AJ979" s="2"/>
      <c r="AK979" s="2"/>
      <c r="AL979" s="2"/>
      <c r="AM979" s="1"/>
      <c r="AN979" s="2"/>
      <c r="AP979" s="2"/>
      <c r="AQ979" s="1"/>
      <c r="AR979" s="2"/>
      <c r="AU979" s="1"/>
      <c r="AW979" s="1"/>
      <c r="AY979" s="2"/>
    </row>
    <row r="980">
      <c r="A980" s="1"/>
      <c r="C980" s="1"/>
      <c r="E980" s="1"/>
      <c r="F980" s="1"/>
      <c r="G980" s="2"/>
      <c r="H980" s="1"/>
      <c r="I980" s="1"/>
      <c r="J980" s="1"/>
      <c r="K980" s="1"/>
      <c r="M980" s="1"/>
      <c r="N980" s="1"/>
      <c r="O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2"/>
      <c r="AB980" s="1"/>
      <c r="AC980" s="1"/>
      <c r="AD980" s="1"/>
      <c r="AE980" s="1"/>
      <c r="AF980" s="1"/>
      <c r="AG980" s="1"/>
      <c r="AH980" s="2"/>
      <c r="AI980" s="2"/>
      <c r="AJ980" s="2"/>
      <c r="AK980" s="2"/>
      <c r="AL980" s="2"/>
      <c r="AM980" s="1"/>
      <c r="AN980" s="2"/>
      <c r="AP980" s="2"/>
      <c r="AQ980" s="1"/>
      <c r="AR980" s="2"/>
      <c r="AU980" s="1"/>
      <c r="AW980" s="1"/>
      <c r="AY980" s="2"/>
    </row>
    <row r="981">
      <c r="A981" s="1"/>
      <c r="C981" s="1"/>
      <c r="E981" s="1"/>
      <c r="F981" s="1"/>
      <c r="G981" s="2"/>
      <c r="H981" s="1"/>
      <c r="I981" s="1"/>
      <c r="J981" s="1"/>
      <c r="K981" s="1"/>
      <c r="M981" s="1"/>
      <c r="N981" s="1"/>
      <c r="O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2"/>
      <c r="AB981" s="1"/>
      <c r="AC981" s="1"/>
      <c r="AD981" s="1"/>
      <c r="AE981" s="1"/>
      <c r="AF981" s="1"/>
      <c r="AG981" s="1"/>
      <c r="AH981" s="2"/>
      <c r="AI981" s="2"/>
      <c r="AJ981" s="2"/>
      <c r="AK981" s="2"/>
      <c r="AL981" s="2"/>
      <c r="AM981" s="1"/>
      <c r="AN981" s="2"/>
      <c r="AP981" s="2"/>
      <c r="AQ981" s="1"/>
      <c r="AR981" s="2"/>
      <c r="AU981" s="1"/>
      <c r="AW981" s="1"/>
      <c r="AY981" s="2"/>
    </row>
    <row r="982">
      <c r="A982" s="1"/>
      <c r="C982" s="1"/>
      <c r="E982" s="1"/>
      <c r="F982" s="1"/>
      <c r="G982" s="2"/>
      <c r="H982" s="1"/>
      <c r="I982" s="1"/>
      <c r="J982" s="1"/>
      <c r="K982" s="1"/>
      <c r="M982" s="1"/>
      <c r="N982" s="1"/>
      <c r="O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2"/>
      <c r="AB982" s="1"/>
      <c r="AC982" s="1"/>
      <c r="AD982" s="1"/>
      <c r="AE982" s="1"/>
      <c r="AF982" s="1"/>
      <c r="AG982" s="1"/>
      <c r="AH982" s="2"/>
      <c r="AI982" s="2"/>
      <c r="AJ982" s="2"/>
      <c r="AK982" s="2"/>
      <c r="AL982" s="2"/>
      <c r="AM982" s="1"/>
      <c r="AN982" s="2"/>
      <c r="AP982" s="2"/>
      <c r="AQ982" s="1"/>
      <c r="AR982" s="2"/>
      <c r="AU982" s="1"/>
      <c r="AW982" s="1"/>
      <c r="AY982" s="2"/>
    </row>
    <row r="983">
      <c r="A983" s="1"/>
      <c r="C983" s="1"/>
      <c r="E983" s="1"/>
      <c r="F983" s="1"/>
      <c r="G983" s="2"/>
      <c r="H983" s="1"/>
      <c r="I983" s="1"/>
      <c r="J983" s="1"/>
      <c r="K983" s="1"/>
      <c r="M983" s="1"/>
      <c r="N983" s="1"/>
      <c r="O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2"/>
      <c r="AB983" s="1"/>
      <c r="AC983" s="1"/>
      <c r="AD983" s="1"/>
      <c r="AE983" s="1"/>
      <c r="AF983" s="1"/>
      <c r="AG983" s="1"/>
      <c r="AH983" s="2"/>
      <c r="AI983" s="2"/>
      <c r="AJ983" s="2"/>
      <c r="AK983" s="2"/>
      <c r="AL983" s="2"/>
      <c r="AM983" s="1"/>
      <c r="AN983" s="2"/>
      <c r="AP983" s="2"/>
      <c r="AQ983" s="1"/>
      <c r="AR983" s="2"/>
      <c r="AU983" s="1"/>
      <c r="AW983" s="1"/>
      <c r="AY983" s="2"/>
    </row>
    <row r="984">
      <c r="A984" s="1"/>
      <c r="C984" s="1"/>
      <c r="E984" s="1"/>
      <c r="F984" s="1"/>
      <c r="G984" s="2"/>
      <c r="H984" s="1"/>
      <c r="I984" s="1"/>
      <c r="J984" s="1"/>
      <c r="K984" s="1"/>
      <c r="M984" s="1"/>
      <c r="N984" s="1"/>
      <c r="O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2"/>
      <c r="AB984" s="1"/>
      <c r="AC984" s="1"/>
      <c r="AD984" s="1"/>
      <c r="AE984" s="1"/>
      <c r="AF984" s="1"/>
      <c r="AG984" s="1"/>
      <c r="AH984" s="2"/>
      <c r="AI984" s="2"/>
      <c r="AJ984" s="2"/>
      <c r="AK984" s="2"/>
      <c r="AL984" s="2"/>
      <c r="AM984" s="1"/>
      <c r="AN984" s="2"/>
      <c r="AP984" s="2"/>
      <c r="AQ984" s="1"/>
      <c r="AR984" s="2"/>
      <c r="AU984" s="1"/>
      <c r="AW984" s="1"/>
      <c r="AY984" s="2"/>
    </row>
    <row r="985">
      <c r="A985" s="1"/>
      <c r="C985" s="1"/>
      <c r="E985" s="1"/>
      <c r="F985" s="1"/>
      <c r="G985" s="2"/>
      <c r="H985" s="1"/>
      <c r="I985" s="1"/>
      <c r="J985" s="1"/>
      <c r="K985" s="1"/>
      <c r="M985" s="1"/>
      <c r="N985" s="1"/>
      <c r="O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2"/>
      <c r="AB985" s="1"/>
      <c r="AC985" s="1"/>
      <c r="AD985" s="1"/>
      <c r="AE985" s="1"/>
      <c r="AF985" s="1"/>
      <c r="AG985" s="1"/>
      <c r="AH985" s="2"/>
      <c r="AI985" s="2"/>
      <c r="AJ985" s="2"/>
      <c r="AK985" s="2"/>
      <c r="AL985" s="2"/>
      <c r="AM985" s="1"/>
      <c r="AN985" s="2"/>
      <c r="AP985" s="2"/>
      <c r="AQ985" s="1"/>
      <c r="AR985" s="2"/>
      <c r="AU985" s="1"/>
      <c r="AW985" s="1"/>
      <c r="AY985" s="2"/>
    </row>
    <row r="986">
      <c r="A986" s="1"/>
      <c r="C986" s="1"/>
      <c r="E986" s="1"/>
      <c r="F986" s="1"/>
      <c r="G986" s="2"/>
      <c r="H986" s="1"/>
      <c r="I986" s="1"/>
      <c r="J986" s="1"/>
      <c r="K986" s="1"/>
      <c r="M986" s="1"/>
      <c r="N986" s="1"/>
      <c r="O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2"/>
      <c r="AB986" s="1"/>
      <c r="AC986" s="1"/>
      <c r="AD986" s="1"/>
      <c r="AE986" s="1"/>
      <c r="AF986" s="1"/>
      <c r="AG986" s="1"/>
      <c r="AH986" s="2"/>
      <c r="AI986" s="2"/>
      <c r="AJ986" s="2"/>
      <c r="AK986" s="2"/>
      <c r="AL986" s="2"/>
      <c r="AM986" s="1"/>
      <c r="AN986" s="2"/>
      <c r="AP986" s="2"/>
      <c r="AQ986" s="1"/>
      <c r="AR986" s="2"/>
      <c r="AU986" s="1"/>
      <c r="AW986" s="1"/>
      <c r="AY986" s="2"/>
    </row>
    <row r="987">
      <c r="A987" s="1"/>
      <c r="C987" s="1"/>
      <c r="E987" s="1"/>
      <c r="F987" s="1"/>
      <c r="G987" s="2"/>
      <c r="H987" s="1"/>
      <c r="I987" s="1"/>
      <c r="J987" s="1"/>
      <c r="K987" s="1"/>
      <c r="M987" s="1"/>
      <c r="N987" s="1"/>
      <c r="O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2"/>
      <c r="AB987" s="1"/>
      <c r="AC987" s="1"/>
      <c r="AD987" s="1"/>
      <c r="AE987" s="1"/>
      <c r="AF987" s="1"/>
      <c r="AG987" s="1"/>
      <c r="AH987" s="2"/>
      <c r="AI987" s="2"/>
      <c r="AJ987" s="2"/>
      <c r="AK987" s="2"/>
      <c r="AL987" s="2"/>
      <c r="AM987" s="1"/>
      <c r="AN987" s="2"/>
      <c r="AP987" s="2"/>
      <c r="AQ987" s="1"/>
      <c r="AR987" s="2"/>
      <c r="AU987" s="1"/>
      <c r="AW987" s="1"/>
      <c r="AY987" s="2"/>
    </row>
    <row r="988">
      <c r="A988" s="1"/>
      <c r="C988" s="1"/>
      <c r="E988" s="1"/>
      <c r="F988" s="1"/>
      <c r="G988" s="2"/>
      <c r="H988" s="1"/>
      <c r="I988" s="1"/>
      <c r="J988" s="1"/>
      <c r="K988" s="1"/>
      <c r="M988" s="1"/>
      <c r="N988" s="1"/>
      <c r="O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2"/>
      <c r="AB988" s="1"/>
      <c r="AC988" s="1"/>
      <c r="AD988" s="1"/>
      <c r="AE988" s="1"/>
      <c r="AF988" s="1"/>
      <c r="AG988" s="1"/>
      <c r="AH988" s="2"/>
      <c r="AI988" s="2"/>
      <c r="AJ988" s="2"/>
      <c r="AK988" s="2"/>
      <c r="AL988" s="2"/>
      <c r="AM988" s="1"/>
      <c r="AN988" s="2"/>
      <c r="AP988" s="2"/>
      <c r="AQ988" s="1"/>
      <c r="AR988" s="2"/>
      <c r="AU988" s="1"/>
      <c r="AW988" s="1"/>
      <c r="AY988" s="2"/>
    </row>
    <row r="989">
      <c r="A989" s="1"/>
      <c r="C989" s="1"/>
      <c r="E989" s="1"/>
      <c r="F989" s="1"/>
      <c r="G989" s="2"/>
      <c r="H989" s="1"/>
      <c r="I989" s="1"/>
      <c r="J989" s="1"/>
      <c r="K989" s="1"/>
      <c r="M989" s="1"/>
      <c r="N989" s="1"/>
      <c r="O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2"/>
      <c r="AB989" s="1"/>
      <c r="AC989" s="1"/>
      <c r="AD989" s="1"/>
      <c r="AE989" s="1"/>
      <c r="AF989" s="1"/>
      <c r="AG989" s="1"/>
      <c r="AH989" s="2"/>
      <c r="AI989" s="2"/>
      <c r="AJ989" s="2"/>
      <c r="AK989" s="2"/>
      <c r="AL989" s="2"/>
      <c r="AM989" s="1"/>
      <c r="AN989" s="2"/>
      <c r="AP989" s="2"/>
      <c r="AQ989" s="1"/>
      <c r="AR989" s="2"/>
      <c r="AU989" s="1"/>
      <c r="AW989" s="1"/>
      <c r="AY989" s="2"/>
    </row>
    <row r="990">
      <c r="A990" s="1"/>
      <c r="C990" s="1"/>
      <c r="E990" s="1"/>
      <c r="F990" s="1"/>
      <c r="G990" s="2"/>
      <c r="H990" s="1"/>
      <c r="I990" s="1"/>
      <c r="J990" s="1"/>
      <c r="K990" s="1"/>
      <c r="M990" s="1"/>
      <c r="N990" s="1"/>
      <c r="O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2"/>
      <c r="AB990" s="1"/>
      <c r="AC990" s="1"/>
      <c r="AD990" s="1"/>
      <c r="AE990" s="1"/>
      <c r="AF990" s="1"/>
      <c r="AG990" s="1"/>
      <c r="AH990" s="2"/>
      <c r="AI990" s="2"/>
      <c r="AJ990" s="2"/>
      <c r="AK990" s="2"/>
      <c r="AL990" s="2"/>
      <c r="AM990" s="1"/>
      <c r="AN990" s="2"/>
      <c r="AP990" s="2"/>
      <c r="AQ990" s="1"/>
      <c r="AR990" s="2"/>
      <c r="AU990" s="1"/>
      <c r="AW990" s="1"/>
      <c r="AY990" s="2"/>
    </row>
    <row r="991">
      <c r="A991" s="1"/>
      <c r="C991" s="1"/>
      <c r="E991" s="1"/>
      <c r="F991" s="1"/>
      <c r="G991" s="2"/>
      <c r="H991" s="1"/>
      <c r="I991" s="1"/>
      <c r="J991" s="1"/>
      <c r="K991" s="1"/>
      <c r="M991" s="1"/>
      <c r="N991" s="1"/>
      <c r="O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2"/>
      <c r="AB991" s="1"/>
      <c r="AC991" s="1"/>
      <c r="AD991" s="1"/>
      <c r="AE991" s="1"/>
      <c r="AF991" s="1"/>
      <c r="AG991" s="1"/>
      <c r="AH991" s="2"/>
      <c r="AI991" s="2"/>
      <c r="AJ991" s="2"/>
      <c r="AK991" s="2"/>
      <c r="AL991" s="2"/>
      <c r="AM991" s="1"/>
      <c r="AN991" s="2"/>
      <c r="AP991" s="2"/>
      <c r="AQ991" s="1"/>
      <c r="AR991" s="2"/>
      <c r="AU991" s="1"/>
      <c r="AW991" s="1"/>
      <c r="AY991" s="2"/>
    </row>
    <row r="992">
      <c r="A992" s="1"/>
      <c r="C992" s="1"/>
      <c r="E992" s="1"/>
      <c r="F992" s="1"/>
      <c r="G992" s="2"/>
      <c r="H992" s="1"/>
      <c r="I992" s="1"/>
      <c r="J992" s="1"/>
      <c r="K992" s="1"/>
      <c r="M992" s="1"/>
      <c r="N992" s="1"/>
      <c r="O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2"/>
      <c r="AB992" s="1"/>
      <c r="AC992" s="1"/>
      <c r="AD992" s="1"/>
      <c r="AE992" s="1"/>
      <c r="AF992" s="1"/>
      <c r="AG992" s="1"/>
      <c r="AH992" s="2"/>
      <c r="AI992" s="2"/>
      <c r="AJ992" s="2"/>
      <c r="AK992" s="2"/>
      <c r="AL992" s="2"/>
      <c r="AM992" s="1"/>
      <c r="AN992" s="2"/>
      <c r="AP992" s="2"/>
      <c r="AQ992" s="1"/>
      <c r="AR992" s="2"/>
      <c r="AU992" s="1"/>
      <c r="AW992" s="1"/>
      <c r="AY992" s="2"/>
    </row>
    <row r="993">
      <c r="A993" s="1"/>
      <c r="C993" s="1"/>
      <c r="E993" s="1"/>
      <c r="F993" s="1"/>
      <c r="G993" s="2"/>
      <c r="H993" s="1"/>
      <c r="I993" s="1"/>
      <c r="J993" s="1"/>
      <c r="K993" s="1"/>
      <c r="M993" s="1"/>
      <c r="N993" s="1"/>
      <c r="O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2"/>
      <c r="AB993" s="1"/>
      <c r="AC993" s="1"/>
      <c r="AD993" s="1"/>
      <c r="AE993" s="1"/>
      <c r="AF993" s="1"/>
      <c r="AG993" s="1"/>
      <c r="AH993" s="2"/>
      <c r="AI993" s="2"/>
      <c r="AJ993" s="2"/>
      <c r="AK993" s="2"/>
      <c r="AL993" s="2"/>
      <c r="AM993" s="1"/>
      <c r="AN993" s="2"/>
      <c r="AP993" s="2"/>
      <c r="AQ993" s="1"/>
      <c r="AR993" s="2"/>
      <c r="AU993" s="1"/>
      <c r="AW993" s="1"/>
      <c r="AY993" s="2"/>
    </row>
    <row r="994">
      <c r="A994" s="1"/>
      <c r="C994" s="1"/>
      <c r="E994" s="1"/>
      <c r="F994" s="1"/>
      <c r="G994" s="2"/>
      <c r="H994" s="1"/>
      <c r="I994" s="1"/>
      <c r="J994" s="1"/>
      <c r="K994" s="1"/>
      <c r="M994" s="1"/>
      <c r="N994" s="1"/>
      <c r="O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2"/>
      <c r="AB994" s="1"/>
      <c r="AC994" s="1"/>
      <c r="AD994" s="1"/>
      <c r="AE994" s="1"/>
      <c r="AF994" s="1"/>
      <c r="AG994" s="1"/>
      <c r="AH994" s="2"/>
      <c r="AI994" s="2"/>
      <c r="AJ994" s="2"/>
      <c r="AK994" s="2"/>
      <c r="AL994" s="2"/>
      <c r="AM994" s="1"/>
      <c r="AN994" s="2"/>
      <c r="AP994" s="2"/>
      <c r="AQ994" s="1"/>
      <c r="AR994" s="2"/>
      <c r="AU994" s="1"/>
      <c r="AW994" s="1"/>
      <c r="AY994" s="2"/>
    </row>
    <row r="995">
      <c r="A995" s="1"/>
      <c r="C995" s="1"/>
      <c r="E995" s="1"/>
      <c r="F995" s="1"/>
      <c r="G995" s="2"/>
      <c r="H995" s="1"/>
      <c r="I995" s="1"/>
      <c r="J995" s="1"/>
      <c r="K995" s="1"/>
      <c r="M995" s="1"/>
      <c r="N995" s="1"/>
      <c r="O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2"/>
      <c r="AB995" s="1"/>
      <c r="AC995" s="1"/>
      <c r="AD995" s="1"/>
      <c r="AE995" s="1"/>
      <c r="AF995" s="1"/>
      <c r="AG995" s="1"/>
      <c r="AH995" s="2"/>
      <c r="AI995" s="2"/>
      <c r="AJ995" s="2"/>
      <c r="AK995" s="2"/>
      <c r="AL995" s="2"/>
      <c r="AM995" s="1"/>
      <c r="AN995" s="2"/>
      <c r="AP995" s="2"/>
      <c r="AQ995" s="1"/>
      <c r="AR995" s="2"/>
      <c r="AU995" s="1"/>
      <c r="AW995" s="1"/>
      <c r="AY995" s="2"/>
    </row>
    <row r="996">
      <c r="A996" s="1"/>
      <c r="C996" s="1"/>
      <c r="E996" s="1"/>
      <c r="F996" s="1"/>
      <c r="G996" s="2"/>
      <c r="H996" s="1"/>
      <c r="I996" s="1"/>
      <c r="J996" s="1"/>
      <c r="K996" s="1"/>
      <c r="M996" s="1"/>
      <c r="N996" s="1"/>
      <c r="O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2"/>
      <c r="AB996" s="1"/>
      <c r="AC996" s="1"/>
      <c r="AD996" s="1"/>
      <c r="AE996" s="1"/>
      <c r="AF996" s="1"/>
      <c r="AG996" s="1"/>
      <c r="AH996" s="2"/>
      <c r="AI996" s="2"/>
      <c r="AJ996" s="2"/>
      <c r="AK996" s="2"/>
      <c r="AL996" s="2"/>
      <c r="AM996" s="1"/>
      <c r="AN996" s="2"/>
      <c r="AP996" s="2"/>
      <c r="AQ996" s="1"/>
      <c r="AR996" s="2"/>
      <c r="AU996" s="1"/>
      <c r="AW996" s="1"/>
      <c r="AY996" s="2"/>
    </row>
    <row r="997">
      <c r="A997" s="1"/>
      <c r="C997" s="1"/>
      <c r="E997" s="1"/>
      <c r="F997" s="1"/>
      <c r="G997" s="2"/>
      <c r="H997" s="1"/>
      <c r="I997" s="1"/>
      <c r="J997" s="1"/>
      <c r="K997" s="1"/>
      <c r="M997" s="1"/>
      <c r="N997" s="1"/>
      <c r="O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2"/>
      <c r="AB997" s="1"/>
      <c r="AC997" s="1"/>
      <c r="AD997" s="1"/>
      <c r="AE997" s="1"/>
      <c r="AF997" s="1"/>
      <c r="AG997" s="1"/>
      <c r="AH997" s="2"/>
      <c r="AI997" s="2"/>
      <c r="AJ997" s="2"/>
      <c r="AK997" s="2"/>
      <c r="AL997" s="2"/>
      <c r="AM997" s="1"/>
      <c r="AN997" s="2"/>
      <c r="AP997" s="2"/>
      <c r="AQ997" s="1"/>
      <c r="AR997" s="2"/>
      <c r="AU997" s="1"/>
      <c r="AW997" s="1"/>
      <c r="AY997" s="2"/>
    </row>
    <row r="998">
      <c r="A998" s="1"/>
      <c r="C998" s="1"/>
      <c r="E998" s="1"/>
      <c r="F998" s="1"/>
      <c r="G998" s="2"/>
      <c r="H998" s="1"/>
      <c r="I998" s="1"/>
      <c r="J998" s="1"/>
      <c r="K998" s="1"/>
      <c r="M998" s="1"/>
      <c r="N998" s="1"/>
      <c r="O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2"/>
      <c r="AB998" s="1"/>
      <c r="AC998" s="1"/>
      <c r="AD998" s="1"/>
      <c r="AE998" s="1"/>
      <c r="AF998" s="1"/>
      <c r="AG998" s="1"/>
      <c r="AH998" s="2"/>
      <c r="AI998" s="2"/>
      <c r="AJ998" s="2"/>
      <c r="AK998" s="2"/>
      <c r="AL998" s="2"/>
      <c r="AM998" s="1"/>
      <c r="AN998" s="2"/>
      <c r="AP998" s="2"/>
      <c r="AQ998" s="1"/>
      <c r="AR998" s="2"/>
      <c r="AU998" s="1"/>
      <c r="AW998" s="1"/>
      <c r="AY998" s="2"/>
    </row>
    <row r="999">
      <c r="A999" s="1"/>
      <c r="C999" s="1"/>
      <c r="E999" s="1"/>
      <c r="F999" s="1"/>
      <c r="G999" s="2"/>
      <c r="H999" s="1"/>
      <c r="I999" s="1"/>
      <c r="J999" s="1"/>
      <c r="K999" s="1"/>
      <c r="M999" s="1"/>
      <c r="N999" s="1"/>
      <c r="O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2"/>
      <c r="AB999" s="1"/>
      <c r="AC999" s="1"/>
      <c r="AD999" s="1"/>
      <c r="AE999" s="1"/>
      <c r="AF999" s="1"/>
      <c r="AG999" s="1"/>
      <c r="AH999" s="2"/>
      <c r="AI999" s="2"/>
      <c r="AJ999" s="2"/>
      <c r="AK999" s="2"/>
      <c r="AL999" s="2"/>
      <c r="AM999" s="1"/>
      <c r="AN999" s="2"/>
      <c r="AP999" s="2"/>
      <c r="AQ999" s="1"/>
      <c r="AR999" s="2"/>
      <c r="AU999" s="1"/>
      <c r="AW999" s="1"/>
      <c r="AY999" s="2"/>
    </row>
    <row r="1000">
      <c r="A1000" s="1"/>
      <c r="C1000" s="1"/>
      <c r="E1000" s="1"/>
      <c r="F1000" s="1"/>
      <c r="G1000" s="2"/>
      <c r="H1000" s="1"/>
      <c r="I1000" s="1"/>
      <c r="J1000" s="1"/>
      <c r="K1000" s="1"/>
      <c r="M1000" s="1"/>
      <c r="N1000" s="1"/>
      <c r="O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2"/>
      <c r="AB1000" s="1"/>
      <c r="AC1000" s="1"/>
      <c r="AD1000" s="1"/>
      <c r="AE1000" s="1"/>
      <c r="AF1000" s="1"/>
      <c r="AG1000" s="1"/>
      <c r="AH1000" s="2"/>
      <c r="AI1000" s="2"/>
      <c r="AJ1000" s="2"/>
      <c r="AK1000" s="2"/>
      <c r="AL1000" s="2"/>
      <c r="AM1000" s="1"/>
      <c r="AN1000" s="2"/>
      <c r="AP1000" s="2"/>
      <c r="AQ1000" s="1"/>
      <c r="AR1000" s="2"/>
      <c r="AU1000" s="1"/>
      <c r="AW1000" s="1"/>
      <c r="AY1000" s="2"/>
    </row>
    <row r="1001">
      <c r="A1001" s="1"/>
      <c r="C1001" s="1"/>
      <c r="E1001" s="1"/>
      <c r="F1001" s="1"/>
      <c r="G1001" s="2"/>
      <c r="H1001" s="1"/>
      <c r="I1001" s="1"/>
      <c r="J1001" s="1"/>
      <c r="K1001" s="1"/>
      <c r="M1001" s="1"/>
      <c r="N1001" s="1"/>
      <c r="O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2"/>
      <c r="AB1001" s="1"/>
      <c r="AC1001" s="1"/>
      <c r="AD1001" s="1"/>
      <c r="AE1001" s="1"/>
      <c r="AF1001" s="1"/>
      <c r="AG1001" s="1"/>
      <c r="AH1001" s="2"/>
      <c r="AI1001" s="2"/>
      <c r="AJ1001" s="2"/>
      <c r="AK1001" s="2"/>
      <c r="AL1001" s="2"/>
      <c r="AM1001" s="1"/>
      <c r="AN1001" s="2"/>
      <c r="AP1001" s="2"/>
      <c r="AQ1001" s="1"/>
      <c r="AR1001" s="2"/>
      <c r="AU1001" s="1"/>
      <c r="AW1001" s="1"/>
      <c r="AY1001" s="2"/>
    </row>
    <row r="1002">
      <c r="A1002" s="1"/>
      <c r="C1002" s="1"/>
      <c r="E1002" s="1"/>
      <c r="F1002" s="1"/>
      <c r="G1002" s="2"/>
      <c r="H1002" s="1"/>
      <c r="I1002" s="1"/>
      <c r="J1002" s="1"/>
      <c r="K1002" s="1"/>
      <c r="M1002" s="1"/>
      <c r="N1002" s="1"/>
      <c r="O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2"/>
      <c r="AB1002" s="1"/>
      <c r="AC1002" s="1"/>
      <c r="AD1002" s="1"/>
      <c r="AE1002" s="1"/>
      <c r="AF1002" s="1"/>
      <c r="AG1002" s="1"/>
      <c r="AH1002" s="2"/>
      <c r="AI1002" s="2"/>
      <c r="AJ1002" s="2"/>
      <c r="AK1002" s="2"/>
      <c r="AL1002" s="2"/>
      <c r="AM1002" s="1"/>
      <c r="AN1002" s="2"/>
      <c r="AP1002" s="2"/>
      <c r="AQ1002" s="1"/>
      <c r="AR1002" s="2"/>
      <c r="AU1002" s="1"/>
      <c r="AW1002" s="1"/>
      <c r="AY1002" s="2"/>
    </row>
    <row r="1003">
      <c r="A1003" s="1"/>
      <c r="C1003" s="1"/>
      <c r="E1003" s="1"/>
      <c r="F1003" s="1"/>
      <c r="G1003" s="2"/>
      <c r="H1003" s="1"/>
      <c r="I1003" s="1"/>
      <c r="J1003" s="1"/>
      <c r="K1003" s="1"/>
      <c r="M1003" s="1"/>
      <c r="N1003" s="1"/>
      <c r="O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2"/>
      <c r="AB1003" s="1"/>
      <c r="AC1003" s="1"/>
      <c r="AD1003" s="1"/>
      <c r="AE1003" s="1"/>
      <c r="AF1003" s="1"/>
      <c r="AG1003" s="1"/>
      <c r="AH1003" s="2"/>
      <c r="AI1003" s="2"/>
      <c r="AJ1003" s="2"/>
      <c r="AK1003" s="2"/>
      <c r="AL1003" s="2"/>
      <c r="AM1003" s="1"/>
      <c r="AN1003" s="2"/>
      <c r="AP1003" s="2"/>
      <c r="AQ1003" s="1"/>
      <c r="AR1003" s="2"/>
      <c r="AU1003" s="1"/>
      <c r="AW1003" s="1"/>
      <c r="AY1003" s="2"/>
    </row>
    <row r="1004">
      <c r="A1004" s="1"/>
      <c r="C1004" s="1"/>
      <c r="E1004" s="1"/>
      <c r="F1004" s="1"/>
      <c r="G1004" s="2"/>
      <c r="H1004" s="1"/>
      <c r="I1004" s="1"/>
      <c r="J1004" s="1"/>
      <c r="K1004" s="1"/>
      <c r="M1004" s="1"/>
      <c r="N1004" s="1"/>
      <c r="O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2"/>
      <c r="AB1004" s="1"/>
      <c r="AC1004" s="1"/>
      <c r="AD1004" s="1"/>
      <c r="AE1004" s="1"/>
      <c r="AF1004" s="1"/>
      <c r="AG1004" s="1"/>
      <c r="AH1004" s="2"/>
      <c r="AI1004" s="2"/>
      <c r="AJ1004" s="2"/>
      <c r="AK1004" s="2"/>
      <c r="AL1004" s="2"/>
      <c r="AM1004" s="1"/>
      <c r="AN1004" s="2"/>
      <c r="AP1004" s="2"/>
      <c r="AQ1004" s="1"/>
      <c r="AR1004" s="2"/>
      <c r="AU1004" s="1"/>
      <c r="AW1004" s="1"/>
      <c r="AY1004" s="2"/>
    </row>
    <row r="1005">
      <c r="A1005" s="1"/>
      <c r="C1005" s="1"/>
      <c r="E1005" s="1"/>
      <c r="F1005" s="1"/>
      <c r="G1005" s="2"/>
      <c r="H1005" s="1"/>
      <c r="I1005" s="1"/>
      <c r="J1005" s="1"/>
      <c r="K1005" s="1"/>
      <c r="M1005" s="1"/>
      <c r="N1005" s="1"/>
      <c r="O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2"/>
      <c r="AB1005" s="1"/>
      <c r="AC1005" s="1"/>
      <c r="AD1005" s="1"/>
      <c r="AE1005" s="1"/>
      <c r="AF1005" s="1"/>
      <c r="AG1005" s="1"/>
      <c r="AH1005" s="2"/>
      <c r="AI1005" s="2"/>
      <c r="AJ1005" s="2"/>
      <c r="AK1005" s="2"/>
      <c r="AL1005" s="2"/>
      <c r="AM1005" s="1"/>
      <c r="AN1005" s="2"/>
      <c r="AP1005" s="2"/>
      <c r="AQ1005" s="1"/>
      <c r="AR1005" s="2"/>
      <c r="AU1005" s="1"/>
      <c r="AW1005" s="1"/>
      <c r="AY1005" s="2"/>
    </row>
    <row r="1006">
      <c r="A1006" s="1"/>
      <c r="C1006" s="1"/>
      <c r="E1006" s="1"/>
      <c r="F1006" s="1"/>
      <c r="G1006" s="2"/>
      <c r="H1006" s="1"/>
      <c r="I1006" s="1"/>
      <c r="J1006" s="1"/>
      <c r="K1006" s="1"/>
      <c r="M1006" s="1"/>
      <c r="N1006" s="1"/>
      <c r="O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2"/>
      <c r="AB1006" s="1"/>
      <c r="AC1006" s="1"/>
      <c r="AD1006" s="1"/>
      <c r="AE1006" s="1"/>
      <c r="AF1006" s="1"/>
      <c r="AG1006" s="1"/>
      <c r="AH1006" s="2"/>
      <c r="AI1006" s="2"/>
      <c r="AJ1006" s="2"/>
      <c r="AK1006" s="2"/>
      <c r="AL1006" s="2"/>
      <c r="AM1006" s="1"/>
      <c r="AN1006" s="2"/>
      <c r="AP1006" s="2"/>
      <c r="AQ1006" s="1"/>
      <c r="AR1006" s="2"/>
      <c r="AU1006" s="1"/>
      <c r="AW1006" s="1"/>
      <c r="AY1006" s="2"/>
    </row>
    <row r="1007">
      <c r="A1007" s="1"/>
      <c r="C1007" s="1"/>
      <c r="E1007" s="1"/>
      <c r="F1007" s="1"/>
      <c r="G1007" s="2"/>
      <c r="H1007" s="1"/>
      <c r="I1007" s="1"/>
      <c r="J1007" s="1"/>
      <c r="K1007" s="1"/>
      <c r="M1007" s="1"/>
      <c r="N1007" s="1"/>
      <c r="O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2"/>
      <c r="AB1007" s="1"/>
      <c r="AC1007" s="1"/>
      <c r="AD1007" s="1"/>
      <c r="AE1007" s="1"/>
      <c r="AF1007" s="1"/>
      <c r="AG1007" s="1"/>
      <c r="AH1007" s="2"/>
      <c r="AI1007" s="2"/>
      <c r="AJ1007" s="2"/>
      <c r="AK1007" s="2"/>
      <c r="AL1007" s="2"/>
      <c r="AM1007" s="1"/>
      <c r="AN1007" s="2"/>
      <c r="AP1007" s="2"/>
      <c r="AQ1007" s="1"/>
      <c r="AR1007" s="2"/>
      <c r="AU1007" s="1"/>
      <c r="AW1007" s="1"/>
      <c r="AY1007" s="2"/>
    </row>
    <row r="1008">
      <c r="A1008" s="1"/>
      <c r="C1008" s="1"/>
      <c r="E1008" s="1"/>
      <c r="F1008" s="1"/>
      <c r="G1008" s="2"/>
      <c r="H1008" s="1"/>
      <c r="I1008" s="1"/>
      <c r="J1008" s="1"/>
      <c r="K1008" s="1"/>
      <c r="M1008" s="1"/>
      <c r="N1008" s="1"/>
      <c r="O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2"/>
      <c r="AB1008" s="1"/>
      <c r="AC1008" s="1"/>
      <c r="AD1008" s="1"/>
      <c r="AE1008" s="1"/>
      <c r="AF1008" s="1"/>
      <c r="AG1008" s="1"/>
      <c r="AH1008" s="2"/>
      <c r="AI1008" s="2"/>
      <c r="AJ1008" s="2"/>
      <c r="AK1008" s="2"/>
      <c r="AL1008" s="2"/>
      <c r="AM1008" s="1"/>
      <c r="AN1008" s="2"/>
      <c r="AP1008" s="2"/>
      <c r="AQ1008" s="1"/>
      <c r="AR1008" s="2"/>
      <c r="AU1008" s="1"/>
      <c r="AW1008" s="1"/>
      <c r="AY1008" s="2"/>
    </row>
    <row r="1009">
      <c r="A1009" s="1"/>
      <c r="C1009" s="1"/>
      <c r="E1009" s="1"/>
      <c r="F1009" s="1"/>
      <c r="G1009" s="2"/>
      <c r="H1009" s="1"/>
      <c r="I1009" s="1"/>
      <c r="J1009" s="1"/>
      <c r="K1009" s="1"/>
      <c r="M1009" s="1"/>
      <c r="N1009" s="1"/>
      <c r="O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2"/>
      <c r="AB1009" s="1"/>
      <c r="AC1009" s="1"/>
      <c r="AD1009" s="1"/>
      <c r="AE1009" s="1"/>
      <c r="AF1009" s="1"/>
      <c r="AG1009" s="1"/>
      <c r="AH1009" s="2"/>
      <c r="AI1009" s="2"/>
      <c r="AJ1009" s="2"/>
      <c r="AK1009" s="2"/>
      <c r="AL1009" s="2"/>
      <c r="AM1009" s="1"/>
      <c r="AN1009" s="2"/>
      <c r="AP1009" s="2"/>
      <c r="AQ1009" s="1"/>
      <c r="AR1009" s="2"/>
      <c r="AU1009" s="1"/>
      <c r="AW1009" s="1"/>
      <c r="AY1009" s="2"/>
    </row>
    <row r="1010">
      <c r="A1010" s="1"/>
      <c r="C1010" s="1"/>
      <c r="E1010" s="1"/>
      <c r="F1010" s="1"/>
      <c r="G1010" s="2"/>
      <c r="H1010" s="1"/>
      <c r="I1010" s="1"/>
      <c r="J1010" s="1"/>
      <c r="K1010" s="1"/>
      <c r="M1010" s="1"/>
      <c r="N1010" s="1"/>
      <c r="O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2"/>
      <c r="AB1010" s="1"/>
      <c r="AC1010" s="1"/>
      <c r="AD1010" s="1"/>
      <c r="AE1010" s="1"/>
      <c r="AF1010" s="1"/>
      <c r="AG1010" s="1"/>
      <c r="AH1010" s="2"/>
      <c r="AI1010" s="2"/>
      <c r="AJ1010" s="2"/>
      <c r="AK1010" s="2"/>
      <c r="AL1010" s="2"/>
      <c r="AM1010" s="1"/>
      <c r="AN1010" s="2"/>
      <c r="AP1010" s="2"/>
      <c r="AQ1010" s="1"/>
      <c r="AR1010" s="2"/>
      <c r="AU1010" s="1"/>
      <c r="AW1010" s="1"/>
      <c r="AY1010" s="2"/>
    </row>
    <row r="1011">
      <c r="A1011" s="1"/>
      <c r="C1011" s="1"/>
      <c r="E1011" s="1"/>
      <c r="F1011" s="1"/>
      <c r="G1011" s="2"/>
      <c r="H1011" s="1"/>
      <c r="I1011" s="1"/>
      <c r="J1011" s="1"/>
      <c r="K1011" s="1"/>
      <c r="M1011" s="1"/>
      <c r="N1011" s="1"/>
      <c r="O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2"/>
      <c r="AB1011" s="1"/>
      <c r="AC1011" s="1"/>
      <c r="AD1011" s="1"/>
      <c r="AE1011" s="1"/>
      <c r="AF1011" s="1"/>
      <c r="AG1011" s="1"/>
      <c r="AH1011" s="2"/>
      <c r="AI1011" s="2"/>
      <c r="AJ1011" s="2"/>
      <c r="AK1011" s="2"/>
      <c r="AL1011" s="2"/>
      <c r="AM1011" s="1"/>
      <c r="AN1011" s="2"/>
      <c r="AP1011" s="2"/>
      <c r="AQ1011" s="1"/>
      <c r="AR1011" s="2"/>
      <c r="AU1011" s="1"/>
      <c r="AW1011" s="1"/>
      <c r="AY1011" s="2"/>
    </row>
    <row r="1012">
      <c r="A1012" s="1"/>
      <c r="C1012" s="1"/>
      <c r="E1012" s="1"/>
      <c r="F1012" s="1"/>
      <c r="G1012" s="2"/>
      <c r="H1012" s="1"/>
      <c r="I1012" s="1"/>
      <c r="J1012" s="1"/>
      <c r="K1012" s="1"/>
      <c r="M1012" s="1"/>
      <c r="N1012" s="1"/>
      <c r="O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2"/>
      <c r="AB1012" s="1"/>
      <c r="AC1012" s="1"/>
      <c r="AD1012" s="1"/>
      <c r="AE1012" s="1"/>
      <c r="AF1012" s="1"/>
      <c r="AG1012" s="1"/>
      <c r="AH1012" s="2"/>
      <c r="AI1012" s="2"/>
      <c r="AJ1012" s="2"/>
      <c r="AK1012" s="2"/>
      <c r="AL1012" s="2"/>
      <c r="AM1012" s="1"/>
      <c r="AN1012" s="2"/>
      <c r="AP1012" s="2"/>
      <c r="AQ1012" s="1"/>
      <c r="AR1012" s="2"/>
      <c r="AU1012" s="1"/>
      <c r="AW1012" s="1"/>
      <c r="AY1012" s="2"/>
    </row>
    <row r="1013">
      <c r="A1013" s="1"/>
      <c r="C1013" s="1"/>
      <c r="E1013" s="1"/>
      <c r="F1013" s="1"/>
      <c r="G1013" s="2"/>
      <c r="H1013" s="1"/>
      <c r="I1013" s="1"/>
      <c r="J1013" s="1"/>
      <c r="K1013" s="1"/>
      <c r="M1013" s="1"/>
      <c r="N1013" s="1"/>
      <c r="O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2"/>
      <c r="AB1013" s="1"/>
      <c r="AC1013" s="1"/>
      <c r="AD1013" s="1"/>
      <c r="AE1013" s="1"/>
      <c r="AF1013" s="1"/>
      <c r="AG1013" s="1"/>
      <c r="AH1013" s="2"/>
      <c r="AI1013" s="2"/>
      <c r="AJ1013" s="2"/>
      <c r="AK1013" s="2"/>
      <c r="AL1013" s="2"/>
      <c r="AM1013" s="1"/>
      <c r="AN1013" s="2"/>
      <c r="AP1013" s="2"/>
      <c r="AQ1013" s="1"/>
      <c r="AR1013" s="2"/>
      <c r="AU1013" s="1"/>
      <c r="AW1013" s="1"/>
      <c r="AY1013" s="2"/>
    </row>
    <row r="1014">
      <c r="A1014" s="1"/>
      <c r="C1014" s="1"/>
      <c r="E1014" s="1"/>
      <c r="F1014" s="1"/>
      <c r="G1014" s="2"/>
      <c r="H1014" s="1"/>
      <c r="I1014" s="1"/>
      <c r="J1014" s="1"/>
      <c r="K1014" s="1"/>
      <c r="M1014" s="1"/>
      <c r="N1014" s="1"/>
      <c r="O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2"/>
      <c r="AB1014" s="1"/>
      <c r="AC1014" s="1"/>
      <c r="AD1014" s="1"/>
      <c r="AE1014" s="1"/>
      <c r="AF1014" s="1"/>
      <c r="AG1014" s="1"/>
      <c r="AH1014" s="2"/>
      <c r="AI1014" s="2"/>
      <c r="AJ1014" s="2"/>
      <c r="AK1014" s="2"/>
      <c r="AL1014" s="2"/>
      <c r="AM1014" s="1"/>
      <c r="AN1014" s="2"/>
      <c r="AP1014" s="2"/>
      <c r="AQ1014" s="1"/>
      <c r="AR1014" s="2"/>
      <c r="AU1014" s="1"/>
      <c r="AW1014" s="1"/>
      <c r="AY1014" s="2"/>
    </row>
    <row r="1015">
      <c r="A1015" s="1"/>
      <c r="C1015" s="1"/>
      <c r="E1015" s="1"/>
      <c r="F1015" s="1"/>
      <c r="G1015" s="2"/>
      <c r="H1015" s="1"/>
      <c r="I1015" s="1"/>
      <c r="J1015" s="1"/>
      <c r="K1015" s="1"/>
      <c r="M1015" s="1"/>
      <c r="N1015" s="1"/>
      <c r="O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2"/>
      <c r="AB1015" s="1"/>
      <c r="AC1015" s="1"/>
      <c r="AD1015" s="1"/>
      <c r="AE1015" s="1"/>
      <c r="AF1015" s="1"/>
      <c r="AG1015" s="1"/>
      <c r="AH1015" s="2"/>
      <c r="AI1015" s="2"/>
      <c r="AJ1015" s="2"/>
      <c r="AK1015" s="2"/>
      <c r="AL1015" s="2"/>
      <c r="AM1015" s="1"/>
      <c r="AN1015" s="2"/>
      <c r="AP1015" s="2"/>
      <c r="AQ1015" s="1"/>
      <c r="AR1015" s="2"/>
      <c r="AU1015" s="1"/>
      <c r="AW1015" s="1"/>
      <c r="AY1015" s="2"/>
    </row>
    <row r="1016">
      <c r="A1016" s="1"/>
      <c r="C1016" s="1"/>
      <c r="E1016" s="1"/>
      <c r="F1016" s="1"/>
      <c r="G1016" s="2"/>
      <c r="H1016" s="1"/>
      <c r="I1016" s="1"/>
      <c r="J1016" s="1"/>
      <c r="K1016" s="1"/>
      <c r="M1016" s="1"/>
      <c r="N1016" s="1"/>
      <c r="O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2"/>
      <c r="AB1016" s="1"/>
      <c r="AC1016" s="1"/>
      <c r="AD1016" s="1"/>
      <c r="AE1016" s="1"/>
      <c r="AF1016" s="1"/>
      <c r="AG1016" s="1"/>
      <c r="AH1016" s="2"/>
      <c r="AI1016" s="2"/>
      <c r="AJ1016" s="2"/>
      <c r="AK1016" s="2"/>
      <c r="AL1016" s="2"/>
      <c r="AM1016" s="1"/>
      <c r="AN1016" s="2"/>
      <c r="AP1016" s="2"/>
      <c r="AQ1016" s="1"/>
      <c r="AR1016" s="2"/>
      <c r="AU1016" s="1"/>
      <c r="AW1016" s="1"/>
      <c r="AY1016" s="2"/>
    </row>
    <row r="1017">
      <c r="A1017" s="1"/>
      <c r="C1017" s="1"/>
      <c r="E1017" s="1"/>
      <c r="F1017" s="1"/>
      <c r="G1017" s="2"/>
      <c r="H1017" s="1"/>
      <c r="I1017" s="1"/>
      <c r="J1017" s="1"/>
      <c r="K1017" s="1"/>
      <c r="M1017" s="1"/>
      <c r="N1017" s="1"/>
      <c r="O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2"/>
      <c r="AB1017" s="1"/>
      <c r="AC1017" s="1"/>
      <c r="AD1017" s="1"/>
      <c r="AE1017" s="1"/>
      <c r="AF1017" s="1"/>
      <c r="AG1017" s="1"/>
      <c r="AH1017" s="2"/>
      <c r="AI1017" s="2"/>
      <c r="AJ1017" s="2"/>
      <c r="AK1017" s="2"/>
      <c r="AL1017" s="2"/>
      <c r="AM1017" s="1"/>
      <c r="AN1017" s="2"/>
      <c r="AP1017" s="2"/>
      <c r="AQ1017" s="1"/>
      <c r="AR1017" s="2"/>
      <c r="AU1017" s="1"/>
      <c r="AW1017" s="1"/>
      <c r="AY1017" s="2"/>
    </row>
    <row r="1018">
      <c r="A1018" s="1"/>
      <c r="C1018" s="1"/>
      <c r="E1018" s="1"/>
      <c r="F1018" s="1"/>
      <c r="G1018" s="2"/>
      <c r="H1018" s="1"/>
      <c r="I1018" s="1"/>
      <c r="J1018" s="1"/>
      <c r="K1018" s="1"/>
      <c r="M1018" s="1"/>
      <c r="N1018" s="1"/>
      <c r="O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2"/>
      <c r="AB1018" s="1"/>
      <c r="AC1018" s="1"/>
      <c r="AD1018" s="1"/>
      <c r="AE1018" s="1"/>
      <c r="AF1018" s="1"/>
      <c r="AG1018" s="1"/>
      <c r="AH1018" s="2"/>
      <c r="AI1018" s="2"/>
      <c r="AJ1018" s="2"/>
      <c r="AK1018" s="2"/>
      <c r="AL1018" s="2"/>
      <c r="AM1018" s="1"/>
      <c r="AN1018" s="2"/>
      <c r="AP1018" s="2"/>
      <c r="AQ1018" s="1"/>
      <c r="AR1018" s="2"/>
      <c r="AU1018" s="1"/>
      <c r="AW1018" s="1"/>
      <c r="AY1018" s="2"/>
    </row>
    <row r="1019">
      <c r="A1019" s="1"/>
      <c r="C1019" s="1"/>
      <c r="E1019" s="1"/>
      <c r="F1019" s="1"/>
      <c r="G1019" s="2"/>
      <c r="H1019" s="1"/>
      <c r="I1019" s="1"/>
      <c r="J1019" s="1"/>
      <c r="K1019" s="1"/>
      <c r="M1019" s="1"/>
      <c r="N1019" s="1"/>
      <c r="O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2"/>
      <c r="AB1019" s="1"/>
      <c r="AC1019" s="1"/>
      <c r="AD1019" s="1"/>
      <c r="AE1019" s="1"/>
      <c r="AF1019" s="1"/>
      <c r="AG1019" s="1"/>
      <c r="AH1019" s="2"/>
      <c r="AI1019" s="2"/>
      <c r="AJ1019" s="2"/>
      <c r="AK1019" s="2"/>
      <c r="AL1019" s="2"/>
      <c r="AM1019" s="1"/>
      <c r="AN1019" s="2"/>
      <c r="AP1019" s="2"/>
      <c r="AQ1019" s="1"/>
      <c r="AR1019" s="2"/>
      <c r="AU1019" s="1"/>
      <c r="AW1019" s="1"/>
      <c r="AY1019" s="2"/>
    </row>
    <row r="1020">
      <c r="A1020" s="1"/>
      <c r="C1020" s="1"/>
      <c r="E1020" s="1"/>
      <c r="F1020" s="1"/>
      <c r="G1020" s="2"/>
      <c r="H1020" s="1"/>
      <c r="I1020" s="1"/>
      <c r="J1020" s="1"/>
      <c r="K1020" s="1"/>
      <c r="M1020" s="1"/>
      <c r="N1020" s="1"/>
      <c r="O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2"/>
      <c r="AB1020" s="1"/>
      <c r="AC1020" s="1"/>
      <c r="AD1020" s="1"/>
      <c r="AE1020" s="1"/>
      <c r="AF1020" s="1"/>
      <c r="AG1020" s="1"/>
      <c r="AH1020" s="2"/>
      <c r="AI1020" s="2"/>
      <c r="AJ1020" s="2"/>
      <c r="AK1020" s="2"/>
      <c r="AL1020" s="2"/>
      <c r="AM1020" s="1"/>
      <c r="AN1020" s="2"/>
      <c r="AP1020" s="2"/>
      <c r="AQ1020" s="1"/>
      <c r="AR1020" s="2"/>
      <c r="AU1020" s="1"/>
      <c r="AW1020" s="1"/>
      <c r="AY1020" s="2"/>
    </row>
    <row r="1021">
      <c r="A1021" s="1"/>
      <c r="C1021" s="1"/>
      <c r="E1021" s="1"/>
      <c r="F1021" s="1"/>
      <c r="G1021" s="2"/>
      <c r="H1021" s="1"/>
      <c r="I1021" s="1"/>
      <c r="J1021" s="1"/>
      <c r="K1021" s="1"/>
      <c r="M1021" s="1"/>
      <c r="N1021" s="1"/>
      <c r="O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2"/>
      <c r="AB1021" s="1"/>
      <c r="AC1021" s="1"/>
      <c r="AD1021" s="1"/>
      <c r="AE1021" s="1"/>
      <c r="AF1021" s="1"/>
      <c r="AG1021" s="1"/>
      <c r="AH1021" s="2"/>
      <c r="AI1021" s="2"/>
      <c r="AJ1021" s="2"/>
      <c r="AK1021" s="2"/>
      <c r="AL1021" s="2"/>
      <c r="AM1021" s="1"/>
      <c r="AN1021" s="2"/>
      <c r="AP1021" s="2"/>
      <c r="AQ1021" s="1"/>
      <c r="AR1021" s="2"/>
      <c r="AU1021" s="1"/>
      <c r="AW1021" s="1"/>
      <c r="AY1021" s="2"/>
    </row>
    <row r="1022">
      <c r="A1022" s="1"/>
      <c r="C1022" s="1"/>
      <c r="E1022" s="1"/>
      <c r="F1022" s="1"/>
      <c r="G1022" s="2"/>
      <c r="H1022" s="1"/>
      <c r="I1022" s="1"/>
      <c r="J1022" s="1"/>
      <c r="K1022" s="1"/>
      <c r="M1022" s="1"/>
      <c r="N1022" s="1"/>
      <c r="O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2"/>
      <c r="AB1022" s="1"/>
      <c r="AC1022" s="1"/>
      <c r="AD1022" s="1"/>
      <c r="AE1022" s="1"/>
      <c r="AF1022" s="1"/>
      <c r="AG1022" s="1"/>
      <c r="AH1022" s="2"/>
      <c r="AI1022" s="2"/>
      <c r="AJ1022" s="2"/>
      <c r="AK1022" s="2"/>
      <c r="AL1022" s="2"/>
      <c r="AM1022" s="1"/>
      <c r="AN1022" s="2"/>
      <c r="AP1022" s="2"/>
      <c r="AQ1022" s="1"/>
      <c r="AR1022" s="2"/>
      <c r="AU1022" s="1"/>
      <c r="AW1022" s="1"/>
      <c r="AY1022" s="2"/>
    </row>
    <row r="1023">
      <c r="A1023" s="1"/>
      <c r="C1023" s="1"/>
      <c r="E1023" s="1"/>
      <c r="F1023" s="1"/>
      <c r="G1023" s="2"/>
      <c r="H1023" s="1"/>
      <c r="I1023" s="1"/>
      <c r="J1023" s="1"/>
      <c r="K1023" s="1"/>
      <c r="M1023" s="1"/>
      <c r="N1023" s="1"/>
      <c r="O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2"/>
      <c r="AB1023" s="1"/>
      <c r="AC1023" s="1"/>
      <c r="AD1023" s="1"/>
      <c r="AE1023" s="1"/>
      <c r="AF1023" s="1"/>
      <c r="AG1023" s="1"/>
      <c r="AH1023" s="2"/>
      <c r="AI1023" s="2"/>
      <c r="AJ1023" s="2"/>
      <c r="AK1023" s="2"/>
      <c r="AL1023" s="2"/>
      <c r="AM1023" s="1"/>
      <c r="AN1023" s="2"/>
      <c r="AP1023" s="2"/>
      <c r="AQ1023" s="1"/>
      <c r="AR1023" s="2"/>
      <c r="AU1023" s="1"/>
      <c r="AW1023" s="1"/>
      <c r="AY1023" s="2"/>
    </row>
    <row r="1024">
      <c r="A1024" s="1"/>
      <c r="C1024" s="1"/>
      <c r="E1024" s="1"/>
      <c r="F1024" s="1"/>
      <c r="G1024" s="2"/>
      <c r="H1024" s="1"/>
      <c r="I1024" s="1"/>
      <c r="J1024" s="1"/>
      <c r="K1024" s="1"/>
      <c r="M1024" s="1"/>
      <c r="N1024" s="1"/>
      <c r="O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2"/>
      <c r="AB1024" s="1"/>
      <c r="AC1024" s="1"/>
      <c r="AD1024" s="1"/>
      <c r="AE1024" s="1"/>
      <c r="AF1024" s="1"/>
      <c r="AG1024" s="1"/>
      <c r="AH1024" s="2"/>
      <c r="AI1024" s="2"/>
      <c r="AJ1024" s="2"/>
      <c r="AK1024" s="2"/>
      <c r="AL1024" s="2"/>
      <c r="AM1024" s="1"/>
      <c r="AN1024" s="2"/>
      <c r="AP1024" s="2"/>
      <c r="AQ1024" s="1"/>
      <c r="AR1024" s="2"/>
      <c r="AU1024" s="1"/>
      <c r="AW1024" s="1"/>
      <c r="AY1024" s="2"/>
    </row>
    <row r="1025">
      <c r="A1025" s="1"/>
      <c r="C1025" s="1"/>
      <c r="E1025" s="1"/>
      <c r="F1025" s="1"/>
      <c r="G1025" s="2"/>
      <c r="H1025" s="1"/>
      <c r="I1025" s="1"/>
      <c r="J1025" s="1"/>
      <c r="K1025" s="1"/>
      <c r="M1025" s="1"/>
      <c r="N1025" s="1"/>
      <c r="O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2"/>
      <c r="AB1025" s="1"/>
      <c r="AC1025" s="1"/>
      <c r="AD1025" s="1"/>
      <c r="AE1025" s="1"/>
      <c r="AF1025" s="1"/>
      <c r="AG1025" s="1"/>
      <c r="AH1025" s="2"/>
      <c r="AI1025" s="2"/>
      <c r="AJ1025" s="2"/>
      <c r="AK1025" s="2"/>
      <c r="AL1025" s="2"/>
      <c r="AM1025" s="1"/>
      <c r="AN1025" s="2"/>
      <c r="AP1025" s="2"/>
      <c r="AQ1025" s="1"/>
      <c r="AR1025" s="2"/>
      <c r="AU1025" s="1"/>
      <c r="AW1025" s="1"/>
      <c r="AY1025" s="2"/>
    </row>
    <row r="1026">
      <c r="A1026" s="1"/>
      <c r="C1026" s="1"/>
      <c r="E1026" s="1"/>
      <c r="F1026" s="1"/>
      <c r="G1026" s="2"/>
      <c r="H1026" s="1"/>
      <c r="I1026" s="1"/>
      <c r="J1026" s="1"/>
      <c r="K1026" s="1"/>
      <c r="M1026" s="1"/>
      <c r="N1026" s="1"/>
      <c r="O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2"/>
      <c r="AB1026" s="1"/>
      <c r="AC1026" s="1"/>
      <c r="AD1026" s="1"/>
      <c r="AE1026" s="1"/>
      <c r="AF1026" s="1"/>
      <c r="AG1026" s="1"/>
      <c r="AH1026" s="2"/>
      <c r="AI1026" s="2"/>
      <c r="AJ1026" s="2"/>
      <c r="AK1026" s="2"/>
      <c r="AL1026" s="2"/>
      <c r="AM1026" s="1"/>
      <c r="AN1026" s="2"/>
      <c r="AP1026" s="2"/>
      <c r="AQ1026" s="1"/>
      <c r="AR1026" s="2"/>
      <c r="AU1026" s="1"/>
      <c r="AW1026" s="1"/>
      <c r="AY1026" s="2"/>
    </row>
    <row r="1027">
      <c r="A1027" s="1"/>
      <c r="C1027" s="1"/>
      <c r="E1027" s="1"/>
      <c r="F1027" s="1"/>
      <c r="G1027" s="2"/>
      <c r="H1027" s="1"/>
      <c r="I1027" s="1"/>
      <c r="J1027" s="1"/>
      <c r="K1027" s="1"/>
      <c r="M1027" s="1"/>
      <c r="N1027" s="1"/>
      <c r="O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2"/>
      <c r="AB1027" s="1"/>
      <c r="AC1027" s="1"/>
      <c r="AD1027" s="1"/>
      <c r="AE1027" s="1"/>
      <c r="AF1027" s="1"/>
      <c r="AG1027" s="1"/>
      <c r="AH1027" s="2"/>
      <c r="AI1027" s="2"/>
      <c r="AJ1027" s="2"/>
      <c r="AK1027" s="2"/>
      <c r="AL1027" s="2"/>
      <c r="AM1027" s="1"/>
      <c r="AN1027" s="2"/>
      <c r="AP1027" s="2"/>
      <c r="AQ1027" s="1"/>
      <c r="AR1027" s="2"/>
      <c r="AU1027" s="1"/>
      <c r="AW1027" s="1"/>
      <c r="AY1027" s="2"/>
    </row>
    <row r="1028">
      <c r="A1028" s="1"/>
      <c r="C1028" s="1"/>
      <c r="E1028" s="1"/>
      <c r="F1028" s="1"/>
      <c r="G1028" s="2"/>
      <c r="H1028" s="1"/>
      <c r="I1028" s="1"/>
      <c r="J1028" s="1"/>
      <c r="K1028" s="1"/>
      <c r="M1028" s="1"/>
      <c r="N1028" s="1"/>
      <c r="O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2"/>
      <c r="AB1028" s="1"/>
      <c r="AC1028" s="1"/>
      <c r="AD1028" s="1"/>
      <c r="AE1028" s="1"/>
      <c r="AF1028" s="1"/>
      <c r="AG1028" s="1"/>
      <c r="AH1028" s="2"/>
      <c r="AI1028" s="2"/>
      <c r="AJ1028" s="2"/>
      <c r="AK1028" s="2"/>
      <c r="AL1028" s="2"/>
      <c r="AM1028" s="1"/>
      <c r="AN1028" s="2"/>
      <c r="AP1028" s="2"/>
      <c r="AQ1028" s="1"/>
      <c r="AR1028" s="2"/>
      <c r="AU1028" s="1"/>
      <c r="AW1028" s="1"/>
      <c r="AY1028" s="2"/>
    </row>
    <row r="1029">
      <c r="A1029" s="1"/>
      <c r="C1029" s="1"/>
      <c r="E1029" s="1"/>
      <c r="F1029" s="1"/>
      <c r="G1029" s="2"/>
      <c r="H1029" s="1"/>
      <c r="I1029" s="1"/>
      <c r="J1029" s="1"/>
      <c r="K1029" s="1"/>
      <c r="M1029" s="1"/>
      <c r="N1029" s="1"/>
      <c r="O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2"/>
      <c r="AB1029" s="1"/>
      <c r="AC1029" s="1"/>
      <c r="AD1029" s="1"/>
      <c r="AE1029" s="1"/>
      <c r="AF1029" s="1"/>
      <c r="AG1029" s="1"/>
      <c r="AH1029" s="2"/>
      <c r="AI1029" s="2"/>
      <c r="AJ1029" s="2"/>
      <c r="AK1029" s="2"/>
      <c r="AL1029" s="2"/>
      <c r="AM1029" s="1"/>
      <c r="AN1029" s="2"/>
      <c r="AP1029" s="2"/>
      <c r="AQ1029" s="1"/>
      <c r="AR1029" s="2"/>
      <c r="AU1029" s="1"/>
      <c r="AW1029" s="1"/>
      <c r="AY1029" s="2"/>
    </row>
    <row r="1030">
      <c r="A1030" s="1"/>
      <c r="C1030" s="1"/>
      <c r="E1030" s="1"/>
      <c r="F1030" s="1"/>
      <c r="G1030" s="2"/>
      <c r="H1030" s="1"/>
      <c r="I1030" s="1"/>
      <c r="J1030" s="1"/>
      <c r="K1030" s="1"/>
      <c r="M1030" s="1"/>
      <c r="N1030" s="1"/>
      <c r="O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2"/>
      <c r="AB1030" s="1"/>
      <c r="AC1030" s="1"/>
      <c r="AD1030" s="1"/>
      <c r="AE1030" s="1"/>
      <c r="AF1030" s="1"/>
      <c r="AG1030" s="1"/>
      <c r="AH1030" s="2"/>
      <c r="AI1030" s="2"/>
      <c r="AJ1030" s="2"/>
      <c r="AK1030" s="2"/>
      <c r="AL1030" s="2"/>
      <c r="AM1030" s="1"/>
      <c r="AN1030" s="2"/>
      <c r="AP1030" s="2"/>
      <c r="AQ1030" s="1"/>
      <c r="AR1030" s="2"/>
      <c r="AU1030" s="1"/>
      <c r="AW1030" s="1"/>
      <c r="AY1030" s="2"/>
    </row>
    <row r="1031">
      <c r="A1031" s="1"/>
      <c r="C1031" s="1"/>
      <c r="E1031" s="1"/>
      <c r="F1031" s="1"/>
      <c r="G1031" s="2"/>
      <c r="H1031" s="1"/>
      <c r="I1031" s="1"/>
      <c r="J1031" s="1"/>
      <c r="K1031" s="1"/>
      <c r="M1031" s="1"/>
      <c r="N1031" s="1"/>
      <c r="O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2"/>
      <c r="AB1031" s="1"/>
      <c r="AC1031" s="1"/>
      <c r="AD1031" s="1"/>
      <c r="AE1031" s="1"/>
      <c r="AF1031" s="1"/>
      <c r="AG1031" s="1"/>
      <c r="AH1031" s="2"/>
      <c r="AI1031" s="2"/>
      <c r="AJ1031" s="2"/>
      <c r="AK1031" s="2"/>
      <c r="AL1031" s="2"/>
      <c r="AM1031" s="1"/>
      <c r="AN1031" s="2"/>
      <c r="AP1031" s="2"/>
      <c r="AQ1031" s="1"/>
      <c r="AR1031" s="2"/>
      <c r="AU1031" s="1"/>
      <c r="AW1031" s="1"/>
      <c r="AY1031" s="2"/>
    </row>
    <row r="1032">
      <c r="A1032" s="1"/>
      <c r="C1032" s="1"/>
      <c r="E1032" s="1"/>
      <c r="F1032" s="1"/>
      <c r="G1032" s="2"/>
      <c r="H1032" s="1"/>
      <c r="I1032" s="1"/>
      <c r="J1032" s="1"/>
      <c r="K1032" s="1"/>
      <c r="M1032" s="1"/>
      <c r="N1032" s="1"/>
      <c r="O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2"/>
      <c r="AB1032" s="1"/>
      <c r="AC1032" s="1"/>
      <c r="AD1032" s="1"/>
      <c r="AE1032" s="1"/>
      <c r="AF1032" s="1"/>
      <c r="AG1032" s="1"/>
      <c r="AH1032" s="2"/>
      <c r="AI1032" s="2"/>
      <c r="AJ1032" s="2"/>
      <c r="AK1032" s="2"/>
      <c r="AL1032" s="2"/>
      <c r="AM1032" s="1"/>
      <c r="AN1032" s="2"/>
      <c r="AP1032" s="2"/>
      <c r="AQ1032" s="1"/>
      <c r="AR1032" s="2"/>
      <c r="AU1032" s="1"/>
      <c r="AW1032" s="1"/>
      <c r="AY1032" s="2"/>
    </row>
    <row r="1033">
      <c r="A1033" s="1"/>
      <c r="C1033" s="1"/>
      <c r="E1033" s="1"/>
      <c r="F1033" s="1"/>
      <c r="G1033" s="2"/>
      <c r="H1033" s="1"/>
      <c r="I1033" s="1"/>
      <c r="J1033" s="1"/>
      <c r="K1033" s="1"/>
      <c r="M1033" s="1"/>
      <c r="N1033" s="1"/>
      <c r="O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2"/>
      <c r="AB1033" s="1"/>
      <c r="AC1033" s="1"/>
      <c r="AD1033" s="1"/>
      <c r="AE1033" s="1"/>
      <c r="AF1033" s="1"/>
      <c r="AG1033" s="1"/>
      <c r="AH1033" s="2"/>
      <c r="AI1033" s="2"/>
      <c r="AJ1033" s="2"/>
      <c r="AK1033" s="2"/>
      <c r="AL1033" s="2"/>
      <c r="AM1033" s="1"/>
      <c r="AN1033" s="2"/>
      <c r="AP1033" s="2"/>
      <c r="AQ1033" s="1"/>
      <c r="AR1033" s="2"/>
      <c r="AU1033" s="1"/>
      <c r="AW1033" s="1"/>
      <c r="AY1033" s="2"/>
    </row>
    <row r="1034">
      <c r="A1034" s="1"/>
      <c r="C1034" s="1"/>
      <c r="E1034" s="1"/>
      <c r="F1034" s="1"/>
      <c r="G1034" s="2"/>
      <c r="H1034" s="1"/>
      <c r="I1034" s="1"/>
      <c r="J1034" s="1"/>
      <c r="K1034" s="1"/>
      <c r="M1034" s="1"/>
      <c r="N1034" s="1"/>
      <c r="O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2"/>
      <c r="AB1034" s="1"/>
      <c r="AC1034" s="1"/>
      <c r="AD1034" s="1"/>
      <c r="AE1034" s="1"/>
      <c r="AF1034" s="1"/>
      <c r="AG1034" s="1"/>
      <c r="AH1034" s="2"/>
      <c r="AI1034" s="2"/>
      <c r="AJ1034" s="2"/>
      <c r="AK1034" s="2"/>
      <c r="AL1034" s="2"/>
      <c r="AM1034" s="1"/>
      <c r="AN1034" s="2"/>
      <c r="AP1034" s="2"/>
      <c r="AQ1034" s="1"/>
      <c r="AR1034" s="2"/>
      <c r="AU1034" s="1"/>
      <c r="AW1034" s="1"/>
      <c r="AY1034" s="2"/>
    </row>
    <row r="1035">
      <c r="A1035" s="1"/>
      <c r="C1035" s="1"/>
      <c r="E1035" s="1"/>
      <c r="F1035" s="1"/>
      <c r="G1035" s="2"/>
      <c r="H1035" s="1"/>
      <c r="I1035" s="1"/>
      <c r="J1035" s="1"/>
      <c r="K1035" s="1"/>
      <c r="M1035" s="1"/>
      <c r="N1035" s="1"/>
      <c r="O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2"/>
      <c r="AB1035" s="1"/>
      <c r="AC1035" s="1"/>
      <c r="AD1035" s="1"/>
      <c r="AE1035" s="1"/>
      <c r="AF1035" s="1"/>
      <c r="AG1035" s="1"/>
      <c r="AH1035" s="2"/>
      <c r="AI1035" s="2"/>
      <c r="AJ1035" s="2"/>
      <c r="AK1035" s="2"/>
      <c r="AL1035" s="2"/>
      <c r="AM1035" s="1"/>
      <c r="AN1035" s="2"/>
      <c r="AP1035" s="2"/>
      <c r="AQ1035" s="1"/>
      <c r="AR1035" s="2"/>
      <c r="AU1035" s="1"/>
      <c r="AW1035" s="1"/>
      <c r="AY1035" s="2"/>
    </row>
    <row r="1036">
      <c r="A1036" s="1"/>
      <c r="C1036" s="1"/>
      <c r="E1036" s="1"/>
      <c r="F1036" s="1"/>
      <c r="G1036" s="2"/>
      <c r="H1036" s="1"/>
      <c r="I1036" s="1"/>
      <c r="J1036" s="1"/>
      <c r="K1036" s="1"/>
      <c r="M1036" s="1"/>
      <c r="N1036" s="1"/>
      <c r="O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2"/>
      <c r="AB1036" s="1"/>
      <c r="AC1036" s="1"/>
      <c r="AD1036" s="1"/>
      <c r="AE1036" s="1"/>
      <c r="AF1036" s="1"/>
      <c r="AG1036" s="1"/>
      <c r="AH1036" s="2"/>
      <c r="AI1036" s="2"/>
      <c r="AJ1036" s="2"/>
      <c r="AK1036" s="2"/>
      <c r="AL1036" s="2"/>
      <c r="AM1036" s="1"/>
      <c r="AN1036" s="2"/>
      <c r="AP1036" s="2"/>
      <c r="AQ1036" s="1"/>
      <c r="AR1036" s="2"/>
      <c r="AU1036" s="1"/>
      <c r="AW1036" s="1"/>
      <c r="AY1036" s="2"/>
    </row>
    <row r="1037">
      <c r="A1037" s="1"/>
      <c r="C1037" s="1"/>
      <c r="E1037" s="1"/>
      <c r="F1037" s="1"/>
      <c r="G1037" s="2"/>
      <c r="H1037" s="1"/>
      <c r="I1037" s="1"/>
      <c r="J1037" s="1"/>
      <c r="K1037" s="1"/>
      <c r="M1037" s="1"/>
      <c r="N1037" s="1"/>
      <c r="O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2"/>
      <c r="AB1037" s="1"/>
      <c r="AC1037" s="1"/>
      <c r="AD1037" s="1"/>
      <c r="AE1037" s="1"/>
      <c r="AF1037" s="1"/>
      <c r="AG1037" s="1"/>
      <c r="AH1037" s="2"/>
      <c r="AI1037" s="2"/>
      <c r="AJ1037" s="2"/>
      <c r="AK1037" s="2"/>
      <c r="AL1037" s="2"/>
      <c r="AM1037" s="1"/>
      <c r="AN1037" s="2"/>
      <c r="AP1037" s="2"/>
      <c r="AQ1037" s="1"/>
      <c r="AR1037" s="2"/>
      <c r="AU1037" s="1"/>
      <c r="AW1037" s="1"/>
      <c r="AY1037" s="2"/>
    </row>
    <row r="1038">
      <c r="A1038" s="1"/>
      <c r="C1038" s="1"/>
      <c r="E1038" s="1"/>
      <c r="F1038" s="1"/>
      <c r="G1038" s="2"/>
      <c r="H1038" s="1"/>
      <c r="I1038" s="1"/>
      <c r="J1038" s="1"/>
      <c r="K1038" s="1"/>
      <c r="M1038" s="1"/>
      <c r="N1038" s="1"/>
      <c r="O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2"/>
      <c r="AB1038" s="1"/>
      <c r="AC1038" s="1"/>
      <c r="AD1038" s="1"/>
      <c r="AE1038" s="1"/>
      <c r="AF1038" s="1"/>
      <c r="AG1038" s="1"/>
      <c r="AH1038" s="2"/>
      <c r="AI1038" s="2"/>
      <c r="AJ1038" s="2"/>
      <c r="AK1038" s="2"/>
      <c r="AL1038" s="2"/>
      <c r="AM1038" s="1"/>
      <c r="AN1038" s="2"/>
      <c r="AP1038" s="2"/>
      <c r="AQ1038" s="1"/>
      <c r="AR1038" s="2"/>
      <c r="AU1038" s="1"/>
      <c r="AW1038" s="1"/>
      <c r="AY1038" s="2"/>
    </row>
    <row r="1039">
      <c r="A1039" s="1"/>
      <c r="C1039" s="1"/>
      <c r="E1039" s="1"/>
      <c r="F1039" s="1"/>
      <c r="G1039" s="2"/>
      <c r="H1039" s="1"/>
      <c r="I1039" s="1"/>
      <c r="J1039" s="1"/>
      <c r="K1039" s="1"/>
      <c r="M1039" s="1"/>
      <c r="N1039" s="1"/>
      <c r="O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2"/>
      <c r="AB1039" s="1"/>
      <c r="AC1039" s="1"/>
      <c r="AD1039" s="1"/>
      <c r="AE1039" s="1"/>
      <c r="AF1039" s="1"/>
      <c r="AG1039" s="1"/>
      <c r="AH1039" s="2"/>
      <c r="AI1039" s="2"/>
      <c r="AJ1039" s="2"/>
      <c r="AK1039" s="2"/>
      <c r="AL1039" s="2"/>
      <c r="AM1039" s="1"/>
      <c r="AN1039" s="2"/>
      <c r="AP1039" s="2"/>
      <c r="AQ1039" s="1"/>
      <c r="AR1039" s="2"/>
      <c r="AU1039" s="1"/>
      <c r="AW1039" s="1"/>
      <c r="AY1039" s="2"/>
    </row>
    <row r="1040">
      <c r="A1040" s="1"/>
      <c r="C1040" s="1"/>
      <c r="E1040" s="1"/>
      <c r="F1040" s="1"/>
      <c r="G1040" s="2"/>
      <c r="H1040" s="1"/>
      <c r="I1040" s="1"/>
      <c r="J1040" s="1"/>
      <c r="K1040" s="1"/>
      <c r="M1040" s="1"/>
      <c r="N1040" s="1"/>
      <c r="O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2"/>
      <c r="AB1040" s="1"/>
      <c r="AC1040" s="1"/>
      <c r="AD1040" s="1"/>
      <c r="AE1040" s="1"/>
      <c r="AF1040" s="1"/>
      <c r="AG1040" s="1"/>
      <c r="AH1040" s="2"/>
      <c r="AI1040" s="2"/>
      <c r="AJ1040" s="2"/>
      <c r="AK1040" s="2"/>
      <c r="AL1040" s="2"/>
      <c r="AM1040" s="1"/>
      <c r="AN1040" s="2"/>
      <c r="AP1040" s="2"/>
      <c r="AQ1040" s="1"/>
      <c r="AR1040" s="2"/>
      <c r="AU1040" s="1"/>
      <c r="AW1040" s="1"/>
      <c r="AY1040" s="2"/>
    </row>
    <row r="1041">
      <c r="A1041" s="1"/>
      <c r="C1041" s="1"/>
      <c r="E1041" s="1"/>
      <c r="F1041" s="1"/>
      <c r="G1041" s="2"/>
      <c r="H1041" s="1"/>
      <c r="I1041" s="1"/>
      <c r="J1041" s="1"/>
      <c r="K1041" s="1"/>
      <c r="M1041" s="1"/>
      <c r="N1041" s="1"/>
      <c r="O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2"/>
      <c r="AB1041" s="1"/>
      <c r="AC1041" s="1"/>
      <c r="AD1041" s="1"/>
      <c r="AE1041" s="1"/>
      <c r="AF1041" s="1"/>
      <c r="AG1041" s="1"/>
      <c r="AH1041" s="2"/>
      <c r="AI1041" s="2"/>
      <c r="AJ1041" s="2"/>
      <c r="AK1041" s="2"/>
      <c r="AL1041" s="2"/>
      <c r="AM1041" s="1"/>
      <c r="AN1041" s="2"/>
      <c r="AP1041" s="2"/>
      <c r="AQ1041" s="1"/>
      <c r="AR1041" s="2"/>
      <c r="AU1041" s="1"/>
      <c r="AW1041" s="1"/>
      <c r="AY1041" s="2"/>
    </row>
    <row r="1042">
      <c r="A1042" s="1"/>
      <c r="C1042" s="1"/>
      <c r="E1042" s="1"/>
      <c r="F1042" s="1"/>
      <c r="G1042" s="2"/>
      <c r="H1042" s="1"/>
      <c r="I1042" s="1"/>
      <c r="J1042" s="1"/>
      <c r="K1042" s="1"/>
      <c r="M1042" s="1"/>
      <c r="N1042" s="1"/>
      <c r="O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2"/>
      <c r="AB1042" s="1"/>
      <c r="AC1042" s="1"/>
      <c r="AD1042" s="1"/>
      <c r="AE1042" s="1"/>
      <c r="AF1042" s="1"/>
      <c r="AG1042" s="1"/>
      <c r="AH1042" s="2"/>
      <c r="AI1042" s="2"/>
      <c r="AJ1042" s="2"/>
      <c r="AK1042" s="2"/>
      <c r="AL1042" s="2"/>
      <c r="AM1042" s="1"/>
      <c r="AN1042" s="2"/>
      <c r="AP1042" s="2"/>
      <c r="AQ1042" s="1"/>
      <c r="AR1042" s="2"/>
      <c r="AU1042" s="1"/>
      <c r="AW1042" s="1"/>
      <c r="AY1042" s="2"/>
    </row>
    <row r="1043">
      <c r="A1043" s="1"/>
      <c r="C1043" s="1"/>
      <c r="E1043" s="1"/>
      <c r="F1043" s="1"/>
      <c r="G1043" s="2"/>
      <c r="H1043" s="1"/>
      <c r="I1043" s="1"/>
      <c r="J1043" s="1"/>
      <c r="K1043" s="1"/>
      <c r="M1043" s="1"/>
      <c r="N1043" s="1"/>
      <c r="O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2"/>
      <c r="AB1043" s="1"/>
      <c r="AC1043" s="1"/>
      <c r="AD1043" s="1"/>
      <c r="AE1043" s="1"/>
      <c r="AF1043" s="1"/>
      <c r="AG1043" s="1"/>
      <c r="AH1043" s="2"/>
      <c r="AI1043" s="2"/>
      <c r="AJ1043" s="2"/>
      <c r="AK1043" s="2"/>
      <c r="AL1043" s="2"/>
      <c r="AM1043" s="1"/>
      <c r="AN1043" s="2"/>
      <c r="AP1043" s="2"/>
      <c r="AQ1043" s="1"/>
      <c r="AR1043" s="2"/>
      <c r="AU1043" s="1"/>
      <c r="AW1043" s="1"/>
      <c r="AY1043" s="2"/>
    </row>
    <row r="1044">
      <c r="A1044" s="1"/>
      <c r="C1044" s="1"/>
      <c r="E1044" s="1"/>
      <c r="F1044" s="1"/>
      <c r="G1044" s="2"/>
      <c r="H1044" s="1"/>
      <c r="I1044" s="1"/>
      <c r="J1044" s="1"/>
      <c r="K1044" s="1"/>
      <c r="M1044" s="1"/>
      <c r="N1044" s="1"/>
      <c r="O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2"/>
      <c r="AB1044" s="1"/>
      <c r="AC1044" s="1"/>
      <c r="AD1044" s="1"/>
      <c r="AE1044" s="1"/>
      <c r="AF1044" s="1"/>
      <c r="AG1044" s="1"/>
      <c r="AH1044" s="2"/>
      <c r="AI1044" s="2"/>
      <c r="AJ1044" s="2"/>
      <c r="AK1044" s="2"/>
      <c r="AL1044" s="2"/>
      <c r="AM1044" s="1"/>
      <c r="AN1044" s="2"/>
      <c r="AP1044" s="2"/>
      <c r="AQ1044" s="1"/>
      <c r="AR1044" s="2"/>
      <c r="AU1044" s="1"/>
      <c r="AW1044" s="1"/>
      <c r="AY1044" s="2"/>
    </row>
    <row r="1045">
      <c r="A1045" s="1"/>
      <c r="C1045" s="1"/>
      <c r="E1045" s="1"/>
      <c r="F1045" s="1"/>
      <c r="G1045" s="2"/>
      <c r="H1045" s="1"/>
      <c r="I1045" s="1"/>
      <c r="J1045" s="1"/>
      <c r="K1045" s="1"/>
      <c r="M1045" s="1"/>
      <c r="N1045" s="1"/>
      <c r="O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2"/>
      <c r="AB1045" s="1"/>
      <c r="AC1045" s="1"/>
      <c r="AD1045" s="1"/>
      <c r="AE1045" s="1"/>
      <c r="AF1045" s="1"/>
      <c r="AG1045" s="1"/>
      <c r="AH1045" s="2"/>
      <c r="AI1045" s="2"/>
      <c r="AJ1045" s="2"/>
      <c r="AK1045" s="2"/>
      <c r="AL1045" s="2"/>
      <c r="AM1045" s="1"/>
      <c r="AN1045" s="2"/>
      <c r="AP1045" s="2"/>
      <c r="AQ1045" s="1"/>
      <c r="AR1045" s="2"/>
      <c r="AU1045" s="1"/>
      <c r="AW1045" s="1"/>
      <c r="AY1045" s="2"/>
    </row>
    <row r="1046">
      <c r="A1046" s="1"/>
      <c r="C1046" s="1"/>
      <c r="E1046" s="1"/>
      <c r="F1046" s="1"/>
      <c r="G1046" s="2"/>
      <c r="H1046" s="1"/>
      <c r="I1046" s="1"/>
      <c r="J1046" s="1"/>
      <c r="K1046" s="1"/>
      <c r="M1046" s="1"/>
      <c r="N1046" s="1"/>
      <c r="O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2"/>
      <c r="AB1046" s="1"/>
      <c r="AC1046" s="1"/>
      <c r="AD1046" s="1"/>
      <c r="AE1046" s="1"/>
      <c r="AF1046" s="1"/>
      <c r="AG1046" s="1"/>
      <c r="AH1046" s="2"/>
      <c r="AI1046" s="2"/>
      <c r="AJ1046" s="2"/>
      <c r="AK1046" s="2"/>
      <c r="AL1046" s="2"/>
      <c r="AM1046" s="1"/>
      <c r="AN1046" s="2"/>
      <c r="AP1046" s="2"/>
      <c r="AQ1046" s="1"/>
      <c r="AR1046" s="2"/>
      <c r="AU1046" s="1"/>
      <c r="AW1046" s="1"/>
      <c r="AY1046" s="2"/>
    </row>
    <row r="1047">
      <c r="A1047" s="1"/>
      <c r="C1047" s="1"/>
      <c r="E1047" s="1"/>
      <c r="F1047" s="1"/>
      <c r="G1047" s="2"/>
      <c r="H1047" s="1"/>
      <c r="I1047" s="1"/>
      <c r="J1047" s="1"/>
      <c r="K1047" s="1"/>
      <c r="M1047" s="1"/>
      <c r="N1047" s="1"/>
      <c r="O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2"/>
      <c r="AB1047" s="1"/>
      <c r="AC1047" s="1"/>
      <c r="AD1047" s="1"/>
      <c r="AE1047" s="1"/>
      <c r="AF1047" s="1"/>
      <c r="AG1047" s="1"/>
      <c r="AH1047" s="2"/>
      <c r="AI1047" s="2"/>
      <c r="AJ1047" s="2"/>
      <c r="AK1047" s="2"/>
      <c r="AL1047" s="2"/>
      <c r="AM1047" s="1"/>
      <c r="AN1047" s="2"/>
      <c r="AP1047" s="2"/>
      <c r="AQ1047" s="1"/>
      <c r="AR1047" s="2"/>
      <c r="AU1047" s="1"/>
      <c r="AW1047" s="1"/>
      <c r="AY1047" s="2"/>
    </row>
    <row r="1048">
      <c r="A1048" s="1"/>
      <c r="C1048" s="1"/>
      <c r="E1048" s="1"/>
      <c r="F1048" s="1"/>
      <c r="G1048" s="2"/>
      <c r="H1048" s="1"/>
      <c r="I1048" s="1"/>
      <c r="J1048" s="1"/>
      <c r="K1048" s="1"/>
      <c r="M1048" s="1"/>
      <c r="N1048" s="1"/>
      <c r="O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2"/>
      <c r="AB1048" s="1"/>
      <c r="AC1048" s="1"/>
      <c r="AD1048" s="1"/>
      <c r="AE1048" s="1"/>
      <c r="AF1048" s="1"/>
      <c r="AG1048" s="1"/>
      <c r="AH1048" s="2"/>
      <c r="AI1048" s="2"/>
      <c r="AJ1048" s="2"/>
      <c r="AK1048" s="2"/>
      <c r="AL1048" s="2"/>
      <c r="AM1048" s="1"/>
      <c r="AN1048" s="2"/>
      <c r="AP1048" s="2"/>
      <c r="AQ1048" s="1"/>
      <c r="AR1048" s="2"/>
      <c r="AU1048" s="1"/>
      <c r="AW1048" s="1"/>
      <c r="AY1048" s="2"/>
    </row>
    <row r="1049">
      <c r="A1049" s="1"/>
      <c r="C1049" s="1"/>
      <c r="E1049" s="1"/>
      <c r="F1049" s="1"/>
      <c r="G1049" s="2"/>
      <c r="H1049" s="1"/>
      <c r="I1049" s="1"/>
      <c r="J1049" s="1"/>
      <c r="K1049" s="1"/>
      <c r="M1049" s="1"/>
      <c r="N1049" s="1"/>
      <c r="O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2"/>
      <c r="AB1049" s="1"/>
      <c r="AC1049" s="1"/>
      <c r="AD1049" s="1"/>
      <c r="AE1049" s="1"/>
      <c r="AF1049" s="1"/>
      <c r="AG1049" s="1"/>
      <c r="AH1049" s="2"/>
      <c r="AI1049" s="2"/>
      <c r="AJ1049" s="2"/>
      <c r="AK1049" s="2"/>
      <c r="AL1049" s="2"/>
      <c r="AM1049" s="1"/>
      <c r="AN1049" s="2"/>
      <c r="AP1049" s="2"/>
      <c r="AQ1049" s="1"/>
      <c r="AR1049" s="2"/>
      <c r="AU1049" s="1"/>
      <c r="AW1049" s="1"/>
      <c r="AY1049" s="2"/>
    </row>
    <row r="1050">
      <c r="A1050" s="1"/>
      <c r="C1050" s="1"/>
      <c r="E1050" s="1"/>
      <c r="F1050" s="1"/>
      <c r="G1050" s="2"/>
      <c r="H1050" s="1"/>
      <c r="I1050" s="1"/>
      <c r="J1050" s="1"/>
      <c r="K1050" s="1"/>
      <c r="M1050" s="1"/>
      <c r="N1050" s="1"/>
      <c r="O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2"/>
      <c r="AB1050" s="1"/>
      <c r="AC1050" s="1"/>
      <c r="AD1050" s="1"/>
      <c r="AE1050" s="1"/>
      <c r="AF1050" s="1"/>
      <c r="AG1050" s="1"/>
      <c r="AH1050" s="2"/>
      <c r="AI1050" s="2"/>
      <c r="AJ1050" s="2"/>
      <c r="AK1050" s="2"/>
      <c r="AL1050" s="2"/>
      <c r="AM1050" s="1"/>
      <c r="AN1050" s="2"/>
      <c r="AP1050" s="2"/>
      <c r="AQ1050" s="1"/>
      <c r="AR1050" s="2"/>
      <c r="AU1050" s="1"/>
      <c r="AW1050" s="1"/>
      <c r="AY1050" s="2"/>
    </row>
    <row r="1051">
      <c r="A1051" s="1"/>
      <c r="C1051" s="1"/>
      <c r="E1051" s="1"/>
      <c r="F1051" s="1"/>
      <c r="G1051" s="2"/>
      <c r="H1051" s="1"/>
      <c r="I1051" s="1"/>
      <c r="J1051" s="1"/>
      <c r="K1051" s="1"/>
      <c r="M1051" s="1"/>
      <c r="N1051" s="1"/>
      <c r="O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2"/>
      <c r="AB1051" s="1"/>
      <c r="AC1051" s="1"/>
      <c r="AD1051" s="1"/>
      <c r="AE1051" s="1"/>
      <c r="AF1051" s="1"/>
      <c r="AG1051" s="1"/>
      <c r="AH1051" s="2"/>
      <c r="AI1051" s="2"/>
      <c r="AJ1051" s="2"/>
      <c r="AK1051" s="2"/>
      <c r="AL1051" s="2"/>
      <c r="AM1051" s="1"/>
      <c r="AN1051" s="2"/>
      <c r="AP1051" s="2"/>
      <c r="AQ1051" s="1"/>
      <c r="AR1051" s="2"/>
      <c r="AU1051" s="1"/>
      <c r="AW1051" s="1"/>
      <c r="AY1051" s="2"/>
    </row>
    <row r="1052">
      <c r="A1052" s="1"/>
      <c r="C1052" s="1"/>
      <c r="E1052" s="1"/>
      <c r="F1052" s="1"/>
      <c r="G1052" s="2"/>
      <c r="H1052" s="1"/>
      <c r="I1052" s="1"/>
      <c r="J1052" s="1"/>
      <c r="K1052" s="1"/>
      <c r="M1052" s="1"/>
      <c r="N1052" s="1"/>
      <c r="O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2"/>
      <c r="AB1052" s="1"/>
      <c r="AC1052" s="1"/>
      <c r="AD1052" s="1"/>
      <c r="AE1052" s="1"/>
      <c r="AF1052" s="1"/>
      <c r="AG1052" s="1"/>
      <c r="AH1052" s="2"/>
      <c r="AI1052" s="2"/>
      <c r="AJ1052" s="2"/>
      <c r="AK1052" s="2"/>
      <c r="AL1052" s="2"/>
      <c r="AM1052" s="1"/>
      <c r="AN1052" s="2"/>
      <c r="AP1052" s="2"/>
      <c r="AQ1052" s="1"/>
      <c r="AR1052" s="2"/>
      <c r="AU1052" s="1"/>
      <c r="AW1052" s="1"/>
      <c r="AY1052" s="2"/>
    </row>
    <row r="1053">
      <c r="A1053" s="1"/>
      <c r="C1053" s="1"/>
      <c r="E1053" s="1"/>
      <c r="F1053" s="1"/>
      <c r="G1053" s="2"/>
      <c r="H1053" s="1"/>
      <c r="I1053" s="1"/>
      <c r="J1053" s="1"/>
      <c r="K1053" s="1"/>
      <c r="M1053" s="1"/>
      <c r="N1053" s="1"/>
      <c r="O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2"/>
      <c r="AB1053" s="1"/>
      <c r="AC1053" s="1"/>
      <c r="AD1053" s="1"/>
      <c r="AE1053" s="1"/>
      <c r="AF1053" s="1"/>
      <c r="AG1053" s="1"/>
      <c r="AH1053" s="2"/>
      <c r="AI1053" s="2"/>
      <c r="AJ1053" s="2"/>
      <c r="AK1053" s="2"/>
      <c r="AL1053" s="2"/>
      <c r="AM1053" s="1"/>
      <c r="AN1053" s="2"/>
      <c r="AP1053" s="2"/>
      <c r="AQ1053" s="1"/>
      <c r="AR1053" s="2"/>
      <c r="AU1053" s="1"/>
      <c r="AW1053" s="1"/>
      <c r="AY1053" s="2"/>
    </row>
    <row r="1054">
      <c r="A1054" s="1"/>
      <c r="C1054" s="1"/>
      <c r="E1054" s="1"/>
      <c r="F1054" s="1"/>
      <c r="G1054" s="2"/>
      <c r="H1054" s="1"/>
      <c r="I1054" s="1"/>
      <c r="J1054" s="1"/>
      <c r="K1054" s="1"/>
      <c r="M1054" s="1"/>
      <c r="N1054" s="1"/>
      <c r="O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2"/>
      <c r="AB1054" s="1"/>
      <c r="AC1054" s="1"/>
      <c r="AD1054" s="1"/>
      <c r="AE1054" s="1"/>
      <c r="AF1054" s="1"/>
      <c r="AG1054" s="1"/>
      <c r="AH1054" s="2"/>
      <c r="AI1054" s="2"/>
      <c r="AJ1054" s="2"/>
      <c r="AK1054" s="2"/>
      <c r="AL1054" s="2"/>
      <c r="AM1054" s="1"/>
      <c r="AN1054" s="2"/>
      <c r="AP1054" s="2"/>
      <c r="AQ1054" s="1"/>
      <c r="AR1054" s="2"/>
      <c r="AU1054" s="1"/>
      <c r="AW1054" s="1"/>
      <c r="AY1054" s="2"/>
    </row>
    <row r="1055">
      <c r="A1055" s="1"/>
      <c r="C1055" s="1"/>
      <c r="E1055" s="1"/>
      <c r="F1055" s="1"/>
      <c r="G1055" s="2"/>
      <c r="H1055" s="1"/>
      <c r="I1055" s="1"/>
      <c r="J1055" s="1"/>
      <c r="K1055" s="1"/>
      <c r="M1055" s="1"/>
      <c r="N1055" s="1"/>
      <c r="O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2"/>
      <c r="AB1055" s="1"/>
      <c r="AC1055" s="1"/>
      <c r="AD1055" s="1"/>
      <c r="AE1055" s="1"/>
      <c r="AF1055" s="1"/>
      <c r="AG1055" s="1"/>
      <c r="AH1055" s="2"/>
      <c r="AI1055" s="2"/>
      <c r="AJ1055" s="2"/>
      <c r="AK1055" s="2"/>
      <c r="AL1055" s="2"/>
      <c r="AM1055" s="1"/>
      <c r="AN1055" s="2"/>
      <c r="AP1055" s="2"/>
      <c r="AQ1055" s="1"/>
      <c r="AR1055" s="2"/>
      <c r="AU1055" s="1"/>
      <c r="AW1055" s="1"/>
      <c r="AY1055" s="2"/>
    </row>
    <row r="1056">
      <c r="A1056" s="1"/>
      <c r="C1056" s="1"/>
      <c r="E1056" s="1"/>
      <c r="F1056" s="1"/>
      <c r="G1056" s="2"/>
      <c r="H1056" s="1"/>
      <c r="I1056" s="1"/>
      <c r="J1056" s="1"/>
      <c r="K1056" s="1"/>
      <c r="M1056" s="1"/>
      <c r="N1056" s="1"/>
      <c r="O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2"/>
      <c r="AB1056" s="1"/>
      <c r="AC1056" s="1"/>
      <c r="AD1056" s="1"/>
      <c r="AE1056" s="1"/>
      <c r="AF1056" s="1"/>
      <c r="AG1056" s="1"/>
      <c r="AH1056" s="2"/>
      <c r="AI1056" s="2"/>
      <c r="AJ1056" s="2"/>
      <c r="AK1056" s="2"/>
      <c r="AL1056" s="2"/>
      <c r="AM1056" s="1"/>
      <c r="AN1056" s="2"/>
      <c r="AP1056" s="2"/>
      <c r="AQ1056" s="1"/>
      <c r="AR1056" s="2"/>
      <c r="AU1056" s="1"/>
      <c r="AW1056" s="1"/>
      <c r="AY1056" s="2"/>
    </row>
    <row r="1057">
      <c r="A1057" s="1"/>
      <c r="C1057" s="1"/>
      <c r="E1057" s="1"/>
      <c r="F1057" s="1"/>
      <c r="G1057" s="2"/>
      <c r="H1057" s="1"/>
      <c r="I1057" s="1"/>
      <c r="J1057" s="1"/>
      <c r="K1057" s="1"/>
      <c r="M1057" s="1"/>
      <c r="N1057" s="1"/>
      <c r="O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2"/>
      <c r="AB1057" s="1"/>
      <c r="AC1057" s="1"/>
      <c r="AD1057" s="1"/>
      <c r="AE1057" s="1"/>
      <c r="AF1057" s="1"/>
      <c r="AG1057" s="1"/>
      <c r="AH1057" s="2"/>
      <c r="AI1057" s="2"/>
      <c r="AJ1057" s="2"/>
      <c r="AK1057" s="2"/>
      <c r="AL1057" s="2"/>
      <c r="AM1057" s="1"/>
      <c r="AN1057" s="2"/>
      <c r="AP1057" s="2"/>
      <c r="AQ1057" s="1"/>
      <c r="AR1057" s="2"/>
      <c r="AU1057" s="1"/>
      <c r="AW1057" s="1"/>
      <c r="AY1057" s="2"/>
    </row>
    <row r="1058">
      <c r="A1058" s="1"/>
      <c r="C1058" s="1"/>
      <c r="E1058" s="1"/>
      <c r="F1058" s="1"/>
      <c r="G1058" s="2"/>
      <c r="H1058" s="1"/>
      <c r="I1058" s="1"/>
      <c r="J1058" s="1"/>
      <c r="K1058" s="1"/>
      <c r="M1058" s="1"/>
      <c r="N1058" s="1"/>
      <c r="O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2"/>
      <c r="AB1058" s="1"/>
      <c r="AC1058" s="1"/>
      <c r="AD1058" s="1"/>
      <c r="AE1058" s="1"/>
      <c r="AF1058" s="1"/>
      <c r="AG1058" s="1"/>
      <c r="AH1058" s="2"/>
      <c r="AI1058" s="2"/>
      <c r="AJ1058" s="2"/>
      <c r="AK1058" s="2"/>
      <c r="AL1058" s="2"/>
      <c r="AM1058" s="1"/>
      <c r="AN1058" s="2"/>
      <c r="AP1058" s="2"/>
      <c r="AQ1058" s="1"/>
      <c r="AR1058" s="2"/>
      <c r="AU1058" s="1"/>
      <c r="AW1058" s="1"/>
      <c r="AY1058" s="2"/>
    </row>
    <row r="1059">
      <c r="A1059" s="1"/>
      <c r="C1059" s="1"/>
      <c r="E1059" s="1"/>
      <c r="F1059" s="1"/>
      <c r="G1059" s="2"/>
      <c r="H1059" s="1"/>
      <c r="I1059" s="1"/>
      <c r="J1059" s="1"/>
      <c r="K1059" s="1"/>
      <c r="M1059" s="1"/>
      <c r="N1059" s="1"/>
      <c r="O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2"/>
      <c r="AB1059" s="1"/>
      <c r="AC1059" s="1"/>
      <c r="AD1059" s="1"/>
      <c r="AE1059" s="1"/>
      <c r="AF1059" s="1"/>
      <c r="AG1059" s="1"/>
      <c r="AH1059" s="2"/>
      <c r="AI1059" s="2"/>
      <c r="AJ1059" s="2"/>
      <c r="AK1059" s="2"/>
      <c r="AL1059" s="2"/>
      <c r="AM1059" s="1"/>
      <c r="AN1059" s="2"/>
      <c r="AP1059" s="2"/>
      <c r="AQ1059" s="1"/>
      <c r="AR1059" s="2"/>
      <c r="AU1059" s="1"/>
      <c r="AW1059" s="1"/>
      <c r="AY1059" s="2"/>
    </row>
    <row r="1060">
      <c r="A1060" s="1"/>
      <c r="C1060" s="1"/>
      <c r="E1060" s="1"/>
      <c r="F1060" s="1"/>
      <c r="G1060" s="2"/>
      <c r="H1060" s="1"/>
      <c r="I1060" s="1"/>
      <c r="J1060" s="1"/>
      <c r="K1060" s="1"/>
      <c r="M1060" s="1"/>
      <c r="N1060" s="1"/>
      <c r="O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2"/>
      <c r="AB1060" s="1"/>
      <c r="AC1060" s="1"/>
      <c r="AD1060" s="1"/>
      <c r="AE1060" s="1"/>
      <c r="AF1060" s="1"/>
      <c r="AG1060" s="1"/>
      <c r="AH1060" s="2"/>
      <c r="AI1060" s="2"/>
      <c r="AJ1060" s="2"/>
      <c r="AK1060" s="2"/>
      <c r="AL1060" s="2"/>
      <c r="AM1060" s="1"/>
      <c r="AN1060" s="2"/>
      <c r="AP1060" s="2"/>
      <c r="AQ1060" s="1"/>
      <c r="AR1060" s="2"/>
      <c r="AU1060" s="1"/>
      <c r="AW1060" s="1"/>
      <c r="AY1060" s="2"/>
    </row>
    <row r="1061">
      <c r="A1061" s="1"/>
      <c r="C1061" s="1"/>
      <c r="E1061" s="1"/>
      <c r="F1061" s="1"/>
      <c r="G1061" s="2"/>
      <c r="H1061" s="1"/>
      <c r="I1061" s="1"/>
      <c r="J1061" s="1"/>
      <c r="K1061" s="1"/>
      <c r="M1061" s="1"/>
      <c r="N1061" s="1"/>
      <c r="O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2"/>
      <c r="AB1061" s="1"/>
      <c r="AC1061" s="1"/>
      <c r="AD1061" s="1"/>
      <c r="AE1061" s="1"/>
      <c r="AF1061" s="1"/>
      <c r="AG1061" s="1"/>
      <c r="AH1061" s="2"/>
      <c r="AI1061" s="2"/>
      <c r="AJ1061" s="2"/>
      <c r="AK1061" s="2"/>
      <c r="AL1061" s="2"/>
      <c r="AM1061" s="1"/>
      <c r="AN1061" s="2"/>
      <c r="AP1061" s="2"/>
      <c r="AQ1061" s="1"/>
      <c r="AR1061" s="2"/>
      <c r="AU1061" s="1"/>
      <c r="AW1061" s="1"/>
      <c r="AY1061" s="2"/>
    </row>
    <row r="1062">
      <c r="A1062" s="1"/>
      <c r="C1062" s="1"/>
      <c r="E1062" s="1"/>
      <c r="F1062" s="1"/>
      <c r="G1062" s="2"/>
      <c r="H1062" s="1"/>
      <c r="I1062" s="1"/>
      <c r="J1062" s="1"/>
      <c r="K1062" s="1"/>
      <c r="M1062" s="1"/>
      <c r="N1062" s="1"/>
      <c r="O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2"/>
      <c r="AB1062" s="1"/>
      <c r="AC1062" s="1"/>
      <c r="AD1062" s="1"/>
      <c r="AE1062" s="1"/>
      <c r="AF1062" s="1"/>
      <c r="AG1062" s="1"/>
      <c r="AH1062" s="2"/>
      <c r="AI1062" s="2"/>
      <c r="AJ1062" s="2"/>
      <c r="AK1062" s="2"/>
      <c r="AL1062" s="2"/>
      <c r="AM1062" s="1"/>
      <c r="AN1062" s="2"/>
      <c r="AP1062" s="2"/>
      <c r="AQ1062" s="1"/>
      <c r="AR1062" s="2"/>
      <c r="AU1062" s="1"/>
      <c r="AW1062" s="1"/>
      <c r="AY1062" s="2"/>
    </row>
    <row r="1063">
      <c r="A1063" s="1"/>
      <c r="C1063" s="1"/>
      <c r="E1063" s="1"/>
      <c r="F1063" s="1"/>
      <c r="G1063" s="2"/>
      <c r="H1063" s="1"/>
      <c r="I1063" s="1"/>
      <c r="J1063" s="1"/>
      <c r="K1063" s="1"/>
      <c r="M1063" s="1"/>
      <c r="N1063" s="1"/>
      <c r="O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2"/>
      <c r="AB1063" s="1"/>
      <c r="AC1063" s="1"/>
      <c r="AD1063" s="1"/>
      <c r="AE1063" s="1"/>
      <c r="AF1063" s="1"/>
      <c r="AG1063" s="1"/>
      <c r="AH1063" s="2"/>
      <c r="AI1063" s="2"/>
      <c r="AJ1063" s="2"/>
      <c r="AK1063" s="2"/>
      <c r="AL1063" s="2"/>
      <c r="AM1063" s="1"/>
      <c r="AN1063" s="2"/>
      <c r="AP1063" s="2"/>
      <c r="AQ1063" s="1"/>
      <c r="AR1063" s="2"/>
      <c r="AU1063" s="1"/>
      <c r="AW1063" s="1"/>
      <c r="AY1063" s="2"/>
    </row>
    <row r="1064">
      <c r="A1064" s="1"/>
      <c r="C1064" s="1"/>
      <c r="E1064" s="1"/>
      <c r="F1064" s="1"/>
      <c r="G1064" s="2"/>
      <c r="H1064" s="1"/>
      <c r="I1064" s="1"/>
      <c r="J1064" s="1"/>
      <c r="K1064" s="1"/>
      <c r="M1064" s="1"/>
      <c r="N1064" s="1"/>
      <c r="O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2"/>
      <c r="AB1064" s="1"/>
      <c r="AC1064" s="1"/>
      <c r="AD1064" s="1"/>
      <c r="AE1064" s="1"/>
      <c r="AF1064" s="1"/>
      <c r="AG1064" s="1"/>
      <c r="AH1064" s="2"/>
      <c r="AI1064" s="2"/>
      <c r="AJ1064" s="2"/>
      <c r="AK1064" s="2"/>
      <c r="AL1064" s="2"/>
      <c r="AM1064" s="1"/>
      <c r="AN1064" s="2"/>
      <c r="AP1064" s="2"/>
      <c r="AQ1064" s="1"/>
      <c r="AR1064" s="2"/>
      <c r="AU1064" s="1"/>
      <c r="AW1064" s="1"/>
      <c r="AY1064" s="2"/>
    </row>
    <row r="1065">
      <c r="A1065" s="1"/>
      <c r="C1065" s="1"/>
      <c r="E1065" s="1"/>
      <c r="F1065" s="1"/>
      <c r="G1065" s="2"/>
      <c r="H1065" s="1"/>
      <c r="I1065" s="1"/>
      <c r="J1065" s="1"/>
      <c r="K1065" s="1"/>
      <c r="M1065" s="1"/>
      <c r="N1065" s="1"/>
      <c r="O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2"/>
      <c r="AB1065" s="1"/>
      <c r="AC1065" s="1"/>
      <c r="AD1065" s="1"/>
      <c r="AE1065" s="1"/>
      <c r="AF1065" s="1"/>
      <c r="AG1065" s="1"/>
      <c r="AH1065" s="2"/>
      <c r="AI1065" s="2"/>
      <c r="AJ1065" s="2"/>
      <c r="AK1065" s="2"/>
      <c r="AL1065" s="2"/>
      <c r="AM1065" s="1"/>
      <c r="AN1065" s="2"/>
      <c r="AP1065" s="2"/>
      <c r="AQ1065" s="1"/>
      <c r="AR1065" s="2"/>
      <c r="AU1065" s="1"/>
      <c r="AW1065" s="1"/>
      <c r="AY1065" s="2"/>
    </row>
    <row r="1066">
      <c r="A1066" s="1"/>
      <c r="C1066" s="1"/>
      <c r="E1066" s="1"/>
      <c r="F1066" s="1"/>
      <c r="G1066" s="2"/>
      <c r="H1066" s="1"/>
      <c r="I1066" s="1"/>
      <c r="J1066" s="1"/>
      <c r="K1066" s="1"/>
      <c r="M1066" s="1"/>
      <c r="N1066" s="1"/>
      <c r="O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2"/>
      <c r="AB1066" s="1"/>
      <c r="AC1066" s="1"/>
      <c r="AD1066" s="1"/>
      <c r="AE1066" s="1"/>
      <c r="AF1066" s="1"/>
      <c r="AG1066" s="1"/>
      <c r="AH1066" s="2"/>
      <c r="AI1066" s="2"/>
      <c r="AJ1066" s="2"/>
      <c r="AK1066" s="2"/>
      <c r="AL1066" s="2"/>
      <c r="AM1066" s="1"/>
      <c r="AN1066" s="2"/>
      <c r="AP1066" s="2"/>
      <c r="AQ1066" s="1"/>
      <c r="AR1066" s="2"/>
      <c r="AU1066" s="1"/>
      <c r="AW1066" s="1"/>
      <c r="AY1066" s="2"/>
    </row>
    <row r="1067">
      <c r="A1067" s="1"/>
      <c r="C1067" s="1"/>
      <c r="E1067" s="1"/>
      <c r="F1067" s="1"/>
      <c r="G1067" s="2"/>
      <c r="H1067" s="1"/>
      <c r="I1067" s="1"/>
      <c r="J1067" s="1"/>
      <c r="K1067" s="1"/>
      <c r="M1067" s="1"/>
      <c r="N1067" s="1"/>
      <c r="O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2"/>
      <c r="AB1067" s="1"/>
      <c r="AC1067" s="1"/>
      <c r="AD1067" s="1"/>
      <c r="AE1067" s="1"/>
      <c r="AF1067" s="1"/>
      <c r="AG1067" s="1"/>
      <c r="AH1067" s="2"/>
      <c r="AI1067" s="2"/>
      <c r="AJ1067" s="2"/>
      <c r="AK1067" s="2"/>
      <c r="AL1067" s="2"/>
      <c r="AM1067" s="1"/>
      <c r="AN1067" s="2"/>
      <c r="AP1067" s="2"/>
      <c r="AQ1067" s="1"/>
      <c r="AR1067" s="2"/>
      <c r="AU1067" s="1"/>
      <c r="AW1067" s="1"/>
      <c r="AY1067" s="2"/>
    </row>
    <row r="1068">
      <c r="A1068" s="1"/>
      <c r="C1068" s="1"/>
      <c r="E1068" s="1"/>
      <c r="F1068" s="1"/>
      <c r="G1068" s="2"/>
      <c r="H1068" s="1"/>
      <c r="I1068" s="1"/>
      <c r="J1068" s="1"/>
      <c r="K1068" s="1"/>
      <c r="M1068" s="1"/>
      <c r="N1068" s="1"/>
      <c r="O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2"/>
      <c r="AB1068" s="1"/>
      <c r="AC1068" s="1"/>
      <c r="AD1068" s="1"/>
      <c r="AE1068" s="1"/>
      <c r="AF1068" s="1"/>
      <c r="AG1068" s="1"/>
      <c r="AH1068" s="2"/>
      <c r="AI1068" s="2"/>
      <c r="AJ1068" s="2"/>
      <c r="AK1068" s="2"/>
      <c r="AL1068" s="2"/>
      <c r="AM1068" s="1"/>
      <c r="AN1068" s="2"/>
      <c r="AP1068" s="2"/>
      <c r="AQ1068" s="1"/>
      <c r="AR1068" s="2"/>
      <c r="AU1068" s="1"/>
      <c r="AW1068" s="1"/>
      <c r="AY1068" s="2"/>
    </row>
    <row r="1069">
      <c r="A1069" s="1"/>
      <c r="C1069" s="1"/>
      <c r="E1069" s="1"/>
      <c r="F1069" s="1"/>
      <c r="G1069" s="2"/>
      <c r="H1069" s="1"/>
      <c r="I1069" s="1"/>
      <c r="J1069" s="1"/>
      <c r="K1069" s="1"/>
      <c r="M1069" s="1"/>
      <c r="N1069" s="1"/>
      <c r="O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2"/>
      <c r="AB1069" s="1"/>
      <c r="AC1069" s="1"/>
      <c r="AD1069" s="1"/>
      <c r="AE1069" s="1"/>
      <c r="AF1069" s="1"/>
      <c r="AG1069" s="1"/>
      <c r="AH1069" s="2"/>
      <c r="AI1069" s="2"/>
      <c r="AJ1069" s="2"/>
      <c r="AK1069" s="2"/>
      <c r="AL1069" s="2"/>
      <c r="AM1069" s="1"/>
      <c r="AN1069" s="2"/>
      <c r="AP1069" s="2"/>
      <c r="AQ1069" s="1"/>
      <c r="AR1069" s="2"/>
      <c r="AU1069" s="1"/>
      <c r="AW1069" s="1"/>
      <c r="AY1069" s="2"/>
    </row>
    <row r="1070">
      <c r="A1070" s="1"/>
      <c r="C1070" s="1"/>
      <c r="E1070" s="1"/>
      <c r="F1070" s="1"/>
      <c r="G1070" s="2"/>
      <c r="H1070" s="1"/>
      <c r="I1070" s="1"/>
      <c r="J1070" s="1"/>
      <c r="K1070" s="1"/>
      <c r="M1070" s="1"/>
      <c r="N1070" s="1"/>
      <c r="O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2"/>
      <c r="AB1070" s="1"/>
      <c r="AC1070" s="1"/>
      <c r="AD1070" s="1"/>
      <c r="AE1070" s="1"/>
      <c r="AF1070" s="1"/>
      <c r="AG1070" s="1"/>
      <c r="AH1070" s="2"/>
      <c r="AI1070" s="2"/>
      <c r="AJ1070" s="2"/>
      <c r="AK1070" s="2"/>
      <c r="AL1070" s="2"/>
      <c r="AM1070" s="1"/>
      <c r="AN1070" s="2"/>
      <c r="AP1070" s="2"/>
      <c r="AQ1070" s="1"/>
      <c r="AR1070" s="2"/>
      <c r="AU1070" s="1"/>
      <c r="AW1070" s="1"/>
      <c r="AY1070" s="2"/>
    </row>
    <row r="1071">
      <c r="A1071" s="1"/>
      <c r="C1071" s="1"/>
      <c r="E1071" s="1"/>
      <c r="F1071" s="1"/>
      <c r="G1071" s="2"/>
      <c r="H1071" s="1"/>
      <c r="I1071" s="1"/>
      <c r="J1071" s="1"/>
      <c r="K1071" s="1"/>
      <c r="M1071" s="1"/>
      <c r="N1071" s="1"/>
      <c r="O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2"/>
      <c r="AB1071" s="1"/>
      <c r="AC1071" s="1"/>
      <c r="AD1071" s="1"/>
      <c r="AE1071" s="1"/>
      <c r="AF1071" s="1"/>
      <c r="AG1071" s="1"/>
      <c r="AH1071" s="2"/>
      <c r="AI1071" s="2"/>
      <c r="AJ1071" s="2"/>
      <c r="AK1071" s="2"/>
      <c r="AL1071" s="2"/>
      <c r="AM1071" s="1"/>
      <c r="AN1071" s="2"/>
      <c r="AP1071" s="2"/>
      <c r="AQ1071" s="1"/>
      <c r="AR1071" s="2"/>
      <c r="AU1071" s="1"/>
      <c r="AW1071" s="1"/>
      <c r="AY1071" s="2"/>
    </row>
    <row r="1072">
      <c r="A1072" s="1"/>
      <c r="C1072" s="1"/>
      <c r="E1072" s="1"/>
      <c r="F1072" s="1"/>
      <c r="G1072" s="2"/>
      <c r="H1072" s="1"/>
      <c r="I1072" s="1"/>
      <c r="J1072" s="1"/>
      <c r="K1072" s="1"/>
      <c r="M1072" s="1"/>
      <c r="N1072" s="1"/>
      <c r="O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2"/>
      <c r="AB1072" s="1"/>
      <c r="AC1072" s="1"/>
      <c r="AD1072" s="1"/>
      <c r="AE1072" s="1"/>
      <c r="AF1072" s="1"/>
      <c r="AG1072" s="1"/>
      <c r="AH1072" s="2"/>
      <c r="AI1072" s="2"/>
      <c r="AJ1072" s="2"/>
      <c r="AK1072" s="2"/>
      <c r="AL1072" s="2"/>
      <c r="AM1072" s="1"/>
      <c r="AN1072" s="2"/>
      <c r="AP1072" s="2"/>
      <c r="AQ1072" s="1"/>
      <c r="AR1072" s="2"/>
      <c r="AU1072" s="1"/>
      <c r="AW1072" s="1"/>
      <c r="AY1072" s="2"/>
    </row>
    <row r="1073">
      <c r="A1073" s="1"/>
      <c r="C1073" s="1"/>
      <c r="E1073" s="1"/>
      <c r="F1073" s="1"/>
      <c r="G1073" s="2"/>
      <c r="H1073" s="1"/>
      <c r="I1073" s="1"/>
      <c r="J1073" s="1"/>
      <c r="K1073" s="1"/>
      <c r="M1073" s="1"/>
      <c r="N1073" s="1"/>
      <c r="O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2"/>
      <c r="AB1073" s="1"/>
      <c r="AC1073" s="1"/>
      <c r="AD1073" s="1"/>
      <c r="AE1073" s="1"/>
      <c r="AF1073" s="1"/>
      <c r="AG1073" s="1"/>
      <c r="AH1073" s="2"/>
      <c r="AI1073" s="2"/>
      <c r="AJ1073" s="2"/>
      <c r="AK1073" s="2"/>
      <c r="AL1073" s="2"/>
      <c r="AM1073" s="1"/>
      <c r="AN1073" s="2"/>
      <c r="AP1073" s="2"/>
      <c r="AQ1073" s="1"/>
      <c r="AR1073" s="2"/>
      <c r="AU1073" s="1"/>
      <c r="AW1073" s="1"/>
      <c r="AY1073" s="2"/>
    </row>
    <row r="1074">
      <c r="A1074" s="1"/>
      <c r="C1074" s="1"/>
      <c r="E1074" s="1"/>
      <c r="F1074" s="1"/>
      <c r="G1074" s="2"/>
      <c r="H1074" s="1"/>
      <c r="I1074" s="1"/>
      <c r="J1074" s="1"/>
      <c r="K1074" s="1"/>
      <c r="M1074" s="1"/>
      <c r="N1074" s="1"/>
      <c r="O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2"/>
      <c r="AB1074" s="1"/>
      <c r="AC1074" s="1"/>
      <c r="AD1074" s="1"/>
      <c r="AE1074" s="1"/>
      <c r="AF1074" s="1"/>
      <c r="AG1074" s="1"/>
      <c r="AH1074" s="2"/>
      <c r="AI1074" s="2"/>
      <c r="AJ1074" s="2"/>
      <c r="AK1074" s="2"/>
      <c r="AL1074" s="2"/>
      <c r="AM1074" s="1"/>
      <c r="AN1074" s="2"/>
      <c r="AP1074" s="2"/>
      <c r="AQ1074" s="1"/>
      <c r="AR1074" s="2"/>
      <c r="AU1074" s="1"/>
      <c r="AW1074" s="1"/>
      <c r="AY1074" s="2"/>
    </row>
    <row r="1075">
      <c r="A1075" s="1"/>
      <c r="C1075" s="1"/>
      <c r="E1075" s="1"/>
      <c r="F1075" s="1"/>
      <c r="G1075" s="2"/>
      <c r="H1075" s="1"/>
      <c r="I1075" s="1"/>
      <c r="J1075" s="1"/>
      <c r="K1075" s="1"/>
      <c r="M1075" s="1"/>
      <c r="N1075" s="1"/>
      <c r="O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2"/>
      <c r="AB1075" s="1"/>
      <c r="AC1075" s="1"/>
      <c r="AD1075" s="1"/>
      <c r="AE1075" s="1"/>
      <c r="AF1075" s="1"/>
      <c r="AG1075" s="1"/>
      <c r="AH1075" s="2"/>
      <c r="AI1075" s="2"/>
      <c r="AJ1075" s="2"/>
      <c r="AK1075" s="2"/>
      <c r="AL1075" s="2"/>
      <c r="AM1075" s="1"/>
      <c r="AN1075" s="2"/>
      <c r="AP1075" s="2"/>
      <c r="AQ1075" s="1"/>
      <c r="AR1075" s="2"/>
      <c r="AU1075" s="1"/>
      <c r="AW1075" s="1"/>
      <c r="AY1075" s="2"/>
    </row>
    <row r="1076">
      <c r="A1076" s="1"/>
      <c r="C1076" s="1"/>
      <c r="E1076" s="1"/>
      <c r="F1076" s="1"/>
      <c r="G1076" s="2"/>
      <c r="H1076" s="1"/>
      <c r="I1076" s="1"/>
      <c r="J1076" s="1"/>
      <c r="K1076" s="1"/>
      <c r="M1076" s="1"/>
      <c r="N1076" s="1"/>
      <c r="O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2"/>
      <c r="AB1076" s="1"/>
      <c r="AC1076" s="1"/>
      <c r="AD1076" s="1"/>
      <c r="AE1076" s="1"/>
      <c r="AF1076" s="1"/>
      <c r="AG1076" s="1"/>
      <c r="AH1076" s="2"/>
      <c r="AI1076" s="2"/>
      <c r="AJ1076" s="2"/>
      <c r="AK1076" s="2"/>
      <c r="AL1076" s="2"/>
      <c r="AM1076" s="1"/>
      <c r="AN1076" s="2"/>
      <c r="AP1076" s="2"/>
      <c r="AQ1076" s="1"/>
      <c r="AR1076" s="2"/>
      <c r="AU1076" s="1"/>
      <c r="AW1076" s="1"/>
      <c r="AY1076" s="2"/>
    </row>
    <row r="1077">
      <c r="A1077" s="1"/>
      <c r="C1077" s="1"/>
      <c r="E1077" s="1"/>
      <c r="F1077" s="1"/>
      <c r="G1077" s="2"/>
      <c r="H1077" s="1"/>
      <c r="I1077" s="1"/>
      <c r="J1077" s="1"/>
      <c r="K1077" s="1"/>
      <c r="M1077" s="1"/>
      <c r="N1077" s="1"/>
      <c r="O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2"/>
      <c r="AB1077" s="1"/>
      <c r="AC1077" s="1"/>
      <c r="AD1077" s="1"/>
      <c r="AE1077" s="1"/>
      <c r="AF1077" s="1"/>
      <c r="AG1077" s="1"/>
      <c r="AH1077" s="2"/>
      <c r="AI1077" s="2"/>
      <c r="AJ1077" s="2"/>
      <c r="AK1077" s="2"/>
      <c r="AL1077" s="2"/>
      <c r="AM1077" s="1"/>
      <c r="AN1077" s="2"/>
      <c r="AP1077" s="2"/>
      <c r="AQ1077" s="1"/>
      <c r="AR1077" s="2"/>
      <c r="AU1077" s="1"/>
      <c r="AW1077" s="1"/>
      <c r="AY1077" s="2"/>
    </row>
    <row r="1078">
      <c r="A1078" s="1"/>
      <c r="C1078" s="1"/>
      <c r="E1078" s="1"/>
      <c r="F1078" s="1"/>
      <c r="G1078" s="2"/>
      <c r="H1078" s="1"/>
      <c r="I1078" s="1"/>
      <c r="J1078" s="1"/>
      <c r="K1078" s="1"/>
      <c r="M1078" s="1"/>
      <c r="N1078" s="1"/>
      <c r="O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2"/>
      <c r="AB1078" s="1"/>
      <c r="AC1078" s="1"/>
      <c r="AD1078" s="1"/>
      <c r="AE1078" s="1"/>
      <c r="AF1078" s="1"/>
      <c r="AG1078" s="1"/>
      <c r="AH1078" s="2"/>
      <c r="AI1078" s="2"/>
      <c r="AJ1078" s="2"/>
      <c r="AK1078" s="2"/>
      <c r="AL1078" s="2"/>
      <c r="AM1078" s="1"/>
      <c r="AN1078" s="2"/>
      <c r="AP1078" s="2"/>
      <c r="AQ1078" s="1"/>
      <c r="AR1078" s="2"/>
      <c r="AU1078" s="1"/>
      <c r="AW1078" s="1"/>
      <c r="AY1078" s="2"/>
    </row>
    <row r="1079">
      <c r="A1079" s="1"/>
      <c r="C1079" s="1"/>
      <c r="E1079" s="1"/>
      <c r="F1079" s="1"/>
      <c r="G1079" s="2"/>
      <c r="H1079" s="1"/>
      <c r="I1079" s="1"/>
      <c r="J1079" s="1"/>
      <c r="K1079" s="1"/>
      <c r="M1079" s="1"/>
      <c r="N1079" s="1"/>
      <c r="O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2"/>
      <c r="AB1079" s="1"/>
      <c r="AC1079" s="1"/>
      <c r="AD1079" s="1"/>
      <c r="AE1079" s="1"/>
      <c r="AF1079" s="1"/>
      <c r="AG1079" s="1"/>
      <c r="AH1079" s="2"/>
      <c r="AI1079" s="2"/>
      <c r="AJ1079" s="2"/>
      <c r="AK1079" s="2"/>
      <c r="AL1079" s="2"/>
      <c r="AM1079" s="1"/>
      <c r="AN1079" s="2"/>
      <c r="AP1079" s="2"/>
      <c r="AQ1079" s="1"/>
      <c r="AR1079" s="2"/>
      <c r="AU1079" s="1"/>
      <c r="AW1079" s="1"/>
      <c r="AY1079" s="2"/>
    </row>
    <row r="1080">
      <c r="A1080" s="1"/>
      <c r="C1080" s="1"/>
      <c r="E1080" s="1"/>
      <c r="F1080" s="1"/>
      <c r="G1080" s="2"/>
      <c r="H1080" s="1"/>
      <c r="I1080" s="1"/>
      <c r="J1080" s="1"/>
      <c r="K1080" s="1"/>
      <c r="M1080" s="1"/>
      <c r="N1080" s="1"/>
      <c r="O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2"/>
      <c r="AB1080" s="1"/>
      <c r="AC1080" s="1"/>
      <c r="AD1080" s="1"/>
      <c r="AE1080" s="1"/>
      <c r="AF1080" s="1"/>
      <c r="AG1080" s="1"/>
      <c r="AH1080" s="2"/>
      <c r="AI1080" s="2"/>
      <c r="AJ1080" s="2"/>
      <c r="AK1080" s="2"/>
      <c r="AL1080" s="2"/>
      <c r="AM1080" s="1"/>
      <c r="AN1080" s="2"/>
      <c r="AP1080" s="2"/>
      <c r="AQ1080" s="1"/>
      <c r="AR1080" s="2"/>
      <c r="AU1080" s="1"/>
      <c r="AW1080" s="1"/>
      <c r="AY1080" s="2"/>
    </row>
    <row r="1081">
      <c r="A1081" s="1"/>
      <c r="C1081" s="1"/>
      <c r="E1081" s="1"/>
      <c r="F1081" s="1"/>
      <c r="G1081" s="2"/>
      <c r="H1081" s="1"/>
      <c r="I1081" s="1"/>
      <c r="J1081" s="1"/>
      <c r="K1081" s="1"/>
      <c r="M1081" s="1"/>
      <c r="N1081" s="1"/>
      <c r="O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2"/>
      <c r="AB1081" s="1"/>
      <c r="AC1081" s="1"/>
      <c r="AD1081" s="1"/>
      <c r="AE1081" s="1"/>
      <c r="AF1081" s="1"/>
      <c r="AG1081" s="1"/>
      <c r="AH1081" s="2"/>
      <c r="AI1081" s="2"/>
      <c r="AJ1081" s="2"/>
      <c r="AK1081" s="2"/>
      <c r="AL1081" s="2"/>
      <c r="AM1081" s="1"/>
      <c r="AN1081" s="2"/>
      <c r="AP1081" s="2"/>
      <c r="AQ1081" s="1"/>
      <c r="AR1081" s="2"/>
      <c r="AU1081" s="1"/>
      <c r="AW1081" s="1"/>
      <c r="AY1081" s="2"/>
    </row>
    <row r="1082">
      <c r="A1082" s="1"/>
      <c r="C1082" s="1"/>
      <c r="E1082" s="1"/>
      <c r="F1082" s="1"/>
      <c r="G1082" s="2"/>
      <c r="H1082" s="1"/>
      <c r="I1082" s="1"/>
      <c r="J1082" s="1"/>
      <c r="K1082" s="1"/>
      <c r="M1082" s="1"/>
      <c r="N1082" s="1"/>
      <c r="O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2"/>
      <c r="AB1082" s="1"/>
      <c r="AC1082" s="1"/>
      <c r="AD1082" s="1"/>
      <c r="AE1082" s="1"/>
      <c r="AF1082" s="1"/>
      <c r="AG1082" s="1"/>
      <c r="AH1082" s="2"/>
      <c r="AI1082" s="2"/>
      <c r="AJ1082" s="2"/>
      <c r="AK1082" s="2"/>
      <c r="AL1082" s="2"/>
      <c r="AM1082" s="1"/>
      <c r="AN1082" s="2"/>
      <c r="AP1082" s="2"/>
      <c r="AQ1082" s="1"/>
      <c r="AR1082" s="2"/>
      <c r="AU1082" s="1"/>
      <c r="AW1082" s="1"/>
      <c r="AY1082" s="2"/>
    </row>
    <row r="1083">
      <c r="A1083" s="1"/>
      <c r="C1083" s="1"/>
      <c r="E1083" s="1"/>
      <c r="F1083" s="1"/>
      <c r="G1083" s="2"/>
      <c r="H1083" s="1"/>
      <c r="I1083" s="1"/>
      <c r="J1083" s="1"/>
      <c r="K1083" s="1"/>
      <c r="M1083" s="1"/>
      <c r="N1083" s="1"/>
      <c r="O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2"/>
      <c r="AB1083" s="1"/>
      <c r="AC1083" s="1"/>
      <c r="AD1083" s="1"/>
      <c r="AE1083" s="1"/>
      <c r="AF1083" s="1"/>
      <c r="AG1083" s="1"/>
      <c r="AH1083" s="2"/>
      <c r="AI1083" s="2"/>
      <c r="AJ1083" s="2"/>
      <c r="AK1083" s="2"/>
      <c r="AL1083" s="2"/>
      <c r="AM1083" s="1"/>
      <c r="AN1083" s="2"/>
      <c r="AP1083" s="2"/>
      <c r="AQ1083" s="1"/>
      <c r="AR1083" s="2"/>
      <c r="AU1083" s="1"/>
      <c r="AW1083" s="1"/>
      <c r="AY1083" s="2"/>
    </row>
    <row r="1084">
      <c r="A1084" s="1"/>
      <c r="C1084" s="1"/>
      <c r="E1084" s="1"/>
      <c r="F1084" s="1"/>
      <c r="G1084" s="2"/>
      <c r="H1084" s="1"/>
      <c r="I1084" s="1"/>
      <c r="J1084" s="1"/>
      <c r="K1084" s="1"/>
      <c r="M1084" s="1"/>
      <c r="N1084" s="1"/>
      <c r="O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2"/>
      <c r="AB1084" s="1"/>
      <c r="AC1084" s="1"/>
      <c r="AD1084" s="1"/>
      <c r="AE1084" s="1"/>
      <c r="AF1084" s="1"/>
      <c r="AG1084" s="1"/>
      <c r="AH1084" s="2"/>
      <c r="AI1084" s="2"/>
      <c r="AJ1084" s="2"/>
      <c r="AK1084" s="2"/>
      <c r="AL1084" s="2"/>
      <c r="AM1084" s="1"/>
      <c r="AN1084" s="2"/>
      <c r="AP1084" s="2"/>
      <c r="AQ1084" s="1"/>
      <c r="AR1084" s="2"/>
      <c r="AU1084" s="1"/>
      <c r="AW1084" s="1"/>
      <c r="AY1084" s="2"/>
    </row>
    <row r="1085">
      <c r="A1085" s="1"/>
      <c r="C1085" s="1"/>
      <c r="E1085" s="1"/>
      <c r="F1085" s="1"/>
      <c r="G1085" s="2"/>
      <c r="H1085" s="1"/>
      <c r="I1085" s="1"/>
      <c r="J1085" s="1"/>
      <c r="K1085" s="1"/>
      <c r="M1085" s="1"/>
      <c r="N1085" s="1"/>
      <c r="O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2"/>
      <c r="AB1085" s="1"/>
      <c r="AC1085" s="1"/>
      <c r="AD1085" s="1"/>
      <c r="AE1085" s="1"/>
      <c r="AF1085" s="1"/>
      <c r="AG1085" s="1"/>
      <c r="AH1085" s="2"/>
      <c r="AI1085" s="2"/>
      <c r="AJ1085" s="2"/>
      <c r="AK1085" s="2"/>
      <c r="AL1085" s="2"/>
      <c r="AM1085" s="1"/>
      <c r="AN1085" s="2"/>
      <c r="AP1085" s="2"/>
      <c r="AQ1085" s="1"/>
      <c r="AR1085" s="2"/>
      <c r="AU1085" s="1"/>
      <c r="AW1085" s="1"/>
      <c r="AY1085" s="2"/>
    </row>
    <row r="1086">
      <c r="A1086" s="1"/>
      <c r="C1086" s="1"/>
      <c r="E1086" s="1"/>
      <c r="F1086" s="1"/>
      <c r="G1086" s="2"/>
      <c r="H1086" s="1"/>
      <c r="I1086" s="1"/>
      <c r="J1086" s="1"/>
      <c r="K1086" s="1"/>
      <c r="M1086" s="1"/>
      <c r="N1086" s="1"/>
      <c r="O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2"/>
      <c r="AB1086" s="1"/>
      <c r="AC1086" s="1"/>
      <c r="AD1086" s="1"/>
      <c r="AE1086" s="1"/>
      <c r="AF1086" s="1"/>
      <c r="AG1086" s="1"/>
      <c r="AH1086" s="2"/>
      <c r="AI1086" s="2"/>
      <c r="AJ1086" s="2"/>
      <c r="AK1086" s="2"/>
      <c r="AL1086" s="2"/>
      <c r="AM1086" s="1"/>
      <c r="AN1086" s="2"/>
      <c r="AP1086" s="2"/>
      <c r="AQ1086" s="1"/>
      <c r="AR1086" s="2"/>
      <c r="AU1086" s="1"/>
      <c r="AW1086" s="1"/>
      <c r="AY1086" s="2"/>
    </row>
    <row r="1087">
      <c r="A1087" s="1"/>
      <c r="C1087" s="1"/>
      <c r="E1087" s="1"/>
      <c r="F1087" s="1"/>
      <c r="G1087" s="2"/>
      <c r="H1087" s="1"/>
      <c r="I1087" s="1"/>
      <c r="J1087" s="1"/>
      <c r="K1087" s="1"/>
      <c r="M1087" s="1"/>
      <c r="N1087" s="1"/>
      <c r="O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2"/>
      <c r="AB1087" s="1"/>
      <c r="AC1087" s="1"/>
      <c r="AD1087" s="1"/>
      <c r="AE1087" s="1"/>
      <c r="AF1087" s="1"/>
      <c r="AG1087" s="1"/>
      <c r="AH1087" s="2"/>
      <c r="AI1087" s="2"/>
      <c r="AJ1087" s="2"/>
      <c r="AK1087" s="2"/>
      <c r="AL1087" s="2"/>
      <c r="AM1087" s="1"/>
      <c r="AN1087" s="2"/>
      <c r="AP1087" s="2"/>
      <c r="AQ1087" s="1"/>
      <c r="AR1087" s="2"/>
      <c r="AU1087" s="1"/>
      <c r="AW1087" s="1"/>
      <c r="AY1087" s="2"/>
    </row>
    <row r="1088">
      <c r="A1088" s="1"/>
      <c r="C1088" s="1"/>
      <c r="E1088" s="1"/>
      <c r="F1088" s="1"/>
      <c r="G1088" s="2"/>
      <c r="H1088" s="1"/>
      <c r="I1088" s="1"/>
      <c r="J1088" s="1"/>
      <c r="K1088" s="1"/>
      <c r="M1088" s="1"/>
      <c r="N1088" s="1"/>
      <c r="O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2"/>
      <c r="AB1088" s="1"/>
      <c r="AC1088" s="1"/>
      <c r="AD1088" s="1"/>
      <c r="AE1088" s="1"/>
      <c r="AF1088" s="1"/>
      <c r="AG1088" s="1"/>
      <c r="AH1088" s="2"/>
      <c r="AI1088" s="2"/>
      <c r="AJ1088" s="2"/>
      <c r="AK1088" s="2"/>
      <c r="AL1088" s="2"/>
      <c r="AM1088" s="1"/>
      <c r="AN1088" s="2"/>
      <c r="AP1088" s="2"/>
      <c r="AQ1088" s="1"/>
      <c r="AR1088" s="2"/>
      <c r="AU1088" s="1"/>
      <c r="AW1088" s="1"/>
      <c r="AY1088" s="2"/>
    </row>
    <row r="1089">
      <c r="A1089" s="1"/>
      <c r="C1089" s="1"/>
      <c r="E1089" s="1"/>
      <c r="F1089" s="1"/>
      <c r="G1089" s="2"/>
      <c r="H1089" s="1"/>
      <c r="I1089" s="1"/>
      <c r="J1089" s="1"/>
      <c r="K1089" s="1"/>
      <c r="M1089" s="1"/>
      <c r="N1089" s="1"/>
      <c r="O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2"/>
      <c r="AB1089" s="1"/>
      <c r="AC1089" s="1"/>
      <c r="AD1089" s="1"/>
      <c r="AE1089" s="1"/>
      <c r="AF1089" s="1"/>
      <c r="AG1089" s="1"/>
      <c r="AH1089" s="2"/>
      <c r="AI1089" s="2"/>
      <c r="AJ1089" s="2"/>
      <c r="AK1089" s="2"/>
      <c r="AL1089" s="2"/>
      <c r="AM1089" s="1"/>
      <c r="AN1089" s="2"/>
      <c r="AP1089" s="2"/>
      <c r="AQ1089" s="1"/>
      <c r="AR1089" s="2"/>
      <c r="AU1089" s="1"/>
      <c r="AW1089" s="1"/>
      <c r="AY1089" s="2"/>
    </row>
    <row r="1090">
      <c r="A1090" s="1"/>
      <c r="C1090" s="1"/>
      <c r="E1090" s="1"/>
      <c r="F1090" s="1"/>
      <c r="G1090" s="2"/>
      <c r="H1090" s="1"/>
      <c r="I1090" s="1"/>
      <c r="J1090" s="1"/>
      <c r="K1090" s="1"/>
      <c r="M1090" s="1"/>
      <c r="N1090" s="1"/>
      <c r="O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2"/>
      <c r="AB1090" s="1"/>
      <c r="AC1090" s="1"/>
      <c r="AD1090" s="1"/>
      <c r="AE1090" s="1"/>
      <c r="AF1090" s="1"/>
      <c r="AG1090" s="1"/>
      <c r="AH1090" s="2"/>
      <c r="AI1090" s="2"/>
      <c r="AJ1090" s="2"/>
      <c r="AK1090" s="2"/>
      <c r="AL1090" s="2"/>
      <c r="AM1090" s="1"/>
      <c r="AN1090" s="2"/>
      <c r="AP1090" s="2"/>
      <c r="AQ1090" s="1"/>
      <c r="AR1090" s="2"/>
      <c r="AU1090" s="1"/>
      <c r="AW1090" s="1"/>
      <c r="AY1090" s="2"/>
    </row>
    <row r="1091">
      <c r="A1091" s="1"/>
      <c r="C1091" s="1"/>
      <c r="E1091" s="1"/>
      <c r="F1091" s="1"/>
      <c r="G1091" s="2"/>
      <c r="H1091" s="1"/>
      <c r="I1091" s="1"/>
      <c r="J1091" s="1"/>
      <c r="K1091" s="1"/>
      <c r="M1091" s="1"/>
      <c r="N1091" s="1"/>
      <c r="O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2"/>
      <c r="AB1091" s="1"/>
      <c r="AC1091" s="1"/>
      <c r="AD1091" s="1"/>
      <c r="AE1091" s="1"/>
      <c r="AF1091" s="1"/>
      <c r="AG1091" s="1"/>
      <c r="AH1091" s="2"/>
      <c r="AI1091" s="2"/>
      <c r="AJ1091" s="2"/>
      <c r="AK1091" s="2"/>
      <c r="AL1091" s="2"/>
      <c r="AM1091" s="1"/>
      <c r="AN1091" s="2"/>
      <c r="AP1091" s="2"/>
      <c r="AQ1091" s="1"/>
      <c r="AR1091" s="2"/>
      <c r="AU1091" s="1"/>
      <c r="AW1091" s="1"/>
      <c r="AY1091" s="2"/>
    </row>
    <row r="1092">
      <c r="A1092" s="1"/>
      <c r="C1092" s="1"/>
      <c r="E1092" s="1"/>
      <c r="F1092" s="1"/>
      <c r="G1092" s="2"/>
      <c r="H1092" s="1"/>
      <c r="I1092" s="1"/>
      <c r="J1092" s="1"/>
      <c r="K1092" s="1"/>
      <c r="M1092" s="1"/>
      <c r="N1092" s="1"/>
      <c r="O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2"/>
      <c r="AB1092" s="1"/>
      <c r="AC1092" s="1"/>
      <c r="AD1092" s="1"/>
      <c r="AE1092" s="1"/>
      <c r="AF1092" s="1"/>
      <c r="AG1092" s="1"/>
      <c r="AH1092" s="2"/>
      <c r="AI1092" s="2"/>
      <c r="AJ1092" s="2"/>
      <c r="AK1092" s="2"/>
      <c r="AL1092" s="2"/>
      <c r="AM1092" s="1"/>
      <c r="AN1092" s="2"/>
      <c r="AP1092" s="2"/>
      <c r="AQ1092" s="1"/>
      <c r="AR1092" s="2"/>
      <c r="AU1092" s="1"/>
      <c r="AW1092" s="1"/>
      <c r="AY1092" s="2"/>
    </row>
    <row r="1093">
      <c r="A1093" s="1"/>
      <c r="C1093" s="1"/>
      <c r="E1093" s="1"/>
      <c r="F1093" s="1"/>
      <c r="G1093" s="2"/>
      <c r="H1093" s="1"/>
      <c r="I1093" s="1"/>
      <c r="J1093" s="1"/>
      <c r="K1093" s="1"/>
      <c r="M1093" s="1"/>
      <c r="N1093" s="1"/>
      <c r="O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2"/>
      <c r="AB1093" s="1"/>
      <c r="AC1093" s="1"/>
      <c r="AD1093" s="1"/>
      <c r="AE1093" s="1"/>
      <c r="AF1093" s="1"/>
      <c r="AG1093" s="1"/>
      <c r="AH1093" s="2"/>
      <c r="AI1093" s="2"/>
      <c r="AJ1093" s="2"/>
      <c r="AK1093" s="2"/>
      <c r="AL1093" s="2"/>
      <c r="AM1093" s="1"/>
      <c r="AN1093" s="2"/>
      <c r="AP1093" s="2"/>
      <c r="AQ1093" s="1"/>
      <c r="AR1093" s="2"/>
      <c r="AU1093" s="1"/>
      <c r="AW1093" s="1"/>
      <c r="AY1093" s="2"/>
    </row>
    <row r="1094">
      <c r="A1094" s="1"/>
      <c r="C1094" s="1"/>
      <c r="E1094" s="1"/>
      <c r="F1094" s="1"/>
      <c r="G1094" s="2"/>
      <c r="H1094" s="1"/>
      <c r="I1094" s="1"/>
      <c r="J1094" s="1"/>
      <c r="K1094" s="1"/>
      <c r="M1094" s="1"/>
      <c r="N1094" s="1"/>
      <c r="O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2"/>
      <c r="AB1094" s="1"/>
      <c r="AC1094" s="1"/>
      <c r="AD1094" s="1"/>
      <c r="AE1094" s="1"/>
      <c r="AF1094" s="1"/>
      <c r="AG1094" s="1"/>
      <c r="AH1094" s="2"/>
      <c r="AI1094" s="2"/>
      <c r="AJ1094" s="2"/>
      <c r="AK1094" s="2"/>
      <c r="AL1094" s="2"/>
      <c r="AM1094" s="1"/>
      <c r="AN1094" s="2"/>
      <c r="AP1094" s="2"/>
      <c r="AQ1094" s="1"/>
      <c r="AR1094" s="2"/>
      <c r="AU1094" s="1"/>
      <c r="AW1094" s="1"/>
      <c r="AY1094" s="2"/>
    </row>
    <row r="1095">
      <c r="A1095" s="1"/>
      <c r="C1095" s="1"/>
      <c r="E1095" s="1"/>
      <c r="F1095" s="1"/>
      <c r="G1095" s="2"/>
      <c r="H1095" s="1"/>
      <c r="I1095" s="1"/>
      <c r="J1095" s="1"/>
      <c r="K1095" s="1"/>
      <c r="M1095" s="1"/>
      <c r="N1095" s="1"/>
      <c r="O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2"/>
      <c r="AB1095" s="1"/>
      <c r="AC1095" s="1"/>
      <c r="AD1095" s="1"/>
      <c r="AE1095" s="1"/>
      <c r="AF1095" s="1"/>
      <c r="AG1095" s="1"/>
      <c r="AH1095" s="2"/>
      <c r="AI1095" s="2"/>
      <c r="AJ1095" s="2"/>
      <c r="AK1095" s="2"/>
      <c r="AL1095" s="2"/>
      <c r="AM1095" s="1"/>
      <c r="AN1095" s="2"/>
      <c r="AP1095" s="2"/>
      <c r="AQ1095" s="1"/>
      <c r="AR1095" s="2"/>
      <c r="AU1095" s="1"/>
      <c r="AW1095" s="1"/>
      <c r="AY1095" s="2"/>
    </row>
    <row r="1096">
      <c r="A1096" s="1"/>
      <c r="C1096" s="1"/>
      <c r="E1096" s="1"/>
      <c r="F1096" s="1"/>
      <c r="G1096" s="2"/>
      <c r="H1096" s="1"/>
      <c r="I1096" s="1"/>
      <c r="J1096" s="1"/>
      <c r="K1096" s="1"/>
      <c r="M1096" s="1"/>
      <c r="N1096" s="1"/>
      <c r="O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2"/>
      <c r="AB1096" s="1"/>
      <c r="AC1096" s="1"/>
      <c r="AD1096" s="1"/>
      <c r="AE1096" s="1"/>
      <c r="AF1096" s="1"/>
      <c r="AG1096" s="1"/>
      <c r="AH1096" s="2"/>
      <c r="AI1096" s="2"/>
      <c r="AJ1096" s="2"/>
      <c r="AK1096" s="2"/>
      <c r="AL1096" s="2"/>
      <c r="AM1096" s="1"/>
      <c r="AN1096" s="2"/>
      <c r="AP1096" s="2"/>
      <c r="AQ1096" s="1"/>
      <c r="AR1096" s="2"/>
      <c r="AU1096" s="1"/>
      <c r="AW1096" s="1"/>
      <c r="AY1096" s="2"/>
    </row>
    <row r="1097">
      <c r="A1097" s="1"/>
      <c r="C1097" s="1"/>
      <c r="E1097" s="1"/>
      <c r="F1097" s="1"/>
      <c r="G1097" s="2"/>
      <c r="H1097" s="1"/>
      <c r="I1097" s="1"/>
      <c r="J1097" s="1"/>
      <c r="K1097" s="1"/>
      <c r="M1097" s="1"/>
      <c r="N1097" s="1"/>
      <c r="O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2"/>
      <c r="AB1097" s="1"/>
      <c r="AC1097" s="1"/>
      <c r="AD1097" s="1"/>
      <c r="AE1097" s="1"/>
      <c r="AF1097" s="1"/>
      <c r="AG1097" s="1"/>
      <c r="AH1097" s="2"/>
      <c r="AI1097" s="2"/>
      <c r="AJ1097" s="2"/>
      <c r="AK1097" s="2"/>
      <c r="AL1097" s="2"/>
      <c r="AM1097" s="1"/>
      <c r="AN1097" s="2"/>
      <c r="AP1097" s="2"/>
      <c r="AQ1097" s="1"/>
      <c r="AR1097" s="2"/>
      <c r="AU1097" s="1"/>
      <c r="AW1097" s="1"/>
      <c r="AY1097" s="2"/>
    </row>
    <row r="1098">
      <c r="A1098" s="1"/>
      <c r="C1098" s="1"/>
      <c r="E1098" s="1"/>
      <c r="F1098" s="1"/>
      <c r="G1098" s="2"/>
      <c r="H1098" s="1"/>
      <c r="I1098" s="1"/>
      <c r="J1098" s="1"/>
      <c r="K1098" s="1"/>
      <c r="M1098" s="1"/>
      <c r="N1098" s="1"/>
      <c r="O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2"/>
      <c r="AB1098" s="1"/>
      <c r="AC1098" s="1"/>
      <c r="AD1098" s="1"/>
      <c r="AE1098" s="1"/>
      <c r="AF1098" s="1"/>
      <c r="AG1098" s="1"/>
      <c r="AH1098" s="2"/>
      <c r="AI1098" s="2"/>
      <c r="AJ1098" s="2"/>
      <c r="AK1098" s="2"/>
      <c r="AL1098" s="2"/>
      <c r="AM1098" s="1"/>
      <c r="AN1098" s="2"/>
      <c r="AP1098" s="2"/>
      <c r="AQ1098" s="1"/>
      <c r="AR1098" s="2"/>
      <c r="AU1098" s="1"/>
      <c r="AW1098" s="1"/>
      <c r="AY1098" s="2"/>
    </row>
    <row r="1099">
      <c r="A1099" s="1"/>
      <c r="C1099" s="1"/>
      <c r="E1099" s="1"/>
      <c r="F1099" s="1"/>
      <c r="G1099" s="2"/>
      <c r="H1099" s="1"/>
      <c r="I1099" s="1"/>
      <c r="J1099" s="1"/>
      <c r="K1099" s="1"/>
      <c r="M1099" s="1"/>
      <c r="N1099" s="1"/>
      <c r="O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2"/>
      <c r="AB1099" s="1"/>
      <c r="AC1099" s="1"/>
      <c r="AD1099" s="1"/>
      <c r="AE1099" s="1"/>
      <c r="AF1099" s="1"/>
      <c r="AG1099" s="1"/>
      <c r="AH1099" s="2"/>
      <c r="AI1099" s="2"/>
      <c r="AJ1099" s="2"/>
      <c r="AK1099" s="2"/>
      <c r="AL1099" s="2"/>
      <c r="AM1099" s="1"/>
      <c r="AN1099" s="2"/>
      <c r="AP1099" s="2"/>
      <c r="AQ1099" s="1"/>
      <c r="AR1099" s="2"/>
      <c r="AU1099" s="1"/>
      <c r="AW1099" s="1"/>
      <c r="AY1099" s="2"/>
    </row>
    <row r="1100">
      <c r="A1100" s="1"/>
      <c r="C1100" s="1"/>
      <c r="E1100" s="1"/>
      <c r="F1100" s="1"/>
      <c r="G1100" s="2"/>
      <c r="H1100" s="1"/>
      <c r="I1100" s="1"/>
      <c r="J1100" s="1"/>
      <c r="K1100" s="1"/>
      <c r="M1100" s="1"/>
      <c r="N1100" s="1"/>
      <c r="O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2"/>
      <c r="AB1100" s="1"/>
      <c r="AC1100" s="1"/>
      <c r="AD1100" s="1"/>
      <c r="AE1100" s="1"/>
      <c r="AF1100" s="1"/>
      <c r="AG1100" s="1"/>
      <c r="AH1100" s="2"/>
      <c r="AI1100" s="2"/>
      <c r="AJ1100" s="2"/>
      <c r="AK1100" s="2"/>
      <c r="AL1100" s="2"/>
      <c r="AM1100" s="1"/>
      <c r="AN1100" s="2"/>
      <c r="AP1100" s="2"/>
      <c r="AQ1100" s="1"/>
      <c r="AR1100" s="2"/>
      <c r="AU1100" s="1"/>
      <c r="AW1100" s="1"/>
      <c r="AY1100" s="2"/>
    </row>
    <row r="1101">
      <c r="A1101" s="1"/>
      <c r="C1101" s="1"/>
      <c r="E1101" s="1"/>
      <c r="F1101" s="1"/>
      <c r="G1101" s="2"/>
      <c r="H1101" s="1"/>
      <c r="I1101" s="1"/>
      <c r="J1101" s="1"/>
      <c r="K1101" s="1"/>
      <c r="M1101" s="1"/>
      <c r="N1101" s="1"/>
      <c r="O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2"/>
      <c r="AB1101" s="1"/>
      <c r="AC1101" s="1"/>
      <c r="AD1101" s="1"/>
      <c r="AE1101" s="1"/>
      <c r="AF1101" s="1"/>
      <c r="AG1101" s="1"/>
      <c r="AH1101" s="2"/>
      <c r="AI1101" s="2"/>
      <c r="AJ1101" s="2"/>
      <c r="AK1101" s="2"/>
      <c r="AL1101" s="2"/>
      <c r="AM1101" s="1"/>
      <c r="AN1101" s="2"/>
      <c r="AP1101" s="2"/>
      <c r="AQ1101" s="1"/>
      <c r="AR1101" s="2"/>
      <c r="AU1101" s="1"/>
      <c r="AW1101" s="1"/>
      <c r="AY1101" s="2"/>
    </row>
    <row r="1102">
      <c r="A1102" s="1"/>
      <c r="C1102" s="1"/>
      <c r="E1102" s="1"/>
      <c r="F1102" s="1"/>
      <c r="G1102" s="2"/>
      <c r="H1102" s="1"/>
      <c r="I1102" s="1"/>
      <c r="J1102" s="1"/>
      <c r="K1102" s="1"/>
      <c r="M1102" s="1"/>
      <c r="N1102" s="1"/>
      <c r="O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2"/>
      <c r="AB1102" s="1"/>
      <c r="AC1102" s="1"/>
      <c r="AD1102" s="1"/>
      <c r="AE1102" s="1"/>
      <c r="AF1102" s="1"/>
      <c r="AG1102" s="1"/>
      <c r="AH1102" s="2"/>
      <c r="AI1102" s="2"/>
      <c r="AJ1102" s="2"/>
      <c r="AK1102" s="2"/>
      <c r="AL1102" s="2"/>
      <c r="AM1102" s="1"/>
      <c r="AN1102" s="2"/>
      <c r="AP1102" s="2"/>
      <c r="AQ1102" s="1"/>
      <c r="AR1102" s="2"/>
      <c r="AU1102" s="1"/>
      <c r="AW1102" s="1"/>
      <c r="AY1102" s="2"/>
    </row>
    <row r="1103">
      <c r="A1103" s="1"/>
      <c r="C1103" s="1"/>
      <c r="E1103" s="1"/>
      <c r="F1103" s="1"/>
      <c r="G1103" s="2"/>
      <c r="H1103" s="1"/>
      <c r="I1103" s="1"/>
      <c r="J1103" s="1"/>
      <c r="K1103" s="1"/>
      <c r="M1103" s="1"/>
      <c r="N1103" s="1"/>
      <c r="O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2"/>
      <c r="AB1103" s="1"/>
      <c r="AC1103" s="1"/>
      <c r="AD1103" s="1"/>
      <c r="AE1103" s="1"/>
      <c r="AF1103" s="1"/>
      <c r="AG1103" s="1"/>
      <c r="AH1103" s="2"/>
      <c r="AI1103" s="2"/>
      <c r="AJ1103" s="2"/>
      <c r="AK1103" s="2"/>
      <c r="AL1103" s="2"/>
      <c r="AM1103" s="1"/>
      <c r="AN1103" s="2"/>
      <c r="AP1103" s="2"/>
      <c r="AQ1103" s="1"/>
      <c r="AR1103" s="2"/>
      <c r="AU1103" s="1"/>
      <c r="AW1103" s="1"/>
      <c r="AY1103" s="2"/>
    </row>
    <row r="1104">
      <c r="A1104" s="1"/>
      <c r="C1104" s="1"/>
      <c r="E1104" s="1"/>
      <c r="F1104" s="1"/>
      <c r="G1104" s="2"/>
      <c r="H1104" s="1"/>
      <c r="I1104" s="1"/>
      <c r="J1104" s="1"/>
      <c r="K1104" s="1"/>
      <c r="M1104" s="1"/>
      <c r="N1104" s="1"/>
      <c r="O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2"/>
      <c r="AB1104" s="1"/>
      <c r="AC1104" s="1"/>
      <c r="AD1104" s="1"/>
      <c r="AE1104" s="1"/>
      <c r="AF1104" s="1"/>
      <c r="AG1104" s="1"/>
      <c r="AH1104" s="2"/>
      <c r="AI1104" s="2"/>
      <c r="AJ1104" s="2"/>
      <c r="AK1104" s="2"/>
      <c r="AL1104" s="2"/>
      <c r="AM1104" s="1"/>
      <c r="AN1104" s="2"/>
      <c r="AP1104" s="2"/>
      <c r="AQ1104" s="1"/>
      <c r="AR1104" s="2"/>
      <c r="AU1104" s="1"/>
      <c r="AW1104" s="1"/>
      <c r="AY1104" s="2"/>
    </row>
    <row r="1105">
      <c r="A1105" s="1"/>
      <c r="C1105" s="1"/>
      <c r="E1105" s="1"/>
      <c r="F1105" s="1"/>
      <c r="G1105" s="2"/>
      <c r="H1105" s="1"/>
      <c r="I1105" s="1"/>
      <c r="J1105" s="1"/>
      <c r="K1105" s="1"/>
      <c r="M1105" s="1"/>
      <c r="N1105" s="1"/>
      <c r="O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2"/>
      <c r="AB1105" s="1"/>
      <c r="AC1105" s="1"/>
      <c r="AD1105" s="1"/>
      <c r="AE1105" s="1"/>
      <c r="AF1105" s="1"/>
      <c r="AG1105" s="1"/>
      <c r="AH1105" s="2"/>
      <c r="AI1105" s="2"/>
      <c r="AJ1105" s="2"/>
      <c r="AK1105" s="2"/>
      <c r="AL1105" s="2"/>
      <c r="AM1105" s="1"/>
      <c r="AN1105" s="2"/>
      <c r="AP1105" s="2"/>
      <c r="AQ1105" s="1"/>
      <c r="AR1105" s="2"/>
      <c r="AU1105" s="1"/>
      <c r="AW1105" s="1"/>
      <c r="AY1105" s="2"/>
    </row>
    <row r="1106">
      <c r="A1106" s="1"/>
      <c r="C1106" s="1"/>
      <c r="E1106" s="1"/>
      <c r="F1106" s="1"/>
      <c r="G1106" s="2"/>
      <c r="H1106" s="1"/>
      <c r="I1106" s="1"/>
      <c r="J1106" s="1"/>
      <c r="K1106" s="1"/>
      <c r="M1106" s="1"/>
      <c r="N1106" s="1"/>
      <c r="O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2"/>
      <c r="AB1106" s="1"/>
      <c r="AC1106" s="1"/>
      <c r="AD1106" s="1"/>
      <c r="AE1106" s="1"/>
      <c r="AF1106" s="1"/>
      <c r="AG1106" s="1"/>
      <c r="AH1106" s="2"/>
      <c r="AI1106" s="2"/>
      <c r="AJ1106" s="2"/>
      <c r="AK1106" s="2"/>
      <c r="AL1106" s="2"/>
      <c r="AM1106" s="1"/>
      <c r="AN1106" s="2"/>
      <c r="AP1106" s="2"/>
      <c r="AQ1106" s="1"/>
      <c r="AR1106" s="2"/>
      <c r="AU1106" s="1"/>
      <c r="AW1106" s="1"/>
      <c r="AY1106" s="2"/>
    </row>
    <row r="1107">
      <c r="A1107" s="1"/>
      <c r="C1107" s="1"/>
      <c r="E1107" s="1"/>
      <c r="F1107" s="1"/>
      <c r="G1107" s="2"/>
      <c r="H1107" s="1"/>
      <c r="I1107" s="1"/>
      <c r="J1107" s="1"/>
      <c r="K1107" s="1"/>
      <c r="M1107" s="1"/>
      <c r="N1107" s="1"/>
      <c r="O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2"/>
      <c r="AB1107" s="1"/>
      <c r="AC1107" s="1"/>
      <c r="AD1107" s="1"/>
      <c r="AE1107" s="1"/>
      <c r="AF1107" s="1"/>
      <c r="AG1107" s="1"/>
      <c r="AH1107" s="2"/>
      <c r="AI1107" s="2"/>
      <c r="AJ1107" s="2"/>
      <c r="AK1107" s="2"/>
      <c r="AL1107" s="2"/>
      <c r="AM1107" s="1"/>
      <c r="AN1107" s="2"/>
      <c r="AP1107" s="2"/>
      <c r="AQ1107" s="1"/>
      <c r="AR1107" s="2"/>
      <c r="AU1107" s="1"/>
      <c r="AW1107" s="1"/>
      <c r="AY1107" s="2"/>
    </row>
    <row r="1108">
      <c r="A1108" s="1"/>
      <c r="C1108" s="1"/>
      <c r="E1108" s="1"/>
      <c r="F1108" s="1"/>
      <c r="G1108" s="2"/>
      <c r="H1108" s="1"/>
      <c r="I1108" s="1"/>
      <c r="J1108" s="1"/>
      <c r="K1108" s="1"/>
      <c r="M1108" s="1"/>
      <c r="N1108" s="1"/>
      <c r="O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2"/>
      <c r="AB1108" s="1"/>
      <c r="AC1108" s="1"/>
      <c r="AD1108" s="1"/>
      <c r="AE1108" s="1"/>
      <c r="AF1108" s="1"/>
      <c r="AG1108" s="1"/>
      <c r="AH1108" s="2"/>
      <c r="AI1108" s="2"/>
      <c r="AJ1108" s="2"/>
      <c r="AK1108" s="2"/>
      <c r="AL1108" s="2"/>
      <c r="AM1108" s="1"/>
      <c r="AN1108" s="2"/>
      <c r="AP1108" s="2"/>
      <c r="AQ1108" s="1"/>
      <c r="AR1108" s="2"/>
      <c r="AU1108" s="1"/>
      <c r="AW1108" s="1"/>
      <c r="AY1108" s="2"/>
    </row>
    <row r="1109">
      <c r="A1109" s="1"/>
      <c r="C1109" s="1"/>
      <c r="E1109" s="1"/>
      <c r="F1109" s="1"/>
      <c r="G1109" s="2"/>
      <c r="H1109" s="1"/>
      <c r="I1109" s="1"/>
      <c r="J1109" s="1"/>
      <c r="K1109" s="1"/>
      <c r="M1109" s="1"/>
      <c r="N1109" s="1"/>
      <c r="O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2"/>
      <c r="AB1109" s="1"/>
      <c r="AC1109" s="1"/>
      <c r="AD1109" s="1"/>
      <c r="AE1109" s="1"/>
      <c r="AF1109" s="1"/>
      <c r="AG1109" s="1"/>
      <c r="AH1109" s="2"/>
      <c r="AI1109" s="2"/>
      <c r="AJ1109" s="2"/>
      <c r="AK1109" s="2"/>
      <c r="AL1109" s="2"/>
      <c r="AM1109" s="1"/>
      <c r="AN1109" s="2"/>
      <c r="AP1109" s="2"/>
      <c r="AQ1109" s="1"/>
      <c r="AR1109" s="2"/>
      <c r="AU1109" s="1"/>
      <c r="AW1109" s="1"/>
      <c r="AY1109" s="2"/>
    </row>
    <row r="1110">
      <c r="A1110" s="1"/>
      <c r="C1110" s="1"/>
      <c r="E1110" s="1"/>
      <c r="F1110" s="1"/>
      <c r="G1110" s="2"/>
      <c r="H1110" s="1"/>
      <c r="I1110" s="1"/>
      <c r="J1110" s="1"/>
      <c r="K1110" s="1"/>
      <c r="M1110" s="1"/>
      <c r="N1110" s="1"/>
      <c r="O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2"/>
      <c r="AB1110" s="1"/>
      <c r="AC1110" s="1"/>
      <c r="AD1110" s="1"/>
      <c r="AE1110" s="1"/>
      <c r="AF1110" s="1"/>
      <c r="AG1110" s="1"/>
      <c r="AH1110" s="2"/>
      <c r="AI1110" s="2"/>
      <c r="AJ1110" s="2"/>
      <c r="AK1110" s="2"/>
      <c r="AL1110" s="2"/>
      <c r="AM1110" s="1"/>
      <c r="AN1110" s="2"/>
      <c r="AP1110" s="2"/>
      <c r="AQ1110" s="1"/>
      <c r="AR1110" s="2"/>
      <c r="AU1110" s="1"/>
      <c r="AW1110" s="1"/>
      <c r="AY1110" s="2"/>
    </row>
    <row r="1111">
      <c r="A1111" s="1"/>
      <c r="C1111" s="1"/>
      <c r="E1111" s="1"/>
      <c r="F1111" s="1"/>
      <c r="G1111" s="2"/>
      <c r="H1111" s="1"/>
      <c r="I1111" s="1"/>
      <c r="J1111" s="1"/>
      <c r="K1111" s="1"/>
      <c r="M1111" s="1"/>
      <c r="N1111" s="1"/>
      <c r="O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2"/>
      <c r="AB1111" s="1"/>
      <c r="AC1111" s="1"/>
      <c r="AD1111" s="1"/>
      <c r="AE1111" s="1"/>
      <c r="AF1111" s="1"/>
      <c r="AG1111" s="1"/>
      <c r="AH1111" s="2"/>
      <c r="AI1111" s="2"/>
      <c r="AJ1111" s="2"/>
      <c r="AK1111" s="2"/>
      <c r="AL1111" s="2"/>
      <c r="AM1111" s="1"/>
      <c r="AN1111" s="2"/>
      <c r="AP1111" s="2"/>
      <c r="AQ1111" s="1"/>
      <c r="AR1111" s="2"/>
      <c r="AU1111" s="1"/>
      <c r="AW1111" s="1"/>
      <c r="AY1111" s="2"/>
    </row>
    <row r="1112">
      <c r="A1112" s="1"/>
      <c r="C1112" s="1"/>
      <c r="E1112" s="1"/>
      <c r="F1112" s="1"/>
      <c r="G1112" s="2"/>
      <c r="H1112" s="1"/>
      <c r="I1112" s="1"/>
      <c r="J1112" s="1"/>
      <c r="K1112" s="1"/>
      <c r="M1112" s="1"/>
      <c r="N1112" s="1"/>
      <c r="O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2"/>
      <c r="AB1112" s="1"/>
      <c r="AC1112" s="1"/>
      <c r="AD1112" s="1"/>
      <c r="AE1112" s="1"/>
      <c r="AF1112" s="1"/>
      <c r="AG1112" s="1"/>
      <c r="AH1112" s="2"/>
      <c r="AI1112" s="2"/>
      <c r="AJ1112" s="2"/>
      <c r="AK1112" s="2"/>
      <c r="AL1112" s="2"/>
      <c r="AM1112" s="1"/>
      <c r="AN1112" s="2"/>
      <c r="AP1112" s="2"/>
      <c r="AQ1112" s="1"/>
      <c r="AR1112" s="2"/>
      <c r="AU1112" s="1"/>
      <c r="AW1112" s="1"/>
      <c r="AY1112" s="2"/>
    </row>
    <row r="1113">
      <c r="A1113" s="1"/>
      <c r="C1113" s="1"/>
      <c r="E1113" s="1"/>
      <c r="F1113" s="1"/>
      <c r="G1113" s="2"/>
      <c r="H1113" s="1"/>
      <c r="I1113" s="1"/>
      <c r="J1113" s="1"/>
      <c r="K1113" s="1"/>
      <c r="M1113" s="1"/>
      <c r="N1113" s="1"/>
      <c r="O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2"/>
      <c r="AB1113" s="1"/>
      <c r="AC1113" s="1"/>
      <c r="AD1113" s="1"/>
      <c r="AE1113" s="1"/>
      <c r="AF1113" s="1"/>
      <c r="AG1113" s="1"/>
      <c r="AH1113" s="2"/>
      <c r="AI1113" s="2"/>
      <c r="AJ1113" s="2"/>
      <c r="AK1113" s="2"/>
      <c r="AL1113" s="2"/>
      <c r="AM1113" s="1"/>
      <c r="AN1113" s="2"/>
      <c r="AP1113" s="2"/>
      <c r="AQ1113" s="1"/>
      <c r="AR1113" s="2"/>
      <c r="AU1113" s="1"/>
      <c r="AW1113" s="1"/>
      <c r="AY1113" s="2"/>
    </row>
    <row r="1114">
      <c r="A1114" s="1"/>
      <c r="C1114" s="1"/>
      <c r="E1114" s="1"/>
      <c r="F1114" s="1"/>
      <c r="G1114" s="2"/>
      <c r="H1114" s="1"/>
      <c r="I1114" s="1"/>
      <c r="J1114" s="1"/>
      <c r="K1114" s="1"/>
      <c r="M1114" s="1"/>
      <c r="N1114" s="1"/>
      <c r="O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2"/>
      <c r="AB1114" s="1"/>
      <c r="AC1114" s="1"/>
      <c r="AD1114" s="1"/>
      <c r="AE1114" s="1"/>
      <c r="AF1114" s="1"/>
      <c r="AG1114" s="1"/>
      <c r="AH1114" s="2"/>
      <c r="AI1114" s="2"/>
      <c r="AJ1114" s="2"/>
      <c r="AK1114" s="2"/>
      <c r="AL1114" s="2"/>
      <c r="AM1114" s="1"/>
      <c r="AN1114" s="2"/>
      <c r="AP1114" s="2"/>
      <c r="AQ1114" s="1"/>
      <c r="AR1114" s="2"/>
      <c r="AU1114" s="1"/>
      <c r="AW1114" s="1"/>
      <c r="AY1114" s="2"/>
    </row>
    <row r="1115">
      <c r="A1115" s="1"/>
      <c r="C1115" s="1"/>
      <c r="E1115" s="1"/>
      <c r="F1115" s="1"/>
      <c r="G1115" s="2"/>
      <c r="H1115" s="1"/>
      <c r="I1115" s="1"/>
      <c r="J1115" s="1"/>
      <c r="K1115" s="1"/>
      <c r="M1115" s="1"/>
      <c r="N1115" s="1"/>
      <c r="O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2"/>
      <c r="AB1115" s="1"/>
      <c r="AC1115" s="1"/>
      <c r="AD1115" s="1"/>
      <c r="AE1115" s="1"/>
      <c r="AF1115" s="1"/>
      <c r="AG1115" s="1"/>
      <c r="AH1115" s="2"/>
      <c r="AI1115" s="2"/>
      <c r="AJ1115" s="2"/>
      <c r="AK1115" s="2"/>
      <c r="AL1115" s="2"/>
      <c r="AM1115" s="1"/>
      <c r="AN1115" s="2"/>
      <c r="AP1115" s="2"/>
      <c r="AQ1115" s="1"/>
      <c r="AR1115" s="2"/>
      <c r="AU1115" s="1"/>
      <c r="AW1115" s="1"/>
      <c r="AY1115" s="2"/>
    </row>
    <row r="1116">
      <c r="A1116" s="1"/>
      <c r="C1116" s="1"/>
      <c r="E1116" s="1"/>
      <c r="F1116" s="1"/>
      <c r="G1116" s="2"/>
      <c r="H1116" s="1"/>
      <c r="I1116" s="1"/>
      <c r="J1116" s="1"/>
      <c r="K1116" s="1"/>
      <c r="M1116" s="1"/>
      <c r="N1116" s="1"/>
      <c r="O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2"/>
      <c r="AB1116" s="1"/>
      <c r="AC1116" s="1"/>
      <c r="AD1116" s="1"/>
      <c r="AE1116" s="1"/>
      <c r="AF1116" s="1"/>
      <c r="AG1116" s="1"/>
      <c r="AH1116" s="2"/>
      <c r="AI1116" s="2"/>
      <c r="AJ1116" s="2"/>
      <c r="AK1116" s="2"/>
      <c r="AL1116" s="2"/>
      <c r="AM1116" s="1"/>
      <c r="AN1116" s="2"/>
      <c r="AP1116" s="2"/>
      <c r="AQ1116" s="1"/>
      <c r="AR1116" s="2"/>
      <c r="AU1116" s="1"/>
      <c r="AW1116" s="1"/>
      <c r="AY1116" s="2"/>
    </row>
    <row r="1117">
      <c r="A1117" s="1"/>
      <c r="C1117" s="1"/>
      <c r="E1117" s="1"/>
      <c r="F1117" s="1"/>
      <c r="G1117" s="2"/>
      <c r="H1117" s="1"/>
      <c r="I1117" s="1"/>
      <c r="J1117" s="1"/>
      <c r="K1117" s="1"/>
      <c r="M1117" s="1"/>
      <c r="N1117" s="1"/>
      <c r="O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2"/>
      <c r="AB1117" s="1"/>
      <c r="AC1117" s="1"/>
      <c r="AD1117" s="1"/>
      <c r="AE1117" s="1"/>
      <c r="AF1117" s="1"/>
      <c r="AG1117" s="1"/>
      <c r="AH1117" s="2"/>
      <c r="AI1117" s="2"/>
      <c r="AJ1117" s="2"/>
      <c r="AK1117" s="2"/>
      <c r="AL1117" s="2"/>
      <c r="AM1117" s="1"/>
      <c r="AN1117" s="2"/>
      <c r="AP1117" s="2"/>
      <c r="AQ1117" s="1"/>
      <c r="AR1117" s="2"/>
      <c r="AU1117" s="1"/>
      <c r="AW1117" s="1"/>
      <c r="AY1117" s="2"/>
    </row>
    <row r="1118">
      <c r="A1118" s="1"/>
      <c r="C1118" s="1"/>
      <c r="E1118" s="1"/>
      <c r="F1118" s="1"/>
      <c r="G1118" s="2"/>
      <c r="H1118" s="1"/>
      <c r="I1118" s="1"/>
      <c r="J1118" s="1"/>
      <c r="K1118" s="1"/>
      <c r="M1118" s="1"/>
      <c r="N1118" s="1"/>
      <c r="O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2"/>
      <c r="AB1118" s="1"/>
      <c r="AC1118" s="1"/>
      <c r="AD1118" s="1"/>
      <c r="AE1118" s="1"/>
      <c r="AF1118" s="1"/>
      <c r="AG1118" s="1"/>
      <c r="AH1118" s="2"/>
      <c r="AI1118" s="2"/>
      <c r="AJ1118" s="2"/>
      <c r="AK1118" s="2"/>
      <c r="AL1118" s="2"/>
      <c r="AM1118" s="1"/>
      <c r="AN1118" s="2"/>
      <c r="AP1118" s="2"/>
      <c r="AQ1118" s="1"/>
      <c r="AR1118" s="2"/>
      <c r="AU1118" s="1"/>
      <c r="AW1118" s="1"/>
      <c r="AY1118" s="2"/>
    </row>
    <row r="1119">
      <c r="A1119" s="1"/>
      <c r="C1119" s="1"/>
      <c r="E1119" s="1"/>
      <c r="F1119" s="1"/>
      <c r="G1119" s="2"/>
      <c r="H1119" s="1"/>
      <c r="I1119" s="1"/>
      <c r="J1119" s="1"/>
      <c r="K1119" s="1"/>
      <c r="M1119" s="1"/>
      <c r="N1119" s="1"/>
      <c r="O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2"/>
      <c r="AB1119" s="1"/>
      <c r="AC1119" s="1"/>
      <c r="AD1119" s="1"/>
      <c r="AE1119" s="1"/>
      <c r="AF1119" s="1"/>
      <c r="AG1119" s="1"/>
      <c r="AH1119" s="2"/>
      <c r="AI1119" s="2"/>
      <c r="AJ1119" s="2"/>
      <c r="AK1119" s="2"/>
      <c r="AL1119" s="2"/>
      <c r="AM1119" s="1"/>
      <c r="AN1119" s="2"/>
      <c r="AP1119" s="2"/>
      <c r="AQ1119" s="1"/>
      <c r="AR1119" s="2"/>
      <c r="AU1119" s="1"/>
      <c r="AW1119" s="1"/>
      <c r="AY1119" s="2"/>
    </row>
    <row r="1120">
      <c r="A1120" s="1"/>
      <c r="C1120" s="1"/>
      <c r="E1120" s="1"/>
      <c r="F1120" s="1"/>
      <c r="G1120" s="2"/>
      <c r="H1120" s="1"/>
      <c r="I1120" s="1"/>
      <c r="J1120" s="1"/>
      <c r="K1120" s="1"/>
      <c r="M1120" s="1"/>
      <c r="N1120" s="1"/>
      <c r="O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2"/>
      <c r="AB1120" s="1"/>
      <c r="AC1120" s="1"/>
      <c r="AD1120" s="1"/>
      <c r="AE1120" s="1"/>
      <c r="AF1120" s="1"/>
      <c r="AG1120" s="1"/>
      <c r="AH1120" s="2"/>
      <c r="AI1120" s="2"/>
      <c r="AJ1120" s="2"/>
      <c r="AK1120" s="2"/>
      <c r="AL1120" s="2"/>
      <c r="AM1120" s="1"/>
      <c r="AN1120" s="2"/>
      <c r="AP1120" s="2"/>
      <c r="AQ1120" s="1"/>
      <c r="AR1120" s="2"/>
      <c r="AU1120" s="1"/>
      <c r="AW1120" s="1"/>
      <c r="AY1120" s="2"/>
    </row>
    <row r="1121">
      <c r="A1121" s="1"/>
      <c r="C1121" s="1"/>
      <c r="E1121" s="1"/>
      <c r="F1121" s="1"/>
      <c r="G1121" s="2"/>
      <c r="H1121" s="1"/>
      <c r="I1121" s="1"/>
      <c r="J1121" s="1"/>
      <c r="K1121" s="1"/>
      <c r="M1121" s="1"/>
      <c r="N1121" s="1"/>
      <c r="O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2"/>
      <c r="AB1121" s="1"/>
      <c r="AC1121" s="1"/>
      <c r="AD1121" s="1"/>
      <c r="AE1121" s="1"/>
      <c r="AF1121" s="1"/>
      <c r="AG1121" s="1"/>
      <c r="AH1121" s="2"/>
      <c r="AI1121" s="2"/>
      <c r="AJ1121" s="2"/>
      <c r="AK1121" s="2"/>
      <c r="AL1121" s="2"/>
      <c r="AM1121" s="1"/>
      <c r="AN1121" s="2"/>
      <c r="AP1121" s="2"/>
      <c r="AQ1121" s="1"/>
      <c r="AR1121" s="2"/>
      <c r="AU1121" s="1"/>
      <c r="AW1121" s="1"/>
      <c r="AY1121" s="2"/>
    </row>
    <row r="1122">
      <c r="A1122" s="1"/>
      <c r="C1122" s="1"/>
      <c r="E1122" s="1"/>
      <c r="F1122" s="1"/>
      <c r="G1122" s="2"/>
      <c r="H1122" s="1"/>
      <c r="I1122" s="1"/>
      <c r="J1122" s="1"/>
      <c r="K1122" s="1"/>
      <c r="M1122" s="1"/>
      <c r="N1122" s="1"/>
      <c r="O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2"/>
      <c r="AB1122" s="1"/>
      <c r="AC1122" s="1"/>
      <c r="AD1122" s="1"/>
      <c r="AE1122" s="1"/>
      <c r="AF1122" s="1"/>
      <c r="AG1122" s="1"/>
      <c r="AH1122" s="2"/>
      <c r="AI1122" s="2"/>
      <c r="AJ1122" s="2"/>
      <c r="AK1122" s="2"/>
      <c r="AL1122" s="2"/>
      <c r="AM1122" s="1"/>
      <c r="AN1122" s="2"/>
      <c r="AP1122" s="2"/>
      <c r="AQ1122" s="1"/>
      <c r="AR1122" s="2"/>
      <c r="AU1122" s="1"/>
      <c r="AW1122" s="1"/>
      <c r="AY1122" s="2"/>
    </row>
    <row r="1123">
      <c r="A1123" s="1"/>
      <c r="C1123" s="1"/>
      <c r="E1123" s="1"/>
      <c r="F1123" s="1"/>
      <c r="G1123" s="2"/>
      <c r="H1123" s="1"/>
      <c r="I1123" s="1"/>
      <c r="J1123" s="1"/>
      <c r="K1123" s="1"/>
      <c r="M1123" s="1"/>
      <c r="N1123" s="1"/>
      <c r="O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2"/>
      <c r="AB1123" s="1"/>
      <c r="AC1123" s="1"/>
      <c r="AD1123" s="1"/>
      <c r="AE1123" s="1"/>
      <c r="AF1123" s="1"/>
      <c r="AG1123" s="1"/>
      <c r="AH1123" s="2"/>
      <c r="AI1123" s="2"/>
      <c r="AJ1123" s="2"/>
      <c r="AK1123" s="2"/>
      <c r="AL1123" s="2"/>
      <c r="AM1123" s="1"/>
      <c r="AN1123" s="2"/>
      <c r="AP1123" s="2"/>
      <c r="AQ1123" s="1"/>
      <c r="AR1123" s="2"/>
      <c r="AU1123" s="1"/>
      <c r="AW1123" s="1"/>
      <c r="AY1123" s="2"/>
    </row>
    <row r="1124">
      <c r="A1124" s="1"/>
      <c r="C1124" s="1"/>
      <c r="E1124" s="1"/>
      <c r="F1124" s="1"/>
      <c r="G1124" s="2"/>
      <c r="H1124" s="1"/>
      <c r="I1124" s="1"/>
      <c r="J1124" s="1"/>
      <c r="K1124" s="1"/>
      <c r="M1124" s="1"/>
      <c r="N1124" s="1"/>
      <c r="O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2"/>
      <c r="AB1124" s="1"/>
      <c r="AC1124" s="1"/>
      <c r="AD1124" s="1"/>
      <c r="AE1124" s="1"/>
      <c r="AF1124" s="1"/>
      <c r="AG1124" s="1"/>
      <c r="AH1124" s="2"/>
      <c r="AI1124" s="2"/>
      <c r="AJ1124" s="2"/>
      <c r="AK1124" s="2"/>
      <c r="AL1124" s="2"/>
      <c r="AM1124" s="1"/>
      <c r="AN1124" s="2"/>
      <c r="AP1124" s="2"/>
      <c r="AQ1124" s="1"/>
      <c r="AR1124" s="2"/>
      <c r="AU1124" s="1"/>
      <c r="AW1124" s="1"/>
      <c r="AY1124" s="2"/>
    </row>
    <row r="1125">
      <c r="A1125" s="1"/>
      <c r="C1125" s="1"/>
      <c r="E1125" s="1"/>
      <c r="F1125" s="1"/>
      <c r="G1125" s="2"/>
      <c r="H1125" s="1"/>
      <c r="I1125" s="1"/>
      <c r="J1125" s="1"/>
      <c r="K1125" s="1"/>
      <c r="M1125" s="1"/>
      <c r="N1125" s="1"/>
      <c r="O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2"/>
      <c r="AB1125" s="1"/>
      <c r="AC1125" s="1"/>
      <c r="AD1125" s="1"/>
      <c r="AE1125" s="1"/>
      <c r="AF1125" s="1"/>
      <c r="AG1125" s="1"/>
      <c r="AH1125" s="2"/>
      <c r="AI1125" s="2"/>
      <c r="AJ1125" s="2"/>
      <c r="AK1125" s="2"/>
      <c r="AL1125" s="2"/>
      <c r="AM1125" s="1"/>
      <c r="AN1125" s="2"/>
      <c r="AP1125" s="2"/>
      <c r="AQ1125" s="1"/>
      <c r="AR1125" s="2"/>
      <c r="AU1125" s="1"/>
      <c r="AW1125" s="1"/>
      <c r="AY1125" s="2"/>
    </row>
    <row r="1126">
      <c r="A1126" s="1"/>
      <c r="C1126" s="1"/>
      <c r="E1126" s="1"/>
      <c r="F1126" s="1"/>
      <c r="G1126" s="2"/>
      <c r="H1126" s="1"/>
      <c r="I1126" s="1"/>
      <c r="J1126" s="1"/>
      <c r="K1126" s="1"/>
      <c r="M1126" s="1"/>
      <c r="N1126" s="1"/>
      <c r="O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2"/>
      <c r="AB1126" s="1"/>
      <c r="AC1126" s="1"/>
      <c r="AD1126" s="1"/>
      <c r="AE1126" s="1"/>
      <c r="AF1126" s="1"/>
      <c r="AG1126" s="1"/>
      <c r="AH1126" s="2"/>
      <c r="AI1126" s="2"/>
      <c r="AJ1126" s="2"/>
      <c r="AK1126" s="2"/>
      <c r="AL1126" s="2"/>
      <c r="AM1126" s="1"/>
      <c r="AN1126" s="2"/>
      <c r="AP1126" s="2"/>
      <c r="AQ1126" s="1"/>
      <c r="AR1126" s="2"/>
      <c r="AU1126" s="1"/>
      <c r="AW1126" s="1"/>
      <c r="AY1126" s="2"/>
    </row>
    <row r="1127">
      <c r="A1127" s="1"/>
      <c r="C1127" s="1"/>
      <c r="E1127" s="1"/>
      <c r="F1127" s="1"/>
      <c r="G1127" s="2"/>
      <c r="H1127" s="1"/>
      <c r="I1127" s="1"/>
      <c r="J1127" s="1"/>
      <c r="K1127" s="1"/>
      <c r="M1127" s="1"/>
      <c r="N1127" s="1"/>
      <c r="O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2"/>
      <c r="AB1127" s="1"/>
      <c r="AC1127" s="1"/>
      <c r="AD1127" s="1"/>
      <c r="AE1127" s="1"/>
      <c r="AF1127" s="1"/>
      <c r="AG1127" s="1"/>
      <c r="AH1127" s="2"/>
      <c r="AI1127" s="2"/>
      <c r="AJ1127" s="2"/>
      <c r="AK1127" s="2"/>
      <c r="AL1127" s="2"/>
      <c r="AM1127" s="1"/>
      <c r="AN1127" s="2"/>
      <c r="AP1127" s="2"/>
      <c r="AQ1127" s="1"/>
      <c r="AR1127" s="2"/>
      <c r="AU1127" s="1"/>
      <c r="AW1127" s="1"/>
      <c r="AY1127" s="2"/>
    </row>
    <row r="1128">
      <c r="A1128" s="1"/>
      <c r="C1128" s="1"/>
      <c r="E1128" s="1"/>
      <c r="F1128" s="1"/>
      <c r="G1128" s="2"/>
      <c r="H1128" s="1"/>
      <c r="I1128" s="1"/>
      <c r="J1128" s="1"/>
      <c r="K1128" s="1"/>
      <c r="M1128" s="1"/>
      <c r="N1128" s="1"/>
      <c r="O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2"/>
      <c r="AB1128" s="1"/>
      <c r="AC1128" s="1"/>
      <c r="AD1128" s="1"/>
      <c r="AE1128" s="1"/>
      <c r="AF1128" s="1"/>
      <c r="AG1128" s="1"/>
      <c r="AH1128" s="2"/>
      <c r="AI1128" s="2"/>
      <c r="AJ1128" s="2"/>
      <c r="AK1128" s="2"/>
      <c r="AL1128" s="2"/>
      <c r="AM1128" s="1"/>
      <c r="AN1128" s="2"/>
      <c r="AP1128" s="2"/>
      <c r="AQ1128" s="1"/>
      <c r="AR1128" s="2"/>
      <c r="AU1128" s="1"/>
      <c r="AW1128" s="1"/>
      <c r="AY1128" s="2"/>
    </row>
    <row r="1129">
      <c r="A1129" s="1"/>
      <c r="C1129" s="1"/>
      <c r="E1129" s="1"/>
      <c r="F1129" s="1"/>
      <c r="G1129" s="2"/>
      <c r="H1129" s="1"/>
      <c r="I1129" s="1"/>
      <c r="J1129" s="1"/>
      <c r="K1129" s="1"/>
      <c r="M1129" s="1"/>
      <c r="N1129" s="1"/>
      <c r="O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2"/>
      <c r="AB1129" s="1"/>
      <c r="AC1129" s="1"/>
      <c r="AD1129" s="1"/>
      <c r="AE1129" s="1"/>
      <c r="AF1129" s="1"/>
      <c r="AG1129" s="1"/>
      <c r="AH1129" s="2"/>
      <c r="AI1129" s="2"/>
      <c r="AJ1129" s="2"/>
      <c r="AK1129" s="2"/>
      <c r="AL1129" s="2"/>
      <c r="AM1129" s="1"/>
      <c r="AN1129" s="2"/>
      <c r="AP1129" s="2"/>
      <c r="AQ1129" s="1"/>
      <c r="AR1129" s="2"/>
      <c r="AU1129" s="1"/>
      <c r="AW1129" s="1"/>
      <c r="AY1129" s="2"/>
    </row>
    <row r="1130">
      <c r="A1130" s="1"/>
      <c r="C1130" s="1"/>
      <c r="E1130" s="1"/>
      <c r="F1130" s="1"/>
      <c r="G1130" s="2"/>
      <c r="H1130" s="1"/>
      <c r="I1130" s="1"/>
      <c r="J1130" s="1"/>
      <c r="K1130" s="1"/>
      <c r="M1130" s="1"/>
      <c r="N1130" s="1"/>
      <c r="O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2"/>
      <c r="AB1130" s="1"/>
      <c r="AC1130" s="1"/>
      <c r="AD1130" s="1"/>
      <c r="AE1130" s="1"/>
      <c r="AF1130" s="1"/>
      <c r="AG1130" s="1"/>
      <c r="AH1130" s="2"/>
      <c r="AI1130" s="2"/>
      <c r="AJ1130" s="2"/>
      <c r="AK1130" s="2"/>
      <c r="AL1130" s="2"/>
      <c r="AM1130" s="1"/>
      <c r="AN1130" s="2"/>
      <c r="AP1130" s="2"/>
      <c r="AQ1130" s="1"/>
      <c r="AR1130" s="2"/>
      <c r="AU1130" s="1"/>
      <c r="AW1130" s="1"/>
      <c r="AY1130" s="2"/>
    </row>
    <row r="1131">
      <c r="A1131" s="1"/>
      <c r="C1131" s="1"/>
      <c r="E1131" s="1"/>
      <c r="F1131" s="1"/>
      <c r="G1131" s="2"/>
      <c r="H1131" s="1"/>
      <c r="I1131" s="1"/>
      <c r="J1131" s="1"/>
      <c r="K1131" s="1"/>
      <c r="M1131" s="1"/>
      <c r="N1131" s="1"/>
      <c r="O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2"/>
      <c r="AB1131" s="1"/>
      <c r="AC1131" s="1"/>
      <c r="AD1131" s="1"/>
      <c r="AE1131" s="1"/>
      <c r="AF1131" s="1"/>
      <c r="AG1131" s="1"/>
      <c r="AH1131" s="2"/>
      <c r="AI1131" s="2"/>
      <c r="AJ1131" s="2"/>
      <c r="AK1131" s="2"/>
      <c r="AL1131" s="2"/>
      <c r="AM1131" s="1"/>
      <c r="AN1131" s="2"/>
      <c r="AP1131" s="2"/>
      <c r="AQ1131" s="1"/>
      <c r="AR1131" s="2"/>
      <c r="AU1131" s="1"/>
      <c r="AW1131" s="1"/>
      <c r="AY1131" s="2"/>
    </row>
    <row r="1132">
      <c r="A1132" s="1"/>
      <c r="C1132" s="1"/>
      <c r="E1132" s="1"/>
      <c r="F1132" s="1"/>
      <c r="G1132" s="2"/>
      <c r="H1132" s="1"/>
      <c r="I1132" s="1"/>
      <c r="J1132" s="1"/>
      <c r="K1132" s="1"/>
      <c r="M1132" s="1"/>
      <c r="N1132" s="1"/>
      <c r="O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2"/>
      <c r="AB1132" s="1"/>
      <c r="AC1132" s="1"/>
      <c r="AD1132" s="1"/>
      <c r="AE1132" s="1"/>
      <c r="AF1132" s="1"/>
      <c r="AG1132" s="1"/>
      <c r="AH1132" s="2"/>
      <c r="AI1132" s="2"/>
      <c r="AJ1132" s="2"/>
      <c r="AK1132" s="2"/>
      <c r="AL1132" s="2"/>
      <c r="AM1132" s="1"/>
      <c r="AN1132" s="2"/>
      <c r="AP1132" s="2"/>
      <c r="AQ1132" s="1"/>
      <c r="AR1132" s="2"/>
      <c r="AU1132" s="1"/>
      <c r="AW1132" s="1"/>
      <c r="AY1132" s="2"/>
    </row>
    <row r="1133">
      <c r="A1133" s="1"/>
      <c r="C1133" s="1"/>
      <c r="E1133" s="1"/>
      <c r="F1133" s="1"/>
      <c r="G1133" s="2"/>
      <c r="H1133" s="1"/>
      <c r="I1133" s="1"/>
      <c r="J1133" s="1"/>
      <c r="K1133" s="1"/>
      <c r="M1133" s="1"/>
      <c r="N1133" s="1"/>
      <c r="O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2"/>
      <c r="AB1133" s="1"/>
      <c r="AC1133" s="1"/>
      <c r="AD1133" s="1"/>
      <c r="AE1133" s="1"/>
      <c r="AF1133" s="1"/>
      <c r="AG1133" s="1"/>
      <c r="AH1133" s="2"/>
      <c r="AI1133" s="2"/>
      <c r="AJ1133" s="2"/>
      <c r="AK1133" s="2"/>
      <c r="AL1133" s="2"/>
      <c r="AM1133" s="1"/>
      <c r="AN1133" s="2"/>
      <c r="AP1133" s="2"/>
      <c r="AQ1133" s="1"/>
      <c r="AR1133" s="2"/>
      <c r="AU1133" s="1"/>
      <c r="AW1133" s="1"/>
      <c r="AY1133" s="2"/>
    </row>
    <row r="1134">
      <c r="A1134" s="1"/>
      <c r="C1134" s="1"/>
      <c r="E1134" s="1"/>
      <c r="F1134" s="1"/>
      <c r="G1134" s="2"/>
      <c r="H1134" s="1"/>
      <c r="I1134" s="1"/>
      <c r="J1134" s="1"/>
      <c r="K1134" s="1"/>
      <c r="M1134" s="1"/>
      <c r="N1134" s="1"/>
      <c r="O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2"/>
      <c r="AB1134" s="1"/>
      <c r="AC1134" s="1"/>
      <c r="AD1134" s="1"/>
      <c r="AE1134" s="1"/>
      <c r="AF1134" s="1"/>
      <c r="AG1134" s="1"/>
      <c r="AH1134" s="2"/>
      <c r="AI1134" s="2"/>
      <c r="AJ1134" s="2"/>
      <c r="AK1134" s="2"/>
      <c r="AL1134" s="2"/>
      <c r="AM1134" s="1"/>
      <c r="AN1134" s="2"/>
      <c r="AP1134" s="2"/>
      <c r="AQ1134" s="1"/>
      <c r="AR1134" s="2"/>
      <c r="AU1134" s="1"/>
      <c r="AW1134" s="1"/>
      <c r="AY1134" s="2"/>
    </row>
    <row r="1135">
      <c r="A1135" s="1"/>
      <c r="C1135" s="1"/>
      <c r="E1135" s="1"/>
      <c r="F1135" s="1"/>
      <c r="G1135" s="2"/>
      <c r="H1135" s="1"/>
      <c r="I1135" s="1"/>
      <c r="J1135" s="1"/>
      <c r="K1135" s="1"/>
      <c r="M1135" s="1"/>
      <c r="N1135" s="1"/>
      <c r="O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2"/>
      <c r="AB1135" s="1"/>
      <c r="AC1135" s="1"/>
      <c r="AD1135" s="1"/>
      <c r="AE1135" s="1"/>
      <c r="AF1135" s="1"/>
      <c r="AG1135" s="1"/>
      <c r="AH1135" s="2"/>
      <c r="AI1135" s="2"/>
      <c r="AJ1135" s="2"/>
      <c r="AK1135" s="2"/>
      <c r="AL1135" s="2"/>
      <c r="AM1135" s="1"/>
      <c r="AN1135" s="2"/>
      <c r="AP1135" s="2"/>
      <c r="AQ1135" s="1"/>
      <c r="AR1135" s="2"/>
      <c r="AU1135" s="1"/>
      <c r="AW1135" s="1"/>
      <c r="AY1135" s="2"/>
    </row>
    <row r="1136">
      <c r="A1136" s="1"/>
      <c r="C1136" s="1"/>
      <c r="E1136" s="1"/>
      <c r="F1136" s="1"/>
      <c r="G1136" s="2"/>
      <c r="H1136" s="1"/>
      <c r="I1136" s="1"/>
      <c r="J1136" s="1"/>
      <c r="K1136" s="1"/>
      <c r="M1136" s="1"/>
      <c r="N1136" s="1"/>
      <c r="O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2"/>
      <c r="AB1136" s="1"/>
      <c r="AC1136" s="1"/>
      <c r="AD1136" s="1"/>
      <c r="AE1136" s="1"/>
      <c r="AF1136" s="1"/>
      <c r="AG1136" s="1"/>
      <c r="AH1136" s="2"/>
      <c r="AI1136" s="2"/>
      <c r="AJ1136" s="2"/>
      <c r="AK1136" s="2"/>
      <c r="AL1136" s="2"/>
      <c r="AM1136" s="1"/>
      <c r="AN1136" s="2"/>
      <c r="AP1136" s="2"/>
      <c r="AQ1136" s="1"/>
      <c r="AR1136" s="2"/>
      <c r="AU1136" s="1"/>
      <c r="AW1136" s="1"/>
      <c r="AY1136" s="2"/>
    </row>
    <row r="1137">
      <c r="A1137" s="1"/>
      <c r="C1137" s="1"/>
      <c r="E1137" s="1"/>
      <c r="F1137" s="1"/>
      <c r="G1137" s="2"/>
      <c r="H1137" s="1"/>
      <c r="I1137" s="1"/>
      <c r="J1137" s="1"/>
      <c r="K1137" s="1"/>
      <c r="M1137" s="1"/>
      <c r="N1137" s="1"/>
      <c r="O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2"/>
      <c r="AB1137" s="1"/>
      <c r="AC1137" s="1"/>
      <c r="AD1137" s="1"/>
      <c r="AE1137" s="1"/>
      <c r="AF1137" s="1"/>
      <c r="AG1137" s="1"/>
      <c r="AH1137" s="2"/>
      <c r="AI1137" s="2"/>
      <c r="AJ1137" s="2"/>
      <c r="AK1137" s="2"/>
      <c r="AL1137" s="2"/>
      <c r="AM1137" s="1"/>
      <c r="AN1137" s="2"/>
      <c r="AP1137" s="2"/>
      <c r="AQ1137" s="1"/>
      <c r="AR1137" s="2"/>
      <c r="AU1137" s="1"/>
      <c r="AW1137" s="1"/>
      <c r="AY1137" s="2"/>
    </row>
    <row r="1138">
      <c r="A1138" s="1"/>
      <c r="C1138" s="1"/>
      <c r="E1138" s="1"/>
      <c r="F1138" s="1"/>
      <c r="G1138" s="2"/>
      <c r="H1138" s="1"/>
      <c r="I1138" s="1"/>
      <c r="J1138" s="1"/>
      <c r="K1138" s="1"/>
      <c r="M1138" s="1"/>
      <c r="N1138" s="1"/>
      <c r="O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2"/>
      <c r="AB1138" s="1"/>
      <c r="AC1138" s="1"/>
      <c r="AD1138" s="1"/>
      <c r="AE1138" s="1"/>
      <c r="AF1138" s="1"/>
      <c r="AG1138" s="1"/>
      <c r="AH1138" s="2"/>
      <c r="AI1138" s="2"/>
      <c r="AJ1138" s="2"/>
      <c r="AK1138" s="2"/>
      <c r="AL1138" s="2"/>
      <c r="AM1138" s="1"/>
      <c r="AN1138" s="2"/>
      <c r="AP1138" s="2"/>
      <c r="AQ1138" s="1"/>
      <c r="AR1138" s="2"/>
      <c r="AU1138" s="1"/>
      <c r="AW1138" s="1"/>
      <c r="AY1138" s="2"/>
    </row>
    <row r="1139">
      <c r="A1139" s="1"/>
      <c r="C1139" s="1"/>
      <c r="E1139" s="1"/>
      <c r="F1139" s="1"/>
      <c r="G1139" s="2"/>
      <c r="H1139" s="1"/>
      <c r="I1139" s="1"/>
      <c r="J1139" s="1"/>
      <c r="K1139" s="1"/>
      <c r="M1139" s="1"/>
      <c r="N1139" s="1"/>
      <c r="O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2"/>
      <c r="AB1139" s="1"/>
      <c r="AC1139" s="1"/>
      <c r="AD1139" s="1"/>
      <c r="AE1139" s="1"/>
      <c r="AF1139" s="1"/>
      <c r="AG1139" s="1"/>
      <c r="AH1139" s="2"/>
      <c r="AI1139" s="2"/>
      <c r="AJ1139" s="2"/>
      <c r="AK1139" s="2"/>
      <c r="AL1139" s="2"/>
      <c r="AM1139" s="1"/>
      <c r="AN1139" s="2"/>
      <c r="AP1139" s="2"/>
      <c r="AQ1139" s="1"/>
      <c r="AR1139" s="2"/>
      <c r="AU1139" s="1"/>
      <c r="AW1139" s="1"/>
      <c r="AY1139" s="2"/>
    </row>
    <row r="1140">
      <c r="A1140" s="1"/>
      <c r="C1140" s="1"/>
      <c r="E1140" s="1"/>
      <c r="F1140" s="1"/>
      <c r="G1140" s="2"/>
      <c r="H1140" s="1"/>
      <c r="I1140" s="1"/>
      <c r="J1140" s="1"/>
      <c r="K1140" s="1"/>
      <c r="M1140" s="1"/>
      <c r="N1140" s="1"/>
      <c r="O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2"/>
      <c r="AB1140" s="1"/>
      <c r="AC1140" s="1"/>
      <c r="AD1140" s="1"/>
      <c r="AE1140" s="1"/>
      <c r="AF1140" s="1"/>
      <c r="AG1140" s="1"/>
      <c r="AH1140" s="2"/>
      <c r="AI1140" s="2"/>
      <c r="AJ1140" s="2"/>
      <c r="AK1140" s="2"/>
      <c r="AL1140" s="2"/>
      <c r="AM1140" s="1"/>
      <c r="AN1140" s="2"/>
      <c r="AP1140" s="2"/>
      <c r="AQ1140" s="1"/>
      <c r="AR1140" s="2"/>
      <c r="AU1140" s="1"/>
      <c r="AW1140" s="1"/>
      <c r="AY1140" s="2"/>
    </row>
    <row r="1141">
      <c r="A1141" s="1"/>
      <c r="C1141" s="1"/>
      <c r="E1141" s="1"/>
      <c r="F1141" s="1"/>
      <c r="G1141" s="2"/>
      <c r="H1141" s="1"/>
      <c r="I1141" s="1"/>
      <c r="J1141" s="1"/>
      <c r="K1141" s="1"/>
      <c r="M1141" s="1"/>
      <c r="N1141" s="1"/>
      <c r="O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2"/>
      <c r="AB1141" s="1"/>
      <c r="AC1141" s="1"/>
      <c r="AD1141" s="1"/>
      <c r="AE1141" s="1"/>
      <c r="AF1141" s="1"/>
      <c r="AG1141" s="1"/>
      <c r="AH1141" s="2"/>
      <c r="AI1141" s="2"/>
      <c r="AJ1141" s="2"/>
      <c r="AK1141" s="2"/>
      <c r="AL1141" s="2"/>
      <c r="AM1141" s="1"/>
      <c r="AN1141" s="2"/>
      <c r="AP1141" s="2"/>
      <c r="AQ1141" s="1"/>
      <c r="AR1141" s="2"/>
      <c r="AU1141" s="1"/>
      <c r="AW1141" s="1"/>
      <c r="AY1141" s="2"/>
    </row>
    <row r="1142">
      <c r="A1142" s="1"/>
      <c r="C1142" s="1"/>
      <c r="E1142" s="1"/>
      <c r="F1142" s="1"/>
      <c r="G1142" s="2"/>
      <c r="H1142" s="1"/>
      <c r="I1142" s="1"/>
      <c r="J1142" s="1"/>
      <c r="K1142" s="1"/>
      <c r="M1142" s="1"/>
      <c r="N1142" s="1"/>
      <c r="O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2"/>
      <c r="AB1142" s="1"/>
      <c r="AC1142" s="1"/>
      <c r="AD1142" s="1"/>
      <c r="AE1142" s="1"/>
      <c r="AF1142" s="1"/>
      <c r="AG1142" s="1"/>
      <c r="AH1142" s="2"/>
      <c r="AI1142" s="2"/>
      <c r="AJ1142" s="2"/>
      <c r="AK1142" s="2"/>
      <c r="AL1142" s="2"/>
      <c r="AM1142" s="1"/>
      <c r="AN1142" s="2"/>
      <c r="AP1142" s="2"/>
      <c r="AQ1142" s="1"/>
      <c r="AR1142" s="2"/>
      <c r="AU1142" s="1"/>
      <c r="AW1142" s="1"/>
      <c r="AY1142" s="2"/>
    </row>
    <row r="1143">
      <c r="A1143" s="1"/>
      <c r="C1143" s="1"/>
      <c r="E1143" s="1"/>
      <c r="F1143" s="1"/>
      <c r="G1143" s="2"/>
      <c r="H1143" s="1"/>
      <c r="I1143" s="1"/>
      <c r="J1143" s="1"/>
      <c r="K1143" s="1"/>
      <c r="M1143" s="1"/>
      <c r="N1143" s="1"/>
      <c r="O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2"/>
      <c r="AB1143" s="1"/>
      <c r="AC1143" s="1"/>
      <c r="AD1143" s="1"/>
      <c r="AE1143" s="1"/>
      <c r="AF1143" s="1"/>
      <c r="AG1143" s="1"/>
      <c r="AH1143" s="2"/>
      <c r="AI1143" s="2"/>
      <c r="AJ1143" s="2"/>
      <c r="AK1143" s="2"/>
      <c r="AL1143" s="2"/>
      <c r="AM1143" s="1"/>
      <c r="AN1143" s="2"/>
      <c r="AP1143" s="2"/>
      <c r="AQ1143" s="1"/>
      <c r="AR1143" s="2"/>
      <c r="AU1143" s="1"/>
      <c r="AW1143" s="1"/>
      <c r="AY1143" s="2"/>
    </row>
    <row r="1144">
      <c r="A1144" s="1"/>
      <c r="C1144" s="1"/>
      <c r="E1144" s="1"/>
      <c r="F1144" s="1"/>
      <c r="G1144" s="2"/>
      <c r="H1144" s="1"/>
      <c r="I1144" s="1"/>
      <c r="J1144" s="1"/>
      <c r="K1144" s="1"/>
      <c r="M1144" s="1"/>
      <c r="N1144" s="1"/>
      <c r="O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2"/>
      <c r="AB1144" s="1"/>
      <c r="AC1144" s="1"/>
      <c r="AD1144" s="1"/>
      <c r="AE1144" s="1"/>
      <c r="AF1144" s="1"/>
      <c r="AG1144" s="1"/>
      <c r="AH1144" s="2"/>
      <c r="AI1144" s="2"/>
      <c r="AJ1144" s="2"/>
      <c r="AK1144" s="2"/>
      <c r="AL1144" s="2"/>
      <c r="AM1144" s="1"/>
      <c r="AN1144" s="2"/>
      <c r="AP1144" s="2"/>
      <c r="AQ1144" s="1"/>
      <c r="AR1144" s="2"/>
      <c r="AU1144" s="1"/>
      <c r="AW1144" s="1"/>
      <c r="AY1144" s="2"/>
    </row>
    <row r="1145">
      <c r="A1145" s="1"/>
      <c r="C1145" s="1"/>
      <c r="E1145" s="1"/>
      <c r="F1145" s="1"/>
      <c r="G1145" s="2"/>
      <c r="H1145" s="1"/>
      <c r="I1145" s="1"/>
      <c r="J1145" s="1"/>
      <c r="K1145" s="1"/>
      <c r="M1145" s="1"/>
      <c r="N1145" s="1"/>
      <c r="O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2"/>
      <c r="AB1145" s="1"/>
      <c r="AC1145" s="1"/>
      <c r="AD1145" s="1"/>
      <c r="AE1145" s="1"/>
      <c r="AF1145" s="1"/>
      <c r="AG1145" s="1"/>
      <c r="AH1145" s="2"/>
      <c r="AI1145" s="2"/>
      <c r="AJ1145" s="2"/>
      <c r="AK1145" s="2"/>
      <c r="AL1145" s="2"/>
      <c r="AM1145" s="1"/>
      <c r="AN1145" s="2"/>
      <c r="AP1145" s="2"/>
      <c r="AQ1145" s="1"/>
      <c r="AR1145" s="2"/>
      <c r="AU1145" s="1"/>
      <c r="AW1145" s="1"/>
      <c r="AY1145" s="2"/>
    </row>
    <row r="1146">
      <c r="A1146" s="1"/>
      <c r="C1146" s="1"/>
      <c r="E1146" s="1"/>
      <c r="F1146" s="1"/>
      <c r="G1146" s="2"/>
      <c r="H1146" s="1"/>
      <c r="I1146" s="1"/>
      <c r="J1146" s="1"/>
      <c r="K1146" s="1"/>
      <c r="M1146" s="1"/>
      <c r="N1146" s="1"/>
      <c r="O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2"/>
      <c r="AB1146" s="1"/>
      <c r="AC1146" s="1"/>
      <c r="AD1146" s="1"/>
      <c r="AE1146" s="1"/>
      <c r="AF1146" s="1"/>
      <c r="AG1146" s="1"/>
      <c r="AH1146" s="2"/>
      <c r="AI1146" s="2"/>
      <c r="AJ1146" s="2"/>
      <c r="AK1146" s="2"/>
      <c r="AL1146" s="2"/>
      <c r="AM1146" s="1"/>
      <c r="AN1146" s="2"/>
      <c r="AP1146" s="2"/>
      <c r="AQ1146" s="1"/>
      <c r="AR1146" s="2"/>
      <c r="AU1146" s="1"/>
      <c r="AW1146" s="1"/>
      <c r="AY1146" s="2"/>
    </row>
    <row r="1147">
      <c r="A1147" s="1"/>
      <c r="C1147" s="1"/>
      <c r="E1147" s="1"/>
      <c r="F1147" s="1"/>
      <c r="G1147" s="2"/>
      <c r="H1147" s="1"/>
      <c r="I1147" s="1"/>
      <c r="J1147" s="1"/>
      <c r="K1147" s="1"/>
      <c r="M1147" s="1"/>
      <c r="N1147" s="1"/>
      <c r="O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2"/>
      <c r="AB1147" s="1"/>
      <c r="AC1147" s="1"/>
      <c r="AD1147" s="1"/>
      <c r="AE1147" s="1"/>
      <c r="AF1147" s="1"/>
      <c r="AG1147" s="1"/>
      <c r="AH1147" s="2"/>
      <c r="AI1147" s="2"/>
      <c r="AJ1147" s="2"/>
      <c r="AK1147" s="2"/>
      <c r="AL1147" s="2"/>
      <c r="AM1147" s="1"/>
      <c r="AN1147" s="2"/>
      <c r="AP1147" s="2"/>
      <c r="AQ1147" s="1"/>
      <c r="AR1147" s="2"/>
      <c r="AU1147" s="1"/>
      <c r="AW1147" s="1"/>
      <c r="AY1147" s="2"/>
    </row>
    <row r="1148">
      <c r="A1148" s="1"/>
      <c r="C1148" s="1"/>
      <c r="E1148" s="1"/>
      <c r="F1148" s="1"/>
      <c r="G1148" s="2"/>
      <c r="H1148" s="1"/>
      <c r="I1148" s="1"/>
      <c r="J1148" s="1"/>
      <c r="K1148" s="1"/>
      <c r="M1148" s="1"/>
      <c r="N1148" s="1"/>
      <c r="O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2"/>
      <c r="AB1148" s="1"/>
      <c r="AC1148" s="1"/>
      <c r="AD1148" s="1"/>
      <c r="AE1148" s="1"/>
      <c r="AF1148" s="1"/>
      <c r="AG1148" s="1"/>
      <c r="AH1148" s="2"/>
      <c r="AI1148" s="2"/>
      <c r="AJ1148" s="2"/>
      <c r="AK1148" s="2"/>
      <c r="AL1148" s="2"/>
      <c r="AM1148" s="1"/>
      <c r="AN1148" s="2"/>
      <c r="AP1148" s="2"/>
      <c r="AQ1148" s="1"/>
      <c r="AR1148" s="2"/>
      <c r="AU1148" s="1"/>
      <c r="AW1148" s="1"/>
      <c r="AY1148" s="2"/>
    </row>
    <row r="1149">
      <c r="A1149" s="1"/>
      <c r="C1149" s="1"/>
      <c r="E1149" s="1"/>
      <c r="F1149" s="1"/>
      <c r="G1149" s="2"/>
      <c r="H1149" s="1"/>
      <c r="I1149" s="1"/>
      <c r="J1149" s="1"/>
      <c r="K1149" s="1"/>
      <c r="M1149" s="1"/>
      <c r="N1149" s="1"/>
      <c r="O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2"/>
      <c r="AB1149" s="1"/>
      <c r="AC1149" s="1"/>
      <c r="AD1149" s="1"/>
      <c r="AE1149" s="1"/>
      <c r="AF1149" s="1"/>
      <c r="AG1149" s="1"/>
      <c r="AH1149" s="2"/>
      <c r="AI1149" s="2"/>
      <c r="AJ1149" s="2"/>
      <c r="AK1149" s="2"/>
      <c r="AL1149" s="2"/>
      <c r="AM1149" s="1"/>
      <c r="AN1149" s="2"/>
      <c r="AP1149" s="2"/>
      <c r="AQ1149" s="1"/>
      <c r="AR1149" s="2"/>
      <c r="AU1149" s="1"/>
      <c r="AW1149" s="1"/>
      <c r="AY1149" s="2"/>
    </row>
    <row r="1150">
      <c r="A1150" s="1"/>
      <c r="C1150" s="1"/>
      <c r="E1150" s="1"/>
      <c r="F1150" s="1"/>
      <c r="G1150" s="2"/>
      <c r="H1150" s="1"/>
      <c r="I1150" s="1"/>
      <c r="J1150" s="1"/>
      <c r="K1150" s="1"/>
      <c r="M1150" s="1"/>
      <c r="N1150" s="1"/>
      <c r="O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2"/>
      <c r="AB1150" s="1"/>
      <c r="AC1150" s="1"/>
      <c r="AD1150" s="1"/>
      <c r="AE1150" s="1"/>
      <c r="AF1150" s="1"/>
      <c r="AG1150" s="1"/>
      <c r="AH1150" s="2"/>
      <c r="AI1150" s="2"/>
      <c r="AJ1150" s="2"/>
      <c r="AK1150" s="2"/>
      <c r="AL1150" s="2"/>
      <c r="AM1150" s="1"/>
      <c r="AN1150" s="2"/>
      <c r="AP1150" s="2"/>
      <c r="AQ1150" s="1"/>
      <c r="AR1150" s="2"/>
      <c r="AU1150" s="1"/>
      <c r="AW1150" s="1"/>
      <c r="AY1150" s="2"/>
    </row>
    <row r="1151">
      <c r="A1151" s="1"/>
      <c r="C1151" s="1"/>
      <c r="E1151" s="1"/>
      <c r="F1151" s="1"/>
      <c r="G1151" s="2"/>
      <c r="H1151" s="1"/>
      <c r="I1151" s="1"/>
      <c r="J1151" s="1"/>
      <c r="K1151" s="1"/>
      <c r="M1151" s="1"/>
      <c r="N1151" s="1"/>
      <c r="O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2"/>
      <c r="AB1151" s="1"/>
      <c r="AC1151" s="1"/>
      <c r="AD1151" s="1"/>
      <c r="AE1151" s="1"/>
      <c r="AF1151" s="1"/>
      <c r="AG1151" s="1"/>
      <c r="AH1151" s="2"/>
      <c r="AI1151" s="2"/>
      <c r="AJ1151" s="2"/>
      <c r="AK1151" s="2"/>
      <c r="AL1151" s="2"/>
      <c r="AM1151" s="1"/>
      <c r="AN1151" s="2"/>
      <c r="AP1151" s="2"/>
      <c r="AQ1151" s="1"/>
      <c r="AR1151" s="2"/>
      <c r="AU1151" s="1"/>
      <c r="AW1151" s="1"/>
      <c r="AY1151" s="2"/>
    </row>
    <row r="1152">
      <c r="A1152" s="1"/>
      <c r="C1152" s="1"/>
      <c r="E1152" s="1"/>
      <c r="F1152" s="1"/>
      <c r="G1152" s="2"/>
      <c r="H1152" s="1"/>
      <c r="I1152" s="1"/>
      <c r="J1152" s="1"/>
      <c r="K1152" s="1"/>
      <c r="M1152" s="1"/>
      <c r="N1152" s="1"/>
      <c r="O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2"/>
      <c r="AB1152" s="1"/>
      <c r="AC1152" s="1"/>
      <c r="AD1152" s="1"/>
      <c r="AE1152" s="1"/>
      <c r="AF1152" s="1"/>
      <c r="AG1152" s="1"/>
      <c r="AH1152" s="2"/>
      <c r="AI1152" s="2"/>
      <c r="AJ1152" s="2"/>
      <c r="AK1152" s="2"/>
      <c r="AL1152" s="2"/>
      <c r="AM1152" s="1"/>
      <c r="AN1152" s="2"/>
      <c r="AP1152" s="2"/>
      <c r="AQ1152" s="1"/>
      <c r="AR1152" s="2"/>
      <c r="AU1152" s="1"/>
      <c r="AW1152" s="1"/>
      <c r="AY1152" s="2"/>
    </row>
    <row r="1153">
      <c r="A1153" s="1"/>
      <c r="C1153" s="1"/>
      <c r="E1153" s="1"/>
      <c r="F1153" s="1"/>
      <c r="G1153" s="2"/>
      <c r="H1153" s="1"/>
      <c r="I1153" s="1"/>
      <c r="J1153" s="1"/>
      <c r="K1153" s="1"/>
      <c r="M1153" s="1"/>
      <c r="N1153" s="1"/>
      <c r="O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2"/>
      <c r="AB1153" s="1"/>
      <c r="AC1153" s="1"/>
      <c r="AD1153" s="1"/>
      <c r="AE1153" s="1"/>
      <c r="AF1153" s="1"/>
      <c r="AG1153" s="1"/>
      <c r="AH1153" s="2"/>
      <c r="AI1153" s="2"/>
      <c r="AJ1153" s="2"/>
      <c r="AK1153" s="2"/>
      <c r="AL1153" s="2"/>
      <c r="AM1153" s="1"/>
      <c r="AN1153" s="2"/>
      <c r="AP1153" s="2"/>
      <c r="AQ1153" s="1"/>
      <c r="AR1153" s="2"/>
      <c r="AU1153" s="1"/>
      <c r="AW1153" s="1"/>
      <c r="AY1153" s="2"/>
    </row>
    <row r="1154">
      <c r="A1154" s="1"/>
      <c r="C1154" s="1"/>
      <c r="E1154" s="1"/>
      <c r="F1154" s="1"/>
      <c r="G1154" s="2"/>
      <c r="H1154" s="1"/>
      <c r="I1154" s="1"/>
      <c r="J1154" s="1"/>
      <c r="K1154" s="1"/>
      <c r="M1154" s="1"/>
      <c r="N1154" s="1"/>
      <c r="O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2"/>
      <c r="AB1154" s="1"/>
      <c r="AC1154" s="1"/>
      <c r="AD1154" s="1"/>
      <c r="AE1154" s="1"/>
      <c r="AF1154" s="1"/>
      <c r="AG1154" s="1"/>
      <c r="AH1154" s="2"/>
      <c r="AI1154" s="2"/>
      <c r="AJ1154" s="2"/>
      <c r="AK1154" s="2"/>
      <c r="AL1154" s="2"/>
      <c r="AM1154" s="1"/>
      <c r="AN1154" s="2"/>
      <c r="AP1154" s="2"/>
      <c r="AQ1154" s="1"/>
      <c r="AR1154" s="2"/>
      <c r="AU1154" s="1"/>
      <c r="AW1154" s="1"/>
      <c r="AY1154" s="2"/>
    </row>
    <row r="1155">
      <c r="A1155" s="1"/>
      <c r="C1155" s="1"/>
      <c r="E1155" s="1"/>
      <c r="F1155" s="1"/>
      <c r="G1155" s="2"/>
      <c r="H1155" s="1"/>
      <c r="I1155" s="1"/>
      <c r="J1155" s="1"/>
      <c r="K1155" s="1"/>
      <c r="M1155" s="1"/>
      <c r="N1155" s="1"/>
      <c r="O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2"/>
      <c r="AB1155" s="1"/>
      <c r="AC1155" s="1"/>
      <c r="AD1155" s="1"/>
      <c r="AE1155" s="1"/>
      <c r="AF1155" s="1"/>
      <c r="AG1155" s="1"/>
      <c r="AH1155" s="2"/>
      <c r="AI1155" s="2"/>
      <c r="AJ1155" s="2"/>
      <c r="AK1155" s="2"/>
      <c r="AL1155" s="2"/>
      <c r="AM1155" s="1"/>
      <c r="AN1155" s="2"/>
      <c r="AP1155" s="2"/>
      <c r="AQ1155" s="1"/>
      <c r="AR1155" s="2"/>
      <c r="AU1155" s="1"/>
      <c r="AW1155" s="1"/>
      <c r="AY1155" s="2"/>
    </row>
    <row r="1156">
      <c r="A1156" s="1"/>
      <c r="C1156" s="1"/>
      <c r="E1156" s="1"/>
      <c r="F1156" s="1"/>
      <c r="G1156" s="2"/>
      <c r="H1156" s="1"/>
      <c r="I1156" s="1"/>
      <c r="J1156" s="1"/>
      <c r="K1156" s="1"/>
      <c r="M1156" s="1"/>
      <c r="N1156" s="1"/>
      <c r="O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2"/>
      <c r="AB1156" s="1"/>
      <c r="AC1156" s="1"/>
      <c r="AD1156" s="1"/>
      <c r="AE1156" s="1"/>
      <c r="AF1156" s="1"/>
      <c r="AG1156" s="1"/>
      <c r="AH1156" s="2"/>
      <c r="AI1156" s="2"/>
      <c r="AJ1156" s="2"/>
      <c r="AK1156" s="2"/>
      <c r="AL1156" s="2"/>
      <c r="AM1156" s="1"/>
      <c r="AN1156" s="2"/>
      <c r="AP1156" s="2"/>
      <c r="AQ1156" s="1"/>
      <c r="AR1156" s="2"/>
      <c r="AU1156" s="1"/>
      <c r="AW1156" s="1"/>
      <c r="AY1156" s="2"/>
    </row>
    <row r="1157">
      <c r="A1157" s="1"/>
      <c r="C1157" s="1"/>
      <c r="E1157" s="1"/>
      <c r="F1157" s="1"/>
      <c r="G1157" s="2"/>
      <c r="H1157" s="1"/>
      <c r="I1157" s="1"/>
      <c r="J1157" s="1"/>
      <c r="K1157" s="1"/>
      <c r="M1157" s="1"/>
      <c r="N1157" s="1"/>
      <c r="O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2"/>
      <c r="AB1157" s="1"/>
      <c r="AC1157" s="1"/>
      <c r="AD1157" s="1"/>
      <c r="AE1157" s="1"/>
      <c r="AF1157" s="1"/>
      <c r="AG1157" s="1"/>
      <c r="AH1157" s="2"/>
      <c r="AI1157" s="2"/>
      <c r="AJ1157" s="2"/>
      <c r="AK1157" s="2"/>
      <c r="AL1157" s="2"/>
      <c r="AM1157" s="1"/>
      <c r="AN1157" s="2"/>
      <c r="AP1157" s="2"/>
      <c r="AQ1157" s="1"/>
      <c r="AR1157" s="2"/>
      <c r="AU1157" s="1"/>
      <c r="AW1157" s="1"/>
      <c r="AY1157" s="2"/>
    </row>
    <row r="1158">
      <c r="A1158" s="1"/>
      <c r="C1158" s="1"/>
      <c r="E1158" s="1"/>
      <c r="F1158" s="1"/>
      <c r="G1158" s="2"/>
      <c r="H1158" s="1"/>
      <c r="I1158" s="1"/>
      <c r="J1158" s="1"/>
      <c r="K1158" s="1"/>
      <c r="M1158" s="1"/>
      <c r="N1158" s="1"/>
      <c r="O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2"/>
      <c r="AB1158" s="1"/>
      <c r="AC1158" s="1"/>
      <c r="AD1158" s="1"/>
      <c r="AE1158" s="1"/>
      <c r="AF1158" s="1"/>
      <c r="AG1158" s="1"/>
      <c r="AH1158" s="2"/>
      <c r="AI1158" s="2"/>
      <c r="AJ1158" s="2"/>
      <c r="AK1158" s="2"/>
      <c r="AL1158" s="2"/>
      <c r="AM1158" s="1"/>
      <c r="AN1158" s="2"/>
      <c r="AP1158" s="2"/>
      <c r="AQ1158" s="1"/>
      <c r="AR1158" s="2"/>
      <c r="AU1158" s="1"/>
      <c r="AW1158" s="1"/>
      <c r="AY1158" s="2"/>
    </row>
    <row r="1159">
      <c r="A1159" s="1"/>
      <c r="C1159" s="1"/>
      <c r="E1159" s="1"/>
      <c r="F1159" s="1"/>
      <c r="G1159" s="2"/>
      <c r="H1159" s="1"/>
      <c r="I1159" s="1"/>
      <c r="J1159" s="1"/>
      <c r="K1159" s="1"/>
      <c r="M1159" s="1"/>
      <c r="N1159" s="1"/>
      <c r="O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2"/>
      <c r="AB1159" s="1"/>
      <c r="AC1159" s="1"/>
      <c r="AD1159" s="1"/>
      <c r="AE1159" s="1"/>
      <c r="AF1159" s="1"/>
      <c r="AG1159" s="1"/>
      <c r="AH1159" s="2"/>
      <c r="AI1159" s="2"/>
      <c r="AJ1159" s="2"/>
      <c r="AK1159" s="2"/>
      <c r="AL1159" s="2"/>
      <c r="AM1159" s="1"/>
      <c r="AN1159" s="2"/>
      <c r="AP1159" s="2"/>
      <c r="AQ1159" s="1"/>
      <c r="AR1159" s="2"/>
      <c r="AU1159" s="1"/>
      <c r="AW1159" s="1"/>
      <c r="AY1159" s="2"/>
    </row>
    <row r="1160">
      <c r="A1160" s="1"/>
      <c r="C1160" s="1"/>
      <c r="E1160" s="1"/>
      <c r="F1160" s="1"/>
      <c r="G1160" s="2"/>
      <c r="H1160" s="1"/>
      <c r="I1160" s="1"/>
      <c r="J1160" s="1"/>
      <c r="K1160" s="1"/>
      <c r="M1160" s="1"/>
      <c r="N1160" s="1"/>
      <c r="O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2"/>
      <c r="AB1160" s="1"/>
      <c r="AC1160" s="1"/>
      <c r="AD1160" s="1"/>
      <c r="AE1160" s="1"/>
      <c r="AF1160" s="1"/>
      <c r="AG1160" s="1"/>
      <c r="AH1160" s="2"/>
      <c r="AI1160" s="2"/>
      <c r="AJ1160" s="2"/>
      <c r="AK1160" s="2"/>
      <c r="AL1160" s="2"/>
      <c r="AM1160" s="1"/>
      <c r="AN1160" s="2"/>
      <c r="AP1160" s="2"/>
      <c r="AQ1160" s="1"/>
      <c r="AR1160" s="2"/>
      <c r="AU1160" s="1"/>
      <c r="AW1160" s="1"/>
      <c r="AY1160" s="2"/>
    </row>
    <row r="1161">
      <c r="A1161" s="1"/>
      <c r="C1161" s="1"/>
      <c r="E1161" s="1"/>
      <c r="F1161" s="1"/>
      <c r="G1161" s="2"/>
      <c r="H1161" s="1"/>
      <c r="I1161" s="1"/>
      <c r="J1161" s="1"/>
      <c r="K1161" s="1"/>
      <c r="M1161" s="1"/>
      <c r="N1161" s="1"/>
      <c r="O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2"/>
      <c r="AB1161" s="1"/>
      <c r="AC1161" s="1"/>
      <c r="AD1161" s="1"/>
      <c r="AE1161" s="1"/>
      <c r="AF1161" s="1"/>
      <c r="AG1161" s="1"/>
      <c r="AH1161" s="2"/>
      <c r="AI1161" s="2"/>
      <c r="AJ1161" s="2"/>
      <c r="AK1161" s="2"/>
      <c r="AL1161" s="2"/>
      <c r="AM1161" s="1"/>
      <c r="AN1161" s="2"/>
      <c r="AP1161" s="2"/>
      <c r="AQ1161" s="1"/>
      <c r="AR1161" s="2"/>
      <c r="AU1161" s="1"/>
      <c r="AW1161" s="1"/>
      <c r="AY1161" s="2"/>
    </row>
    <row r="1162">
      <c r="A1162" s="1"/>
      <c r="C1162" s="1"/>
      <c r="E1162" s="1"/>
      <c r="F1162" s="1"/>
      <c r="G1162" s="2"/>
      <c r="H1162" s="1"/>
      <c r="I1162" s="1"/>
      <c r="J1162" s="1"/>
      <c r="K1162" s="1"/>
      <c r="M1162" s="1"/>
      <c r="N1162" s="1"/>
      <c r="O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2"/>
      <c r="AB1162" s="1"/>
      <c r="AC1162" s="1"/>
      <c r="AD1162" s="1"/>
      <c r="AE1162" s="1"/>
      <c r="AF1162" s="1"/>
      <c r="AG1162" s="1"/>
      <c r="AH1162" s="2"/>
      <c r="AI1162" s="2"/>
      <c r="AJ1162" s="2"/>
      <c r="AK1162" s="2"/>
      <c r="AL1162" s="2"/>
      <c r="AM1162" s="1"/>
      <c r="AN1162" s="2"/>
      <c r="AP1162" s="2"/>
      <c r="AQ1162" s="1"/>
      <c r="AR1162" s="2"/>
      <c r="AU1162" s="1"/>
      <c r="AW1162" s="1"/>
      <c r="AY1162" s="2"/>
    </row>
    <row r="1163">
      <c r="A1163" s="1"/>
      <c r="C1163" s="1"/>
      <c r="E1163" s="1"/>
      <c r="F1163" s="1"/>
      <c r="G1163" s="2"/>
      <c r="H1163" s="1"/>
      <c r="I1163" s="1"/>
      <c r="J1163" s="1"/>
      <c r="K1163" s="1"/>
      <c r="M1163" s="1"/>
      <c r="N1163" s="1"/>
      <c r="O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2"/>
      <c r="AB1163" s="1"/>
      <c r="AC1163" s="1"/>
      <c r="AD1163" s="1"/>
      <c r="AE1163" s="1"/>
      <c r="AF1163" s="1"/>
      <c r="AG1163" s="1"/>
      <c r="AH1163" s="2"/>
      <c r="AI1163" s="2"/>
      <c r="AJ1163" s="2"/>
      <c r="AK1163" s="2"/>
      <c r="AL1163" s="2"/>
      <c r="AM1163" s="1"/>
      <c r="AN1163" s="2"/>
      <c r="AP1163" s="2"/>
      <c r="AQ1163" s="1"/>
      <c r="AR1163" s="2"/>
      <c r="AU1163" s="1"/>
      <c r="AW1163" s="1"/>
      <c r="AY1163" s="2"/>
    </row>
    <row r="1164">
      <c r="A1164" s="1"/>
      <c r="C1164" s="1"/>
      <c r="E1164" s="1"/>
      <c r="F1164" s="1"/>
      <c r="G1164" s="2"/>
      <c r="H1164" s="1"/>
      <c r="I1164" s="1"/>
      <c r="J1164" s="1"/>
      <c r="K1164" s="1"/>
      <c r="M1164" s="1"/>
      <c r="N1164" s="1"/>
      <c r="O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2"/>
      <c r="AB1164" s="1"/>
      <c r="AC1164" s="1"/>
      <c r="AD1164" s="1"/>
      <c r="AE1164" s="1"/>
      <c r="AF1164" s="1"/>
      <c r="AG1164" s="1"/>
      <c r="AH1164" s="2"/>
      <c r="AI1164" s="2"/>
      <c r="AJ1164" s="2"/>
      <c r="AK1164" s="2"/>
      <c r="AL1164" s="2"/>
      <c r="AM1164" s="1"/>
      <c r="AN1164" s="2"/>
      <c r="AP1164" s="2"/>
      <c r="AQ1164" s="1"/>
      <c r="AR1164" s="2"/>
      <c r="AU1164" s="1"/>
      <c r="AW1164" s="1"/>
      <c r="AY1164" s="2"/>
    </row>
    <row r="1165">
      <c r="A1165" s="1"/>
      <c r="C1165" s="1"/>
      <c r="E1165" s="1"/>
      <c r="F1165" s="1"/>
      <c r="G1165" s="2"/>
      <c r="H1165" s="1"/>
      <c r="I1165" s="1"/>
      <c r="J1165" s="1"/>
      <c r="K1165" s="1"/>
      <c r="M1165" s="1"/>
      <c r="N1165" s="1"/>
      <c r="O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2"/>
      <c r="AB1165" s="1"/>
      <c r="AC1165" s="1"/>
      <c r="AD1165" s="1"/>
      <c r="AE1165" s="1"/>
      <c r="AF1165" s="1"/>
      <c r="AG1165" s="1"/>
      <c r="AH1165" s="2"/>
      <c r="AI1165" s="2"/>
      <c r="AJ1165" s="2"/>
      <c r="AK1165" s="2"/>
      <c r="AL1165" s="2"/>
      <c r="AM1165" s="1"/>
      <c r="AN1165" s="2"/>
      <c r="AP1165" s="2"/>
      <c r="AQ1165" s="1"/>
      <c r="AR1165" s="2"/>
      <c r="AU1165" s="1"/>
      <c r="AW1165" s="1"/>
      <c r="AY1165" s="2"/>
    </row>
    <row r="1166">
      <c r="A1166" s="1"/>
      <c r="C1166" s="1"/>
      <c r="E1166" s="1"/>
      <c r="F1166" s="1"/>
      <c r="G1166" s="2"/>
      <c r="H1166" s="1"/>
      <c r="I1166" s="1"/>
      <c r="J1166" s="1"/>
      <c r="K1166" s="1"/>
      <c r="M1166" s="1"/>
      <c r="N1166" s="1"/>
      <c r="O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2"/>
      <c r="AB1166" s="1"/>
      <c r="AC1166" s="1"/>
      <c r="AD1166" s="1"/>
      <c r="AE1166" s="1"/>
      <c r="AF1166" s="1"/>
      <c r="AG1166" s="1"/>
      <c r="AH1166" s="2"/>
      <c r="AI1166" s="2"/>
      <c r="AJ1166" s="2"/>
      <c r="AK1166" s="2"/>
      <c r="AL1166" s="2"/>
      <c r="AM1166" s="1"/>
      <c r="AN1166" s="2"/>
      <c r="AP1166" s="2"/>
      <c r="AQ1166" s="1"/>
      <c r="AR1166" s="2"/>
      <c r="AU1166" s="1"/>
      <c r="AW1166" s="1"/>
      <c r="AY1166" s="2"/>
    </row>
    <row r="1167">
      <c r="A1167" s="1"/>
      <c r="C1167" s="1"/>
      <c r="E1167" s="1"/>
      <c r="F1167" s="1"/>
      <c r="G1167" s="2"/>
      <c r="H1167" s="1"/>
      <c r="I1167" s="1"/>
      <c r="J1167" s="1"/>
      <c r="K1167" s="1"/>
      <c r="M1167" s="1"/>
      <c r="N1167" s="1"/>
      <c r="O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2"/>
      <c r="AB1167" s="1"/>
      <c r="AC1167" s="1"/>
      <c r="AD1167" s="1"/>
      <c r="AE1167" s="1"/>
      <c r="AF1167" s="1"/>
      <c r="AG1167" s="1"/>
      <c r="AH1167" s="2"/>
      <c r="AI1167" s="2"/>
      <c r="AJ1167" s="2"/>
      <c r="AK1167" s="2"/>
      <c r="AL1167" s="2"/>
      <c r="AM1167" s="1"/>
      <c r="AN1167" s="2"/>
      <c r="AP1167" s="2"/>
      <c r="AQ1167" s="1"/>
      <c r="AR1167" s="2"/>
      <c r="AU1167" s="1"/>
      <c r="AW1167" s="1"/>
      <c r="AY1167" s="2"/>
    </row>
    <row r="1168">
      <c r="A1168" s="1"/>
      <c r="C1168" s="1"/>
      <c r="E1168" s="1"/>
      <c r="F1168" s="1"/>
      <c r="G1168" s="2"/>
      <c r="H1168" s="1"/>
      <c r="I1168" s="1"/>
      <c r="J1168" s="1"/>
      <c r="K1168" s="1"/>
      <c r="M1168" s="1"/>
      <c r="N1168" s="1"/>
      <c r="O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2"/>
      <c r="AB1168" s="1"/>
      <c r="AC1168" s="1"/>
      <c r="AD1168" s="1"/>
      <c r="AE1168" s="1"/>
      <c r="AF1168" s="1"/>
      <c r="AG1168" s="1"/>
      <c r="AH1168" s="2"/>
      <c r="AI1168" s="2"/>
      <c r="AJ1168" s="2"/>
      <c r="AK1168" s="2"/>
      <c r="AL1168" s="2"/>
      <c r="AM1168" s="1"/>
      <c r="AN1168" s="2"/>
      <c r="AP1168" s="2"/>
      <c r="AQ1168" s="1"/>
      <c r="AR1168" s="2"/>
      <c r="AU1168" s="1"/>
      <c r="AW1168" s="1"/>
      <c r="AY1168" s="2"/>
    </row>
    <row r="1169">
      <c r="A1169" s="1"/>
      <c r="C1169" s="1"/>
      <c r="E1169" s="1"/>
      <c r="F1169" s="1"/>
      <c r="G1169" s="2"/>
      <c r="H1169" s="1"/>
      <c r="I1169" s="1"/>
      <c r="J1169" s="1"/>
      <c r="K1169" s="1"/>
      <c r="M1169" s="1"/>
      <c r="N1169" s="1"/>
      <c r="O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2"/>
      <c r="AB1169" s="1"/>
      <c r="AC1169" s="1"/>
      <c r="AD1169" s="1"/>
      <c r="AE1169" s="1"/>
      <c r="AF1169" s="1"/>
      <c r="AG1169" s="1"/>
      <c r="AH1169" s="2"/>
      <c r="AI1169" s="2"/>
      <c r="AJ1169" s="2"/>
      <c r="AK1169" s="2"/>
      <c r="AL1169" s="2"/>
      <c r="AM1169" s="1"/>
      <c r="AN1169" s="2"/>
      <c r="AP1169" s="2"/>
      <c r="AQ1169" s="1"/>
      <c r="AR1169" s="2"/>
      <c r="AU1169" s="1"/>
      <c r="AW1169" s="1"/>
      <c r="AY1169" s="2"/>
    </row>
    <row r="1170">
      <c r="A1170" s="1"/>
      <c r="C1170" s="1"/>
      <c r="E1170" s="1"/>
      <c r="F1170" s="1"/>
      <c r="G1170" s="2"/>
      <c r="H1170" s="1"/>
      <c r="I1170" s="1"/>
      <c r="J1170" s="1"/>
      <c r="K1170" s="1"/>
      <c r="M1170" s="1"/>
      <c r="N1170" s="1"/>
      <c r="O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2"/>
      <c r="AB1170" s="1"/>
      <c r="AC1170" s="1"/>
      <c r="AD1170" s="1"/>
      <c r="AE1170" s="1"/>
      <c r="AF1170" s="1"/>
      <c r="AG1170" s="1"/>
      <c r="AH1170" s="2"/>
      <c r="AI1170" s="2"/>
      <c r="AJ1170" s="2"/>
      <c r="AK1170" s="2"/>
      <c r="AL1170" s="2"/>
      <c r="AM1170" s="1"/>
      <c r="AN1170" s="2"/>
      <c r="AP1170" s="2"/>
      <c r="AQ1170" s="1"/>
      <c r="AR1170" s="2"/>
      <c r="AU1170" s="1"/>
      <c r="AW1170" s="1"/>
      <c r="AY1170" s="2"/>
    </row>
    <row r="1171">
      <c r="A1171" s="1"/>
      <c r="C1171" s="1"/>
      <c r="E1171" s="1"/>
      <c r="F1171" s="1"/>
      <c r="G1171" s="2"/>
      <c r="H1171" s="1"/>
      <c r="I1171" s="1"/>
      <c r="J1171" s="1"/>
      <c r="K1171" s="1"/>
      <c r="M1171" s="1"/>
      <c r="N1171" s="1"/>
      <c r="O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2"/>
      <c r="AB1171" s="1"/>
      <c r="AC1171" s="1"/>
      <c r="AD1171" s="1"/>
      <c r="AE1171" s="1"/>
      <c r="AF1171" s="1"/>
      <c r="AG1171" s="1"/>
      <c r="AH1171" s="2"/>
      <c r="AI1171" s="2"/>
      <c r="AJ1171" s="2"/>
      <c r="AK1171" s="2"/>
      <c r="AL1171" s="2"/>
      <c r="AM1171" s="1"/>
      <c r="AN1171" s="2"/>
      <c r="AP1171" s="2"/>
      <c r="AQ1171" s="1"/>
      <c r="AR1171" s="2"/>
      <c r="AU1171" s="1"/>
      <c r="AW1171" s="1"/>
      <c r="AY1171" s="2"/>
    </row>
    <row r="1172">
      <c r="A1172" s="1"/>
      <c r="C1172" s="1"/>
      <c r="E1172" s="1"/>
      <c r="F1172" s="1"/>
      <c r="G1172" s="2"/>
      <c r="H1172" s="1"/>
      <c r="I1172" s="1"/>
      <c r="J1172" s="1"/>
      <c r="K1172" s="1"/>
      <c r="M1172" s="1"/>
      <c r="N1172" s="1"/>
      <c r="O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2"/>
      <c r="AB1172" s="1"/>
      <c r="AC1172" s="1"/>
      <c r="AD1172" s="1"/>
      <c r="AE1172" s="1"/>
      <c r="AF1172" s="1"/>
      <c r="AG1172" s="1"/>
      <c r="AH1172" s="2"/>
      <c r="AI1172" s="2"/>
      <c r="AJ1172" s="2"/>
      <c r="AK1172" s="2"/>
      <c r="AL1172" s="2"/>
      <c r="AM1172" s="1"/>
      <c r="AN1172" s="2"/>
      <c r="AP1172" s="2"/>
      <c r="AQ1172" s="1"/>
      <c r="AR1172" s="2"/>
      <c r="AU1172" s="1"/>
      <c r="AW1172" s="1"/>
      <c r="AY1172" s="2"/>
    </row>
    <row r="1173">
      <c r="A1173" s="1"/>
      <c r="C1173" s="1"/>
      <c r="E1173" s="1"/>
      <c r="F1173" s="1"/>
      <c r="G1173" s="2"/>
      <c r="H1173" s="1"/>
      <c r="I1173" s="1"/>
      <c r="J1173" s="1"/>
      <c r="K1173" s="1"/>
      <c r="M1173" s="1"/>
      <c r="N1173" s="1"/>
      <c r="O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2"/>
      <c r="AB1173" s="1"/>
      <c r="AC1173" s="1"/>
      <c r="AD1173" s="1"/>
      <c r="AE1173" s="1"/>
      <c r="AF1173" s="1"/>
      <c r="AG1173" s="1"/>
      <c r="AH1173" s="2"/>
      <c r="AI1173" s="2"/>
      <c r="AJ1173" s="2"/>
      <c r="AK1173" s="2"/>
      <c r="AL1173" s="2"/>
      <c r="AM1173" s="1"/>
      <c r="AN1173" s="2"/>
      <c r="AP1173" s="2"/>
      <c r="AQ1173" s="1"/>
      <c r="AR1173" s="2"/>
      <c r="AU1173" s="1"/>
      <c r="AW1173" s="1"/>
      <c r="AY1173" s="2"/>
    </row>
    <row r="1174">
      <c r="A1174" s="1"/>
      <c r="C1174" s="1"/>
      <c r="E1174" s="1"/>
      <c r="F1174" s="1"/>
      <c r="G1174" s="2"/>
      <c r="H1174" s="1"/>
      <c r="I1174" s="1"/>
      <c r="J1174" s="1"/>
      <c r="K1174" s="1"/>
      <c r="M1174" s="1"/>
      <c r="N1174" s="1"/>
      <c r="O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2"/>
      <c r="AB1174" s="1"/>
      <c r="AC1174" s="1"/>
      <c r="AD1174" s="1"/>
      <c r="AE1174" s="1"/>
      <c r="AF1174" s="1"/>
      <c r="AG1174" s="1"/>
      <c r="AH1174" s="2"/>
      <c r="AI1174" s="2"/>
      <c r="AJ1174" s="2"/>
      <c r="AK1174" s="2"/>
      <c r="AL1174" s="2"/>
      <c r="AM1174" s="1"/>
      <c r="AN1174" s="2"/>
      <c r="AP1174" s="2"/>
      <c r="AQ1174" s="1"/>
      <c r="AR1174" s="2"/>
      <c r="AU1174" s="1"/>
      <c r="AW1174" s="1"/>
      <c r="AY1174" s="2"/>
    </row>
    <row r="1175">
      <c r="A1175" s="1"/>
      <c r="C1175" s="1"/>
      <c r="E1175" s="1"/>
      <c r="F1175" s="1"/>
      <c r="G1175" s="2"/>
      <c r="H1175" s="1"/>
      <c r="I1175" s="1"/>
      <c r="J1175" s="1"/>
      <c r="K1175" s="1"/>
      <c r="M1175" s="1"/>
      <c r="N1175" s="1"/>
      <c r="O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2"/>
      <c r="AB1175" s="1"/>
      <c r="AC1175" s="1"/>
      <c r="AD1175" s="1"/>
      <c r="AE1175" s="1"/>
      <c r="AF1175" s="1"/>
      <c r="AG1175" s="1"/>
      <c r="AH1175" s="2"/>
      <c r="AI1175" s="2"/>
      <c r="AJ1175" s="2"/>
      <c r="AK1175" s="2"/>
      <c r="AL1175" s="2"/>
      <c r="AM1175" s="1"/>
      <c r="AN1175" s="2"/>
      <c r="AP1175" s="2"/>
      <c r="AQ1175" s="1"/>
      <c r="AR1175" s="2"/>
      <c r="AU1175" s="1"/>
      <c r="AW1175" s="1"/>
      <c r="AY1175" s="2"/>
    </row>
    <row r="1176">
      <c r="A1176" s="1"/>
      <c r="C1176" s="1"/>
      <c r="E1176" s="1"/>
      <c r="F1176" s="1"/>
      <c r="G1176" s="2"/>
      <c r="H1176" s="1"/>
      <c r="I1176" s="1"/>
      <c r="J1176" s="1"/>
      <c r="K1176" s="1"/>
      <c r="M1176" s="1"/>
      <c r="N1176" s="1"/>
      <c r="O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2"/>
      <c r="AB1176" s="1"/>
      <c r="AC1176" s="1"/>
      <c r="AD1176" s="1"/>
      <c r="AE1176" s="1"/>
      <c r="AF1176" s="1"/>
      <c r="AG1176" s="1"/>
      <c r="AH1176" s="2"/>
      <c r="AI1176" s="2"/>
      <c r="AJ1176" s="2"/>
      <c r="AK1176" s="2"/>
      <c r="AL1176" s="2"/>
      <c r="AM1176" s="1"/>
      <c r="AN1176" s="2"/>
      <c r="AP1176" s="2"/>
      <c r="AQ1176" s="1"/>
      <c r="AR1176" s="2"/>
      <c r="AU1176" s="1"/>
      <c r="AW1176" s="1"/>
      <c r="AY1176" s="2"/>
    </row>
    <row r="1177">
      <c r="A1177" s="1"/>
      <c r="C1177" s="1"/>
      <c r="E1177" s="1"/>
      <c r="F1177" s="1"/>
      <c r="G1177" s="2"/>
      <c r="H1177" s="1"/>
      <c r="I1177" s="1"/>
      <c r="J1177" s="1"/>
      <c r="K1177" s="1"/>
      <c r="M1177" s="1"/>
      <c r="N1177" s="1"/>
      <c r="O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2"/>
      <c r="AB1177" s="1"/>
      <c r="AC1177" s="1"/>
      <c r="AD1177" s="1"/>
      <c r="AE1177" s="1"/>
      <c r="AF1177" s="1"/>
      <c r="AG1177" s="1"/>
      <c r="AH1177" s="2"/>
      <c r="AI1177" s="2"/>
      <c r="AJ1177" s="2"/>
      <c r="AK1177" s="2"/>
      <c r="AL1177" s="2"/>
      <c r="AM1177" s="1"/>
      <c r="AN1177" s="2"/>
      <c r="AP1177" s="2"/>
      <c r="AQ1177" s="1"/>
      <c r="AR1177" s="2"/>
      <c r="AU1177" s="1"/>
      <c r="AW1177" s="1"/>
      <c r="AY1177" s="2"/>
    </row>
    <row r="1178">
      <c r="A1178" s="1"/>
      <c r="C1178" s="1"/>
      <c r="E1178" s="1"/>
      <c r="F1178" s="1"/>
      <c r="G1178" s="2"/>
      <c r="H1178" s="1"/>
      <c r="I1178" s="1"/>
      <c r="J1178" s="1"/>
      <c r="K1178" s="1"/>
      <c r="M1178" s="1"/>
      <c r="N1178" s="1"/>
      <c r="O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2"/>
      <c r="AB1178" s="1"/>
      <c r="AC1178" s="1"/>
      <c r="AD1178" s="1"/>
      <c r="AE1178" s="1"/>
      <c r="AF1178" s="1"/>
      <c r="AG1178" s="1"/>
      <c r="AH1178" s="2"/>
      <c r="AI1178" s="2"/>
      <c r="AJ1178" s="2"/>
      <c r="AK1178" s="2"/>
      <c r="AL1178" s="2"/>
      <c r="AM1178" s="1"/>
      <c r="AN1178" s="2"/>
      <c r="AP1178" s="2"/>
      <c r="AQ1178" s="1"/>
      <c r="AR1178" s="2"/>
      <c r="AU1178" s="1"/>
      <c r="AW1178" s="1"/>
      <c r="AY1178" s="2"/>
    </row>
    <row r="1179">
      <c r="A1179" s="1"/>
      <c r="C1179" s="1"/>
      <c r="E1179" s="1"/>
      <c r="F1179" s="1"/>
      <c r="G1179" s="2"/>
      <c r="H1179" s="1"/>
      <c r="I1179" s="1"/>
      <c r="J1179" s="1"/>
      <c r="K1179" s="1"/>
      <c r="M1179" s="1"/>
      <c r="N1179" s="1"/>
      <c r="O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2"/>
      <c r="AB1179" s="1"/>
      <c r="AC1179" s="1"/>
      <c r="AD1179" s="1"/>
      <c r="AE1179" s="1"/>
      <c r="AF1179" s="1"/>
      <c r="AG1179" s="1"/>
      <c r="AH1179" s="2"/>
      <c r="AI1179" s="2"/>
      <c r="AJ1179" s="2"/>
      <c r="AK1179" s="2"/>
      <c r="AL1179" s="2"/>
      <c r="AM1179" s="1"/>
      <c r="AN1179" s="2"/>
      <c r="AP1179" s="2"/>
      <c r="AQ1179" s="1"/>
      <c r="AR1179" s="2"/>
      <c r="AU1179" s="1"/>
      <c r="AW1179" s="1"/>
      <c r="AY1179" s="2"/>
    </row>
    <row r="1180">
      <c r="A1180" s="1"/>
      <c r="C1180" s="1"/>
      <c r="E1180" s="1"/>
      <c r="F1180" s="1"/>
      <c r="G1180" s="2"/>
      <c r="H1180" s="1"/>
      <c r="I1180" s="1"/>
      <c r="J1180" s="1"/>
      <c r="K1180" s="1"/>
      <c r="M1180" s="1"/>
      <c r="N1180" s="1"/>
      <c r="O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2"/>
      <c r="AB1180" s="1"/>
      <c r="AC1180" s="1"/>
      <c r="AD1180" s="1"/>
      <c r="AE1180" s="1"/>
      <c r="AF1180" s="1"/>
      <c r="AG1180" s="1"/>
      <c r="AH1180" s="2"/>
      <c r="AI1180" s="2"/>
      <c r="AJ1180" s="2"/>
      <c r="AK1180" s="2"/>
      <c r="AL1180" s="2"/>
      <c r="AM1180" s="1"/>
      <c r="AN1180" s="2"/>
      <c r="AP1180" s="2"/>
      <c r="AQ1180" s="1"/>
      <c r="AR1180" s="2"/>
      <c r="AU1180" s="1"/>
      <c r="AW1180" s="1"/>
      <c r="AY1180" s="2"/>
    </row>
    <row r="1181">
      <c r="A1181" s="1"/>
      <c r="C1181" s="1"/>
      <c r="E1181" s="1"/>
      <c r="F1181" s="1"/>
      <c r="G1181" s="2"/>
      <c r="H1181" s="1"/>
      <c r="I1181" s="1"/>
      <c r="J1181" s="1"/>
      <c r="K1181" s="1"/>
      <c r="M1181" s="1"/>
      <c r="N1181" s="1"/>
      <c r="O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2"/>
      <c r="AB1181" s="1"/>
      <c r="AC1181" s="1"/>
      <c r="AD1181" s="1"/>
      <c r="AE1181" s="1"/>
      <c r="AF1181" s="1"/>
      <c r="AG1181" s="1"/>
      <c r="AH1181" s="2"/>
      <c r="AI1181" s="2"/>
      <c r="AJ1181" s="2"/>
      <c r="AK1181" s="2"/>
      <c r="AL1181" s="2"/>
      <c r="AM1181" s="1"/>
      <c r="AN1181" s="2"/>
      <c r="AP1181" s="2"/>
      <c r="AQ1181" s="1"/>
      <c r="AR1181" s="2"/>
      <c r="AU1181" s="1"/>
      <c r="AW1181" s="1"/>
      <c r="AY1181" s="2"/>
    </row>
    <row r="1182">
      <c r="A1182" s="1"/>
      <c r="C1182" s="1"/>
      <c r="E1182" s="1"/>
      <c r="F1182" s="1"/>
      <c r="G1182" s="2"/>
      <c r="H1182" s="1"/>
      <c r="I1182" s="1"/>
      <c r="J1182" s="1"/>
      <c r="K1182" s="1"/>
      <c r="M1182" s="1"/>
      <c r="N1182" s="1"/>
      <c r="O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2"/>
      <c r="AB1182" s="1"/>
      <c r="AC1182" s="1"/>
      <c r="AD1182" s="1"/>
      <c r="AE1182" s="1"/>
      <c r="AF1182" s="1"/>
      <c r="AG1182" s="1"/>
      <c r="AH1182" s="2"/>
      <c r="AI1182" s="2"/>
      <c r="AJ1182" s="2"/>
      <c r="AK1182" s="2"/>
      <c r="AL1182" s="2"/>
      <c r="AM1182" s="1"/>
      <c r="AN1182" s="2"/>
      <c r="AP1182" s="2"/>
      <c r="AQ1182" s="1"/>
      <c r="AR1182" s="2"/>
      <c r="AU1182" s="1"/>
      <c r="AW1182" s="1"/>
      <c r="AY1182" s="2"/>
    </row>
    <row r="1183">
      <c r="A1183" s="1"/>
      <c r="C1183" s="1"/>
      <c r="E1183" s="1"/>
      <c r="F1183" s="1"/>
      <c r="G1183" s="2"/>
      <c r="H1183" s="1"/>
      <c r="I1183" s="1"/>
      <c r="J1183" s="1"/>
      <c r="K1183" s="1"/>
      <c r="M1183" s="1"/>
      <c r="N1183" s="1"/>
      <c r="O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2"/>
      <c r="AB1183" s="1"/>
      <c r="AC1183" s="1"/>
      <c r="AD1183" s="1"/>
      <c r="AE1183" s="1"/>
      <c r="AF1183" s="1"/>
      <c r="AG1183" s="1"/>
      <c r="AH1183" s="2"/>
      <c r="AI1183" s="2"/>
      <c r="AJ1183" s="2"/>
      <c r="AK1183" s="2"/>
      <c r="AL1183" s="2"/>
      <c r="AM1183" s="1"/>
      <c r="AN1183" s="2"/>
      <c r="AP1183" s="2"/>
      <c r="AQ1183" s="1"/>
      <c r="AR1183" s="2"/>
      <c r="AU1183" s="1"/>
      <c r="AW1183" s="1"/>
      <c r="AY1183" s="2"/>
    </row>
    <row r="1184">
      <c r="A1184" s="1"/>
      <c r="C1184" s="1"/>
      <c r="E1184" s="1"/>
      <c r="F1184" s="1"/>
      <c r="G1184" s="2"/>
      <c r="H1184" s="1"/>
      <c r="I1184" s="1"/>
      <c r="J1184" s="1"/>
      <c r="K1184" s="1"/>
      <c r="M1184" s="1"/>
      <c r="N1184" s="1"/>
      <c r="O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2"/>
      <c r="AB1184" s="1"/>
      <c r="AC1184" s="1"/>
      <c r="AD1184" s="1"/>
      <c r="AE1184" s="1"/>
      <c r="AF1184" s="1"/>
      <c r="AG1184" s="1"/>
      <c r="AH1184" s="2"/>
      <c r="AI1184" s="2"/>
      <c r="AJ1184" s="2"/>
      <c r="AK1184" s="2"/>
      <c r="AL1184" s="2"/>
      <c r="AM1184" s="1"/>
      <c r="AN1184" s="2"/>
      <c r="AP1184" s="2"/>
      <c r="AQ1184" s="1"/>
      <c r="AR1184" s="2"/>
      <c r="AU1184" s="1"/>
      <c r="AW1184" s="1"/>
      <c r="AY1184" s="2"/>
    </row>
    <row r="1185">
      <c r="A1185" s="1"/>
      <c r="C1185" s="1"/>
      <c r="E1185" s="1"/>
      <c r="F1185" s="1"/>
      <c r="G1185" s="2"/>
      <c r="H1185" s="1"/>
      <c r="I1185" s="1"/>
      <c r="J1185" s="1"/>
      <c r="K1185" s="1"/>
      <c r="M1185" s="1"/>
      <c r="N1185" s="1"/>
      <c r="O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2"/>
      <c r="AB1185" s="1"/>
      <c r="AC1185" s="1"/>
      <c r="AD1185" s="1"/>
      <c r="AE1185" s="1"/>
      <c r="AF1185" s="1"/>
      <c r="AG1185" s="1"/>
      <c r="AH1185" s="2"/>
      <c r="AI1185" s="2"/>
      <c r="AJ1185" s="2"/>
      <c r="AK1185" s="2"/>
      <c r="AL1185" s="2"/>
      <c r="AM1185" s="1"/>
      <c r="AN1185" s="2"/>
      <c r="AP1185" s="2"/>
      <c r="AQ1185" s="1"/>
      <c r="AR1185" s="2"/>
      <c r="AU1185" s="1"/>
      <c r="AW1185" s="1"/>
      <c r="AY1185" s="2"/>
    </row>
    <row r="1186">
      <c r="A1186" s="1"/>
      <c r="C1186" s="1"/>
      <c r="E1186" s="1"/>
      <c r="F1186" s="1"/>
      <c r="G1186" s="2"/>
      <c r="H1186" s="1"/>
      <c r="I1186" s="1"/>
      <c r="J1186" s="1"/>
      <c r="K1186" s="1"/>
      <c r="M1186" s="1"/>
      <c r="N1186" s="1"/>
      <c r="O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2"/>
      <c r="AB1186" s="1"/>
      <c r="AC1186" s="1"/>
      <c r="AD1186" s="1"/>
      <c r="AE1186" s="1"/>
      <c r="AF1186" s="1"/>
      <c r="AG1186" s="1"/>
      <c r="AH1186" s="2"/>
      <c r="AI1186" s="2"/>
      <c r="AJ1186" s="2"/>
      <c r="AK1186" s="2"/>
      <c r="AL1186" s="2"/>
      <c r="AM1186" s="1"/>
      <c r="AN1186" s="2"/>
      <c r="AP1186" s="2"/>
      <c r="AQ1186" s="1"/>
      <c r="AR1186" s="2"/>
      <c r="AU1186" s="1"/>
      <c r="AW1186" s="1"/>
      <c r="AY1186" s="2"/>
    </row>
    <row r="1187">
      <c r="A1187" s="1"/>
      <c r="C1187" s="1"/>
      <c r="E1187" s="1"/>
      <c r="F1187" s="1"/>
      <c r="G1187" s="2"/>
      <c r="H1187" s="1"/>
      <c r="I1187" s="1"/>
      <c r="J1187" s="1"/>
      <c r="K1187" s="1"/>
      <c r="M1187" s="1"/>
      <c r="N1187" s="1"/>
      <c r="O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2"/>
      <c r="AB1187" s="1"/>
      <c r="AC1187" s="1"/>
      <c r="AD1187" s="1"/>
      <c r="AE1187" s="1"/>
      <c r="AF1187" s="1"/>
      <c r="AG1187" s="1"/>
      <c r="AH1187" s="2"/>
      <c r="AI1187" s="2"/>
      <c r="AJ1187" s="2"/>
      <c r="AK1187" s="2"/>
      <c r="AL1187" s="2"/>
      <c r="AM1187" s="1"/>
      <c r="AN1187" s="2"/>
      <c r="AP1187" s="2"/>
      <c r="AQ1187" s="1"/>
      <c r="AR1187" s="2"/>
      <c r="AU1187" s="1"/>
      <c r="AW1187" s="1"/>
      <c r="AY1187" s="2"/>
    </row>
    <row r="1188">
      <c r="A1188" s="1"/>
      <c r="C1188" s="1"/>
      <c r="E1188" s="1"/>
      <c r="F1188" s="1"/>
      <c r="G1188" s="2"/>
      <c r="H1188" s="1"/>
      <c r="I1188" s="1"/>
      <c r="J1188" s="1"/>
      <c r="K1188" s="1"/>
      <c r="M1188" s="1"/>
      <c r="N1188" s="1"/>
      <c r="O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2"/>
      <c r="AB1188" s="1"/>
      <c r="AC1188" s="1"/>
      <c r="AD1188" s="1"/>
      <c r="AE1188" s="1"/>
      <c r="AF1188" s="1"/>
      <c r="AG1188" s="1"/>
      <c r="AH1188" s="2"/>
      <c r="AI1188" s="2"/>
      <c r="AJ1188" s="2"/>
      <c r="AK1188" s="2"/>
      <c r="AL1188" s="2"/>
      <c r="AM1188" s="1"/>
      <c r="AN1188" s="2"/>
      <c r="AP1188" s="2"/>
      <c r="AQ1188" s="1"/>
      <c r="AR1188" s="2"/>
      <c r="AU1188" s="1"/>
      <c r="AW1188" s="1"/>
      <c r="AY1188" s="2"/>
    </row>
    <row r="1189">
      <c r="A1189" s="1"/>
      <c r="C1189" s="1"/>
      <c r="E1189" s="1"/>
      <c r="F1189" s="1"/>
      <c r="G1189" s="2"/>
      <c r="H1189" s="1"/>
      <c r="I1189" s="1"/>
      <c r="J1189" s="1"/>
      <c r="K1189" s="1"/>
      <c r="M1189" s="1"/>
      <c r="N1189" s="1"/>
      <c r="O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2"/>
      <c r="AB1189" s="1"/>
      <c r="AC1189" s="1"/>
      <c r="AD1189" s="1"/>
      <c r="AE1189" s="1"/>
      <c r="AF1189" s="1"/>
      <c r="AG1189" s="1"/>
      <c r="AH1189" s="2"/>
      <c r="AI1189" s="2"/>
      <c r="AJ1189" s="2"/>
      <c r="AK1189" s="2"/>
      <c r="AL1189" s="2"/>
      <c r="AM1189" s="1"/>
      <c r="AN1189" s="2"/>
      <c r="AP1189" s="2"/>
      <c r="AQ1189" s="1"/>
      <c r="AR1189" s="2"/>
      <c r="AU1189" s="1"/>
      <c r="AW1189" s="1"/>
      <c r="AY1189" s="2"/>
    </row>
    <row r="1190">
      <c r="A1190" s="1"/>
      <c r="C1190" s="1"/>
      <c r="E1190" s="1"/>
      <c r="F1190" s="1"/>
      <c r="G1190" s="2"/>
      <c r="H1190" s="1"/>
      <c r="I1190" s="1"/>
      <c r="J1190" s="1"/>
      <c r="K1190" s="1"/>
      <c r="M1190" s="1"/>
      <c r="N1190" s="1"/>
      <c r="O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2"/>
      <c r="AB1190" s="1"/>
      <c r="AC1190" s="1"/>
      <c r="AD1190" s="1"/>
      <c r="AE1190" s="1"/>
      <c r="AF1190" s="1"/>
      <c r="AG1190" s="1"/>
      <c r="AH1190" s="2"/>
      <c r="AI1190" s="2"/>
      <c r="AJ1190" s="2"/>
      <c r="AK1190" s="2"/>
      <c r="AL1190" s="2"/>
      <c r="AM1190" s="1"/>
      <c r="AN1190" s="2"/>
      <c r="AP1190" s="2"/>
      <c r="AQ1190" s="1"/>
      <c r="AR1190" s="2"/>
      <c r="AU1190" s="1"/>
      <c r="AW1190" s="1"/>
      <c r="AY1190" s="2"/>
    </row>
    <row r="1191">
      <c r="A1191" s="1"/>
      <c r="C1191" s="1"/>
      <c r="E1191" s="1"/>
      <c r="F1191" s="1"/>
      <c r="G1191" s="2"/>
      <c r="H1191" s="1"/>
      <c r="I1191" s="1"/>
      <c r="J1191" s="1"/>
      <c r="K1191" s="1"/>
      <c r="M1191" s="1"/>
      <c r="N1191" s="1"/>
      <c r="O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2"/>
      <c r="AB1191" s="1"/>
      <c r="AC1191" s="1"/>
      <c r="AD1191" s="1"/>
      <c r="AE1191" s="1"/>
      <c r="AF1191" s="1"/>
      <c r="AG1191" s="1"/>
      <c r="AH1191" s="2"/>
      <c r="AI1191" s="2"/>
      <c r="AJ1191" s="2"/>
      <c r="AK1191" s="2"/>
      <c r="AL1191" s="2"/>
      <c r="AM1191" s="1"/>
      <c r="AN1191" s="2"/>
      <c r="AP1191" s="2"/>
      <c r="AQ1191" s="1"/>
      <c r="AR1191" s="2"/>
      <c r="AU1191" s="1"/>
      <c r="AW1191" s="1"/>
      <c r="AY1191" s="2"/>
    </row>
    <row r="1192">
      <c r="A1192" s="1"/>
      <c r="C1192" s="1"/>
      <c r="E1192" s="1"/>
      <c r="F1192" s="1"/>
      <c r="G1192" s="2"/>
      <c r="H1192" s="1"/>
      <c r="I1192" s="1"/>
      <c r="J1192" s="1"/>
      <c r="K1192" s="1"/>
      <c r="M1192" s="1"/>
      <c r="N1192" s="1"/>
      <c r="O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2"/>
      <c r="AB1192" s="1"/>
      <c r="AC1192" s="1"/>
      <c r="AD1192" s="1"/>
      <c r="AE1192" s="1"/>
      <c r="AF1192" s="1"/>
      <c r="AG1192" s="1"/>
      <c r="AH1192" s="2"/>
      <c r="AI1192" s="2"/>
      <c r="AJ1192" s="2"/>
      <c r="AK1192" s="2"/>
      <c r="AL1192" s="2"/>
      <c r="AM1192" s="1"/>
      <c r="AN1192" s="2"/>
      <c r="AP1192" s="2"/>
      <c r="AQ1192" s="1"/>
      <c r="AR1192" s="2"/>
      <c r="AU1192" s="1"/>
      <c r="AW1192" s="1"/>
      <c r="AY1192" s="2"/>
    </row>
    <row r="1193">
      <c r="A1193" s="1"/>
      <c r="C1193" s="1"/>
      <c r="E1193" s="1"/>
      <c r="F1193" s="1"/>
      <c r="G1193" s="2"/>
      <c r="H1193" s="1"/>
      <c r="I1193" s="1"/>
      <c r="J1193" s="1"/>
      <c r="K1193" s="1"/>
      <c r="M1193" s="1"/>
      <c r="N1193" s="1"/>
      <c r="O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2"/>
      <c r="AB1193" s="1"/>
      <c r="AC1193" s="1"/>
      <c r="AD1193" s="1"/>
      <c r="AE1193" s="1"/>
      <c r="AF1193" s="1"/>
      <c r="AG1193" s="1"/>
      <c r="AH1193" s="2"/>
      <c r="AI1193" s="2"/>
      <c r="AJ1193" s="2"/>
      <c r="AK1193" s="2"/>
      <c r="AL1193" s="2"/>
      <c r="AM1193" s="1"/>
      <c r="AN1193" s="2"/>
      <c r="AP1193" s="2"/>
      <c r="AQ1193" s="1"/>
      <c r="AR1193" s="2"/>
      <c r="AU1193" s="1"/>
      <c r="AW1193" s="1"/>
      <c r="AY1193" s="2"/>
    </row>
    <row r="1194">
      <c r="A1194" s="1"/>
      <c r="C1194" s="1"/>
      <c r="E1194" s="1"/>
      <c r="F1194" s="1"/>
      <c r="G1194" s="2"/>
      <c r="H1194" s="1"/>
      <c r="I1194" s="1"/>
      <c r="J1194" s="1"/>
      <c r="K1194" s="1"/>
      <c r="M1194" s="1"/>
      <c r="N1194" s="1"/>
      <c r="O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2"/>
      <c r="AB1194" s="1"/>
      <c r="AC1194" s="1"/>
      <c r="AD1194" s="1"/>
      <c r="AE1194" s="1"/>
      <c r="AF1194" s="1"/>
      <c r="AG1194" s="1"/>
      <c r="AH1194" s="2"/>
      <c r="AI1194" s="2"/>
      <c r="AJ1194" s="2"/>
      <c r="AK1194" s="2"/>
      <c r="AL1194" s="2"/>
      <c r="AM1194" s="1"/>
      <c r="AN1194" s="2"/>
      <c r="AP1194" s="2"/>
      <c r="AQ1194" s="1"/>
      <c r="AR1194" s="2"/>
      <c r="AU1194" s="1"/>
      <c r="AW1194" s="1"/>
      <c r="AY1194" s="2"/>
    </row>
    <row r="1195">
      <c r="A1195" s="1"/>
      <c r="C1195" s="1"/>
      <c r="E1195" s="1"/>
      <c r="F1195" s="1"/>
      <c r="G1195" s="2"/>
      <c r="H1195" s="1"/>
      <c r="I1195" s="1"/>
      <c r="J1195" s="1"/>
      <c r="K1195" s="1"/>
      <c r="M1195" s="1"/>
      <c r="N1195" s="1"/>
      <c r="O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2"/>
      <c r="AB1195" s="1"/>
      <c r="AC1195" s="1"/>
      <c r="AD1195" s="1"/>
      <c r="AE1195" s="1"/>
      <c r="AF1195" s="1"/>
      <c r="AG1195" s="1"/>
      <c r="AH1195" s="2"/>
      <c r="AI1195" s="2"/>
      <c r="AJ1195" s="2"/>
      <c r="AK1195" s="2"/>
      <c r="AL1195" s="2"/>
      <c r="AM1195" s="1"/>
      <c r="AN1195" s="2"/>
      <c r="AP1195" s="2"/>
      <c r="AQ1195" s="1"/>
      <c r="AR1195" s="2"/>
      <c r="AU1195" s="1"/>
      <c r="AW1195" s="1"/>
      <c r="AY1195" s="2"/>
    </row>
    <row r="1196">
      <c r="A1196" s="1"/>
      <c r="C1196" s="1"/>
      <c r="E1196" s="1"/>
      <c r="F1196" s="1"/>
      <c r="G1196" s="2"/>
      <c r="H1196" s="1"/>
      <c r="I1196" s="1"/>
      <c r="J1196" s="1"/>
      <c r="K1196" s="1"/>
      <c r="M1196" s="1"/>
      <c r="N1196" s="1"/>
      <c r="O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2"/>
      <c r="AB1196" s="1"/>
      <c r="AC1196" s="1"/>
      <c r="AD1196" s="1"/>
      <c r="AE1196" s="1"/>
      <c r="AF1196" s="1"/>
      <c r="AG1196" s="1"/>
      <c r="AH1196" s="2"/>
      <c r="AI1196" s="2"/>
      <c r="AJ1196" s="2"/>
      <c r="AK1196" s="2"/>
      <c r="AL1196" s="2"/>
      <c r="AM1196" s="1"/>
      <c r="AN1196" s="2"/>
      <c r="AP1196" s="2"/>
      <c r="AQ1196" s="1"/>
      <c r="AR1196" s="2"/>
      <c r="AU1196" s="1"/>
      <c r="AW1196" s="1"/>
      <c r="AY1196" s="2"/>
    </row>
    <row r="1197">
      <c r="A1197" s="1"/>
      <c r="C1197" s="1"/>
      <c r="E1197" s="1"/>
      <c r="F1197" s="1"/>
      <c r="G1197" s="2"/>
      <c r="H1197" s="1"/>
      <c r="I1197" s="1"/>
      <c r="J1197" s="1"/>
      <c r="K1197" s="1"/>
      <c r="M1197" s="1"/>
      <c r="N1197" s="1"/>
      <c r="O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2"/>
      <c r="AB1197" s="1"/>
      <c r="AC1197" s="1"/>
      <c r="AD1197" s="1"/>
      <c r="AE1197" s="1"/>
      <c r="AF1197" s="1"/>
      <c r="AG1197" s="1"/>
      <c r="AH1197" s="2"/>
      <c r="AI1197" s="2"/>
      <c r="AJ1197" s="2"/>
      <c r="AK1197" s="2"/>
      <c r="AL1197" s="2"/>
      <c r="AM1197" s="1"/>
      <c r="AN1197" s="2"/>
      <c r="AP1197" s="2"/>
      <c r="AQ1197" s="1"/>
      <c r="AR1197" s="2"/>
      <c r="AU1197" s="1"/>
      <c r="AW1197" s="1"/>
      <c r="AY1197" s="2"/>
    </row>
    <row r="1198">
      <c r="A1198" s="1"/>
      <c r="C1198" s="1"/>
      <c r="E1198" s="1"/>
      <c r="F1198" s="1"/>
      <c r="G1198" s="2"/>
      <c r="H1198" s="1"/>
      <c r="I1198" s="1"/>
      <c r="J1198" s="1"/>
      <c r="K1198" s="1"/>
      <c r="M1198" s="1"/>
      <c r="N1198" s="1"/>
      <c r="O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2"/>
      <c r="AB1198" s="1"/>
      <c r="AC1198" s="1"/>
      <c r="AD1198" s="1"/>
      <c r="AE1198" s="1"/>
      <c r="AF1198" s="1"/>
      <c r="AG1198" s="1"/>
      <c r="AH1198" s="2"/>
      <c r="AI1198" s="2"/>
      <c r="AJ1198" s="2"/>
      <c r="AK1198" s="2"/>
      <c r="AL1198" s="2"/>
      <c r="AM1198" s="1"/>
      <c r="AN1198" s="2"/>
      <c r="AP1198" s="2"/>
      <c r="AQ1198" s="1"/>
      <c r="AR1198" s="2"/>
      <c r="AU1198" s="1"/>
      <c r="AW1198" s="1"/>
      <c r="AY1198" s="2"/>
    </row>
    <row r="1199">
      <c r="A1199" s="1"/>
      <c r="C1199" s="1"/>
      <c r="E1199" s="1"/>
      <c r="F1199" s="1"/>
      <c r="G1199" s="2"/>
      <c r="H1199" s="1"/>
      <c r="I1199" s="1"/>
      <c r="J1199" s="1"/>
      <c r="K1199" s="1"/>
      <c r="M1199" s="1"/>
      <c r="N1199" s="1"/>
      <c r="O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2"/>
      <c r="AB1199" s="1"/>
      <c r="AC1199" s="1"/>
      <c r="AD1199" s="1"/>
      <c r="AE1199" s="1"/>
      <c r="AF1199" s="1"/>
      <c r="AG1199" s="1"/>
      <c r="AH1199" s="2"/>
      <c r="AI1199" s="2"/>
      <c r="AJ1199" s="2"/>
      <c r="AK1199" s="2"/>
      <c r="AL1199" s="2"/>
      <c r="AM1199" s="1"/>
      <c r="AN1199" s="2"/>
      <c r="AP1199" s="2"/>
      <c r="AQ1199" s="1"/>
      <c r="AR1199" s="2"/>
      <c r="AU1199" s="1"/>
      <c r="AW1199" s="1"/>
      <c r="AY1199" s="2"/>
    </row>
    <row r="1200">
      <c r="A1200" s="1"/>
      <c r="C1200" s="1"/>
      <c r="E1200" s="1"/>
      <c r="F1200" s="1"/>
      <c r="G1200" s="2"/>
      <c r="H1200" s="1"/>
      <c r="I1200" s="1"/>
      <c r="J1200" s="1"/>
      <c r="K1200" s="1"/>
      <c r="M1200" s="1"/>
      <c r="N1200" s="1"/>
      <c r="O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2"/>
      <c r="AB1200" s="1"/>
      <c r="AC1200" s="1"/>
      <c r="AD1200" s="1"/>
      <c r="AE1200" s="1"/>
      <c r="AF1200" s="1"/>
      <c r="AG1200" s="1"/>
      <c r="AH1200" s="2"/>
      <c r="AI1200" s="2"/>
      <c r="AJ1200" s="2"/>
      <c r="AK1200" s="2"/>
      <c r="AL1200" s="2"/>
      <c r="AM1200" s="1"/>
      <c r="AN1200" s="2"/>
      <c r="AP1200" s="2"/>
      <c r="AQ1200" s="1"/>
      <c r="AR1200" s="2"/>
      <c r="AU1200" s="1"/>
      <c r="AW1200" s="1"/>
      <c r="AY1200" s="2"/>
    </row>
    <row r="1201">
      <c r="A1201" s="1"/>
      <c r="C1201" s="1"/>
      <c r="E1201" s="1"/>
      <c r="F1201" s="1"/>
      <c r="G1201" s="2"/>
      <c r="H1201" s="1"/>
      <c r="I1201" s="1"/>
      <c r="J1201" s="1"/>
      <c r="K1201" s="1"/>
      <c r="M1201" s="1"/>
      <c r="N1201" s="1"/>
      <c r="O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2"/>
      <c r="AB1201" s="1"/>
      <c r="AC1201" s="1"/>
      <c r="AD1201" s="1"/>
      <c r="AE1201" s="1"/>
      <c r="AF1201" s="1"/>
      <c r="AG1201" s="1"/>
      <c r="AH1201" s="2"/>
      <c r="AI1201" s="2"/>
      <c r="AJ1201" s="2"/>
      <c r="AK1201" s="2"/>
      <c r="AL1201" s="2"/>
      <c r="AM1201" s="1"/>
      <c r="AN1201" s="2"/>
      <c r="AP1201" s="2"/>
      <c r="AQ1201" s="1"/>
      <c r="AR1201" s="2"/>
      <c r="AU1201" s="1"/>
      <c r="AW1201" s="1"/>
      <c r="AY1201" s="2"/>
    </row>
    <row r="1202">
      <c r="A1202" s="1"/>
      <c r="C1202" s="1"/>
      <c r="E1202" s="1"/>
      <c r="F1202" s="1"/>
      <c r="G1202" s="2"/>
      <c r="H1202" s="1"/>
      <c r="I1202" s="1"/>
      <c r="J1202" s="1"/>
      <c r="K1202" s="1"/>
      <c r="M1202" s="1"/>
      <c r="N1202" s="1"/>
      <c r="O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2"/>
      <c r="AB1202" s="1"/>
      <c r="AC1202" s="1"/>
      <c r="AD1202" s="1"/>
      <c r="AE1202" s="1"/>
      <c r="AF1202" s="1"/>
      <c r="AG1202" s="1"/>
      <c r="AH1202" s="2"/>
      <c r="AI1202" s="2"/>
      <c r="AJ1202" s="2"/>
      <c r="AK1202" s="2"/>
      <c r="AL1202" s="2"/>
      <c r="AM1202" s="1"/>
      <c r="AN1202" s="2"/>
      <c r="AP1202" s="2"/>
      <c r="AQ1202" s="1"/>
      <c r="AR1202" s="2"/>
      <c r="AU1202" s="1"/>
      <c r="AW1202" s="1"/>
      <c r="AY1202" s="2"/>
    </row>
    <row r="1203">
      <c r="A1203" s="1"/>
      <c r="C1203" s="1"/>
      <c r="E1203" s="1"/>
      <c r="F1203" s="1"/>
      <c r="G1203" s="2"/>
      <c r="H1203" s="1"/>
      <c r="I1203" s="1"/>
      <c r="J1203" s="1"/>
      <c r="K1203" s="1"/>
      <c r="M1203" s="1"/>
      <c r="N1203" s="1"/>
      <c r="O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2"/>
      <c r="AB1203" s="1"/>
      <c r="AC1203" s="1"/>
      <c r="AD1203" s="1"/>
      <c r="AE1203" s="1"/>
      <c r="AF1203" s="1"/>
      <c r="AG1203" s="1"/>
      <c r="AH1203" s="2"/>
      <c r="AI1203" s="2"/>
      <c r="AJ1203" s="2"/>
      <c r="AK1203" s="2"/>
      <c r="AL1203" s="2"/>
      <c r="AM1203" s="1"/>
      <c r="AN1203" s="2"/>
      <c r="AP1203" s="2"/>
      <c r="AQ1203" s="1"/>
      <c r="AR1203" s="2"/>
      <c r="AU1203" s="1"/>
      <c r="AW1203" s="1"/>
      <c r="AY1203" s="2"/>
    </row>
    <row r="1204">
      <c r="A1204" s="1"/>
      <c r="C1204" s="1"/>
      <c r="E1204" s="1"/>
      <c r="F1204" s="1"/>
      <c r="G1204" s="2"/>
      <c r="H1204" s="1"/>
      <c r="I1204" s="1"/>
      <c r="J1204" s="1"/>
      <c r="K1204" s="1"/>
      <c r="M1204" s="1"/>
      <c r="N1204" s="1"/>
      <c r="O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2"/>
      <c r="AB1204" s="1"/>
      <c r="AC1204" s="1"/>
      <c r="AD1204" s="1"/>
      <c r="AE1204" s="1"/>
      <c r="AF1204" s="1"/>
      <c r="AG1204" s="1"/>
      <c r="AH1204" s="2"/>
      <c r="AI1204" s="2"/>
      <c r="AJ1204" s="2"/>
      <c r="AK1204" s="2"/>
      <c r="AL1204" s="2"/>
      <c r="AM1204" s="1"/>
      <c r="AN1204" s="2"/>
      <c r="AP1204" s="2"/>
      <c r="AQ1204" s="1"/>
      <c r="AR1204" s="2"/>
      <c r="AU1204" s="1"/>
      <c r="AW1204" s="1"/>
      <c r="AY1204" s="2"/>
    </row>
    <row r="1205">
      <c r="A1205" s="1"/>
      <c r="C1205" s="1"/>
      <c r="E1205" s="1"/>
      <c r="F1205" s="1"/>
      <c r="G1205" s="2"/>
      <c r="H1205" s="1"/>
      <c r="I1205" s="1"/>
      <c r="J1205" s="1"/>
      <c r="K1205" s="1"/>
      <c r="M1205" s="1"/>
      <c r="N1205" s="1"/>
      <c r="O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2"/>
      <c r="AB1205" s="1"/>
      <c r="AC1205" s="1"/>
      <c r="AD1205" s="1"/>
      <c r="AE1205" s="1"/>
      <c r="AF1205" s="1"/>
      <c r="AG1205" s="1"/>
      <c r="AH1205" s="2"/>
      <c r="AI1205" s="2"/>
      <c r="AJ1205" s="2"/>
      <c r="AK1205" s="2"/>
      <c r="AL1205" s="2"/>
      <c r="AM1205" s="1"/>
      <c r="AN1205" s="2"/>
      <c r="AP1205" s="2"/>
      <c r="AQ1205" s="1"/>
      <c r="AR1205" s="2"/>
      <c r="AU1205" s="1"/>
      <c r="AW1205" s="1"/>
      <c r="AY1205" s="2"/>
    </row>
    <row r="1206">
      <c r="A1206" s="1"/>
      <c r="C1206" s="1"/>
      <c r="E1206" s="1"/>
      <c r="F1206" s="1"/>
      <c r="G1206" s="2"/>
      <c r="H1206" s="1"/>
      <c r="I1206" s="1"/>
      <c r="J1206" s="1"/>
      <c r="K1206" s="1"/>
      <c r="M1206" s="1"/>
      <c r="N1206" s="1"/>
      <c r="O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2"/>
      <c r="AB1206" s="1"/>
      <c r="AC1206" s="1"/>
      <c r="AD1206" s="1"/>
      <c r="AE1206" s="1"/>
      <c r="AF1206" s="1"/>
      <c r="AG1206" s="1"/>
      <c r="AH1206" s="2"/>
      <c r="AI1206" s="2"/>
      <c r="AJ1206" s="2"/>
      <c r="AK1206" s="2"/>
      <c r="AL1206" s="2"/>
      <c r="AM1206" s="1"/>
      <c r="AN1206" s="2"/>
      <c r="AP1206" s="2"/>
      <c r="AQ1206" s="1"/>
      <c r="AR1206" s="2"/>
      <c r="AU1206" s="1"/>
      <c r="AW1206" s="1"/>
      <c r="AY1206" s="2"/>
    </row>
    <row r="1207">
      <c r="A1207" s="1"/>
      <c r="C1207" s="1"/>
      <c r="E1207" s="1"/>
      <c r="F1207" s="1"/>
      <c r="G1207" s="2"/>
      <c r="H1207" s="1"/>
      <c r="I1207" s="1"/>
      <c r="J1207" s="1"/>
      <c r="K1207" s="1"/>
      <c r="M1207" s="1"/>
      <c r="N1207" s="1"/>
      <c r="O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2"/>
      <c r="AB1207" s="1"/>
      <c r="AC1207" s="1"/>
      <c r="AD1207" s="1"/>
      <c r="AE1207" s="1"/>
      <c r="AF1207" s="1"/>
      <c r="AG1207" s="1"/>
      <c r="AH1207" s="2"/>
      <c r="AI1207" s="2"/>
      <c r="AJ1207" s="2"/>
      <c r="AK1207" s="2"/>
      <c r="AL1207" s="2"/>
      <c r="AM1207" s="1"/>
      <c r="AN1207" s="2"/>
      <c r="AP1207" s="2"/>
      <c r="AQ1207" s="1"/>
      <c r="AR1207" s="2"/>
      <c r="AU1207" s="1"/>
      <c r="AW1207" s="1"/>
      <c r="AY1207" s="2"/>
    </row>
    <row r="1208">
      <c r="A1208" s="1"/>
      <c r="C1208" s="1"/>
      <c r="E1208" s="1"/>
      <c r="F1208" s="1"/>
      <c r="G1208" s="2"/>
      <c r="H1208" s="1"/>
      <c r="I1208" s="1"/>
      <c r="J1208" s="1"/>
      <c r="K1208" s="1"/>
      <c r="M1208" s="1"/>
      <c r="N1208" s="1"/>
      <c r="O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2"/>
      <c r="AB1208" s="1"/>
      <c r="AC1208" s="1"/>
      <c r="AD1208" s="1"/>
      <c r="AE1208" s="1"/>
      <c r="AF1208" s="1"/>
      <c r="AG1208" s="1"/>
      <c r="AH1208" s="2"/>
      <c r="AI1208" s="2"/>
      <c r="AJ1208" s="2"/>
      <c r="AK1208" s="2"/>
      <c r="AL1208" s="2"/>
      <c r="AM1208" s="1"/>
      <c r="AN1208" s="2"/>
      <c r="AP1208" s="2"/>
      <c r="AQ1208" s="1"/>
      <c r="AR1208" s="2"/>
      <c r="AU1208" s="1"/>
      <c r="AW1208" s="1"/>
      <c r="AY1208" s="2"/>
    </row>
    <row r="1209">
      <c r="A1209" s="1"/>
      <c r="C1209" s="1"/>
      <c r="E1209" s="1"/>
      <c r="F1209" s="1"/>
      <c r="G1209" s="2"/>
      <c r="H1209" s="1"/>
      <c r="I1209" s="1"/>
      <c r="J1209" s="1"/>
      <c r="K1209" s="1"/>
      <c r="M1209" s="1"/>
      <c r="N1209" s="1"/>
      <c r="O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2"/>
      <c r="AB1209" s="1"/>
      <c r="AC1209" s="1"/>
      <c r="AD1209" s="1"/>
      <c r="AE1209" s="1"/>
      <c r="AF1209" s="1"/>
      <c r="AG1209" s="1"/>
      <c r="AH1209" s="2"/>
      <c r="AI1209" s="2"/>
      <c r="AJ1209" s="2"/>
      <c r="AK1209" s="2"/>
      <c r="AL1209" s="2"/>
      <c r="AM1209" s="1"/>
      <c r="AN1209" s="2"/>
      <c r="AP1209" s="2"/>
      <c r="AQ1209" s="1"/>
      <c r="AR1209" s="2"/>
      <c r="AU1209" s="1"/>
      <c r="AW1209" s="1"/>
      <c r="AY1209" s="2"/>
    </row>
    <row r="1210">
      <c r="A1210" s="1"/>
      <c r="C1210" s="1"/>
      <c r="E1210" s="1"/>
      <c r="F1210" s="1"/>
      <c r="G1210" s="2"/>
      <c r="H1210" s="1"/>
      <c r="I1210" s="1"/>
      <c r="J1210" s="1"/>
      <c r="K1210" s="1"/>
      <c r="M1210" s="1"/>
      <c r="N1210" s="1"/>
      <c r="O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2"/>
      <c r="AB1210" s="1"/>
      <c r="AC1210" s="1"/>
      <c r="AD1210" s="1"/>
      <c r="AE1210" s="1"/>
      <c r="AF1210" s="1"/>
      <c r="AG1210" s="1"/>
      <c r="AH1210" s="2"/>
      <c r="AI1210" s="2"/>
      <c r="AJ1210" s="2"/>
      <c r="AK1210" s="2"/>
      <c r="AL1210" s="2"/>
      <c r="AM1210" s="1"/>
      <c r="AN1210" s="2"/>
      <c r="AP1210" s="2"/>
      <c r="AQ1210" s="1"/>
      <c r="AR1210" s="2"/>
      <c r="AU1210" s="1"/>
      <c r="AW1210" s="1"/>
      <c r="AY1210" s="2"/>
    </row>
    <row r="1211">
      <c r="A1211" s="1"/>
      <c r="C1211" s="1"/>
      <c r="E1211" s="1"/>
      <c r="F1211" s="1"/>
      <c r="G1211" s="2"/>
      <c r="H1211" s="1"/>
      <c r="I1211" s="1"/>
      <c r="J1211" s="1"/>
      <c r="K1211" s="1"/>
      <c r="M1211" s="1"/>
      <c r="N1211" s="1"/>
      <c r="O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2"/>
      <c r="AB1211" s="1"/>
      <c r="AC1211" s="1"/>
      <c r="AD1211" s="1"/>
      <c r="AE1211" s="1"/>
      <c r="AF1211" s="1"/>
      <c r="AG1211" s="1"/>
      <c r="AH1211" s="2"/>
      <c r="AI1211" s="2"/>
      <c r="AJ1211" s="2"/>
      <c r="AK1211" s="2"/>
      <c r="AL1211" s="2"/>
      <c r="AM1211" s="1"/>
      <c r="AN1211" s="2"/>
      <c r="AP1211" s="2"/>
      <c r="AQ1211" s="1"/>
      <c r="AR1211" s="2"/>
      <c r="AU1211" s="1"/>
      <c r="AW1211" s="1"/>
      <c r="AY1211" s="2"/>
    </row>
    <row r="1212">
      <c r="A1212" s="1"/>
      <c r="C1212" s="1"/>
      <c r="E1212" s="1"/>
      <c r="F1212" s="1"/>
      <c r="G1212" s="2"/>
      <c r="H1212" s="1"/>
      <c r="I1212" s="1"/>
      <c r="J1212" s="1"/>
      <c r="K1212" s="1"/>
      <c r="M1212" s="1"/>
      <c r="N1212" s="1"/>
      <c r="O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2"/>
      <c r="AB1212" s="1"/>
      <c r="AC1212" s="1"/>
      <c r="AD1212" s="1"/>
      <c r="AE1212" s="1"/>
      <c r="AF1212" s="1"/>
      <c r="AG1212" s="1"/>
      <c r="AH1212" s="2"/>
      <c r="AI1212" s="2"/>
      <c r="AJ1212" s="2"/>
      <c r="AK1212" s="2"/>
      <c r="AL1212" s="2"/>
      <c r="AM1212" s="1"/>
      <c r="AN1212" s="2"/>
      <c r="AP1212" s="2"/>
      <c r="AQ1212" s="1"/>
      <c r="AR1212" s="2"/>
      <c r="AU1212" s="1"/>
      <c r="AW1212" s="1"/>
      <c r="AY1212" s="2"/>
    </row>
    <row r="1213">
      <c r="A1213" s="1"/>
      <c r="C1213" s="1"/>
      <c r="E1213" s="1"/>
      <c r="F1213" s="1"/>
      <c r="G1213" s="2"/>
      <c r="H1213" s="1"/>
      <c r="I1213" s="1"/>
      <c r="J1213" s="1"/>
      <c r="K1213" s="1"/>
      <c r="M1213" s="1"/>
      <c r="N1213" s="1"/>
      <c r="O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2"/>
      <c r="AB1213" s="1"/>
      <c r="AC1213" s="1"/>
      <c r="AD1213" s="1"/>
      <c r="AE1213" s="1"/>
      <c r="AF1213" s="1"/>
      <c r="AG1213" s="1"/>
      <c r="AH1213" s="2"/>
      <c r="AI1213" s="2"/>
      <c r="AJ1213" s="2"/>
      <c r="AK1213" s="2"/>
      <c r="AL1213" s="2"/>
      <c r="AM1213" s="1"/>
      <c r="AN1213" s="2"/>
      <c r="AP1213" s="2"/>
      <c r="AQ1213" s="1"/>
      <c r="AR1213" s="2"/>
      <c r="AU1213" s="1"/>
      <c r="AW1213" s="1"/>
      <c r="AY1213" s="2"/>
    </row>
    <row r="1214">
      <c r="A1214" s="1"/>
      <c r="C1214" s="1"/>
      <c r="E1214" s="1"/>
      <c r="F1214" s="1"/>
      <c r="G1214" s="2"/>
      <c r="H1214" s="1"/>
      <c r="I1214" s="1"/>
      <c r="J1214" s="1"/>
      <c r="K1214" s="1"/>
      <c r="M1214" s="1"/>
      <c r="N1214" s="1"/>
      <c r="O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2"/>
      <c r="AB1214" s="1"/>
      <c r="AC1214" s="1"/>
      <c r="AD1214" s="1"/>
      <c r="AE1214" s="1"/>
      <c r="AF1214" s="1"/>
      <c r="AG1214" s="1"/>
      <c r="AH1214" s="2"/>
      <c r="AI1214" s="2"/>
      <c r="AJ1214" s="2"/>
      <c r="AK1214" s="2"/>
      <c r="AL1214" s="2"/>
      <c r="AM1214" s="1"/>
      <c r="AN1214" s="2"/>
      <c r="AP1214" s="2"/>
      <c r="AQ1214" s="1"/>
      <c r="AR1214" s="2"/>
      <c r="AU1214" s="1"/>
      <c r="AW1214" s="1"/>
      <c r="AY1214" s="2"/>
    </row>
    <row r="1215">
      <c r="A1215" s="1"/>
      <c r="C1215" s="1"/>
      <c r="E1215" s="1"/>
      <c r="F1215" s="1"/>
      <c r="G1215" s="2"/>
      <c r="H1215" s="1"/>
      <c r="I1215" s="1"/>
      <c r="J1215" s="1"/>
      <c r="K1215" s="1"/>
      <c r="M1215" s="1"/>
      <c r="N1215" s="1"/>
      <c r="O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2"/>
      <c r="AB1215" s="1"/>
      <c r="AC1215" s="1"/>
      <c r="AD1215" s="1"/>
      <c r="AE1215" s="1"/>
      <c r="AF1215" s="1"/>
      <c r="AG1215" s="1"/>
      <c r="AH1215" s="2"/>
      <c r="AI1215" s="2"/>
      <c r="AJ1215" s="2"/>
      <c r="AK1215" s="2"/>
      <c r="AL1215" s="2"/>
      <c r="AM1215" s="1"/>
      <c r="AN1215" s="2"/>
      <c r="AP1215" s="2"/>
      <c r="AQ1215" s="1"/>
      <c r="AR1215" s="2"/>
      <c r="AU1215" s="1"/>
      <c r="AW1215" s="1"/>
      <c r="AY1215" s="2"/>
    </row>
    <row r="1216">
      <c r="A1216" s="1"/>
      <c r="C1216" s="1"/>
      <c r="E1216" s="1"/>
      <c r="F1216" s="1"/>
      <c r="G1216" s="2"/>
      <c r="H1216" s="1"/>
      <c r="I1216" s="1"/>
      <c r="J1216" s="1"/>
      <c r="K1216" s="1"/>
      <c r="M1216" s="1"/>
      <c r="N1216" s="1"/>
      <c r="O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2"/>
      <c r="AB1216" s="1"/>
      <c r="AC1216" s="1"/>
      <c r="AD1216" s="1"/>
      <c r="AE1216" s="1"/>
      <c r="AF1216" s="1"/>
      <c r="AG1216" s="1"/>
      <c r="AH1216" s="2"/>
      <c r="AI1216" s="2"/>
      <c r="AJ1216" s="2"/>
      <c r="AK1216" s="2"/>
      <c r="AL1216" s="2"/>
      <c r="AM1216" s="1"/>
      <c r="AN1216" s="2"/>
      <c r="AP1216" s="2"/>
      <c r="AQ1216" s="1"/>
      <c r="AR1216" s="2"/>
      <c r="AU1216" s="1"/>
      <c r="AW1216" s="1"/>
      <c r="AY1216" s="2"/>
    </row>
    <row r="1217">
      <c r="A1217" s="1"/>
      <c r="C1217" s="1"/>
      <c r="E1217" s="1"/>
      <c r="F1217" s="1"/>
      <c r="G1217" s="2"/>
      <c r="H1217" s="1"/>
      <c r="I1217" s="1"/>
      <c r="J1217" s="1"/>
      <c r="K1217" s="1"/>
      <c r="M1217" s="1"/>
      <c r="N1217" s="1"/>
      <c r="O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2"/>
      <c r="AB1217" s="1"/>
      <c r="AC1217" s="1"/>
      <c r="AD1217" s="1"/>
      <c r="AE1217" s="1"/>
      <c r="AF1217" s="1"/>
      <c r="AG1217" s="1"/>
      <c r="AH1217" s="2"/>
      <c r="AI1217" s="2"/>
      <c r="AJ1217" s="2"/>
      <c r="AK1217" s="2"/>
      <c r="AL1217" s="2"/>
      <c r="AM1217" s="1"/>
      <c r="AN1217" s="2"/>
      <c r="AP1217" s="2"/>
      <c r="AQ1217" s="1"/>
      <c r="AR1217" s="2"/>
      <c r="AU1217" s="1"/>
      <c r="AW1217" s="1"/>
      <c r="AY1217" s="2"/>
    </row>
    <row r="1218">
      <c r="A1218" s="1"/>
      <c r="C1218" s="1"/>
      <c r="E1218" s="1"/>
      <c r="F1218" s="1"/>
      <c r="G1218" s="2"/>
      <c r="H1218" s="1"/>
      <c r="I1218" s="1"/>
      <c r="J1218" s="1"/>
      <c r="K1218" s="1"/>
      <c r="M1218" s="1"/>
      <c r="N1218" s="1"/>
      <c r="O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2"/>
      <c r="AB1218" s="1"/>
      <c r="AC1218" s="1"/>
      <c r="AD1218" s="1"/>
      <c r="AE1218" s="1"/>
      <c r="AF1218" s="1"/>
      <c r="AG1218" s="1"/>
      <c r="AH1218" s="2"/>
      <c r="AI1218" s="2"/>
      <c r="AJ1218" s="2"/>
      <c r="AK1218" s="2"/>
      <c r="AL1218" s="2"/>
      <c r="AM1218" s="1"/>
      <c r="AN1218" s="2"/>
      <c r="AP1218" s="2"/>
      <c r="AQ1218" s="1"/>
      <c r="AR1218" s="2"/>
      <c r="AU1218" s="1"/>
      <c r="AW1218" s="1"/>
      <c r="AY1218" s="2"/>
    </row>
    <row r="1219">
      <c r="A1219" s="1"/>
      <c r="C1219" s="1"/>
      <c r="E1219" s="1"/>
      <c r="F1219" s="1"/>
      <c r="G1219" s="2"/>
      <c r="H1219" s="1"/>
      <c r="I1219" s="1"/>
      <c r="J1219" s="1"/>
      <c r="K1219" s="1"/>
      <c r="M1219" s="1"/>
      <c r="N1219" s="1"/>
      <c r="O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2"/>
      <c r="AB1219" s="1"/>
      <c r="AC1219" s="1"/>
      <c r="AD1219" s="1"/>
      <c r="AE1219" s="1"/>
      <c r="AF1219" s="1"/>
      <c r="AG1219" s="1"/>
      <c r="AH1219" s="2"/>
      <c r="AI1219" s="2"/>
      <c r="AJ1219" s="2"/>
      <c r="AK1219" s="2"/>
      <c r="AL1219" s="2"/>
      <c r="AM1219" s="1"/>
      <c r="AN1219" s="2"/>
      <c r="AP1219" s="2"/>
      <c r="AQ1219" s="1"/>
      <c r="AR1219" s="2"/>
      <c r="AU1219" s="1"/>
      <c r="AW1219" s="1"/>
      <c r="AY1219" s="2"/>
    </row>
    <row r="1220">
      <c r="A1220" s="1"/>
      <c r="C1220" s="1"/>
      <c r="E1220" s="1"/>
      <c r="F1220" s="1"/>
      <c r="G1220" s="2"/>
      <c r="H1220" s="1"/>
      <c r="I1220" s="1"/>
      <c r="J1220" s="1"/>
      <c r="K1220" s="1"/>
      <c r="M1220" s="1"/>
      <c r="N1220" s="1"/>
      <c r="O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2"/>
      <c r="AB1220" s="1"/>
      <c r="AC1220" s="1"/>
      <c r="AD1220" s="1"/>
      <c r="AE1220" s="1"/>
      <c r="AF1220" s="1"/>
      <c r="AG1220" s="1"/>
      <c r="AH1220" s="2"/>
      <c r="AI1220" s="2"/>
      <c r="AJ1220" s="2"/>
      <c r="AK1220" s="2"/>
      <c r="AL1220" s="2"/>
      <c r="AM1220" s="1"/>
      <c r="AN1220" s="2"/>
      <c r="AP1220" s="2"/>
      <c r="AQ1220" s="1"/>
      <c r="AR1220" s="2"/>
      <c r="AU1220" s="1"/>
      <c r="AW1220" s="1"/>
      <c r="AY1220" s="2"/>
    </row>
    <row r="1221">
      <c r="A1221" s="1"/>
      <c r="C1221" s="1"/>
      <c r="E1221" s="1"/>
      <c r="F1221" s="1"/>
      <c r="G1221" s="2"/>
      <c r="H1221" s="1"/>
      <c r="I1221" s="1"/>
      <c r="J1221" s="1"/>
      <c r="K1221" s="1"/>
      <c r="M1221" s="1"/>
      <c r="N1221" s="1"/>
      <c r="O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2"/>
      <c r="AB1221" s="1"/>
      <c r="AC1221" s="1"/>
      <c r="AD1221" s="1"/>
      <c r="AE1221" s="1"/>
      <c r="AF1221" s="1"/>
      <c r="AG1221" s="1"/>
      <c r="AH1221" s="2"/>
      <c r="AI1221" s="2"/>
      <c r="AJ1221" s="2"/>
      <c r="AK1221" s="2"/>
      <c r="AL1221" s="2"/>
      <c r="AM1221" s="1"/>
      <c r="AN1221" s="2"/>
      <c r="AP1221" s="2"/>
      <c r="AQ1221" s="1"/>
      <c r="AR1221" s="2"/>
      <c r="AU1221" s="1"/>
      <c r="AW1221" s="1"/>
      <c r="AY1221" s="2"/>
    </row>
    <row r="1222">
      <c r="A1222" s="1"/>
      <c r="C1222" s="1"/>
      <c r="E1222" s="1"/>
      <c r="F1222" s="1"/>
      <c r="G1222" s="2"/>
      <c r="H1222" s="1"/>
      <c r="I1222" s="1"/>
      <c r="J1222" s="1"/>
      <c r="K1222" s="1"/>
      <c r="M1222" s="1"/>
      <c r="N1222" s="1"/>
      <c r="O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2"/>
      <c r="AB1222" s="1"/>
      <c r="AC1222" s="1"/>
      <c r="AD1222" s="1"/>
      <c r="AE1222" s="1"/>
      <c r="AF1222" s="1"/>
      <c r="AG1222" s="1"/>
      <c r="AH1222" s="2"/>
      <c r="AI1222" s="2"/>
      <c r="AJ1222" s="2"/>
      <c r="AK1222" s="2"/>
      <c r="AL1222" s="2"/>
      <c r="AM1222" s="1"/>
      <c r="AN1222" s="2"/>
      <c r="AP1222" s="2"/>
      <c r="AQ1222" s="1"/>
      <c r="AR1222" s="2"/>
      <c r="AU1222" s="1"/>
      <c r="AW1222" s="1"/>
      <c r="AY1222" s="2"/>
    </row>
    <row r="1223">
      <c r="A1223" s="1"/>
      <c r="C1223" s="1"/>
      <c r="E1223" s="1"/>
      <c r="F1223" s="1"/>
      <c r="G1223" s="2"/>
      <c r="H1223" s="1"/>
      <c r="I1223" s="1"/>
      <c r="J1223" s="1"/>
      <c r="K1223" s="1"/>
      <c r="M1223" s="1"/>
      <c r="N1223" s="1"/>
      <c r="O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2"/>
      <c r="AB1223" s="1"/>
      <c r="AC1223" s="1"/>
      <c r="AD1223" s="1"/>
      <c r="AE1223" s="1"/>
      <c r="AF1223" s="1"/>
      <c r="AG1223" s="1"/>
      <c r="AH1223" s="2"/>
      <c r="AI1223" s="2"/>
      <c r="AJ1223" s="2"/>
      <c r="AK1223" s="2"/>
      <c r="AL1223" s="2"/>
      <c r="AM1223" s="1"/>
      <c r="AN1223" s="2"/>
      <c r="AP1223" s="2"/>
      <c r="AQ1223" s="1"/>
      <c r="AR1223" s="2"/>
      <c r="AU1223" s="1"/>
      <c r="AW1223" s="1"/>
      <c r="AY1223" s="2"/>
    </row>
    <row r="1224">
      <c r="A1224" s="1"/>
      <c r="C1224" s="1"/>
      <c r="E1224" s="1"/>
      <c r="F1224" s="1"/>
      <c r="G1224" s="2"/>
      <c r="H1224" s="1"/>
      <c r="I1224" s="1"/>
      <c r="J1224" s="1"/>
      <c r="K1224" s="1"/>
      <c r="M1224" s="1"/>
      <c r="N1224" s="1"/>
      <c r="O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2"/>
      <c r="AB1224" s="1"/>
      <c r="AC1224" s="1"/>
      <c r="AD1224" s="1"/>
      <c r="AE1224" s="1"/>
      <c r="AF1224" s="1"/>
      <c r="AG1224" s="1"/>
      <c r="AH1224" s="2"/>
      <c r="AI1224" s="2"/>
      <c r="AJ1224" s="2"/>
      <c r="AK1224" s="2"/>
      <c r="AL1224" s="2"/>
      <c r="AM1224" s="1"/>
      <c r="AN1224" s="2"/>
      <c r="AP1224" s="2"/>
      <c r="AQ1224" s="1"/>
      <c r="AR1224" s="2"/>
      <c r="AU1224" s="1"/>
      <c r="AW1224" s="1"/>
      <c r="AY1224" s="2"/>
    </row>
    <row r="1225">
      <c r="A1225" s="1"/>
      <c r="C1225" s="1"/>
      <c r="E1225" s="1"/>
      <c r="F1225" s="1"/>
      <c r="G1225" s="2"/>
      <c r="H1225" s="1"/>
      <c r="I1225" s="1"/>
      <c r="J1225" s="1"/>
      <c r="K1225" s="1"/>
      <c r="M1225" s="1"/>
      <c r="N1225" s="1"/>
      <c r="O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2"/>
      <c r="AB1225" s="1"/>
      <c r="AC1225" s="1"/>
      <c r="AD1225" s="1"/>
      <c r="AE1225" s="1"/>
      <c r="AF1225" s="1"/>
      <c r="AG1225" s="1"/>
      <c r="AH1225" s="2"/>
      <c r="AI1225" s="2"/>
      <c r="AJ1225" s="2"/>
      <c r="AK1225" s="2"/>
      <c r="AL1225" s="2"/>
      <c r="AM1225" s="1"/>
      <c r="AN1225" s="2"/>
      <c r="AP1225" s="2"/>
      <c r="AQ1225" s="1"/>
      <c r="AR1225" s="2"/>
      <c r="AU1225" s="1"/>
      <c r="AW1225" s="1"/>
      <c r="AY1225" s="2"/>
    </row>
    <row r="1226">
      <c r="A1226" s="1"/>
      <c r="C1226" s="1"/>
      <c r="E1226" s="1"/>
      <c r="F1226" s="1"/>
      <c r="G1226" s="2"/>
      <c r="H1226" s="1"/>
      <c r="I1226" s="1"/>
      <c r="J1226" s="1"/>
      <c r="K1226" s="1"/>
      <c r="M1226" s="1"/>
      <c r="N1226" s="1"/>
      <c r="O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2"/>
      <c r="AB1226" s="1"/>
      <c r="AC1226" s="1"/>
      <c r="AD1226" s="1"/>
      <c r="AE1226" s="1"/>
      <c r="AF1226" s="1"/>
      <c r="AG1226" s="1"/>
      <c r="AH1226" s="2"/>
      <c r="AI1226" s="2"/>
      <c r="AJ1226" s="2"/>
      <c r="AK1226" s="2"/>
      <c r="AL1226" s="2"/>
      <c r="AM1226" s="1"/>
      <c r="AN1226" s="2"/>
      <c r="AP1226" s="2"/>
      <c r="AQ1226" s="1"/>
      <c r="AR1226" s="2"/>
      <c r="AU1226" s="1"/>
      <c r="AW1226" s="1"/>
      <c r="AY1226" s="2"/>
    </row>
    <row r="1227">
      <c r="A1227" s="1"/>
      <c r="C1227" s="1"/>
      <c r="E1227" s="1"/>
      <c r="F1227" s="1"/>
      <c r="G1227" s="2"/>
      <c r="H1227" s="1"/>
      <c r="I1227" s="1"/>
      <c r="J1227" s="1"/>
      <c r="K1227" s="1"/>
      <c r="M1227" s="1"/>
      <c r="N1227" s="1"/>
      <c r="O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2"/>
      <c r="AB1227" s="1"/>
      <c r="AC1227" s="1"/>
      <c r="AD1227" s="1"/>
      <c r="AE1227" s="1"/>
      <c r="AF1227" s="1"/>
      <c r="AG1227" s="1"/>
      <c r="AH1227" s="2"/>
      <c r="AI1227" s="2"/>
      <c r="AJ1227" s="2"/>
      <c r="AK1227" s="2"/>
      <c r="AL1227" s="2"/>
      <c r="AM1227" s="1"/>
      <c r="AN1227" s="2"/>
      <c r="AP1227" s="2"/>
      <c r="AQ1227" s="1"/>
      <c r="AR1227" s="2"/>
      <c r="AU1227" s="1"/>
      <c r="AW1227" s="1"/>
      <c r="AY1227" s="2"/>
    </row>
    <row r="1228">
      <c r="A1228" s="1"/>
      <c r="C1228" s="1"/>
      <c r="E1228" s="1"/>
      <c r="F1228" s="1"/>
      <c r="G1228" s="2"/>
      <c r="H1228" s="1"/>
      <c r="I1228" s="1"/>
      <c r="J1228" s="1"/>
      <c r="K1228" s="1"/>
      <c r="M1228" s="1"/>
      <c r="N1228" s="1"/>
      <c r="O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2"/>
      <c r="AB1228" s="1"/>
      <c r="AC1228" s="1"/>
      <c r="AD1228" s="1"/>
      <c r="AE1228" s="1"/>
      <c r="AF1228" s="1"/>
      <c r="AG1228" s="1"/>
      <c r="AH1228" s="2"/>
      <c r="AI1228" s="2"/>
      <c r="AJ1228" s="2"/>
      <c r="AK1228" s="2"/>
      <c r="AL1228" s="2"/>
      <c r="AM1228" s="1"/>
      <c r="AN1228" s="2"/>
      <c r="AP1228" s="2"/>
      <c r="AQ1228" s="1"/>
      <c r="AR1228" s="2"/>
      <c r="AU1228" s="1"/>
      <c r="AW1228" s="1"/>
      <c r="AY1228" s="2"/>
    </row>
    <row r="1229">
      <c r="A1229" s="1"/>
      <c r="C1229" s="1"/>
      <c r="E1229" s="1"/>
      <c r="F1229" s="1"/>
      <c r="G1229" s="2"/>
      <c r="H1229" s="1"/>
      <c r="I1229" s="1"/>
      <c r="J1229" s="1"/>
      <c r="K1229" s="1"/>
      <c r="M1229" s="1"/>
      <c r="N1229" s="1"/>
      <c r="O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2"/>
      <c r="AB1229" s="1"/>
      <c r="AC1229" s="1"/>
      <c r="AD1229" s="1"/>
      <c r="AE1229" s="1"/>
      <c r="AF1229" s="1"/>
      <c r="AG1229" s="1"/>
      <c r="AH1229" s="2"/>
      <c r="AI1229" s="2"/>
      <c r="AJ1229" s="2"/>
      <c r="AK1229" s="2"/>
      <c r="AL1229" s="2"/>
      <c r="AM1229" s="1"/>
      <c r="AN1229" s="2"/>
      <c r="AP1229" s="2"/>
      <c r="AQ1229" s="1"/>
      <c r="AR1229" s="2"/>
      <c r="AU1229" s="1"/>
      <c r="AW1229" s="1"/>
      <c r="AY1229" s="2"/>
    </row>
    <row r="1230">
      <c r="A1230" s="1"/>
      <c r="C1230" s="1"/>
      <c r="E1230" s="1"/>
      <c r="F1230" s="1"/>
      <c r="G1230" s="2"/>
      <c r="H1230" s="1"/>
      <c r="I1230" s="1"/>
      <c r="J1230" s="1"/>
      <c r="K1230" s="1"/>
      <c r="M1230" s="1"/>
      <c r="N1230" s="1"/>
      <c r="O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2"/>
      <c r="AB1230" s="1"/>
      <c r="AC1230" s="1"/>
      <c r="AD1230" s="1"/>
      <c r="AE1230" s="1"/>
      <c r="AF1230" s="1"/>
      <c r="AG1230" s="1"/>
      <c r="AH1230" s="2"/>
      <c r="AI1230" s="2"/>
      <c r="AJ1230" s="2"/>
      <c r="AK1230" s="2"/>
      <c r="AL1230" s="2"/>
      <c r="AM1230" s="1"/>
      <c r="AN1230" s="2"/>
      <c r="AP1230" s="2"/>
      <c r="AQ1230" s="1"/>
      <c r="AR1230" s="2"/>
      <c r="AU1230" s="1"/>
      <c r="AW1230" s="1"/>
      <c r="AY1230" s="2"/>
    </row>
    <row r="1231">
      <c r="A1231" s="1"/>
      <c r="C1231" s="1"/>
      <c r="E1231" s="1"/>
      <c r="F1231" s="1"/>
      <c r="G1231" s="2"/>
      <c r="H1231" s="1"/>
      <c r="I1231" s="1"/>
      <c r="J1231" s="1"/>
      <c r="K1231" s="1"/>
      <c r="M1231" s="1"/>
      <c r="N1231" s="1"/>
      <c r="O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2"/>
      <c r="AB1231" s="1"/>
      <c r="AC1231" s="1"/>
      <c r="AD1231" s="1"/>
      <c r="AE1231" s="1"/>
      <c r="AF1231" s="1"/>
      <c r="AG1231" s="1"/>
      <c r="AH1231" s="2"/>
      <c r="AI1231" s="2"/>
      <c r="AJ1231" s="2"/>
      <c r="AK1231" s="2"/>
      <c r="AL1231" s="2"/>
      <c r="AM1231" s="1"/>
      <c r="AN1231" s="2"/>
      <c r="AP1231" s="2"/>
      <c r="AQ1231" s="1"/>
      <c r="AR1231" s="2"/>
      <c r="AU1231" s="1"/>
      <c r="AW1231" s="1"/>
      <c r="AY1231" s="2"/>
    </row>
    <row r="1232">
      <c r="A1232" s="1"/>
      <c r="C1232" s="1"/>
      <c r="E1232" s="1"/>
      <c r="F1232" s="1"/>
      <c r="G1232" s="2"/>
      <c r="H1232" s="1"/>
      <c r="I1232" s="1"/>
      <c r="J1232" s="1"/>
      <c r="K1232" s="1"/>
      <c r="M1232" s="1"/>
      <c r="N1232" s="1"/>
      <c r="O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2"/>
      <c r="AB1232" s="1"/>
      <c r="AC1232" s="1"/>
      <c r="AD1232" s="1"/>
      <c r="AE1232" s="1"/>
      <c r="AF1232" s="1"/>
      <c r="AG1232" s="1"/>
      <c r="AH1232" s="2"/>
      <c r="AI1232" s="2"/>
      <c r="AJ1232" s="2"/>
      <c r="AK1232" s="2"/>
      <c r="AL1232" s="2"/>
      <c r="AM1232" s="1"/>
      <c r="AN1232" s="2"/>
      <c r="AP1232" s="2"/>
      <c r="AQ1232" s="1"/>
      <c r="AR1232" s="2"/>
      <c r="AU1232" s="1"/>
      <c r="AW1232" s="1"/>
      <c r="AY1232" s="2"/>
    </row>
    <row r="1233">
      <c r="A1233" s="1"/>
      <c r="C1233" s="1"/>
      <c r="E1233" s="1"/>
      <c r="F1233" s="1"/>
      <c r="G1233" s="2"/>
      <c r="H1233" s="1"/>
      <c r="I1233" s="1"/>
      <c r="J1233" s="1"/>
      <c r="K1233" s="1"/>
      <c r="M1233" s="1"/>
      <c r="N1233" s="1"/>
      <c r="O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2"/>
      <c r="AB1233" s="1"/>
      <c r="AC1233" s="1"/>
      <c r="AD1233" s="1"/>
      <c r="AE1233" s="1"/>
      <c r="AF1233" s="1"/>
      <c r="AG1233" s="1"/>
      <c r="AH1233" s="2"/>
      <c r="AI1233" s="2"/>
      <c r="AJ1233" s="2"/>
      <c r="AK1233" s="2"/>
      <c r="AL1233" s="2"/>
      <c r="AM1233" s="1"/>
      <c r="AN1233" s="2"/>
      <c r="AP1233" s="2"/>
      <c r="AQ1233" s="1"/>
      <c r="AR1233" s="2"/>
      <c r="AU1233" s="1"/>
      <c r="AW1233" s="1"/>
      <c r="AY1233" s="2"/>
    </row>
    <row r="1234">
      <c r="A1234" s="1"/>
      <c r="C1234" s="1"/>
      <c r="E1234" s="1"/>
      <c r="F1234" s="1"/>
      <c r="G1234" s="2"/>
      <c r="H1234" s="1"/>
      <c r="I1234" s="1"/>
      <c r="J1234" s="1"/>
      <c r="K1234" s="1"/>
      <c r="M1234" s="1"/>
      <c r="N1234" s="1"/>
      <c r="O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2"/>
      <c r="AB1234" s="1"/>
      <c r="AC1234" s="1"/>
      <c r="AD1234" s="1"/>
      <c r="AE1234" s="1"/>
      <c r="AF1234" s="1"/>
      <c r="AG1234" s="1"/>
      <c r="AH1234" s="2"/>
      <c r="AI1234" s="2"/>
      <c r="AJ1234" s="2"/>
      <c r="AK1234" s="2"/>
      <c r="AL1234" s="2"/>
      <c r="AM1234" s="1"/>
      <c r="AN1234" s="2"/>
      <c r="AP1234" s="2"/>
      <c r="AQ1234" s="1"/>
      <c r="AR1234" s="2"/>
      <c r="AU1234" s="1"/>
      <c r="AW1234" s="1"/>
      <c r="AY1234" s="2"/>
    </row>
    <row r="1235">
      <c r="A1235" s="1"/>
      <c r="C1235" s="1"/>
      <c r="E1235" s="1"/>
      <c r="F1235" s="1"/>
      <c r="G1235" s="2"/>
      <c r="H1235" s="1"/>
      <c r="I1235" s="1"/>
      <c r="J1235" s="1"/>
      <c r="K1235" s="1"/>
      <c r="M1235" s="1"/>
      <c r="N1235" s="1"/>
      <c r="O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2"/>
      <c r="AB1235" s="1"/>
      <c r="AC1235" s="1"/>
      <c r="AD1235" s="1"/>
      <c r="AE1235" s="1"/>
      <c r="AF1235" s="1"/>
      <c r="AG1235" s="1"/>
      <c r="AH1235" s="2"/>
      <c r="AI1235" s="2"/>
      <c r="AJ1235" s="2"/>
      <c r="AK1235" s="2"/>
      <c r="AL1235" s="2"/>
      <c r="AM1235" s="1"/>
      <c r="AN1235" s="2"/>
      <c r="AP1235" s="2"/>
      <c r="AQ1235" s="1"/>
      <c r="AR1235" s="2"/>
      <c r="AU1235" s="1"/>
      <c r="AW1235" s="1"/>
      <c r="AY1235" s="2"/>
    </row>
    <row r="1236">
      <c r="A1236" s="1"/>
      <c r="C1236" s="1"/>
      <c r="E1236" s="1"/>
      <c r="F1236" s="1"/>
      <c r="G1236" s="2"/>
      <c r="H1236" s="1"/>
      <c r="I1236" s="1"/>
      <c r="J1236" s="1"/>
      <c r="K1236" s="1"/>
      <c r="M1236" s="1"/>
      <c r="N1236" s="1"/>
      <c r="O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2"/>
      <c r="AB1236" s="1"/>
      <c r="AC1236" s="1"/>
      <c r="AD1236" s="1"/>
      <c r="AE1236" s="1"/>
      <c r="AF1236" s="1"/>
      <c r="AG1236" s="1"/>
      <c r="AH1236" s="2"/>
      <c r="AI1236" s="2"/>
      <c r="AJ1236" s="2"/>
      <c r="AK1236" s="2"/>
      <c r="AL1236" s="2"/>
      <c r="AM1236" s="1"/>
      <c r="AN1236" s="2"/>
      <c r="AP1236" s="2"/>
      <c r="AQ1236" s="1"/>
      <c r="AR1236" s="2"/>
      <c r="AU1236" s="1"/>
      <c r="AW1236" s="1"/>
      <c r="AY1236" s="2"/>
    </row>
    <row r="1237">
      <c r="A1237" s="1"/>
      <c r="C1237" s="1"/>
      <c r="E1237" s="1"/>
      <c r="F1237" s="1"/>
      <c r="G1237" s="2"/>
      <c r="H1237" s="1"/>
      <c r="I1237" s="1"/>
      <c r="J1237" s="1"/>
      <c r="K1237" s="1"/>
      <c r="M1237" s="1"/>
      <c r="N1237" s="1"/>
      <c r="O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2"/>
      <c r="AB1237" s="1"/>
      <c r="AC1237" s="1"/>
      <c r="AD1237" s="1"/>
      <c r="AE1237" s="1"/>
      <c r="AF1237" s="1"/>
      <c r="AG1237" s="1"/>
      <c r="AH1237" s="2"/>
      <c r="AI1237" s="2"/>
      <c r="AJ1237" s="2"/>
      <c r="AK1237" s="2"/>
      <c r="AL1237" s="2"/>
      <c r="AM1237" s="1"/>
      <c r="AN1237" s="2"/>
      <c r="AP1237" s="2"/>
      <c r="AQ1237" s="1"/>
      <c r="AR1237" s="2"/>
      <c r="AU1237" s="1"/>
      <c r="AW1237" s="1"/>
      <c r="AY1237" s="2"/>
    </row>
    <row r="1238">
      <c r="A1238" s="1"/>
      <c r="C1238" s="1"/>
      <c r="E1238" s="1"/>
      <c r="F1238" s="1"/>
      <c r="G1238" s="2"/>
      <c r="H1238" s="1"/>
      <c r="I1238" s="1"/>
      <c r="J1238" s="1"/>
      <c r="K1238" s="1"/>
      <c r="M1238" s="1"/>
      <c r="N1238" s="1"/>
      <c r="O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2"/>
      <c r="AB1238" s="1"/>
      <c r="AC1238" s="1"/>
      <c r="AD1238" s="1"/>
      <c r="AE1238" s="1"/>
      <c r="AF1238" s="1"/>
      <c r="AG1238" s="1"/>
      <c r="AH1238" s="2"/>
      <c r="AI1238" s="2"/>
      <c r="AJ1238" s="2"/>
      <c r="AK1238" s="2"/>
      <c r="AL1238" s="2"/>
      <c r="AM1238" s="1"/>
      <c r="AN1238" s="2"/>
      <c r="AP1238" s="2"/>
      <c r="AQ1238" s="1"/>
      <c r="AR1238" s="2"/>
      <c r="AU1238" s="1"/>
      <c r="AW1238" s="1"/>
      <c r="AY1238" s="2"/>
    </row>
    <row r="1239">
      <c r="A1239" s="1"/>
      <c r="C1239" s="1"/>
      <c r="E1239" s="1"/>
      <c r="F1239" s="1"/>
      <c r="G1239" s="2"/>
      <c r="H1239" s="1"/>
      <c r="I1239" s="1"/>
      <c r="J1239" s="1"/>
      <c r="K1239" s="1"/>
      <c r="M1239" s="1"/>
      <c r="N1239" s="1"/>
      <c r="O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2"/>
      <c r="AB1239" s="1"/>
      <c r="AC1239" s="1"/>
      <c r="AD1239" s="1"/>
      <c r="AE1239" s="1"/>
      <c r="AF1239" s="1"/>
      <c r="AG1239" s="1"/>
      <c r="AH1239" s="2"/>
      <c r="AI1239" s="2"/>
      <c r="AJ1239" s="2"/>
      <c r="AK1239" s="2"/>
      <c r="AL1239" s="2"/>
      <c r="AM1239" s="1"/>
      <c r="AN1239" s="2"/>
      <c r="AP1239" s="2"/>
      <c r="AQ1239" s="1"/>
      <c r="AR1239" s="2"/>
      <c r="AU1239" s="1"/>
      <c r="AW1239" s="1"/>
      <c r="AY1239" s="2"/>
    </row>
    <row r="1240">
      <c r="A1240" s="1"/>
      <c r="C1240" s="1"/>
      <c r="E1240" s="1"/>
      <c r="F1240" s="1"/>
      <c r="G1240" s="2"/>
      <c r="H1240" s="1"/>
      <c r="I1240" s="1"/>
      <c r="J1240" s="1"/>
      <c r="K1240" s="1"/>
      <c r="M1240" s="1"/>
      <c r="N1240" s="1"/>
      <c r="O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2"/>
      <c r="AB1240" s="1"/>
      <c r="AC1240" s="1"/>
      <c r="AD1240" s="1"/>
      <c r="AE1240" s="1"/>
      <c r="AF1240" s="1"/>
      <c r="AG1240" s="1"/>
      <c r="AH1240" s="2"/>
      <c r="AI1240" s="2"/>
      <c r="AJ1240" s="2"/>
      <c r="AK1240" s="2"/>
      <c r="AL1240" s="2"/>
      <c r="AM1240" s="1"/>
      <c r="AN1240" s="2"/>
      <c r="AP1240" s="2"/>
      <c r="AQ1240" s="1"/>
      <c r="AR1240" s="2"/>
      <c r="AU1240" s="1"/>
      <c r="AW1240" s="1"/>
      <c r="AY1240" s="2"/>
    </row>
    <row r="1241">
      <c r="A1241" s="1"/>
      <c r="C1241" s="1"/>
      <c r="E1241" s="1"/>
      <c r="F1241" s="1"/>
      <c r="G1241" s="2"/>
      <c r="H1241" s="1"/>
      <c r="I1241" s="1"/>
      <c r="J1241" s="1"/>
      <c r="K1241" s="1"/>
      <c r="M1241" s="1"/>
      <c r="N1241" s="1"/>
      <c r="O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2"/>
      <c r="AB1241" s="1"/>
      <c r="AC1241" s="1"/>
      <c r="AD1241" s="1"/>
      <c r="AE1241" s="1"/>
      <c r="AF1241" s="1"/>
      <c r="AG1241" s="1"/>
      <c r="AH1241" s="2"/>
      <c r="AI1241" s="2"/>
      <c r="AJ1241" s="2"/>
      <c r="AK1241" s="2"/>
      <c r="AL1241" s="2"/>
      <c r="AM1241" s="1"/>
      <c r="AN1241" s="2"/>
      <c r="AP1241" s="2"/>
      <c r="AQ1241" s="1"/>
      <c r="AR1241" s="2"/>
      <c r="AU1241" s="1"/>
      <c r="AW1241" s="1"/>
      <c r="AY1241" s="2"/>
    </row>
    <row r="1242">
      <c r="A1242" s="1"/>
      <c r="C1242" s="1"/>
      <c r="E1242" s="1"/>
      <c r="F1242" s="1"/>
      <c r="G1242" s="2"/>
      <c r="H1242" s="1"/>
      <c r="I1242" s="1"/>
      <c r="J1242" s="1"/>
      <c r="K1242" s="1"/>
      <c r="M1242" s="1"/>
      <c r="N1242" s="1"/>
      <c r="O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2"/>
      <c r="AB1242" s="1"/>
      <c r="AC1242" s="1"/>
      <c r="AD1242" s="1"/>
      <c r="AE1242" s="1"/>
      <c r="AF1242" s="1"/>
      <c r="AG1242" s="1"/>
      <c r="AH1242" s="2"/>
      <c r="AI1242" s="2"/>
      <c r="AJ1242" s="2"/>
      <c r="AK1242" s="2"/>
      <c r="AL1242" s="2"/>
      <c r="AM1242" s="1"/>
      <c r="AN1242" s="2"/>
      <c r="AP1242" s="2"/>
      <c r="AQ1242" s="1"/>
      <c r="AR1242" s="2"/>
      <c r="AU1242" s="1"/>
      <c r="AW1242" s="1"/>
      <c r="AY1242" s="2"/>
    </row>
    <row r="1243">
      <c r="A1243" s="1"/>
      <c r="C1243" s="1"/>
      <c r="E1243" s="1"/>
      <c r="F1243" s="1"/>
      <c r="G1243" s="2"/>
      <c r="H1243" s="1"/>
      <c r="I1243" s="1"/>
      <c r="J1243" s="1"/>
      <c r="K1243" s="1"/>
      <c r="M1243" s="1"/>
      <c r="N1243" s="1"/>
      <c r="O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2"/>
      <c r="AB1243" s="1"/>
      <c r="AC1243" s="1"/>
      <c r="AD1243" s="1"/>
      <c r="AE1243" s="1"/>
      <c r="AF1243" s="1"/>
      <c r="AG1243" s="1"/>
      <c r="AH1243" s="2"/>
      <c r="AI1243" s="2"/>
      <c r="AJ1243" s="2"/>
      <c r="AK1243" s="2"/>
      <c r="AL1243" s="2"/>
      <c r="AM1243" s="1"/>
      <c r="AN1243" s="2"/>
      <c r="AP1243" s="2"/>
      <c r="AQ1243" s="1"/>
      <c r="AR1243" s="2"/>
      <c r="AU1243" s="1"/>
      <c r="AW1243" s="1"/>
      <c r="AY1243" s="2"/>
    </row>
    <row r="1244">
      <c r="A1244" s="1"/>
      <c r="C1244" s="1"/>
      <c r="E1244" s="1"/>
      <c r="F1244" s="1"/>
      <c r="G1244" s="2"/>
      <c r="H1244" s="1"/>
      <c r="I1244" s="1"/>
      <c r="J1244" s="1"/>
      <c r="K1244" s="1"/>
      <c r="M1244" s="1"/>
      <c r="N1244" s="1"/>
      <c r="O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2"/>
      <c r="AB1244" s="1"/>
      <c r="AC1244" s="1"/>
      <c r="AD1244" s="1"/>
      <c r="AE1244" s="1"/>
      <c r="AF1244" s="1"/>
      <c r="AG1244" s="1"/>
      <c r="AH1244" s="2"/>
      <c r="AI1244" s="2"/>
      <c r="AJ1244" s="2"/>
      <c r="AK1244" s="2"/>
      <c r="AL1244" s="2"/>
      <c r="AM1244" s="1"/>
      <c r="AN1244" s="2"/>
      <c r="AP1244" s="2"/>
      <c r="AQ1244" s="1"/>
      <c r="AR1244" s="2"/>
      <c r="AU1244" s="1"/>
      <c r="AW1244" s="1"/>
      <c r="AY1244" s="2"/>
    </row>
    <row r="1245">
      <c r="A1245" s="1"/>
      <c r="C1245" s="1"/>
      <c r="E1245" s="1"/>
      <c r="F1245" s="1"/>
      <c r="G1245" s="2"/>
      <c r="H1245" s="1"/>
      <c r="I1245" s="1"/>
      <c r="J1245" s="1"/>
      <c r="K1245" s="1"/>
      <c r="M1245" s="1"/>
      <c r="N1245" s="1"/>
      <c r="O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2"/>
      <c r="AB1245" s="1"/>
      <c r="AC1245" s="1"/>
      <c r="AD1245" s="1"/>
      <c r="AE1245" s="1"/>
      <c r="AF1245" s="1"/>
      <c r="AG1245" s="1"/>
      <c r="AH1245" s="2"/>
      <c r="AI1245" s="2"/>
      <c r="AJ1245" s="2"/>
      <c r="AK1245" s="2"/>
      <c r="AL1245" s="2"/>
      <c r="AM1245" s="1"/>
      <c r="AN1245" s="2"/>
      <c r="AP1245" s="2"/>
      <c r="AQ1245" s="1"/>
      <c r="AR1245" s="2"/>
      <c r="AU1245" s="1"/>
      <c r="AW1245" s="1"/>
      <c r="AY1245" s="2"/>
    </row>
    <row r="1246">
      <c r="A1246" s="1"/>
      <c r="C1246" s="1"/>
      <c r="E1246" s="1"/>
      <c r="F1246" s="1"/>
      <c r="G1246" s="2"/>
      <c r="H1246" s="1"/>
      <c r="I1246" s="1"/>
      <c r="J1246" s="1"/>
      <c r="K1246" s="1"/>
      <c r="M1246" s="1"/>
      <c r="N1246" s="1"/>
      <c r="O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2"/>
      <c r="AB1246" s="1"/>
      <c r="AC1246" s="1"/>
      <c r="AD1246" s="1"/>
      <c r="AE1246" s="1"/>
      <c r="AF1246" s="1"/>
      <c r="AG1246" s="1"/>
      <c r="AH1246" s="2"/>
      <c r="AI1246" s="2"/>
      <c r="AJ1246" s="2"/>
      <c r="AK1246" s="2"/>
      <c r="AL1246" s="2"/>
      <c r="AM1246" s="1"/>
      <c r="AN1246" s="2"/>
      <c r="AP1246" s="2"/>
      <c r="AQ1246" s="1"/>
      <c r="AR1246" s="2"/>
      <c r="AU1246" s="1"/>
      <c r="AW1246" s="1"/>
      <c r="AY1246" s="2"/>
    </row>
    <row r="1247">
      <c r="A1247" s="1"/>
      <c r="C1247" s="1"/>
      <c r="E1247" s="1"/>
      <c r="F1247" s="1"/>
      <c r="G1247" s="2"/>
      <c r="H1247" s="1"/>
      <c r="I1247" s="1"/>
      <c r="J1247" s="1"/>
      <c r="K1247" s="1"/>
      <c r="M1247" s="1"/>
      <c r="N1247" s="1"/>
      <c r="O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2"/>
      <c r="AB1247" s="1"/>
      <c r="AC1247" s="1"/>
      <c r="AD1247" s="1"/>
      <c r="AE1247" s="1"/>
      <c r="AF1247" s="1"/>
      <c r="AG1247" s="1"/>
      <c r="AH1247" s="2"/>
      <c r="AI1247" s="2"/>
      <c r="AJ1247" s="2"/>
      <c r="AK1247" s="2"/>
      <c r="AL1247" s="2"/>
      <c r="AM1247" s="1"/>
      <c r="AN1247" s="2"/>
      <c r="AP1247" s="2"/>
      <c r="AQ1247" s="1"/>
      <c r="AR1247" s="2"/>
      <c r="AU1247" s="1"/>
      <c r="AW1247" s="1"/>
      <c r="AY1247" s="2"/>
    </row>
    <row r="1248">
      <c r="A1248" s="1"/>
      <c r="C1248" s="1"/>
      <c r="E1248" s="1"/>
      <c r="F1248" s="1"/>
      <c r="G1248" s="2"/>
      <c r="H1248" s="1"/>
      <c r="I1248" s="1"/>
      <c r="J1248" s="1"/>
      <c r="K1248" s="1"/>
      <c r="M1248" s="1"/>
      <c r="N1248" s="1"/>
      <c r="O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2"/>
      <c r="AB1248" s="1"/>
      <c r="AC1248" s="1"/>
      <c r="AD1248" s="1"/>
      <c r="AE1248" s="1"/>
      <c r="AF1248" s="1"/>
      <c r="AG1248" s="1"/>
      <c r="AH1248" s="2"/>
      <c r="AI1248" s="2"/>
      <c r="AJ1248" s="2"/>
      <c r="AK1248" s="2"/>
      <c r="AL1248" s="2"/>
      <c r="AM1248" s="1"/>
      <c r="AN1248" s="2"/>
      <c r="AP1248" s="2"/>
      <c r="AQ1248" s="1"/>
      <c r="AR1248" s="2"/>
      <c r="AU1248" s="1"/>
      <c r="AW1248" s="1"/>
      <c r="AY1248" s="2"/>
    </row>
    <row r="1249">
      <c r="A1249" s="1"/>
      <c r="C1249" s="1"/>
      <c r="E1249" s="1"/>
      <c r="F1249" s="1"/>
      <c r="G1249" s="2"/>
      <c r="H1249" s="1"/>
      <c r="I1249" s="1"/>
      <c r="J1249" s="1"/>
      <c r="K1249" s="1"/>
      <c r="M1249" s="1"/>
      <c r="N1249" s="1"/>
      <c r="O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2"/>
      <c r="AB1249" s="1"/>
      <c r="AC1249" s="1"/>
      <c r="AD1249" s="1"/>
      <c r="AE1249" s="1"/>
      <c r="AF1249" s="1"/>
      <c r="AG1249" s="1"/>
      <c r="AH1249" s="2"/>
      <c r="AI1249" s="2"/>
      <c r="AJ1249" s="2"/>
      <c r="AK1249" s="2"/>
      <c r="AL1249" s="2"/>
      <c r="AM1249" s="1"/>
      <c r="AN1249" s="2"/>
      <c r="AP1249" s="2"/>
      <c r="AQ1249" s="1"/>
      <c r="AR1249" s="2"/>
      <c r="AU1249" s="1"/>
      <c r="AW1249" s="1"/>
      <c r="AY1249" s="2"/>
    </row>
    <row r="1250">
      <c r="A1250" s="1"/>
      <c r="C1250" s="1"/>
      <c r="E1250" s="1"/>
      <c r="F1250" s="1"/>
      <c r="G1250" s="2"/>
      <c r="H1250" s="1"/>
      <c r="I1250" s="1"/>
      <c r="J1250" s="1"/>
      <c r="K1250" s="1"/>
      <c r="M1250" s="1"/>
      <c r="N1250" s="1"/>
      <c r="O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2"/>
      <c r="AB1250" s="1"/>
      <c r="AC1250" s="1"/>
      <c r="AD1250" s="1"/>
      <c r="AE1250" s="1"/>
      <c r="AF1250" s="1"/>
      <c r="AG1250" s="1"/>
      <c r="AH1250" s="2"/>
      <c r="AI1250" s="2"/>
      <c r="AJ1250" s="2"/>
      <c r="AK1250" s="2"/>
      <c r="AL1250" s="2"/>
      <c r="AM1250" s="1"/>
      <c r="AN1250" s="2"/>
      <c r="AP1250" s="2"/>
      <c r="AQ1250" s="1"/>
      <c r="AR1250" s="2"/>
      <c r="AU1250" s="1"/>
      <c r="AW1250" s="1"/>
      <c r="AY1250" s="2"/>
    </row>
    <row r="1251">
      <c r="A1251" s="1"/>
      <c r="C1251" s="1"/>
      <c r="E1251" s="1"/>
      <c r="F1251" s="1"/>
      <c r="G1251" s="2"/>
      <c r="H1251" s="1"/>
      <c r="I1251" s="1"/>
      <c r="J1251" s="1"/>
      <c r="K1251" s="1"/>
      <c r="M1251" s="1"/>
      <c r="N1251" s="1"/>
      <c r="O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2"/>
      <c r="AB1251" s="1"/>
      <c r="AC1251" s="1"/>
      <c r="AD1251" s="1"/>
      <c r="AE1251" s="1"/>
      <c r="AF1251" s="1"/>
      <c r="AG1251" s="1"/>
      <c r="AH1251" s="2"/>
      <c r="AI1251" s="2"/>
      <c r="AJ1251" s="2"/>
      <c r="AK1251" s="2"/>
      <c r="AL1251" s="2"/>
      <c r="AM1251" s="1"/>
      <c r="AN1251" s="2"/>
      <c r="AP1251" s="2"/>
      <c r="AQ1251" s="1"/>
      <c r="AR1251" s="2"/>
      <c r="AU1251" s="1"/>
      <c r="AW1251" s="1"/>
      <c r="AY1251" s="2"/>
    </row>
    <row r="1252">
      <c r="A1252" s="1"/>
      <c r="C1252" s="1"/>
      <c r="E1252" s="1"/>
      <c r="F1252" s="1"/>
      <c r="G1252" s="2"/>
      <c r="H1252" s="1"/>
      <c r="I1252" s="1"/>
      <c r="J1252" s="1"/>
      <c r="K1252" s="1"/>
      <c r="M1252" s="1"/>
      <c r="N1252" s="1"/>
      <c r="O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2"/>
      <c r="AB1252" s="1"/>
      <c r="AC1252" s="1"/>
      <c r="AD1252" s="1"/>
      <c r="AE1252" s="1"/>
      <c r="AF1252" s="1"/>
      <c r="AG1252" s="1"/>
      <c r="AH1252" s="2"/>
      <c r="AI1252" s="2"/>
      <c r="AJ1252" s="2"/>
      <c r="AK1252" s="2"/>
      <c r="AL1252" s="2"/>
      <c r="AM1252" s="1"/>
      <c r="AN1252" s="2"/>
      <c r="AP1252" s="2"/>
      <c r="AQ1252" s="1"/>
      <c r="AR1252" s="2"/>
      <c r="AU1252" s="1"/>
      <c r="AW1252" s="1"/>
      <c r="AY1252" s="2"/>
    </row>
    <row r="1253">
      <c r="A1253" s="1"/>
      <c r="C1253" s="1"/>
      <c r="E1253" s="1"/>
      <c r="F1253" s="1"/>
      <c r="G1253" s="2"/>
      <c r="H1253" s="1"/>
      <c r="I1253" s="1"/>
      <c r="J1253" s="1"/>
      <c r="K1253" s="1"/>
      <c r="M1253" s="1"/>
      <c r="N1253" s="1"/>
      <c r="O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2"/>
      <c r="AB1253" s="1"/>
      <c r="AC1253" s="1"/>
      <c r="AD1253" s="1"/>
      <c r="AE1253" s="1"/>
      <c r="AF1253" s="1"/>
      <c r="AG1253" s="1"/>
      <c r="AH1253" s="2"/>
      <c r="AI1253" s="2"/>
      <c r="AJ1253" s="2"/>
      <c r="AK1253" s="2"/>
      <c r="AL1253" s="2"/>
      <c r="AM1253" s="1"/>
      <c r="AN1253" s="2"/>
      <c r="AP1253" s="2"/>
      <c r="AQ1253" s="1"/>
      <c r="AR1253" s="2"/>
      <c r="AU1253" s="1"/>
      <c r="AW1253" s="1"/>
      <c r="AY1253" s="2"/>
    </row>
    <row r="1254">
      <c r="A1254" s="1"/>
      <c r="C1254" s="1"/>
      <c r="E1254" s="1"/>
      <c r="F1254" s="1"/>
      <c r="G1254" s="2"/>
      <c r="H1254" s="1"/>
      <c r="I1254" s="1"/>
      <c r="J1254" s="1"/>
      <c r="K1254" s="1"/>
      <c r="M1254" s="1"/>
      <c r="N1254" s="1"/>
      <c r="O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2"/>
      <c r="AB1254" s="1"/>
      <c r="AC1254" s="1"/>
      <c r="AD1254" s="1"/>
      <c r="AE1254" s="1"/>
      <c r="AF1254" s="1"/>
      <c r="AG1254" s="1"/>
      <c r="AH1254" s="2"/>
      <c r="AI1254" s="2"/>
      <c r="AJ1254" s="2"/>
      <c r="AK1254" s="2"/>
      <c r="AL1254" s="2"/>
      <c r="AM1254" s="1"/>
      <c r="AN1254" s="2"/>
      <c r="AP1254" s="2"/>
      <c r="AQ1254" s="1"/>
      <c r="AR1254" s="2"/>
      <c r="AU1254" s="1"/>
      <c r="AW1254" s="1"/>
      <c r="AY1254" s="2"/>
    </row>
    <row r="1255">
      <c r="A1255" s="1"/>
      <c r="C1255" s="1"/>
      <c r="E1255" s="1"/>
      <c r="F1255" s="1"/>
      <c r="G1255" s="2"/>
      <c r="H1255" s="1"/>
      <c r="I1255" s="1"/>
      <c r="J1255" s="1"/>
      <c r="K1255" s="1"/>
      <c r="M1255" s="1"/>
      <c r="N1255" s="1"/>
      <c r="O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2"/>
      <c r="AB1255" s="1"/>
      <c r="AC1255" s="1"/>
      <c r="AD1255" s="1"/>
      <c r="AE1255" s="1"/>
      <c r="AF1255" s="1"/>
      <c r="AG1255" s="1"/>
      <c r="AH1255" s="2"/>
      <c r="AI1255" s="2"/>
      <c r="AJ1255" s="2"/>
      <c r="AK1255" s="2"/>
      <c r="AL1255" s="2"/>
      <c r="AM1255" s="1"/>
      <c r="AN1255" s="2"/>
      <c r="AP1255" s="2"/>
      <c r="AQ1255" s="1"/>
      <c r="AR1255" s="2"/>
      <c r="AU1255" s="1"/>
      <c r="AW1255" s="1"/>
      <c r="AY1255" s="2"/>
    </row>
    <row r="1256">
      <c r="A1256" s="1"/>
      <c r="C1256" s="1"/>
      <c r="E1256" s="1"/>
      <c r="F1256" s="1"/>
      <c r="G1256" s="2"/>
      <c r="H1256" s="1"/>
      <c r="I1256" s="1"/>
      <c r="J1256" s="1"/>
      <c r="K1256" s="1"/>
      <c r="M1256" s="1"/>
      <c r="N1256" s="1"/>
      <c r="O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2"/>
      <c r="AB1256" s="1"/>
      <c r="AC1256" s="1"/>
      <c r="AD1256" s="1"/>
      <c r="AE1256" s="1"/>
      <c r="AF1256" s="1"/>
      <c r="AG1256" s="1"/>
      <c r="AH1256" s="2"/>
      <c r="AI1256" s="2"/>
      <c r="AJ1256" s="2"/>
      <c r="AK1256" s="2"/>
      <c r="AL1256" s="2"/>
      <c r="AM1256" s="1"/>
      <c r="AN1256" s="2"/>
      <c r="AP1256" s="2"/>
      <c r="AQ1256" s="1"/>
      <c r="AR1256" s="2"/>
      <c r="AU1256" s="1"/>
      <c r="AW1256" s="1"/>
      <c r="AY1256" s="2"/>
    </row>
    <row r="1257">
      <c r="A1257" s="1"/>
      <c r="C1257" s="1"/>
      <c r="E1257" s="1"/>
      <c r="F1257" s="1"/>
      <c r="G1257" s="2"/>
      <c r="H1257" s="1"/>
      <c r="I1257" s="1"/>
      <c r="J1257" s="1"/>
      <c r="K1257" s="1"/>
      <c r="M1257" s="1"/>
      <c r="N1257" s="1"/>
      <c r="O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2"/>
      <c r="AB1257" s="1"/>
      <c r="AC1257" s="1"/>
      <c r="AD1257" s="1"/>
      <c r="AE1257" s="1"/>
      <c r="AF1257" s="1"/>
      <c r="AG1257" s="1"/>
      <c r="AH1257" s="2"/>
      <c r="AI1257" s="2"/>
      <c r="AJ1257" s="2"/>
      <c r="AK1257" s="2"/>
      <c r="AL1257" s="2"/>
      <c r="AM1257" s="1"/>
      <c r="AN1257" s="2"/>
      <c r="AP1257" s="2"/>
      <c r="AQ1257" s="1"/>
      <c r="AR1257" s="2"/>
      <c r="AU1257" s="1"/>
      <c r="AW1257" s="1"/>
      <c r="AY1257" s="2"/>
    </row>
    <row r="1258">
      <c r="A1258" s="1"/>
      <c r="C1258" s="1"/>
      <c r="E1258" s="1"/>
      <c r="F1258" s="1"/>
      <c r="G1258" s="2"/>
      <c r="H1258" s="1"/>
      <c r="I1258" s="1"/>
      <c r="J1258" s="1"/>
      <c r="K1258" s="1"/>
      <c r="M1258" s="1"/>
      <c r="N1258" s="1"/>
      <c r="O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2"/>
      <c r="AB1258" s="1"/>
      <c r="AC1258" s="1"/>
      <c r="AD1258" s="1"/>
      <c r="AE1258" s="1"/>
      <c r="AF1258" s="1"/>
      <c r="AG1258" s="1"/>
      <c r="AH1258" s="2"/>
      <c r="AI1258" s="2"/>
      <c r="AJ1258" s="2"/>
      <c r="AK1258" s="2"/>
      <c r="AL1258" s="2"/>
      <c r="AM1258" s="1"/>
      <c r="AN1258" s="2"/>
      <c r="AP1258" s="2"/>
      <c r="AQ1258" s="1"/>
      <c r="AR1258" s="2"/>
      <c r="AU1258" s="1"/>
      <c r="AW1258" s="1"/>
      <c r="AY1258" s="2"/>
    </row>
    <row r="1259">
      <c r="A1259" s="1"/>
      <c r="C1259" s="1"/>
      <c r="E1259" s="1"/>
      <c r="F1259" s="1"/>
      <c r="G1259" s="2"/>
      <c r="H1259" s="1"/>
      <c r="I1259" s="1"/>
      <c r="J1259" s="1"/>
      <c r="K1259" s="1"/>
      <c r="M1259" s="1"/>
      <c r="N1259" s="1"/>
      <c r="O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2"/>
      <c r="AB1259" s="1"/>
      <c r="AC1259" s="1"/>
      <c r="AD1259" s="1"/>
      <c r="AE1259" s="1"/>
      <c r="AF1259" s="1"/>
      <c r="AG1259" s="1"/>
      <c r="AH1259" s="2"/>
      <c r="AI1259" s="2"/>
      <c r="AJ1259" s="2"/>
      <c r="AK1259" s="2"/>
      <c r="AL1259" s="2"/>
      <c r="AM1259" s="1"/>
      <c r="AN1259" s="2"/>
      <c r="AP1259" s="2"/>
      <c r="AQ1259" s="1"/>
      <c r="AR1259" s="2"/>
      <c r="AU1259" s="1"/>
      <c r="AW1259" s="1"/>
      <c r="AY1259" s="2"/>
    </row>
    <row r="1260">
      <c r="A1260" s="1"/>
      <c r="C1260" s="1"/>
      <c r="E1260" s="1"/>
      <c r="F1260" s="1"/>
      <c r="G1260" s="2"/>
      <c r="H1260" s="1"/>
      <c r="I1260" s="1"/>
      <c r="J1260" s="1"/>
      <c r="K1260" s="1"/>
      <c r="M1260" s="1"/>
      <c r="N1260" s="1"/>
      <c r="O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2"/>
      <c r="AB1260" s="1"/>
      <c r="AC1260" s="1"/>
      <c r="AD1260" s="1"/>
      <c r="AE1260" s="1"/>
      <c r="AF1260" s="1"/>
      <c r="AG1260" s="1"/>
      <c r="AH1260" s="2"/>
      <c r="AI1260" s="2"/>
      <c r="AJ1260" s="2"/>
      <c r="AK1260" s="2"/>
      <c r="AL1260" s="2"/>
      <c r="AM1260" s="1"/>
      <c r="AN1260" s="2"/>
      <c r="AP1260" s="2"/>
      <c r="AQ1260" s="1"/>
      <c r="AR1260" s="2"/>
      <c r="AU1260" s="1"/>
      <c r="AW1260" s="1"/>
      <c r="AY1260" s="2"/>
    </row>
    <row r="1261">
      <c r="A1261" s="1"/>
      <c r="C1261" s="1"/>
      <c r="E1261" s="1"/>
      <c r="F1261" s="1"/>
      <c r="G1261" s="2"/>
      <c r="H1261" s="1"/>
      <c r="I1261" s="1"/>
      <c r="J1261" s="1"/>
      <c r="K1261" s="1"/>
      <c r="M1261" s="1"/>
      <c r="N1261" s="1"/>
      <c r="O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2"/>
      <c r="AB1261" s="1"/>
      <c r="AC1261" s="1"/>
      <c r="AD1261" s="1"/>
      <c r="AE1261" s="1"/>
      <c r="AF1261" s="1"/>
      <c r="AG1261" s="1"/>
      <c r="AH1261" s="2"/>
      <c r="AI1261" s="2"/>
      <c r="AJ1261" s="2"/>
      <c r="AK1261" s="2"/>
      <c r="AL1261" s="2"/>
      <c r="AM1261" s="1"/>
      <c r="AN1261" s="2"/>
      <c r="AP1261" s="2"/>
      <c r="AQ1261" s="1"/>
      <c r="AR1261" s="2"/>
      <c r="AU1261" s="1"/>
      <c r="AW1261" s="1"/>
      <c r="AY1261" s="2"/>
    </row>
    <row r="1262">
      <c r="A1262" s="1"/>
      <c r="C1262" s="1"/>
      <c r="E1262" s="1"/>
      <c r="F1262" s="1"/>
      <c r="G1262" s="2"/>
      <c r="H1262" s="1"/>
      <c r="I1262" s="1"/>
      <c r="J1262" s="1"/>
      <c r="K1262" s="1"/>
      <c r="M1262" s="1"/>
      <c r="N1262" s="1"/>
      <c r="O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2"/>
      <c r="AB1262" s="1"/>
      <c r="AC1262" s="1"/>
      <c r="AD1262" s="1"/>
      <c r="AE1262" s="1"/>
      <c r="AF1262" s="1"/>
      <c r="AG1262" s="1"/>
      <c r="AH1262" s="2"/>
      <c r="AI1262" s="2"/>
      <c r="AJ1262" s="2"/>
      <c r="AK1262" s="2"/>
      <c r="AL1262" s="2"/>
      <c r="AM1262" s="1"/>
      <c r="AN1262" s="2"/>
      <c r="AP1262" s="2"/>
      <c r="AQ1262" s="1"/>
      <c r="AR1262" s="2"/>
      <c r="AU1262" s="1"/>
      <c r="AW1262" s="1"/>
      <c r="AY1262" s="2"/>
    </row>
    <row r="1263">
      <c r="A1263" s="1"/>
      <c r="C1263" s="1"/>
      <c r="E1263" s="1"/>
      <c r="F1263" s="1"/>
      <c r="G1263" s="2"/>
      <c r="H1263" s="1"/>
      <c r="I1263" s="1"/>
      <c r="J1263" s="1"/>
      <c r="K1263" s="1"/>
      <c r="M1263" s="1"/>
      <c r="N1263" s="1"/>
      <c r="O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2"/>
      <c r="AB1263" s="1"/>
      <c r="AC1263" s="1"/>
      <c r="AD1263" s="1"/>
      <c r="AE1263" s="1"/>
      <c r="AF1263" s="1"/>
      <c r="AG1263" s="1"/>
      <c r="AH1263" s="2"/>
      <c r="AI1263" s="2"/>
      <c r="AJ1263" s="2"/>
      <c r="AK1263" s="2"/>
      <c r="AL1263" s="2"/>
      <c r="AM1263" s="1"/>
      <c r="AN1263" s="2"/>
      <c r="AP1263" s="2"/>
      <c r="AQ1263" s="1"/>
      <c r="AR1263" s="2"/>
      <c r="AU1263" s="1"/>
      <c r="AW1263" s="1"/>
      <c r="AY1263" s="2"/>
    </row>
    <row r="1264">
      <c r="A1264" s="1"/>
      <c r="C1264" s="1"/>
      <c r="E1264" s="1"/>
      <c r="F1264" s="1"/>
      <c r="G1264" s="2"/>
      <c r="H1264" s="1"/>
      <c r="I1264" s="1"/>
      <c r="J1264" s="1"/>
      <c r="K1264" s="1"/>
      <c r="M1264" s="1"/>
      <c r="N1264" s="1"/>
      <c r="O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2"/>
      <c r="AB1264" s="1"/>
      <c r="AC1264" s="1"/>
      <c r="AD1264" s="1"/>
      <c r="AE1264" s="1"/>
      <c r="AF1264" s="1"/>
      <c r="AG1264" s="1"/>
      <c r="AH1264" s="2"/>
      <c r="AI1264" s="2"/>
      <c r="AJ1264" s="2"/>
      <c r="AK1264" s="2"/>
      <c r="AL1264" s="2"/>
      <c r="AM1264" s="1"/>
      <c r="AN1264" s="2"/>
      <c r="AP1264" s="2"/>
      <c r="AQ1264" s="1"/>
      <c r="AR1264" s="2"/>
      <c r="AU1264" s="1"/>
      <c r="AW1264" s="1"/>
      <c r="AY1264" s="2"/>
    </row>
    <row r="1265">
      <c r="A1265" s="1"/>
      <c r="C1265" s="1"/>
      <c r="E1265" s="1"/>
      <c r="F1265" s="1"/>
      <c r="G1265" s="2"/>
      <c r="H1265" s="1"/>
      <c r="I1265" s="1"/>
      <c r="J1265" s="1"/>
      <c r="K1265" s="1"/>
      <c r="M1265" s="1"/>
      <c r="N1265" s="1"/>
      <c r="O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2"/>
      <c r="AB1265" s="1"/>
      <c r="AC1265" s="1"/>
      <c r="AD1265" s="1"/>
      <c r="AE1265" s="1"/>
      <c r="AF1265" s="1"/>
      <c r="AG1265" s="1"/>
      <c r="AH1265" s="2"/>
      <c r="AI1265" s="2"/>
      <c r="AJ1265" s="2"/>
      <c r="AK1265" s="2"/>
      <c r="AL1265" s="2"/>
      <c r="AM1265" s="1"/>
      <c r="AN1265" s="2"/>
      <c r="AP1265" s="2"/>
      <c r="AQ1265" s="1"/>
      <c r="AR1265" s="2"/>
      <c r="AU1265" s="1"/>
      <c r="AW1265" s="1"/>
      <c r="AY1265" s="2"/>
    </row>
    <row r="1266">
      <c r="A1266" s="1"/>
      <c r="C1266" s="1"/>
      <c r="E1266" s="1"/>
      <c r="F1266" s="1"/>
      <c r="G1266" s="2"/>
      <c r="H1266" s="1"/>
      <c r="I1266" s="1"/>
      <c r="J1266" s="1"/>
      <c r="K1266" s="1"/>
      <c r="M1266" s="1"/>
      <c r="N1266" s="1"/>
      <c r="O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2"/>
      <c r="AB1266" s="1"/>
      <c r="AC1266" s="1"/>
      <c r="AD1266" s="1"/>
      <c r="AE1266" s="1"/>
      <c r="AF1266" s="1"/>
      <c r="AG1266" s="1"/>
      <c r="AH1266" s="2"/>
      <c r="AI1266" s="2"/>
      <c r="AJ1266" s="2"/>
      <c r="AK1266" s="2"/>
      <c r="AL1266" s="2"/>
      <c r="AM1266" s="1"/>
      <c r="AN1266" s="2"/>
      <c r="AP1266" s="2"/>
      <c r="AQ1266" s="1"/>
      <c r="AR1266" s="2"/>
      <c r="AU1266" s="1"/>
      <c r="AW1266" s="1"/>
      <c r="AY1266" s="2"/>
    </row>
    <row r="1267">
      <c r="A1267" s="1"/>
      <c r="C1267" s="1"/>
      <c r="E1267" s="1"/>
      <c r="F1267" s="1"/>
      <c r="G1267" s="2"/>
      <c r="H1267" s="1"/>
      <c r="I1267" s="1"/>
      <c r="J1267" s="1"/>
      <c r="K1267" s="1"/>
      <c r="M1267" s="1"/>
      <c r="N1267" s="1"/>
      <c r="O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2"/>
      <c r="AB1267" s="1"/>
      <c r="AC1267" s="1"/>
      <c r="AD1267" s="1"/>
      <c r="AE1267" s="1"/>
      <c r="AF1267" s="1"/>
      <c r="AG1267" s="1"/>
      <c r="AH1267" s="2"/>
      <c r="AI1267" s="2"/>
      <c r="AJ1267" s="2"/>
      <c r="AK1267" s="2"/>
      <c r="AL1267" s="2"/>
      <c r="AM1267" s="1"/>
      <c r="AN1267" s="2"/>
      <c r="AP1267" s="2"/>
      <c r="AQ1267" s="1"/>
      <c r="AR1267" s="2"/>
      <c r="AU1267" s="1"/>
      <c r="AW1267" s="1"/>
      <c r="AY1267" s="2"/>
    </row>
    <row r="1268">
      <c r="A1268" s="1"/>
      <c r="C1268" s="1"/>
      <c r="E1268" s="1"/>
      <c r="F1268" s="1"/>
      <c r="G1268" s="2"/>
      <c r="H1268" s="1"/>
      <c r="I1268" s="1"/>
      <c r="J1268" s="1"/>
      <c r="K1268" s="1"/>
      <c r="M1268" s="1"/>
      <c r="N1268" s="1"/>
      <c r="O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2"/>
      <c r="AB1268" s="1"/>
      <c r="AC1268" s="1"/>
      <c r="AD1268" s="1"/>
      <c r="AE1268" s="1"/>
      <c r="AF1268" s="1"/>
      <c r="AG1268" s="1"/>
      <c r="AH1268" s="2"/>
      <c r="AI1268" s="2"/>
      <c r="AJ1268" s="2"/>
      <c r="AK1268" s="2"/>
      <c r="AL1268" s="2"/>
      <c r="AM1268" s="1"/>
      <c r="AN1268" s="2"/>
      <c r="AP1268" s="2"/>
      <c r="AQ1268" s="1"/>
      <c r="AR1268" s="2"/>
      <c r="AU1268" s="1"/>
      <c r="AW1268" s="1"/>
      <c r="AY1268" s="2"/>
    </row>
    <row r="1269">
      <c r="A1269" s="1"/>
      <c r="C1269" s="1"/>
      <c r="E1269" s="1"/>
      <c r="F1269" s="1"/>
      <c r="G1269" s="2"/>
      <c r="H1269" s="1"/>
      <c r="I1269" s="1"/>
      <c r="J1269" s="1"/>
      <c r="K1269" s="1"/>
      <c r="M1269" s="1"/>
      <c r="N1269" s="1"/>
      <c r="O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2"/>
      <c r="AB1269" s="1"/>
      <c r="AC1269" s="1"/>
      <c r="AD1269" s="1"/>
      <c r="AE1269" s="1"/>
      <c r="AF1269" s="1"/>
      <c r="AG1269" s="1"/>
      <c r="AH1269" s="2"/>
      <c r="AI1269" s="2"/>
      <c r="AJ1269" s="2"/>
      <c r="AK1269" s="2"/>
      <c r="AL1269" s="2"/>
      <c r="AM1269" s="1"/>
      <c r="AN1269" s="2"/>
      <c r="AP1269" s="2"/>
      <c r="AQ1269" s="1"/>
      <c r="AR1269" s="2"/>
      <c r="AU1269" s="1"/>
      <c r="AW1269" s="1"/>
      <c r="AY1269" s="2"/>
    </row>
    <row r="1270">
      <c r="A1270" s="1"/>
      <c r="C1270" s="1"/>
      <c r="E1270" s="1"/>
      <c r="F1270" s="1"/>
      <c r="G1270" s="2"/>
      <c r="H1270" s="1"/>
      <c r="I1270" s="1"/>
      <c r="J1270" s="1"/>
      <c r="K1270" s="1"/>
      <c r="M1270" s="1"/>
      <c r="N1270" s="1"/>
      <c r="O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2"/>
      <c r="AB1270" s="1"/>
      <c r="AC1270" s="1"/>
      <c r="AD1270" s="1"/>
      <c r="AE1270" s="1"/>
      <c r="AF1270" s="1"/>
      <c r="AG1270" s="1"/>
      <c r="AH1270" s="2"/>
      <c r="AI1270" s="2"/>
      <c r="AJ1270" s="2"/>
      <c r="AK1270" s="2"/>
      <c r="AL1270" s="2"/>
      <c r="AM1270" s="1"/>
      <c r="AN1270" s="2"/>
      <c r="AP1270" s="2"/>
      <c r="AQ1270" s="1"/>
      <c r="AR1270" s="2"/>
      <c r="AU1270" s="1"/>
      <c r="AW1270" s="1"/>
      <c r="AY1270" s="2"/>
    </row>
    <row r="1271">
      <c r="A1271" s="1"/>
      <c r="C1271" s="1"/>
      <c r="E1271" s="1"/>
      <c r="F1271" s="1"/>
      <c r="G1271" s="2"/>
      <c r="H1271" s="1"/>
      <c r="I1271" s="1"/>
      <c r="J1271" s="1"/>
      <c r="K1271" s="1"/>
      <c r="M1271" s="1"/>
      <c r="N1271" s="1"/>
      <c r="O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2"/>
      <c r="AB1271" s="1"/>
      <c r="AC1271" s="1"/>
      <c r="AD1271" s="1"/>
      <c r="AE1271" s="1"/>
      <c r="AF1271" s="1"/>
      <c r="AG1271" s="1"/>
      <c r="AH1271" s="2"/>
      <c r="AI1271" s="2"/>
      <c r="AJ1271" s="2"/>
      <c r="AK1271" s="2"/>
      <c r="AL1271" s="2"/>
      <c r="AM1271" s="1"/>
      <c r="AN1271" s="2"/>
      <c r="AP1271" s="2"/>
      <c r="AQ1271" s="1"/>
      <c r="AR1271" s="2"/>
      <c r="AU1271" s="1"/>
      <c r="AW1271" s="1"/>
      <c r="AY1271" s="2"/>
    </row>
    <row r="1272">
      <c r="A1272" s="1"/>
      <c r="C1272" s="1"/>
      <c r="E1272" s="1"/>
      <c r="F1272" s="1"/>
      <c r="G1272" s="2"/>
      <c r="H1272" s="1"/>
      <c r="I1272" s="1"/>
      <c r="J1272" s="1"/>
      <c r="K1272" s="1"/>
      <c r="M1272" s="1"/>
      <c r="N1272" s="1"/>
      <c r="O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2"/>
      <c r="AB1272" s="1"/>
      <c r="AC1272" s="1"/>
      <c r="AD1272" s="1"/>
      <c r="AE1272" s="1"/>
      <c r="AF1272" s="1"/>
      <c r="AG1272" s="1"/>
      <c r="AH1272" s="2"/>
      <c r="AI1272" s="2"/>
      <c r="AJ1272" s="2"/>
      <c r="AK1272" s="2"/>
      <c r="AL1272" s="2"/>
      <c r="AM1272" s="1"/>
      <c r="AN1272" s="2"/>
      <c r="AP1272" s="2"/>
      <c r="AQ1272" s="1"/>
      <c r="AR1272" s="2"/>
      <c r="AU1272" s="1"/>
      <c r="AW1272" s="1"/>
      <c r="AY1272" s="2"/>
    </row>
    <row r="1273">
      <c r="A1273" s="1"/>
      <c r="C1273" s="1"/>
      <c r="E1273" s="1"/>
      <c r="F1273" s="1"/>
      <c r="G1273" s="2"/>
      <c r="H1273" s="1"/>
      <c r="I1273" s="1"/>
      <c r="J1273" s="1"/>
      <c r="K1273" s="1"/>
      <c r="M1273" s="1"/>
      <c r="N1273" s="1"/>
      <c r="O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2"/>
      <c r="AB1273" s="1"/>
      <c r="AC1273" s="1"/>
      <c r="AD1273" s="1"/>
      <c r="AE1273" s="1"/>
      <c r="AF1273" s="1"/>
      <c r="AG1273" s="1"/>
      <c r="AH1273" s="2"/>
      <c r="AI1273" s="2"/>
      <c r="AJ1273" s="2"/>
      <c r="AK1273" s="2"/>
      <c r="AL1273" s="2"/>
      <c r="AM1273" s="1"/>
      <c r="AN1273" s="2"/>
      <c r="AP1273" s="2"/>
      <c r="AQ1273" s="1"/>
      <c r="AR1273" s="2"/>
      <c r="AU1273" s="1"/>
      <c r="AW1273" s="1"/>
      <c r="AY1273" s="2"/>
    </row>
    <row r="1274">
      <c r="A1274" s="1"/>
      <c r="C1274" s="1"/>
      <c r="E1274" s="1"/>
      <c r="F1274" s="1"/>
      <c r="G1274" s="2"/>
      <c r="H1274" s="1"/>
      <c r="I1274" s="1"/>
      <c r="J1274" s="1"/>
      <c r="K1274" s="1"/>
      <c r="M1274" s="1"/>
      <c r="N1274" s="1"/>
      <c r="O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2"/>
      <c r="AB1274" s="1"/>
      <c r="AC1274" s="1"/>
      <c r="AD1274" s="1"/>
      <c r="AE1274" s="1"/>
      <c r="AF1274" s="1"/>
      <c r="AG1274" s="1"/>
      <c r="AH1274" s="2"/>
      <c r="AI1274" s="2"/>
      <c r="AJ1274" s="2"/>
      <c r="AK1274" s="2"/>
      <c r="AL1274" s="2"/>
      <c r="AM1274" s="1"/>
      <c r="AN1274" s="2"/>
      <c r="AP1274" s="2"/>
      <c r="AQ1274" s="1"/>
      <c r="AR1274" s="2"/>
      <c r="AU1274" s="1"/>
      <c r="AW1274" s="1"/>
      <c r="AY1274" s="2"/>
    </row>
    <row r="1275">
      <c r="A1275" s="1"/>
      <c r="C1275" s="1"/>
      <c r="E1275" s="1"/>
      <c r="F1275" s="1"/>
      <c r="G1275" s="2"/>
      <c r="H1275" s="1"/>
      <c r="I1275" s="1"/>
      <c r="J1275" s="1"/>
      <c r="K1275" s="1"/>
      <c r="M1275" s="1"/>
      <c r="N1275" s="1"/>
      <c r="O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2"/>
      <c r="AB1275" s="1"/>
      <c r="AC1275" s="1"/>
      <c r="AD1275" s="1"/>
      <c r="AE1275" s="1"/>
      <c r="AF1275" s="1"/>
      <c r="AG1275" s="1"/>
      <c r="AH1275" s="2"/>
      <c r="AI1275" s="2"/>
      <c r="AJ1275" s="2"/>
      <c r="AK1275" s="2"/>
      <c r="AL1275" s="2"/>
      <c r="AM1275" s="1"/>
      <c r="AN1275" s="2"/>
      <c r="AP1275" s="2"/>
      <c r="AQ1275" s="1"/>
      <c r="AR1275" s="2"/>
      <c r="AU1275" s="1"/>
      <c r="AW1275" s="1"/>
      <c r="AY1275" s="2"/>
    </row>
    <row r="1276">
      <c r="A1276" s="1"/>
      <c r="C1276" s="1"/>
      <c r="E1276" s="1"/>
      <c r="F1276" s="1"/>
      <c r="G1276" s="2"/>
      <c r="H1276" s="1"/>
      <c r="I1276" s="1"/>
      <c r="J1276" s="1"/>
      <c r="K1276" s="1"/>
      <c r="M1276" s="1"/>
      <c r="N1276" s="1"/>
      <c r="O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2"/>
      <c r="AB1276" s="1"/>
      <c r="AC1276" s="1"/>
      <c r="AD1276" s="1"/>
      <c r="AE1276" s="1"/>
      <c r="AF1276" s="1"/>
      <c r="AG1276" s="1"/>
      <c r="AH1276" s="2"/>
      <c r="AI1276" s="2"/>
      <c r="AJ1276" s="2"/>
      <c r="AK1276" s="2"/>
      <c r="AL1276" s="2"/>
      <c r="AM1276" s="1"/>
      <c r="AN1276" s="2"/>
      <c r="AP1276" s="2"/>
      <c r="AQ1276" s="1"/>
      <c r="AR1276" s="2"/>
      <c r="AU1276" s="1"/>
      <c r="AW1276" s="1"/>
      <c r="AY1276" s="2"/>
    </row>
    <row r="1277">
      <c r="A1277" s="1"/>
      <c r="C1277" s="1"/>
      <c r="E1277" s="1"/>
      <c r="F1277" s="1"/>
      <c r="G1277" s="2"/>
      <c r="H1277" s="1"/>
      <c r="I1277" s="1"/>
      <c r="J1277" s="1"/>
      <c r="K1277" s="1"/>
      <c r="M1277" s="1"/>
      <c r="N1277" s="1"/>
      <c r="O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2"/>
      <c r="AB1277" s="1"/>
      <c r="AC1277" s="1"/>
      <c r="AD1277" s="1"/>
      <c r="AE1277" s="1"/>
      <c r="AF1277" s="1"/>
      <c r="AG1277" s="1"/>
      <c r="AH1277" s="2"/>
      <c r="AI1277" s="2"/>
      <c r="AJ1277" s="2"/>
      <c r="AK1277" s="2"/>
      <c r="AL1277" s="2"/>
      <c r="AM1277" s="1"/>
      <c r="AN1277" s="2"/>
      <c r="AP1277" s="2"/>
      <c r="AQ1277" s="1"/>
      <c r="AR1277" s="2"/>
      <c r="AU1277" s="1"/>
      <c r="AW1277" s="1"/>
      <c r="AY1277" s="2"/>
    </row>
    <row r="1278">
      <c r="A1278" s="1"/>
      <c r="C1278" s="1"/>
      <c r="E1278" s="1"/>
      <c r="F1278" s="1"/>
      <c r="G1278" s="2"/>
      <c r="H1278" s="1"/>
      <c r="I1278" s="1"/>
      <c r="J1278" s="1"/>
      <c r="K1278" s="1"/>
      <c r="M1278" s="1"/>
      <c r="N1278" s="1"/>
      <c r="O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2"/>
      <c r="AB1278" s="1"/>
      <c r="AC1278" s="1"/>
      <c r="AD1278" s="1"/>
      <c r="AE1278" s="1"/>
      <c r="AF1278" s="1"/>
      <c r="AG1278" s="1"/>
      <c r="AH1278" s="2"/>
      <c r="AI1278" s="2"/>
      <c r="AJ1278" s="2"/>
      <c r="AK1278" s="2"/>
      <c r="AL1278" s="2"/>
      <c r="AM1278" s="1"/>
      <c r="AN1278" s="2"/>
      <c r="AP1278" s="2"/>
      <c r="AQ1278" s="1"/>
      <c r="AR1278" s="2"/>
      <c r="AU1278" s="1"/>
      <c r="AW1278" s="1"/>
      <c r="AY1278" s="2"/>
    </row>
    <row r="1279">
      <c r="A1279" s="1"/>
      <c r="C1279" s="1"/>
      <c r="E1279" s="1"/>
      <c r="F1279" s="1"/>
      <c r="G1279" s="2"/>
      <c r="H1279" s="1"/>
      <c r="I1279" s="1"/>
      <c r="J1279" s="1"/>
      <c r="K1279" s="1"/>
      <c r="M1279" s="1"/>
      <c r="N1279" s="1"/>
      <c r="O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2"/>
      <c r="AB1279" s="1"/>
      <c r="AC1279" s="1"/>
      <c r="AD1279" s="1"/>
      <c r="AE1279" s="1"/>
      <c r="AF1279" s="1"/>
      <c r="AG1279" s="1"/>
      <c r="AH1279" s="2"/>
      <c r="AI1279" s="2"/>
      <c r="AJ1279" s="2"/>
      <c r="AK1279" s="2"/>
      <c r="AL1279" s="2"/>
      <c r="AM1279" s="1"/>
      <c r="AN1279" s="2"/>
      <c r="AP1279" s="2"/>
      <c r="AQ1279" s="1"/>
      <c r="AR1279" s="2"/>
      <c r="AU1279" s="1"/>
      <c r="AW1279" s="1"/>
      <c r="AY1279" s="2"/>
    </row>
    <row r="1280">
      <c r="A1280" s="1"/>
      <c r="C1280" s="1"/>
      <c r="E1280" s="1"/>
      <c r="F1280" s="1"/>
      <c r="G1280" s="2"/>
      <c r="H1280" s="1"/>
      <c r="I1280" s="1"/>
      <c r="J1280" s="1"/>
      <c r="K1280" s="1"/>
      <c r="M1280" s="1"/>
      <c r="N1280" s="1"/>
      <c r="O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2"/>
      <c r="AB1280" s="1"/>
      <c r="AC1280" s="1"/>
      <c r="AD1280" s="1"/>
      <c r="AE1280" s="1"/>
      <c r="AF1280" s="1"/>
      <c r="AG1280" s="1"/>
      <c r="AH1280" s="2"/>
      <c r="AI1280" s="2"/>
      <c r="AJ1280" s="2"/>
      <c r="AK1280" s="2"/>
      <c r="AL1280" s="2"/>
      <c r="AM1280" s="1"/>
      <c r="AN1280" s="2"/>
      <c r="AP1280" s="2"/>
      <c r="AQ1280" s="1"/>
      <c r="AR1280" s="2"/>
      <c r="AU1280" s="1"/>
      <c r="AW1280" s="1"/>
      <c r="AY1280" s="2"/>
    </row>
    <row r="1281">
      <c r="A1281" s="1"/>
      <c r="C1281" s="1"/>
      <c r="E1281" s="1"/>
      <c r="F1281" s="1"/>
      <c r="G1281" s="2"/>
      <c r="H1281" s="1"/>
      <c r="I1281" s="1"/>
      <c r="J1281" s="1"/>
      <c r="K1281" s="1"/>
      <c r="M1281" s="1"/>
      <c r="N1281" s="1"/>
      <c r="O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2"/>
      <c r="AB1281" s="1"/>
      <c r="AC1281" s="1"/>
      <c r="AD1281" s="1"/>
      <c r="AE1281" s="1"/>
      <c r="AF1281" s="1"/>
      <c r="AG1281" s="1"/>
      <c r="AH1281" s="2"/>
      <c r="AI1281" s="2"/>
      <c r="AJ1281" s="2"/>
      <c r="AK1281" s="2"/>
      <c r="AL1281" s="2"/>
      <c r="AM1281" s="1"/>
      <c r="AN1281" s="2"/>
      <c r="AP1281" s="2"/>
      <c r="AQ1281" s="1"/>
      <c r="AR1281" s="2"/>
      <c r="AU1281" s="1"/>
      <c r="AW1281" s="1"/>
      <c r="AY1281" s="2"/>
    </row>
    <row r="1282">
      <c r="A1282" s="1"/>
      <c r="C1282" s="1"/>
      <c r="E1282" s="1"/>
      <c r="F1282" s="1"/>
      <c r="G1282" s="2"/>
      <c r="H1282" s="1"/>
      <c r="I1282" s="1"/>
      <c r="J1282" s="1"/>
      <c r="K1282" s="1"/>
      <c r="M1282" s="1"/>
      <c r="N1282" s="1"/>
      <c r="O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2"/>
      <c r="AB1282" s="1"/>
      <c r="AC1282" s="1"/>
      <c r="AD1282" s="1"/>
      <c r="AE1282" s="1"/>
      <c r="AF1282" s="1"/>
      <c r="AG1282" s="1"/>
      <c r="AH1282" s="2"/>
      <c r="AI1282" s="2"/>
      <c r="AJ1282" s="2"/>
      <c r="AK1282" s="2"/>
      <c r="AL1282" s="2"/>
      <c r="AM1282" s="1"/>
      <c r="AN1282" s="2"/>
      <c r="AP1282" s="2"/>
      <c r="AQ1282" s="1"/>
      <c r="AR1282" s="2"/>
      <c r="AU1282" s="1"/>
      <c r="AW1282" s="1"/>
      <c r="AY1282" s="2"/>
    </row>
    <row r="1283">
      <c r="A1283" s="1"/>
      <c r="C1283" s="1"/>
      <c r="E1283" s="1"/>
      <c r="F1283" s="1"/>
      <c r="G1283" s="2"/>
      <c r="H1283" s="1"/>
      <c r="I1283" s="1"/>
      <c r="J1283" s="1"/>
      <c r="K1283" s="1"/>
      <c r="M1283" s="1"/>
      <c r="N1283" s="1"/>
      <c r="O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2"/>
      <c r="AB1283" s="1"/>
      <c r="AC1283" s="1"/>
      <c r="AD1283" s="1"/>
      <c r="AE1283" s="1"/>
      <c r="AF1283" s="1"/>
      <c r="AG1283" s="1"/>
      <c r="AH1283" s="2"/>
      <c r="AI1283" s="2"/>
      <c r="AJ1283" s="2"/>
      <c r="AK1283" s="2"/>
      <c r="AL1283" s="2"/>
      <c r="AM1283" s="1"/>
      <c r="AN1283" s="2"/>
      <c r="AP1283" s="2"/>
      <c r="AQ1283" s="1"/>
      <c r="AR1283" s="2"/>
      <c r="AU1283" s="1"/>
      <c r="AW1283" s="1"/>
      <c r="AY1283" s="2"/>
    </row>
    <row r="1284">
      <c r="A1284" s="1"/>
      <c r="C1284" s="1"/>
      <c r="E1284" s="1"/>
      <c r="F1284" s="1"/>
      <c r="G1284" s="2"/>
      <c r="H1284" s="1"/>
      <c r="I1284" s="1"/>
      <c r="J1284" s="1"/>
      <c r="K1284" s="1"/>
      <c r="M1284" s="1"/>
      <c r="N1284" s="1"/>
      <c r="O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2"/>
      <c r="AB1284" s="1"/>
      <c r="AC1284" s="1"/>
      <c r="AD1284" s="1"/>
      <c r="AE1284" s="1"/>
      <c r="AF1284" s="1"/>
      <c r="AG1284" s="1"/>
      <c r="AH1284" s="2"/>
      <c r="AI1284" s="2"/>
      <c r="AJ1284" s="2"/>
      <c r="AK1284" s="2"/>
      <c r="AL1284" s="2"/>
      <c r="AM1284" s="1"/>
      <c r="AN1284" s="2"/>
      <c r="AP1284" s="2"/>
      <c r="AQ1284" s="1"/>
      <c r="AR1284" s="2"/>
      <c r="AU1284" s="1"/>
      <c r="AW1284" s="1"/>
      <c r="AY1284" s="2"/>
    </row>
    <row r="1285">
      <c r="A1285" s="1"/>
      <c r="C1285" s="1"/>
      <c r="E1285" s="1"/>
      <c r="F1285" s="1"/>
      <c r="G1285" s="2"/>
      <c r="H1285" s="1"/>
      <c r="I1285" s="1"/>
      <c r="J1285" s="1"/>
      <c r="K1285" s="1"/>
      <c r="M1285" s="1"/>
      <c r="N1285" s="1"/>
      <c r="O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2"/>
      <c r="AB1285" s="1"/>
      <c r="AC1285" s="1"/>
      <c r="AD1285" s="1"/>
      <c r="AE1285" s="1"/>
      <c r="AF1285" s="1"/>
      <c r="AG1285" s="1"/>
      <c r="AH1285" s="2"/>
      <c r="AI1285" s="2"/>
      <c r="AJ1285" s="2"/>
      <c r="AK1285" s="2"/>
      <c r="AL1285" s="2"/>
      <c r="AM1285" s="1"/>
      <c r="AN1285" s="2"/>
      <c r="AP1285" s="2"/>
      <c r="AQ1285" s="1"/>
      <c r="AR1285" s="2"/>
      <c r="AU1285" s="1"/>
      <c r="AW1285" s="1"/>
      <c r="AY1285" s="2"/>
    </row>
    <row r="1286">
      <c r="A1286" s="1"/>
      <c r="C1286" s="1"/>
      <c r="E1286" s="1"/>
      <c r="F1286" s="1"/>
      <c r="G1286" s="2"/>
      <c r="H1286" s="1"/>
      <c r="I1286" s="1"/>
      <c r="J1286" s="1"/>
      <c r="K1286" s="1"/>
      <c r="M1286" s="1"/>
      <c r="N1286" s="1"/>
      <c r="O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2"/>
      <c r="AB1286" s="1"/>
      <c r="AC1286" s="1"/>
      <c r="AD1286" s="1"/>
      <c r="AE1286" s="1"/>
      <c r="AF1286" s="1"/>
      <c r="AG1286" s="1"/>
      <c r="AH1286" s="2"/>
      <c r="AI1286" s="2"/>
      <c r="AJ1286" s="2"/>
      <c r="AK1286" s="2"/>
      <c r="AL1286" s="2"/>
      <c r="AM1286" s="1"/>
      <c r="AN1286" s="2"/>
      <c r="AP1286" s="2"/>
      <c r="AQ1286" s="1"/>
      <c r="AR1286" s="2"/>
      <c r="AU1286" s="1"/>
      <c r="AW1286" s="1"/>
      <c r="AY1286" s="2"/>
    </row>
    <row r="1287">
      <c r="A1287" s="1"/>
      <c r="C1287" s="1"/>
      <c r="E1287" s="1"/>
      <c r="F1287" s="1"/>
      <c r="G1287" s="2"/>
      <c r="H1287" s="1"/>
      <c r="I1287" s="1"/>
      <c r="J1287" s="1"/>
      <c r="K1287" s="1"/>
      <c r="M1287" s="1"/>
      <c r="N1287" s="1"/>
      <c r="O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2"/>
      <c r="AB1287" s="1"/>
      <c r="AC1287" s="1"/>
      <c r="AD1287" s="1"/>
      <c r="AE1287" s="1"/>
      <c r="AF1287" s="1"/>
      <c r="AG1287" s="1"/>
      <c r="AH1287" s="2"/>
      <c r="AI1287" s="2"/>
      <c r="AJ1287" s="2"/>
      <c r="AK1287" s="2"/>
      <c r="AL1287" s="2"/>
      <c r="AM1287" s="1"/>
      <c r="AN1287" s="2"/>
      <c r="AP1287" s="2"/>
      <c r="AQ1287" s="1"/>
      <c r="AR1287" s="2"/>
      <c r="AU1287" s="1"/>
      <c r="AW1287" s="1"/>
      <c r="AY1287" s="2"/>
    </row>
    <row r="1288">
      <c r="A1288" s="1"/>
      <c r="C1288" s="1"/>
      <c r="E1288" s="1"/>
      <c r="F1288" s="1"/>
      <c r="G1288" s="2"/>
      <c r="H1288" s="1"/>
      <c r="I1288" s="1"/>
      <c r="J1288" s="1"/>
      <c r="K1288" s="1"/>
      <c r="M1288" s="1"/>
      <c r="N1288" s="1"/>
      <c r="O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2"/>
      <c r="AB1288" s="1"/>
      <c r="AC1288" s="1"/>
      <c r="AD1288" s="1"/>
      <c r="AE1288" s="1"/>
      <c r="AF1288" s="1"/>
      <c r="AG1288" s="1"/>
      <c r="AH1288" s="2"/>
      <c r="AI1288" s="2"/>
      <c r="AJ1288" s="2"/>
      <c r="AK1288" s="2"/>
      <c r="AL1288" s="2"/>
      <c r="AM1288" s="1"/>
      <c r="AN1288" s="2"/>
      <c r="AP1288" s="2"/>
      <c r="AQ1288" s="1"/>
      <c r="AR1288" s="2"/>
      <c r="AU1288" s="1"/>
      <c r="AW1288" s="1"/>
      <c r="AY1288" s="2"/>
    </row>
    <row r="1289">
      <c r="A1289" s="1"/>
      <c r="C1289" s="1"/>
      <c r="E1289" s="1"/>
      <c r="F1289" s="1"/>
      <c r="G1289" s="2"/>
      <c r="H1289" s="1"/>
      <c r="I1289" s="1"/>
      <c r="J1289" s="1"/>
      <c r="K1289" s="1"/>
      <c r="M1289" s="1"/>
      <c r="N1289" s="1"/>
      <c r="O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2"/>
      <c r="AB1289" s="1"/>
      <c r="AC1289" s="1"/>
      <c r="AD1289" s="1"/>
      <c r="AE1289" s="1"/>
      <c r="AF1289" s="1"/>
      <c r="AG1289" s="1"/>
      <c r="AH1289" s="2"/>
      <c r="AI1289" s="2"/>
      <c r="AJ1289" s="2"/>
      <c r="AK1289" s="2"/>
      <c r="AL1289" s="2"/>
      <c r="AM1289" s="1"/>
      <c r="AN1289" s="2"/>
      <c r="AP1289" s="2"/>
      <c r="AQ1289" s="1"/>
      <c r="AR1289" s="2"/>
      <c r="AU1289" s="1"/>
      <c r="AW1289" s="1"/>
      <c r="AY1289" s="2"/>
    </row>
    <row r="1290">
      <c r="A1290" s="1"/>
      <c r="C1290" s="1"/>
      <c r="E1290" s="1"/>
      <c r="F1290" s="1"/>
      <c r="G1290" s="2"/>
      <c r="H1290" s="1"/>
      <c r="I1290" s="1"/>
      <c r="J1290" s="1"/>
      <c r="K1290" s="1"/>
      <c r="M1290" s="1"/>
      <c r="N1290" s="1"/>
      <c r="O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2"/>
      <c r="AB1290" s="1"/>
      <c r="AC1290" s="1"/>
      <c r="AD1290" s="1"/>
      <c r="AE1290" s="1"/>
      <c r="AF1290" s="1"/>
      <c r="AG1290" s="1"/>
      <c r="AH1290" s="2"/>
      <c r="AI1290" s="2"/>
      <c r="AJ1290" s="2"/>
      <c r="AK1290" s="2"/>
      <c r="AL1290" s="2"/>
      <c r="AM1290" s="1"/>
      <c r="AN1290" s="2"/>
      <c r="AP1290" s="2"/>
      <c r="AQ1290" s="1"/>
      <c r="AR1290" s="2"/>
      <c r="AU1290" s="1"/>
      <c r="AW1290" s="1"/>
      <c r="AY1290" s="2"/>
    </row>
    <row r="1291">
      <c r="A1291" s="1"/>
      <c r="C1291" s="1"/>
      <c r="E1291" s="1"/>
      <c r="F1291" s="1"/>
      <c r="G1291" s="2"/>
      <c r="H1291" s="1"/>
      <c r="I1291" s="1"/>
      <c r="J1291" s="1"/>
      <c r="K1291" s="1"/>
      <c r="M1291" s="1"/>
      <c r="N1291" s="1"/>
      <c r="O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2"/>
      <c r="AB1291" s="1"/>
      <c r="AC1291" s="1"/>
      <c r="AD1291" s="1"/>
      <c r="AE1291" s="1"/>
      <c r="AF1291" s="1"/>
      <c r="AG1291" s="1"/>
      <c r="AH1291" s="2"/>
      <c r="AI1291" s="2"/>
      <c r="AJ1291" s="2"/>
      <c r="AK1291" s="2"/>
      <c r="AL1291" s="2"/>
      <c r="AM1291" s="1"/>
      <c r="AN1291" s="2"/>
      <c r="AP1291" s="2"/>
      <c r="AQ1291" s="1"/>
      <c r="AR1291" s="2"/>
      <c r="AU1291" s="1"/>
      <c r="AW1291" s="1"/>
      <c r="AY1291" s="2"/>
    </row>
    <row r="1292">
      <c r="A1292" s="1"/>
      <c r="C1292" s="1"/>
      <c r="E1292" s="1"/>
      <c r="F1292" s="1"/>
      <c r="G1292" s="2"/>
      <c r="H1292" s="1"/>
      <c r="I1292" s="1"/>
      <c r="J1292" s="1"/>
      <c r="K1292" s="1"/>
      <c r="M1292" s="1"/>
      <c r="N1292" s="1"/>
      <c r="O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2"/>
      <c r="AB1292" s="1"/>
      <c r="AC1292" s="1"/>
      <c r="AD1292" s="1"/>
      <c r="AE1292" s="1"/>
      <c r="AF1292" s="1"/>
      <c r="AG1292" s="1"/>
      <c r="AH1292" s="2"/>
      <c r="AI1292" s="2"/>
      <c r="AJ1292" s="2"/>
      <c r="AK1292" s="2"/>
      <c r="AL1292" s="2"/>
      <c r="AM1292" s="1"/>
      <c r="AN1292" s="2"/>
      <c r="AP1292" s="2"/>
      <c r="AQ1292" s="1"/>
      <c r="AR1292" s="2"/>
      <c r="AU1292" s="1"/>
      <c r="AW1292" s="1"/>
      <c r="AY1292" s="2"/>
    </row>
    <row r="1293">
      <c r="A1293" s="1"/>
      <c r="C1293" s="1"/>
      <c r="E1293" s="1"/>
      <c r="F1293" s="1"/>
      <c r="G1293" s="2"/>
      <c r="H1293" s="1"/>
      <c r="I1293" s="1"/>
      <c r="J1293" s="1"/>
      <c r="K1293" s="1"/>
      <c r="M1293" s="1"/>
      <c r="N1293" s="1"/>
      <c r="O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2"/>
      <c r="AB1293" s="1"/>
      <c r="AC1293" s="1"/>
      <c r="AD1293" s="1"/>
      <c r="AE1293" s="1"/>
      <c r="AF1293" s="1"/>
      <c r="AG1293" s="1"/>
      <c r="AH1293" s="2"/>
      <c r="AI1293" s="2"/>
      <c r="AJ1293" s="2"/>
      <c r="AK1293" s="2"/>
      <c r="AL1293" s="2"/>
      <c r="AM1293" s="1"/>
      <c r="AN1293" s="2"/>
      <c r="AP1293" s="2"/>
      <c r="AQ1293" s="1"/>
      <c r="AR1293" s="2"/>
      <c r="AU1293" s="1"/>
      <c r="AW1293" s="1"/>
      <c r="AY1293" s="2"/>
    </row>
    <row r="1294">
      <c r="A1294" s="1"/>
      <c r="C1294" s="1"/>
      <c r="E1294" s="1"/>
      <c r="F1294" s="1"/>
      <c r="G1294" s="2"/>
      <c r="H1294" s="1"/>
      <c r="I1294" s="1"/>
      <c r="J1294" s="1"/>
      <c r="K1294" s="1"/>
      <c r="M1294" s="1"/>
      <c r="N1294" s="1"/>
      <c r="O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2"/>
      <c r="AB1294" s="1"/>
      <c r="AC1294" s="1"/>
      <c r="AD1294" s="1"/>
      <c r="AE1294" s="1"/>
      <c r="AF1294" s="1"/>
      <c r="AG1294" s="1"/>
      <c r="AH1294" s="2"/>
      <c r="AI1294" s="2"/>
      <c r="AJ1294" s="2"/>
      <c r="AK1294" s="2"/>
      <c r="AL1294" s="2"/>
      <c r="AM1294" s="1"/>
      <c r="AN1294" s="2"/>
      <c r="AP1294" s="2"/>
      <c r="AQ1294" s="1"/>
      <c r="AR1294" s="2"/>
      <c r="AU1294" s="1"/>
      <c r="AW1294" s="1"/>
      <c r="AY1294" s="2"/>
    </row>
    <row r="1295">
      <c r="A1295" s="1"/>
      <c r="C1295" s="1"/>
      <c r="E1295" s="1"/>
      <c r="F1295" s="1"/>
      <c r="G1295" s="2"/>
      <c r="H1295" s="1"/>
      <c r="I1295" s="1"/>
      <c r="J1295" s="1"/>
      <c r="K1295" s="1"/>
      <c r="M1295" s="1"/>
      <c r="N1295" s="1"/>
      <c r="O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2"/>
      <c r="AB1295" s="1"/>
      <c r="AC1295" s="1"/>
      <c r="AD1295" s="1"/>
      <c r="AE1295" s="1"/>
      <c r="AF1295" s="1"/>
      <c r="AG1295" s="1"/>
      <c r="AH1295" s="2"/>
      <c r="AI1295" s="2"/>
      <c r="AJ1295" s="2"/>
      <c r="AK1295" s="2"/>
      <c r="AL1295" s="2"/>
      <c r="AM1295" s="1"/>
      <c r="AN1295" s="2"/>
      <c r="AP1295" s="2"/>
      <c r="AQ1295" s="1"/>
      <c r="AR1295" s="2"/>
      <c r="AU1295" s="1"/>
      <c r="AW1295" s="1"/>
      <c r="AY1295" s="2"/>
    </row>
    <row r="1296">
      <c r="A1296" s="1"/>
      <c r="C1296" s="1"/>
      <c r="E1296" s="1"/>
      <c r="F1296" s="1"/>
      <c r="G1296" s="2"/>
      <c r="H1296" s="1"/>
      <c r="I1296" s="1"/>
      <c r="J1296" s="1"/>
      <c r="K1296" s="1"/>
      <c r="M1296" s="1"/>
      <c r="N1296" s="1"/>
      <c r="O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2"/>
      <c r="AB1296" s="1"/>
      <c r="AC1296" s="1"/>
      <c r="AD1296" s="1"/>
      <c r="AE1296" s="1"/>
      <c r="AF1296" s="1"/>
      <c r="AG1296" s="1"/>
      <c r="AH1296" s="2"/>
      <c r="AI1296" s="2"/>
      <c r="AJ1296" s="2"/>
      <c r="AK1296" s="2"/>
      <c r="AL1296" s="2"/>
      <c r="AM1296" s="1"/>
      <c r="AN1296" s="2"/>
      <c r="AP1296" s="2"/>
      <c r="AQ1296" s="1"/>
      <c r="AR1296" s="2"/>
      <c r="AU1296" s="1"/>
      <c r="AW1296" s="1"/>
      <c r="AY1296" s="2"/>
    </row>
    <row r="1297">
      <c r="A1297" s="1"/>
      <c r="C1297" s="1"/>
      <c r="E1297" s="1"/>
      <c r="F1297" s="1"/>
      <c r="G1297" s="2"/>
      <c r="H1297" s="1"/>
      <c r="I1297" s="1"/>
      <c r="J1297" s="1"/>
      <c r="K1297" s="1"/>
      <c r="M1297" s="1"/>
      <c r="N1297" s="1"/>
      <c r="O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2"/>
      <c r="AB1297" s="1"/>
      <c r="AC1297" s="1"/>
      <c r="AD1297" s="1"/>
      <c r="AE1297" s="1"/>
      <c r="AF1297" s="1"/>
      <c r="AG1297" s="1"/>
      <c r="AH1297" s="2"/>
      <c r="AI1297" s="2"/>
      <c r="AJ1297" s="2"/>
      <c r="AK1297" s="2"/>
      <c r="AL1297" s="2"/>
      <c r="AM1297" s="1"/>
      <c r="AN1297" s="2"/>
      <c r="AP1297" s="2"/>
      <c r="AQ1297" s="1"/>
      <c r="AR1297" s="2"/>
      <c r="AU1297" s="1"/>
      <c r="AW1297" s="1"/>
      <c r="AY1297" s="2"/>
    </row>
    <row r="1298">
      <c r="A1298" s="1"/>
      <c r="C1298" s="1"/>
      <c r="E1298" s="1"/>
      <c r="F1298" s="1"/>
      <c r="G1298" s="2"/>
      <c r="H1298" s="1"/>
      <c r="I1298" s="1"/>
      <c r="J1298" s="1"/>
      <c r="K1298" s="1"/>
      <c r="M1298" s="1"/>
      <c r="N1298" s="1"/>
      <c r="O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2"/>
      <c r="AB1298" s="1"/>
      <c r="AC1298" s="1"/>
      <c r="AD1298" s="1"/>
      <c r="AE1298" s="1"/>
      <c r="AF1298" s="1"/>
      <c r="AG1298" s="1"/>
      <c r="AH1298" s="2"/>
      <c r="AI1298" s="2"/>
      <c r="AJ1298" s="2"/>
      <c r="AK1298" s="2"/>
      <c r="AL1298" s="2"/>
      <c r="AM1298" s="1"/>
      <c r="AN1298" s="2"/>
      <c r="AP1298" s="2"/>
      <c r="AQ1298" s="1"/>
      <c r="AR1298" s="2"/>
      <c r="AU1298" s="1"/>
      <c r="AW1298" s="1"/>
      <c r="AY1298" s="2"/>
    </row>
    <row r="1299">
      <c r="A1299" s="1"/>
      <c r="C1299" s="1"/>
      <c r="E1299" s="1"/>
      <c r="F1299" s="1"/>
      <c r="G1299" s="2"/>
      <c r="H1299" s="1"/>
      <c r="I1299" s="1"/>
      <c r="J1299" s="1"/>
      <c r="K1299" s="1"/>
      <c r="M1299" s="1"/>
      <c r="N1299" s="1"/>
      <c r="O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2"/>
      <c r="AB1299" s="1"/>
      <c r="AC1299" s="1"/>
      <c r="AD1299" s="1"/>
      <c r="AE1299" s="1"/>
      <c r="AF1299" s="1"/>
      <c r="AG1299" s="1"/>
      <c r="AH1299" s="2"/>
      <c r="AI1299" s="2"/>
      <c r="AJ1299" s="2"/>
      <c r="AK1299" s="2"/>
      <c r="AL1299" s="2"/>
      <c r="AM1299" s="1"/>
      <c r="AN1299" s="2"/>
      <c r="AP1299" s="2"/>
      <c r="AQ1299" s="1"/>
      <c r="AR1299" s="2"/>
      <c r="AU1299" s="1"/>
      <c r="AW1299" s="1"/>
      <c r="AY12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C2" s="1" t="s">
        <v>151</v>
      </c>
      <c r="E2" s="1" t="s">
        <v>53</v>
      </c>
      <c r="F2" s="1" t="s">
        <v>54</v>
      </c>
      <c r="G2" s="2">
        <v>51.0</v>
      </c>
      <c r="H2" s="1" t="s">
        <v>66</v>
      </c>
      <c r="I2" s="1" t="s">
        <v>67</v>
      </c>
      <c r="J2" s="1" t="s">
        <v>68</v>
      </c>
      <c r="K2" s="1" t="s">
        <v>57</v>
      </c>
      <c r="M2" s="1" t="s">
        <v>58</v>
      </c>
      <c r="N2" s="1" t="s">
        <v>58</v>
      </c>
      <c r="O2" s="1" t="s">
        <v>58</v>
      </c>
      <c r="Q2" s="1" t="s">
        <v>69</v>
      </c>
      <c r="R2" s="1" t="s">
        <v>58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81</v>
      </c>
      <c r="Y2" s="1" t="s">
        <v>82</v>
      </c>
      <c r="Z2" s="1" t="s">
        <v>89</v>
      </c>
      <c r="AA2" s="2">
        <v>30.0</v>
      </c>
      <c r="AB2" s="1" t="s">
        <v>79</v>
      </c>
      <c r="AC2" s="1" t="s">
        <v>71</v>
      </c>
      <c r="AF2" s="1" t="s">
        <v>51</v>
      </c>
      <c r="AG2" s="1" t="s">
        <v>51</v>
      </c>
      <c r="AH2" s="2">
        <v>200.0</v>
      </c>
      <c r="AI2" s="2">
        <v>0.0</v>
      </c>
      <c r="AJ2" s="2">
        <v>0.0</v>
      </c>
      <c r="AK2" s="2">
        <v>0.0</v>
      </c>
      <c r="AL2" s="2">
        <v>1.0</v>
      </c>
      <c r="AM2" s="1" t="s">
        <v>51</v>
      </c>
      <c r="AN2" s="2">
        <v>6.49779116E8</v>
      </c>
      <c r="AP2" s="2">
        <v>4.90386915E8</v>
      </c>
      <c r="AQ2" s="1" t="s">
        <v>512</v>
      </c>
      <c r="AR2" s="2">
        <v>45809.39319444444</v>
      </c>
      <c r="AU2" s="1" t="s">
        <v>64</v>
      </c>
      <c r="AW2" s="1" t="s">
        <v>513</v>
      </c>
      <c r="AY2" s="2">
        <v>1.0</v>
      </c>
    </row>
    <row r="3">
      <c r="A3" s="1" t="s">
        <v>51</v>
      </c>
      <c r="C3" s="1" t="s">
        <v>53</v>
      </c>
      <c r="E3" s="1" t="s">
        <v>53</v>
      </c>
      <c r="F3" s="1" t="s">
        <v>54</v>
      </c>
      <c r="G3" s="2">
        <v>42.0</v>
      </c>
      <c r="H3" s="1" t="s">
        <v>55</v>
      </c>
      <c r="I3" s="1" t="s">
        <v>121</v>
      </c>
      <c r="J3" s="1" t="s">
        <v>68</v>
      </c>
      <c r="K3" s="1" t="s">
        <v>57</v>
      </c>
      <c r="M3" s="1" t="s">
        <v>58</v>
      </c>
      <c r="N3" s="1" t="s">
        <v>58</v>
      </c>
      <c r="O3" s="1" t="s">
        <v>58</v>
      </c>
      <c r="Q3" s="1" t="s">
        <v>58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59</v>
      </c>
      <c r="Y3" s="1" t="s">
        <v>227</v>
      </c>
      <c r="Z3" s="1" t="s">
        <v>61</v>
      </c>
      <c r="AA3" s="2">
        <v>100.0</v>
      </c>
      <c r="AB3" s="1" t="s">
        <v>79</v>
      </c>
      <c r="AC3" s="1" t="s">
        <v>71</v>
      </c>
      <c r="AF3" s="1" t="s">
        <v>51</v>
      </c>
      <c r="AG3" s="1" t="s">
        <v>51</v>
      </c>
      <c r="AH3" s="2">
        <v>50.0</v>
      </c>
      <c r="AI3" s="2">
        <v>0.0</v>
      </c>
      <c r="AJ3" s="2">
        <v>0.0</v>
      </c>
      <c r="AK3" s="2">
        <v>0.0</v>
      </c>
      <c r="AL3" s="2">
        <v>1.0</v>
      </c>
      <c r="AM3" s="1" t="s">
        <v>51</v>
      </c>
      <c r="AN3" s="2">
        <v>6.73003512E8</v>
      </c>
      <c r="AP3" s="2">
        <v>4.90394724E8</v>
      </c>
      <c r="AQ3" s="1" t="s">
        <v>514</v>
      </c>
      <c r="AR3" s="2">
        <v>45809.408680555556</v>
      </c>
      <c r="AU3" s="1" t="s">
        <v>64</v>
      </c>
      <c r="AW3" s="1" t="s">
        <v>513</v>
      </c>
      <c r="AY3" s="2">
        <v>2.0</v>
      </c>
    </row>
    <row r="4">
      <c r="A4" s="1" t="s">
        <v>51</v>
      </c>
      <c r="C4" s="1" t="s">
        <v>53</v>
      </c>
      <c r="E4" s="1" t="s">
        <v>53</v>
      </c>
      <c r="F4" s="1" t="s">
        <v>54</v>
      </c>
      <c r="G4" s="2">
        <v>30.0</v>
      </c>
      <c r="H4" s="1" t="s">
        <v>55</v>
      </c>
      <c r="I4" s="1" t="s">
        <v>121</v>
      </c>
      <c r="J4" s="1" t="s">
        <v>56</v>
      </c>
      <c r="K4" s="1" t="s">
        <v>57</v>
      </c>
      <c r="M4" s="1" t="s">
        <v>58</v>
      </c>
      <c r="N4" s="1" t="s">
        <v>58</v>
      </c>
      <c r="O4" s="1" t="s">
        <v>58</v>
      </c>
      <c r="Q4" s="1" t="s">
        <v>58</v>
      </c>
      <c r="R4" s="1" t="s">
        <v>69</v>
      </c>
      <c r="S4" s="1" t="s">
        <v>69</v>
      </c>
      <c r="T4" s="1" t="s">
        <v>58</v>
      </c>
      <c r="U4" s="1" t="s">
        <v>58</v>
      </c>
      <c r="V4" s="1" t="s">
        <v>69</v>
      </c>
      <c r="W4" s="1" t="s">
        <v>69</v>
      </c>
      <c r="X4" s="1" t="s">
        <v>81</v>
      </c>
      <c r="Y4" s="1" t="s">
        <v>82</v>
      </c>
      <c r="Z4" s="1" t="s">
        <v>89</v>
      </c>
      <c r="AA4" s="2">
        <v>40.0</v>
      </c>
      <c r="AB4" s="1" t="s">
        <v>79</v>
      </c>
      <c r="AC4" s="1" t="s">
        <v>71</v>
      </c>
      <c r="AF4" s="1" t="s">
        <v>51</v>
      </c>
      <c r="AG4" s="1" t="s">
        <v>51</v>
      </c>
      <c r="AH4" s="2">
        <v>300.0</v>
      </c>
      <c r="AI4" s="2">
        <v>1.0</v>
      </c>
      <c r="AJ4" s="2">
        <v>0.0</v>
      </c>
      <c r="AK4" s="2">
        <v>0.0</v>
      </c>
      <c r="AL4" s="2">
        <v>0.0</v>
      </c>
      <c r="AM4" s="1" t="s">
        <v>51</v>
      </c>
      <c r="AN4" s="2">
        <v>6.73583337E8</v>
      </c>
      <c r="AP4" s="2">
        <v>4.90394919E8</v>
      </c>
      <c r="AQ4" s="1" t="s">
        <v>515</v>
      </c>
      <c r="AR4" s="2">
        <v>45809.40924768519</v>
      </c>
      <c r="AU4" s="1" t="s">
        <v>64</v>
      </c>
      <c r="AW4" s="1" t="s">
        <v>513</v>
      </c>
      <c r="AY4" s="2">
        <v>3.0</v>
      </c>
    </row>
    <row r="5">
      <c r="A5" s="1" t="s">
        <v>51</v>
      </c>
      <c r="C5" s="1" t="s">
        <v>151</v>
      </c>
      <c r="E5" s="1" t="s">
        <v>53</v>
      </c>
      <c r="F5" s="1" t="s">
        <v>54</v>
      </c>
      <c r="G5" s="2">
        <v>27.0</v>
      </c>
      <c r="H5" s="1" t="s">
        <v>55</v>
      </c>
      <c r="I5" s="1" t="s">
        <v>76</v>
      </c>
      <c r="J5" s="1" t="s">
        <v>56</v>
      </c>
      <c r="K5" s="1" t="s">
        <v>74</v>
      </c>
      <c r="M5" s="1" t="s">
        <v>58</v>
      </c>
      <c r="N5" s="1" t="s">
        <v>58</v>
      </c>
      <c r="O5" s="1" t="s">
        <v>58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 t="s">
        <v>58</v>
      </c>
      <c r="X5" s="1" t="s">
        <v>81</v>
      </c>
      <c r="Y5" s="1" t="s">
        <v>60</v>
      </c>
      <c r="Z5" s="1" t="s">
        <v>89</v>
      </c>
      <c r="AA5" s="2">
        <v>50.0</v>
      </c>
      <c r="AB5" s="1" t="s">
        <v>62</v>
      </c>
      <c r="AC5" s="1" t="s">
        <v>51</v>
      </c>
      <c r="AD5" s="1" t="s">
        <v>81</v>
      </c>
      <c r="AE5" s="1" t="s">
        <v>51</v>
      </c>
      <c r="AF5" s="1" t="s">
        <v>51</v>
      </c>
      <c r="AG5" s="1" t="s">
        <v>51</v>
      </c>
      <c r="AI5" s="2">
        <v>0.0</v>
      </c>
      <c r="AJ5" s="2">
        <v>0.0</v>
      </c>
      <c r="AK5" s="2">
        <v>0.0</v>
      </c>
      <c r="AL5" s="2">
        <v>1.0</v>
      </c>
      <c r="AM5" s="1" t="s">
        <v>51</v>
      </c>
      <c r="AN5" s="2">
        <v>6.888317704E9</v>
      </c>
      <c r="AP5" s="2">
        <v>4.90397468E8</v>
      </c>
      <c r="AQ5" s="1" t="s">
        <v>516</v>
      </c>
      <c r="AR5" s="2">
        <v>45809.415300925924</v>
      </c>
      <c r="AU5" s="1" t="s">
        <v>64</v>
      </c>
      <c r="AW5" s="1" t="s">
        <v>513</v>
      </c>
      <c r="AY5" s="2">
        <v>4.0</v>
      </c>
    </row>
    <row r="6">
      <c r="A6" s="1" t="s">
        <v>51</v>
      </c>
      <c r="C6" s="1" t="s">
        <v>53</v>
      </c>
      <c r="E6" s="1" t="s">
        <v>53</v>
      </c>
      <c r="F6" s="1" t="s">
        <v>54</v>
      </c>
      <c r="G6" s="2">
        <v>36.0</v>
      </c>
      <c r="H6" s="1" t="s">
        <v>55</v>
      </c>
      <c r="I6" s="1" t="s">
        <v>121</v>
      </c>
      <c r="J6" s="1" t="s">
        <v>86</v>
      </c>
      <c r="K6" s="1" t="s">
        <v>74</v>
      </c>
      <c r="M6" s="1" t="s">
        <v>58</v>
      </c>
      <c r="N6" s="1" t="s">
        <v>58</v>
      </c>
      <c r="O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59</v>
      </c>
      <c r="Y6" s="1" t="s">
        <v>60</v>
      </c>
      <c r="Z6" s="1" t="s">
        <v>61</v>
      </c>
      <c r="AA6" s="2">
        <v>20.0</v>
      </c>
      <c r="AB6" s="1" t="s">
        <v>62</v>
      </c>
      <c r="AC6" s="1" t="s">
        <v>51</v>
      </c>
      <c r="AD6" s="1" t="s">
        <v>59</v>
      </c>
      <c r="AE6" s="1" t="s">
        <v>51</v>
      </c>
      <c r="AF6" s="1" t="s">
        <v>51</v>
      </c>
      <c r="AG6" s="1" t="s">
        <v>51</v>
      </c>
      <c r="AI6" s="2">
        <v>1.0</v>
      </c>
      <c r="AJ6" s="2">
        <v>0.0</v>
      </c>
      <c r="AK6" s="2">
        <v>0.0</v>
      </c>
      <c r="AL6" s="2">
        <v>0.0</v>
      </c>
      <c r="AM6" s="1" t="s">
        <v>51</v>
      </c>
      <c r="AP6" s="2">
        <v>4.90400535E8</v>
      </c>
      <c r="AQ6" s="1" t="s">
        <v>517</v>
      </c>
      <c r="AR6" s="2">
        <v>45809.420636574076</v>
      </c>
      <c r="AU6" s="1" t="s">
        <v>64</v>
      </c>
      <c r="AW6" s="1" t="s">
        <v>513</v>
      </c>
      <c r="AY6" s="2">
        <v>5.0</v>
      </c>
    </row>
    <row r="7">
      <c r="A7" s="1" t="s">
        <v>51</v>
      </c>
      <c r="C7" s="1" t="s">
        <v>151</v>
      </c>
      <c r="E7" s="1" t="s">
        <v>53</v>
      </c>
      <c r="F7" s="1" t="s">
        <v>54</v>
      </c>
      <c r="G7" s="2">
        <v>35.0</v>
      </c>
      <c r="H7" s="1" t="s">
        <v>55</v>
      </c>
      <c r="I7" s="1" t="s">
        <v>67</v>
      </c>
      <c r="J7" s="1" t="s">
        <v>68</v>
      </c>
      <c r="K7" s="1" t="s">
        <v>74</v>
      </c>
      <c r="M7" s="1" t="s">
        <v>58</v>
      </c>
      <c r="N7" s="1" t="s">
        <v>58</v>
      </c>
      <c r="O7" s="1" t="s">
        <v>69</v>
      </c>
      <c r="Q7" s="1" t="s">
        <v>58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59</v>
      </c>
      <c r="Y7" s="1" t="s">
        <v>82</v>
      </c>
      <c r="Z7" s="1" t="s">
        <v>89</v>
      </c>
      <c r="AA7" s="2">
        <v>50.0</v>
      </c>
      <c r="AB7" s="1" t="s">
        <v>79</v>
      </c>
      <c r="AC7" s="1" t="s">
        <v>71</v>
      </c>
      <c r="AF7" s="1" t="s">
        <v>51</v>
      </c>
      <c r="AG7" s="1" t="s">
        <v>51</v>
      </c>
      <c r="AH7" s="2">
        <v>10.0</v>
      </c>
      <c r="AI7" s="2">
        <v>1.0</v>
      </c>
      <c r="AJ7" s="2">
        <v>0.0</v>
      </c>
      <c r="AK7" s="2">
        <v>0.0</v>
      </c>
      <c r="AL7" s="2">
        <v>1.0</v>
      </c>
      <c r="AM7" s="1" t="s">
        <v>51</v>
      </c>
      <c r="AN7" s="2">
        <v>6.86703189E8</v>
      </c>
      <c r="AP7" s="2">
        <v>4.90400705E8</v>
      </c>
      <c r="AQ7" s="1" t="s">
        <v>518</v>
      </c>
      <c r="AR7" s="2">
        <v>45809.42101851852</v>
      </c>
      <c r="AU7" s="1" t="s">
        <v>64</v>
      </c>
      <c r="AW7" s="1" t="s">
        <v>513</v>
      </c>
      <c r="AY7" s="2">
        <v>6.0</v>
      </c>
    </row>
    <row r="8">
      <c r="A8" s="1" t="s">
        <v>51</v>
      </c>
      <c r="C8" s="1" t="s">
        <v>151</v>
      </c>
      <c r="E8" s="1" t="s">
        <v>53</v>
      </c>
      <c r="F8" s="1" t="s">
        <v>54</v>
      </c>
      <c r="G8" s="2">
        <v>28.0</v>
      </c>
      <c r="H8" s="1" t="s">
        <v>66</v>
      </c>
      <c r="I8" s="1" t="s">
        <v>100</v>
      </c>
      <c r="J8" s="1" t="s">
        <v>56</v>
      </c>
      <c r="K8" s="1" t="s">
        <v>74</v>
      </c>
      <c r="M8" s="1" t="s">
        <v>58</v>
      </c>
      <c r="N8" s="1" t="s">
        <v>58</v>
      </c>
      <c r="O8" s="1" t="s">
        <v>58</v>
      </c>
      <c r="Q8" s="1" t="s">
        <v>69</v>
      </c>
      <c r="R8" s="1" t="s">
        <v>69</v>
      </c>
      <c r="S8" s="1" t="s">
        <v>69</v>
      </c>
      <c r="T8" s="1" t="s">
        <v>69</v>
      </c>
      <c r="V8" s="1" t="s">
        <v>69</v>
      </c>
      <c r="W8" s="1" t="s">
        <v>69</v>
      </c>
      <c r="X8" s="1" t="s">
        <v>59</v>
      </c>
      <c r="Y8" s="1" t="s">
        <v>82</v>
      </c>
      <c r="Z8" s="1" t="s">
        <v>61</v>
      </c>
      <c r="AA8" s="2">
        <v>50.0</v>
      </c>
      <c r="AB8" s="1" t="s">
        <v>79</v>
      </c>
      <c r="AC8" s="1" t="s">
        <v>71</v>
      </c>
      <c r="AF8" s="1" t="s">
        <v>51</v>
      </c>
      <c r="AG8" s="1" t="s">
        <v>51</v>
      </c>
      <c r="AH8" s="2">
        <v>59.0</v>
      </c>
      <c r="AI8" s="2">
        <v>0.0</v>
      </c>
      <c r="AJ8" s="2">
        <v>0.0</v>
      </c>
      <c r="AK8" s="2">
        <v>0.0</v>
      </c>
      <c r="AL8" s="2">
        <v>1.0</v>
      </c>
      <c r="AM8" s="1" t="s">
        <v>51</v>
      </c>
      <c r="AN8" s="2">
        <v>6.05023987E8</v>
      </c>
      <c r="AP8" s="2">
        <v>4.90403176E8</v>
      </c>
      <c r="AQ8" s="1" t="s">
        <v>519</v>
      </c>
      <c r="AR8" s="2">
        <v>45809.42591435185</v>
      </c>
      <c r="AU8" s="1" t="s">
        <v>64</v>
      </c>
      <c r="AW8" s="1" t="s">
        <v>513</v>
      </c>
      <c r="AY8" s="2">
        <v>7.0</v>
      </c>
    </row>
    <row r="9">
      <c r="A9" s="1" t="s">
        <v>51</v>
      </c>
      <c r="C9" s="1" t="s">
        <v>151</v>
      </c>
      <c r="E9" s="1" t="s">
        <v>53</v>
      </c>
      <c r="F9" s="1" t="s">
        <v>54</v>
      </c>
      <c r="G9" s="2">
        <v>28.0</v>
      </c>
      <c r="H9" s="1" t="s">
        <v>55</v>
      </c>
      <c r="I9" s="1" t="s">
        <v>67</v>
      </c>
      <c r="J9" s="1" t="s">
        <v>111</v>
      </c>
      <c r="K9" s="1" t="s">
        <v>74</v>
      </c>
      <c r="M9" s="1" t="s">
        <v>58</v>
      </c>
      <c r="N9" s="1" t="s">
        <v>58</v>
      </c>
      <c r="O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103</v>
      </c>
      <c r="Y9" s="1" t="s">
        <v>82</v>
      </c>
      <c r="Z9" s="1" t="s">
        <v>61</v>
      </c>
      <c r="AA9" s="2">
        <v>50.0</v>
      </c>
      <c r="AB9" s="1" t="s">
        <v>79</v>
      </c>
      <c r="AC9" s="1" t="s">
        <v>51</v>
      </c>
      <c r="AD9" s="1" t="s">
        <v>81</v>
      </c>
      <c r="AE9" s="1" t="s">
        <v>51</v>
      </c>
      <c r="AF9" s="1" t="s">
        <v>51</v>
      </c>
      <c r="AG9" s="1" t="s">
        <v>51</v>
      </c>
      <c r="AH9" s="2">
        <v>300.0</v>
      </c>
      <c r="AI9" s="2">
        <v>0.0</v>
      </c>
      <c r="AJ9" s="2">
        <v>1.0</v>
      </c>
      <c r="AK9" s="2">
        <v>0.0</v>
      </c>
      <c r="AL9" s="2">
        <v>0.0</v>
      </c>
      <c r="AM9" s="1" t="s">
        <v>51</v>
      </c>
      <c r="AN9" s="2">
        <v>6.05023987E8</v>
      </c>
      <c r="AP9" s="2">
        <v>4.90406325E8</v>
      </c>
      <c r="AQ9" s="1" t="s">
        <v>520</v>
      </c>
      <c r="AR9" s="2">
        <v>45809.43239583333</v>
      </c>
      <c r="AU9" s="1" t="s">
        <v>64</v>
      </c>
      <c r="AW9" s="1" t="s">
        <v>513</v>
      </c>
      <c r="AY9" s="2">
        <v>8.0</v>
      </c>
    </row>
    <row r="10">
      <c r="A10" s="1" t="s">
        <v>51</v>
      </c>
      <c r="C10" s="1" t="s">
        <v>151</v>
      </c>
      <c r="E10" s="1" t="s">
        <v>53</v>
      </c>
      <c r="F10" s="1" t="s">
        <v>54</v>
      </c>
      <c r="G10" s="2">
        <v>30.0</v>
      </c>
      <c r="H10" s="1" t="s">
        <v>55</v>
      </c>
      <c r="I10" s="1" t="s">
        <v>76</v>
      </c>
      <c r="J10" s="1" t="s">
        <v>56</v>
      </c>
      <c r="K10" s="1" t="s">
        <v>57</v>
      </c>
      <c r="M10" s="1" t="s">
        <v>58</v>
      </c>
      <c r="N10" s="1" t="s">
        <v>58</v>
      </c>
      <c r="O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81</v>
      </c>
      <c r="Y10" s="1" t="s">
        <v>82</v>
      </c>
      <c r="Z10" s="1" t="s">
        <v>61</v>
      </c>
      <c r="AA10" s="2">
        <v>40.0</v>
      </c>
      <c r="AB10" s="1" t="s">
        <v>79</v>
      </c>
      <c r="AC10" s="1" t="s">
        <v>51</v>
      </c>
      <c r="AD10" s="1" t="s">
        <v>81</v>
      </c>
      <c r="AE10" s="1" t="s">
        <v>51</v>
      </c>
      <c r="AF10" s="1" t="s">
        <v>51</v>
      </c>
      <c r="AG10" s="1" t="s">
        <v>51</v>
      </c>
      <c r="AH10" s="2">
        <v>700.0</v>
      </c>
      <c r="AI10" s="2">
        <v>1.0</v>
      </c>
      <c r="AJ10" s="2">
        <v>0.0</v>
      </c>
      <c r="AK10" s="2">
        <v>0.0</v>
      </c>
      <c r="AL10" s="2">
        <v>0.0</v>
      </c>
      <c r="AM10" s="1" t="s">
        <v>51</v>
      </c>
      <c r="AN10" s="2">
        <v>5.932364E7</v>
      </c>
      <c r="AP10" s="2">
        <v>4.90410469E8</v>
      </c>
      <c r="AQ10" s="1" t="s">
        <v>521</v>
      </c>
      <c r="AR10" s="2">
        <v>45809.44119212963</v>
      </c>
      <c r="AU10" s="1" t="s">
        <v>64</v>
      </c>
      <c r="AW10" s="1" t="s">
        <v>513</v>
      </c>
      <c r="AY10" s="2">
        <v>9.0</v>
      </c>
    </row>
    <row r="11">
      <c r="A11" s="1" t="s">
        <v>51</v>
      </c>
      <c r="C11" s="1" t="s">
        <v>53</v>
      </c>
      <c r="E11" s="1" t="s">
        <v>53</v>
      </c>
      <c r="F11" s="1" t="s">
        <v>54</v>
      </c>
      <c r="G11" s="2">
        <v>33.0</v>
      </c>
      <c r="H11" s="1" t="s">
        <v>55</v>
      </c>
      <c r="I11" s="1" t="s">
        <v>121</v>
      </c>
      <c r="J11" s="1" t="s">
        <v>68</v>
      </c>
      <c r="K11" s="1" t="s">
        <v>74</v>
      </c>
      <c r="M11" s="1" t="s">
        <v>58</v>
      </c>
      <c r="N11" s="1" t="s">
        <v>58</v>
      </c>
      <c r="O11" s="1" t="s">
        <v>58</v>
      </c>
      <c r="Q11" s="1" t="s">
        <v>58</v>
      </c>
      <c r="R11" s="1" t="s">
        <v>70</v>
      </c>
      <c r="S11" s="1" t="s">
        <v>70</v>
      </c>
      <c r="T11" s="1" t="s">
        <v>58</v>
      </c>
      <c r="U11" s="1" t="s">
        <v>70</v>
      </c>
      <c r="V11" s="1" t="s">
        <v>58</v>
      </c>
      <c r="W11" s="1" t="s">
        <v>58</v>
      </c>
      <c r="X11" s="1" t="s">
        <v>81</v>
      </c>
      <c r="Y11" s="1" t="s">
        <v>82</v>
      </c>
      <c r="Z11" s="1" t="s">
        <v>89</v>
      </c>
      <c r="AA11" s="2">
        <v>30.0</v>
      </c>
      <c r="AB11" s="1" t="s">
        <v>62</v>
      </c>
      <c r="AC11" s="1" t="s">
        <v>51</v>
      </c>
      <c r="AD11" s="1" t="s">
        <v>81</v>
      </c>
      <c r="AE11" s="1" t="s">
        <v>51</v>
      </c>
      <c r="AF11" s="1" t="s">
        <v>51</v>
      </c>
      <c r="AG11" s="1" t="s">
        <v>51</v>
      </c>
      <c r="AH11" s="2">
        <v>500.0</v>
      </c>
      <c r="AI11" s="2">
        <v>1.0</v>
      </c>
      <c r="AJ11" s="2">
        <v>0.0</v>
      </c>
      <c r="AK11" s="2">
        <v>0.0</v>
      </c>
      <c r="AL11" s="2">
        <v>0.0</v>
      </c>
      <c r="AM11" s="1" t="s">
        <v>51</v>
      </c>
      <c r="AN11" s="2">
        <v>7.2234359E8</v>
      </c>
      <c r="AP11" s="2">
        <v>4.90415914E8</v>
      </c>
      <c r="AQ11" s="1" t="s">
        <v>522</v>
      </c>
      <c r="AR11" s="2">
        <v>45809.453043981484</v>
      </c>
      <c r="AU11" s="1" t="s">
        <v>64</v>
      </c>
      <c r="AW11" s="1" t="s">
        <v>513</v>
      </c>
      <c r="AY11" s="2">
        <v>10.0</v>
      </c>
    </row>
    <row r="12">
      <c r="A12" s="1" t="s">
        <v>51</v>
      </c>
      <c r="C12" s="1" t="s">
        <v>151</v>
      </c>
      <c r="E12" s="1" t="s">
        <v>53</v>
      </c>
      <c r="F12" s="1" t="s">
        <v>54</v>
      </c>
      <c r="G12" s="2">
        <v>38.0</v>
      </c>
      <c r="H12" s="1" t="s">
        <v>66</v>
      </c>
      <c r="I12" s="1" t="s">
        <v>67</v>
      </c>
      <c r="J12" s="1" t="s">
        <v>56</v>
      </c>
      <c r="K12" s="1" t="s">
        <v>78</v>
      </c>
      <c r="M12" s="1" t="s">
        <v>58</v>
      </c>
      <c r="N12" s="1" t="s">
        <v>58</v>
      </c>
      <c r="O12" s="1" t="s">
        <v>58</v>
      </c>
      <c r="Q12" s="1" t="s">
        <v>58</v>
      </c>
      <c r="R12" s="1" t="s">
        <v>70</v>
      </c>
      <c r="S12" s="1" t="s">
        <v>70</v>
      </c>
      <c r="T12" s="1" t="s">
        <v>58</v>
      </c>
      <c r="U12" s="1" t="s">
        <v>70</v>
      </c>
      <c r="V12" s="1" t="s">
        <v>70</v>
      </c>
      <c r="W12" s="1" t="s">
        <v>70</v>
      </c>
      <c r="X12" s="1" t="s">
        <v>88</v>
      </c>
      <c r="Y12" s="1" t="s">
        <v>82</v>
      </c>
      <c r="Z12" s="1" t="s">
        <v>89</v>
      </c>
      <c r="AA12" s="2">
        <v>10.0</v>
      </c>
      <c r="AB12" s="1" t="s">
        <v>79</v>
      </c>
      <c r="AC12" s="1" t="s">
        <v>51</v>
      </c>
      <c r="AD12" s="1" t="s">
        <v>81</v>
      </c>
      <c r="AE12" s="1" t="s">
        <v>51</v>
      </c>
      <c r="AF12" s="1" t="s">
        <v>51</v>
      </c>
      <c r="AG12" s="1" t="s">
        <v>51</v>
      </c>
      <c r="AH12" s="2">
        <v>150000.0</v>
      </c>
      <c r="AI12" s="2">
        <v>1.0</v>
      </c>
      <c r="AJ12" s="2">
        <v>0.0</v>
      </c>
      <c r="AK12" s="2">
        <v>0.0</v>
      </c>
      <c r="AL12" s="2">
        <v>0.0</v>
      </c>
      <c r="AM12" s="1" t="s">
        <v>51</v>
      </c>
      <c r="AN12" s="2">
        <v>7.81882812E8</v>
      </c>
      <c r="AP12" s="2">
        <v>4.90438105E8</v>
      </c>
      <c r="AQ12" s="1" t="s">
        <v>523</v>
      </c>
      <c r="AR12" s="2">
        <v>45809.50146990741</v>
      </c>
      <c r="AU12" s="1" t="s">
        <v>64</v>
      </c>
      <c r="AW12" s="1" t="s">
        <v>513</v>
      </c>
      <c r="AY12" s="2">
        <v>11.0</v>
      </c>
    </row>
    <row r="13">
      <c r="A13" s="1" t="s">
        <v>51</v>
      </c>
      <c r="C13" s="1" t="s">
        <v>151</v>
      </c>
      <c r="E13" s="1" t="s">
        <v>53</v>
      </c>
      <c r="F13" s="1" t="s">
        <v>54</v>
      </c>
      <c r="G13" s="2">
        <v>39.0</v>
      </c>
      <c r="H13" s="1" t="s">
        <v>66</v>
      </c>
      <c r="I13" s="1" t="s">
        <v>100</v>
      </c>
      <c r="J13" s="1" t="s">
        <v>68</v>
      </c>
      <c r="K13" s="1" t="s">
        <v>78</v>
      </c>
      <c r="M13" s="1" t="s">
        <v>58</v>
      </c>
      <c r="N13" s="1" t="s">
        <v>58</v>
      </c>
      <c r="O13" s="1" t="s">
        <v>58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81</v>
      </c>
      <c r="Y13" s="1" t="s">
        <v>82</v>
      </c>
      <c r="Z13" s="1" t="s">
        <v>89</v>
      </c>
      <c r="AA13" s="2">
        <v>20.0</v>
      </c>
      <c r="AB13" s="1" t="s">
        <v>79</v>
      </c>
      <c r="AC13" s="1" t="s">
        <v>51</v>
      </c>
      <c r="AD13" s="1" t="s">
        <v>81</v>
      </c>
      <c r="AE13" s="1" t="s">
        <v>51</v>
      </c>
      <c r="AF13" s="1" t="s">
        <v>51</v>
      </c>
      <c r="AG13" s="1" t="s">
        <v>51</v>
      </c>
      <c r="AH13" s="2">
        <v>400.0</v>
      </c>
      <c r="AI13" s="2">
        <v>1.0</v>
      </c>
      <c r="AJ13" s="2">
        <v>0.0</v>
      </c>
      <c r="AK13" s="2">
        <v>0.0</v>
      </c>
      <c r="AL13" s="2">
        <v>0.0</v>
      </c>
      <c r="AM13" s="1" t="s">
        <v>51</v>
      </c>
      <c r="AN13" s="2">
        <v>6.34482526E8</v>
      </c>
      <c r="AP13" s="2">
        <v>4.9044075E8</v>
      </c>
      <c r="AQ13" s="1" t="s">
        <v>524</v>
      </c>
      <c r="AR13" s="2">
        <v>45809.506736111114</v>
      </c>
      <c r="AU13" s="1" t="s">
        <v>64</v>
      </c>
      <c r="AW13" s="1" t="s">
        <v>513</v>
      </c>
      <c r="AY13" s="2">
        <v>12.0</v>
      </c>
    </row>
    <row r="14">
      <c r="A14" s="1" t="s">
        <v>51</v>
      </c>
      <c r="C14" s="1" t="s">
        <v>151</v>
      </c>
      <c r="E14" s="1" t="s">
        <v>53</v>
      </c>
      <c r="F14" s="1" t="s">
        <v>54</v>
      </c>
      <c r="G14" s="2">
        <v>33.0</v>
      </c>
      <c r="H14" s="1" t="s">
        <v>66</v>
      </c>
      <c r="I14" s="1" t="s">
        <v>419</v>
      </c>
      <c r="J14" s="1" t="s">
        <v>56</v>
      </c>
      <c r="K14" s="1" t="s">
        <v>57</v>
      </c>
      <c r="M14" s="1" t="s">
        <v>58</v>
      </c>
      <c r="N14" s="1" t="s">
        <v>58</v>
      </c>
      <c r="O14" s="1" t="s">
        <v>69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59</v>
      </c>
      <c r="Y14" s="1" t="s">
        <v>82</v>
      </c>
      <c r="Z14" s="1" t="s">
        <v>61</v>
      </c>
      <c r="AA14" s="2">
        <v>10.0</v>
      </c>
      <c r="AB14" s="1" t="s">
        <v>62</v>
      </c>
      <c r="AC14" s="1" t="s">
        <v>51</v>
      </c>
      <c r="AD14" s="1" t="s">
        <v>59</v>
      </c>
      <c r="AE14" s="1" t="s">
        <v>51</v>
      </c>
      <c r="AF14" s="1" t="s">
        <v>51</v>
      </c>
      <c r="AG14" s="1" t="s">
        <v>51</v>
      </c>
      <c r="AH14" s="2">
        <v>300.0</v>
      </c>
      <c r="AI14" s="2">
        <v>0.0</v>
      </c>
      <c r="AJ14" s="2">
        <v>1.0</v>
      </c>
      <c r="AK14" s="2">
        <v>0.0</v>
      </c>
      <c r="AL14" s="2">
        <v>0.0</v>
      </c>
      <c r="AM14" s="1" t="s">
        <v>51</v>
      </c>
      <c r="AN14" s="2">
        <v>6.14698223E8</v>
      </c>
      <c r="AP14" s="2">
        <v>4.90444316E8</v>
      </c>
      <c r="AQ14" s="1" t="s">
        <v>525</v>
      </c>
      <c r="AR14" s="2">
        <v>45809.51458333333</v>
      </c>
      <c r="AU14" s="1" t="s">
        <v>64</v>
      </c>
      <c r="AW14" s="1" t="s">
        <v>513</v>
      </c>
      <c r="AY14" s="2">
        <v>13.0</v>
      </c>
    </row>
    <row r="15">
      <c r="A15" s="1" t="s">
        <v>51</v>
      </c>
      <c r="C15" s="1" t="s">
        <v>151</v>
      </c>
      <c r="E15" s="1" t="s">
        <v>53</v>
      </c>
      <c r="F15" s="1" t="s">
        <v>54</v>
      </c>
      <c r="G15" s="2">
        <v>39.0</v>
      </c>
      <c r="H15" s="1" t="s">
        <v>55</v>
      </c>
      <c r="I15" s="1" t="s">
        <v>100</v>
      </c>
      <c r="J15" s="1" t="s">
        <v>56</v>
      </c>
      <c r="K15" s="1" t="s">
        <v>57</v>
      </c>
      <c r="M15" s="1" t="s">
        <v>58</v>
      </c>
      <c r="N15" s="1" t="s">
        <v>58</v>
      </c>
      <c r="O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59</v>
      </c>
      <c r="Y15" s="1" t="s">
        <v>82</v>
      </c>
      <c r="Z15" s="1" t="s">
        <v>89</v>
      </c>
      <c r="AA15" s="2">
        <v>10.0</v>
      </c>
      <c r="AB15" s="1" t="s">
        <v>28</v>
      </c>
      <c r="AC15" s="1" t="s">
        <v>51</v>
      </c>
      <c r="AD15" s="1" t="s">
        <v>59</v>
      </c>
      <c r="AE15" s="1" t="s">
        <v>51</v>
      </c>
      <c r="AF15" s="1" t="s">
        <v>51</v>
      </c>
      <c r="AG15" s="1" t="s">
        <v>51</v>
      </c>
      <c r="AH15" s="2">
        <v>200.0</v>
      </c>
      <c r="AI15" s="2">
        <v>1.0</v>
      </c>
      <c r="AJ15" s="2">
        <v>0.0</v>
      </c>
      <c r="AK15" s="2">
        <v>0.0</v>
      </c>
      <c r="AL15" s="2">
        <v>0.0</v>
      </c>
      <c r="AM15" s="1" t="s">
        <v>51</v>
      </c>
      <c r="AN15" s="2">
        <v>7.99866781E8</v>
      </c>
      <c r="AP15" s="2">
        <v>4.90451443E8</v>
      </c>
      <c r="AQ15" s="1" t="s">
        <v>526</v>
      </c>
      <c r="AR15" s="2">
        <v>45809.52954861111</v>
      </c>
      <c r="AU15" s="1" t="s">
        <v>64</v>
      </c>
      <c r="AW15" s="1" t="s">
        <v>513</v>
      </c>
      <c r="AY15" s="2">
        <v>14.0</v>
      </c>
    </row>
    <row r="16">
      <c r="A16" s="1" t="s">
        <v>51</v>
      </c>
      <c r="C16" s="1" t="s">
        <v>151</v>
      </c>
      <c r="E16" s="1" t="s">
        <v>53</v>
      </c>
      <c r="F16" s="1" t="s">
        <v>54</v>
      </c>
      <c r="G16" s="2">
        <v>40.0</v>
      </c>
      <c r="H16" s="1" t="s">
        <v>55</v>
      </c>
      <c r="I16" s="1" t="s">
        <v>100</v>
      </c>
      <c r="J16" s="1" t="s">
        <v>86</v>
      </c>
      <c r="K16" s="1" t="s">
        <v>57</v>
      </c>
      <c r="M16" s="1" t="s">
        <v>58</v>
      </c>
      <c r="N16" s="1" t="s">
        <v>58</v>
      </c>
      <c r="O16" s="1" t="s">
        <v>69</v>
      </c>
      <c r="Q16" s="1" t="s">
        <v>58</v>
      </c>
      <c r="R16" s="1" t="s">
        <v>58</v>
      </c>
      <c r="S16" s="1" t="s">
        <v>69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88</v>
      </c>
      <c r="Y16" s="1" t="s">
        <v>60</v>
      </c>
      <c r="Z16" s="1" t="s">
        <v>61</v>
      </c>
      <c r="AA16" s="2">
        <v>10.0</v>
      </c>
      <c r="AB16" s="1" t="s">
        <v>79</v>
      </c>
      <c r="AC16" s="1" t="s">
        <v>72</v>
      </c>
      <c r="AF16" s="1" t="s">
        <v>51</v>
      </c>
      <c r="AG16" s="1" t="s">
        <v>51</v>
      </c>
      <c r="AH16" s="2">
        <v>200.0</v>
      </c>
      <c r="AI16" s="2">
        <v>1.0</v>
      </c>
      <c r="AJ16" s="2">
        <v>0.0</v>
      </c>
      <c r="AK16" s="2">
        <v>0.0</v>
      </c>
      <c r="AL16" s="2">
        <v>0.0</v>
      </c>
      <c r="AM16" s="1" t="s">
        <v>51</v>
      </c>
      <c r="AN16" s="2">
        <v>7.11230687E8</v>
      </c>
      <c r="AP16" s="2">
        <v>4.90455501E8</v>
      </c>
      <c r="AQ16" s="1" t="s">
        <v>527</v>
      </c>
      <c r="AR16" s="2">
        <v>45809.53716435185</v>
      </c>
      <c r="AU16" s="1" t="s">
        <v>64</v>
      </c>
      <c r="AW16" s="1" t="s">
        <v>513</v>
      </c>
      <c r="AY16" s="2">
        <v>15.0</v>
      </c>
    </row>
    <row r="17">
      <c r="A17" s="1" t="s">
        <v>51</v>
      </c>
      <c r="C17" s="1" t="s">
        <v>151</v>
      </c>
      <c r="E17" s="1" t="s">
        <v>53</v>
      </c>
      <c r="F17" s="1" t="s">
        <v>54</v>
      </c>
      <c r="G17" s="2">
        <v>39.0</v>
      </c>
      <c r="H17" s="1" t="s">
        <v>55</v>
      </c>
      <c r="I17" s="1" t="s">
        <v>100</v>
      </c>
      <c r="J17" s="1" t="s">
        <v>68</v>
      </c>
      <c r="K17" s="1" t="s">
        <v>57</v>
      </c>
      <c r="M17" s="1" t="s">
        <v>58</v>
      </c>
      <c r="N17" s="1" t="s">
        <v>58</v>
      </c>
      <c r="O17" s="1" t="s">
        <v>58</v>
      </c>
      <c r="Q17" s="1" t="s">
        <v>58</v>
      </c>
      <c r="R17" s="1" t="s">
        <v>58</v>
      </c>
      <c r="T17" s="1" t="s">
        <v>58</v>
      </c>
      <c r="U17" s="1" t="s">
        <v>58</v>
      </c>
      <c r="W17" s="1" t="s">
        <v>58</v>
      </c>
      <c r="X17" s="1" t="s">
        <v>81</v>
      </c>
      <c r="Y17" s="1" t="s">
        <v>227</v>
      </c>
      <c r="Z17" s="1" t="s">
        <v>89</v>
      </c>
      <c r="AA17" s="2">
        <v>10.0</v>
      </c>
      <c r="AB17" s="1" t="s">
        <v>62</v>
      </c>
      <c r="AC17" s="1" t="s">
        <v>51</v>
      </c>
      <c r="AD17" s="1" t="s">
        <v>81</v>
      </c>
      <c r="AE17" s="1" t="s">
        <v>51</v>
      </c>
      <c r="AF17" s="1" t="s">
        <v>72</v>
      </c>
      <c r="AG17" s="1" t="s">
        <v>72</v>
      </c>
      <c r="AI17" s="2">
        <v>0.0</v>
      </c>
      <c r="AJ17" s="2">
        <v>0.0</v>
      </c>
      <c r="AK17" s="2">
        <v>0.0</v>
      </c>
      <c r="AL17" s="2">
        <v>1.0</v>
      </c>
      <c r="AM17" s="1" t="s">
        <v>51</v>
      </c>
      <c r="AN17" s="2">
        <v>7.93682104E8</v>
      </c>
      <c r="AP17" s="2">
        <v>4.90459871E8</v>
      </c>
      <c r="AQ17" s="1" t="s">
        <v>528</v>
      </c>
      <c r="AR17" s="2">
        <v>45809.54628472222</v>
      </c>
      <c r="AU17" s="1" t="s">
        <v>64</v>
      </c>
      <c r="AW17" s="1" t="s">
        <v>513</v>
      </c>
      <c r="AY17" s="2">
        <v>16.0</v>
      </c>
    </row>
    <row r="18">
      <c r="A18" s="1" t="s">
        <v>51</v>
      </c>
      <c r="C18" s="1" t="s">
        <v>151</v>
      </c>
      <c r="E18" s="1" t="s">
        <v>53</v>
      </c>
      <c r="F18" s="1" t="s">
        <v>54</v>
      </c>
      <c r="G18" s="2">
        <v>35.0</v>
      </c>
      <c r="H18" s="1" t="s">
        <v>55</v>
      </c>
      <c r="I18" s="1" t="s">
        <v>67</v>
      </c>
      <c r="J18" s="1" t="s">
        <v>86</v>
      </c>
      <c r="K18" s="1" t="s">
        <v>74</v>
      </c>
      <c r="M18" s="1" t="s">
        <v>58</v>
      </c>
      <c r="N18" s="1" t="s">
        <v>58</v>
      </c>
      <c r="O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59</v>
      </c>
      <c r="Y18" s="1" t="s">
        <v>60</v>
      </c>
      <c r="Z18" s="1" t="s">
        <v>61</v>
      </c>
      <c r="AA18" s="2">
        <v>10.0</v>
      </c>
      <c r="AB18" s="1" t="s">
        <v>79</v>
      </c>
      <c r="AC18" s="1" t="s">
        <v>51</v>
      </c>
      <c r="AD18" s="1" t="s">
        <v>59</v>
      </c>
      <c r="AE18" s="1" t="s">
        <v>51</v>
      </c>
      <c r="AF18" s="1" t="s">
        <v>51</v>
      </c>
      <c r="AG18" s="1" t="s">
        <v>51</v>
      </c>
      <c r="AH18" s="2">
        <v>500.0</v>
      </c>
      <c r="AI18" s="2">
        <v>1.0</v>
      </c>
      <c r="AJ18" s="2">
        <v>0.0</v>
      </c>
      <c r="AK18" s="2">
        <v>0.0</v>
      </c>
      <c r="AL18" s="2">
        <v>0.0</v>
      </c>
      <c r="AM18" s="1" t="s">
        <v>51</v>
      </c>
      <c r="AN18" s="2">
        <v>6.47722465E8</v>
      </c>
      <c r="AP18" s="2">
        <v>4.90464896E8</v>
      </c>
      <c r="AQ18" s="1" t="s">
        <v>529</v>
      </c>
      <c r="AR18" s="2">
        <v>45809.55693287037</v>
      </c>
      <c r="AU18" s="1" t="s">
        <v>64</v>
      </c>
      <c r="AW18" s="1" t="s">
        <v>513</v>
      </c>
      <c r="AY18" s="2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C2" s="1" t="s">
        <v>52</v>
      </c>
      <c r="E2" s="1" t="s">
        <v>53</v>
      </c>
      <c r="F2" s="1" t="s">
        <v>54</v>
      </c>
      <c r="G2" s="2">
        <v>45.0</v>
      </c>
      <c r="H2" s="1" t="s">
        <v>55</v>
      </c>
      <c r="J2" s="1" t="s">
        <v>56</v>
      </c>
      <c r="K2" s="1" t="s">
        <v>57</v>
      </c>
      <c r="M2" s="1" t="s">
        <v>58</v>
      </c>
      <c r="N2" s="1" t="s">
        <v>58</v>
      </c>
      <c r="O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59</v>
      </c>
      <c r="Y2" s="1" t="s">
        <v>60</v>
      </c>
      <c r="Z2" s="1" t="s">
        <v>61</v>
      </c>
      <c r="AA2" s="2">
        <v>20.0</v>
      </c>
      <c r="AB2" s="1" t="s">
        <v>62</v>
      </c>
      <c r="AC2" s="1" t="s">
        <v>51</v>
      </c>
      <c r="AD2" s="1" t="s">
        <v>59</v>
      </c>
      <c r="AE2" s="1" t="s">
        <v>51</v>
      </c>
      <c r="AF2" s="1" t="s">
        <v>51</v>
      </c>
      <c r="AG2" s="1" t="s">
        <v>51</v>
      </c>
      <c r="AH2" s="2">
        <v>20000.0</v>
      </c>
      <c r="AI2" s="2">
        <v>1.0</v>
      </c>
      <c r="AJ2" s="2">
        <v>0.0</v>
      </c>
      <c r="AK2" s="2">
        <v>0.0</v>
      </c>
      <c r="AL2" s="2">
        <v>0.0</v>
      </c>
      <c r="AM2" s="1" t="s">
        <v>51</v>
      </c>
      <c r="AN2" s="2">
        <v>7.440664E8</v>
      </c>
      <c r="AP2" s="2">
        <v>4.89854387E8</v>
      </c>
      <c r="AQ2" s="1" t="s">
        <v>63</v>
      </c>
      <c r="AR2" s="2">
        <v>45808.279710648145</v>
      </c>
      <c r="AU2" s="1" t="s">
        <v>64</v>
      </c>
      <c r="AW2" s="1" t="s">
        <v>65</v>
      </c>
      <c r="AY2" s="2">
        <v>1.0</v>
      </c>
    </row>
    <row r="3">
      <c r="A3" s="1" t="s">
        <v>51</v>
      </c>
      <c r="C3" s="1" t="s">
        <v>52</v>
      </c>
      <c r="E3" s="1" t="s">
        <v>53</v>
      </c>
      <c r="F3" s="1" t="s">
        <v>54</v>
      </c>
      <c r="G3" s="2">
        <v>38.0</v>
      </c>
      <c r="H3" s="1" t="s">
        <v>66</v>
      </c>
      <c r="I3" s="1" t="s">
        <v>67</v>
      </c>
      <c r="J3" s="1" t="s">
        <v>68</v>
      </c>
      <c r="K3" s="1" t="s">
        <v>57</v>
      </c>
      <c r="M3" s="1" t="s">
        <v>58</v>
      </c>
      <c r="N3" s="1" t="s">
        <v>58</v>
      </c>
      <c r="O3" s="1" t="s">
        <v>58</v>
      </c>
      <c r="Q3" s="1" t="s">
        <v>69</v>
      </c>
      <c r="R3" s="1" t="s">
        <v>69</v>
      </c>
      <c r="S3" s="1" t="s">
        <v>58</v>
      </c>
      <c r="T3" s="1" t="s">
        <v>58</v>
      </c>
      <c r="U3" s="1" t="s">
        <v>69</v>
      </c>
      <c r="V3" s="1" t="s">
        <v>70</v>
      </c>
      <c r="W3" s="1" t="s">
        <v>69</v>
      </c>
      <c r="X3" s="1" t="s">
        <v>59</v>
      </c>
      <c r="Y3" s="1" t="s">
        <v>60</v>
      </c>
      <c r="Z3" s="1" t="s">
        <v>61</v>
      </c>
      <c r="AA3" s="2">
        <v>30.0</v>
      </c>
      <c r="AB3" s="1" t="s">
        <v>62</v>
      </c>
      <c r="AC3" s="1" t="s">
        <v>71</v>
      </c>
      <c r="AF3" s="1" t="s">
        <v>51</v>
      </c>
      <c r="AG3" s="1" t="s">
        <v>72</v>
      </c>
      <c r="AI3" s="2">
        <v>1.0</v>
      </c>
      <c r="AJ3" s="2">
        <v>0.0</v>
      </c>
      <c r="AK3" s="2">
        <v>0.0</v>
      </c>
      <c r="AL3" s="2">
        <v>0.0</v>
      </c>
      <c r="AM3" s="1" t="s">
        <v>72</v>
      </c>
      <c r="AP3" s="2">
        <v>4.89889246E8</v>
      </c>
      <c r="AQ3" s="1" t="s">
        <v>73</v>
      </c>
      <c r="AR3" s="2">
        <v>45808.33771990741</v>
      </c>
      <c r="AU3" s="1" t="s">
        <v>64</v>
      </c>
      <c r="AW3" s="1" t="s">
        <v>65</v>
      </c>
      <c r="AY3" s="2">
        <v>2.0</v>
      </c>
    </row>
    <row r="4">
      <c r="A4" s="1" t="s">
        <v>51</v>
      </c>
      <c r="C4" s="1" t="s">
        <v>52</v>
      </c>
      <c r="E4" s="1" t="s">
        <v>53</v>
      </c>
      <c r="F4" s="1" t="s">
        <v>54</v>
      </c>
      <c r="G4" s="2">
        <v>39.0</v>
      </c>
      <c r="H4" s="1" t="s">
        <v>66</v>
      </c>
      <c r="I4" s="1" t="s">
        <v>67</v>
      </c>
      <c r="J4" s="1" t="s">
        <v>68</v>
      </c>
      <c r="K4" s="1" t="s">
        <v>74</v>
      </c>
      <c r="M4" s="1" t="s">
        <v>58</v>
      </c>
      <c r="N4" s="1" t="s">
        <v>58</v>
      </c>
      <c r="O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59</v>
      </c>
      <c r="Y4" s="1" t="s">
        <v>60</v>
      </c>
      <c r="Z4" s="1" t="s">
        <v>61</v>
      </c>
      <c r="AA4" s="2">
        <v>30.0</v>
      </c>
      <c r="AB4" s="1" t="s">
        <v>62</v>
      </c>
      <c r="AC4" s="1" t="s">
        <v>71</v>
      </c>
      <c r="AF4" s="1" t="s">
        <v>51</v>
      </c>
      <c r="AG4" s="1" t="s">
        <v>72</v>
      </c>
      <c r="AI4" s="2">
        <v>1.0</v>
      </c>
      <c r="AJ4" s="2">
        <v>0.0</v>
      </c>
      <c r="AK4" s="2">
        <v>0.0</v>
      </c>
      <c r="AL4" s="2">
        <v>0.0</v>
      </c>
      <c r="AM4" s="1" t="s">
        <v>72</v>
      </c>
      <c r="AP4" s="2">
        <v>4.89890054E8</v>
      </c>
      <c r="AQ4" s="1" t="s">
        <v>75</v>
      </c>
      <c r="AR4" s="2">
        <v>45808.339270833334</v>
      </c>
      <c r="AU4" s="1" t="s">
        <v>64</v>
      </c>
      <c r="AW4" s="1" t="s">
        <v>65</v>
      </c>
      <c r="AY4" s="2">
        <v>3.0</v>
      </c>
    </row>
    <row r="5">
      <c r="A5" s="1" t="s">
        <v>51</v>
      </c>
      <c r="C5" s="1" t="s">
        <v>52</v>
      </c>
      <c r="E5" s="1" t="s">
        <v>53</v>
      </c>
      <c r="F5" s="1" t="s">
        <v>54</v>
      </c>
      <c r="G5" s="2">
        <v>27.0</v>
      </c>
      <c r="H5" s="1" t="s">
        <v>66</v>
      </c>
      <c r="I5" s="1" t="s">
        <v>76</v>
      </c>
      <c r="J5" s="1" t="s">
        <v>68</v>
      </c>
      <c r="K5" s="1" t="s">
        <v>74</v>
      </c>
      <c r="M5" s="1" t="s">
        <v>58</v>
      </c>
      <c r="N5" s="1" t="s">
        <v>58</v>
      </c>
      <c r="O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59</v>
      </c>
      <c r="Y5" s="1" t="s">
        <v>60</v>
      </c>
      <c r="Z5" s="1" t="s">
        <v>61</v>
      </c>
      <c r="AA5" s="2">
        <v>40.0</v>
      </c>
      <c r="AB5" s="1" t="s">
        <v>62</v>
      </c>
      <c r="AC5" s="1" t="s">
        <v>71</v>
      </c>
      <c r="AF5" s="1" t="s">
        <v>51</v>
      </c>
      <c r="AG5" s="1" t="s">
        <v>72</v>
      </c>
      <c r="AI5" s="2">
        <v>1.0</v>
      </c>
      <c r="AJ5" s="2">
        <v>0.0</v>
      </c>
      <c r="AK5" s="2">
        <v>0.0</v>
      </c>
      <c r="AL5" s="2">
        <v>0.0</v>
      </c>
      <c r="AM5" s="1" t="s">
        <v>72</v>
      </c>
      <c r="AP5" s="2">
        <v>4.89890911E8</v>
      </c>
      <c r="AQ5" s="1" t="s">
        <v>77</v>
      </c>
      <c r="AR5" s="2">
        <v>45808.340578703705</v>
      </c>
      <c r="AU5" s="1" t="s">
        <v>64</v>
      </c>
      <c r="AW5" s="1" t="s">
        <v>65</v>
      </c>
      <c r="AY5" s="2">
        <v>4.0</v>
      </c>
    </row>
    <row r="6">
      <c r="A6" s="1" t="s">
        <v>51</v>
      </c>
      <c r="C6" s="1" t="s">
        <v>52</v>
      </c>
      <c r="E6" s="1" t="s">
        <v>52</v>
      </c>
      <c r="G6" s="2">
        <v>53.0</v>
      </c>
      <c r="H6" s="1" t="s">
        <v>66</v>
      </c>
      <c r="J6" s="1" t="s">
        <v>68</v>
      </c>
      <c r="K6" s="1" t="s">
        <v>78</v>
      </c>
      <c r="M6" s="1" t="s">
        <v>58</v>
      </c>
      <c r="N6" s="1" t="s">
        <v>58</v>
      </c>
      <c r="O6" s="1" t="s">
        <v>58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58</v>
      </c>
      <c r="W6" s="1" t="s">
        <v>58</v>
      </c>
      <c r="X6" s="1" t="s">
        <v>59</v>
      </c>
      <c r="Y6" s="1" t="s">
        <v>60</v>
      </c>
      <c r="Z6" s="1" t="s">
        <v>61</v>
      </c>
      <c r="AA6" s="2">
        <v>20.0</v>
      </c>
      <c r="AB6" s="1" t="s">
        <v>79</v>
      </c>
      <c r="AC6" s="1" t="s">
        <v>71</v>
      </c>
      <c r="AF6" s="1" t="s">
        <v>51</v>
      </c>
      <c r="AG6" s="1" t="s">
        <v>51</v>
      </c>
      <c r="AH6" s="2">
        <v>5000.0</v>
      </c>
      <c r="AI6" s="2">
        <v>1.0</v>
      </c>
      <c r="AJ6" s="2">
        <v>0.0</v>
      </c>
      <c r="AK6" s="2">
        <v>0.0</v>
      </c>
      <c r="AL6" s="2">
        <v>0.0</v>
      </c>
      <c r="AP6" s="2">
        <v>4.89891719E8</v>
      </c>
      <c r="AQ6" s="1" t="s">
        <v>80</v>
      </c>
      <c r="AR6" s="2">
        <v>45808.34217592593</v>
      </c>
      <c r="AU6" s="1" t="s">
        <v>64</v>
      </c>
      <c r="AW6" s="1" t="s">
        <v>65</v>
      </c>
      <c r="AY6" s="2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3E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C2" s="1" t="s">
        <v>52</v>
      </c>
      <c r="E2" s="1" t="s">
        <v>53</v>
      </c>
      <c r="F2" s="1" t="s">
        <v>54</v>
      </c>
      <c r="G2" s="1">
        <v>45.0</v>
      </c>
      <c r="H2" s="1" t="s">
        <v>55</v>
      </c>
      <c r="J2" s="1" t="s">
        <v>56</v>
      </c>
      <c r="K2" s="1" t="s">
        <v>57</v>
      </c>
      <c r="M2" s="1" t="s">
        <v>58</v>
      </c>
      <c r="N2" s="1" t="s">
        <v>58</v>
      </c>
      <c r="O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59</v>
      </c>
      <c r="Y2" s="1" t="s">
        <v>60</v>
      </c>
      <c r="Z2" s="1" t="s">
        <v>61</v>
      </c>
      <c r="AA2" s="1">
        <v>20.0</v>
      </c>
      <c r="AB2" s="1" t="s">
        <v>62</v>
      </c>
      <c r="AC2" s="1" t="s">
        <v>51</v>
      </c>
      <c r="AD2" s="1" t="s">
        <v>59</v>
      </c>
      <c r="AE2" s="1" t="s">
        <v>51</v>
      </c>
      <c r="AF2" s="1" t="s">
        <v>51</v>
      </c>
      <c r="AG2" s="1" t="s">
        <v>51</v>
      </c>
      <c r="AH2" s="1">
        <v>20000.0</v>
      </c>
      <c r="AI2" s="1">
        <v>1.0</v>
      </c>
      <c r="AJ2" s="1">
        <v>0.0</v>
      </c>
      <c r="AK2" s="1">
        <v>0.0</v>
      </c>
      <c r="AL2" s="1">
        <v>0.0</v>
      </c>
      <c r="AM2" s="1" t="s">
        <v>51</v>
      </c>
      <c r="AN2" s="1">
        <v>7.440664E8</v>
      </c>
      <c r="AP2" s="1">
        <v>4.89854387E8</v>
      </c>
      <c r="AQ2" s="1" t="s">
        <v>63</v>
      </c>
      <c r="AR2" s="1">
        <v>45808.27971</v>
      </c>
      <c r="AU2" s="1" t="s">
        <v>64</v>
      </c>
      <c r="AW2" s="1" t="s">
        <v>65</v>
      </c>
      <c r="AY2" s="1">
        <v>1.0</v>
      </c>
    </row>
    <row r="3">
      <c r="A3" s="1" t="s">
        <v>51</v>
      </c>
      <c r="C3" s="1" t="s">
        <v>52</v>
      </c>
      <c r="E3" s="1" t="s">
        <v>53</v>
      </c>
      <c r="F3" s="1" t="s">
        <v>54</v>
      </c>
      <c r="G3" s="1">
        <v>38.0</v>
      </c>
      <c r="H3" s="1" t="s">
        <v>66</v>
      </c>
      <c r="I3" s="1" t="s">
        <v>67</v>
      </c>
      <c r="J3" s="1" t="s">
        <v>68</v>
      </c>
      <c r="K3" s="1" t="s">
        <v>57</v>
      </c>
      <c r="M3" s="1" t="s">
        <v>58</v>
      </c>
      <c r="N3" s="1" t="s">
        <v>58</v>
      </c>
      <c r="O3" s="1" t="s">
        <v>58</v>
      </c>
      <c r="Q3" s="1" t="s">
        <v>69</v>
      </c>
      <c r="R3" s="1" t="s">
        <v>69</v>
      </c>
      <c r="S3" s="1" t="s">
        <v>58</v>
      </c>
      <c r="T3" s="1" t="s">
        <v>58</v>
      </c>
      <c r="U3" s="1" t="s">
        <v>69</v>
      </c>
      <c r="V3" s="1" t="s">
        <v>70</v>
      </c>
      <c r="W3" s="1" t="s">
        <v>69</v>
      </c>
      <c r="X3" s="1" t="s">
        <v>59</v>
      </c>
      <c r="Y3" s="1" t="s">
        <v>60</v>
      </c>
      <c r="Z3" s="1" t="s">
        <v>61</v>
      </c>
      <c r="AA3" s="1">
        <v>30.0</v>
      </c>
      <c r="AB3" s="1" t="s">
        <v>62</v>
      </c>
      <c r="AC3" s="1" t="s">
        <v>71</v>
      </c>
      <c r="AF3" s="1" t="s">
        <v>51</v>
      </c>
      <c r="AG3" s="1" t="s">
        <v>72</v>
      </c>
      <c r="AI3" s="1">
        <v>1.0</v>
      </c>
      <c r="AJ3" s="1">
        <v>0.0</v>
      </c>
      <c r="AK3" s="1">
        <v>0.0</v>
      </c>
      <c r="AL3" s="1">
        <v>0.0</v>
      </c>
      <c r="AM3" s="1" t="s">
        <v>72</v>
      </c>
      <c r="AP3" s="1">
        <v>4.89889246E8</v>
      </c>
      <c r="AQ3" s="1" t="s">
        <v>73</v>
      </c>
      <c r="AR3" s="1">
        <v>45808.33772</v>
      </c>
      <c r="AU3" s="1" t="s">
        <v>64</v>
      </c>
      <c r="AW3" s="1" t="s">
        <v>65</v>
      </c>
      <c r="AY3" s="1">
        <v>2.0</v>
      </c>
    </row>
    <row r="4">
      <c r="A4" s="1" t="s">
        <v>51</v>
      </c>
      <c r="C4" s="1" t="s">
        <v>52</v>
      </c>
      <c r="E4" s="1" t="s">
        <v>53</v>
      </c>
      <c r="F4" s="1" t="s">
        <v>54</v>
      </c>
      <c r="G4" s="1">
        <v>39.0</v>
      </c>
      <c r="H4" s="1" t="s">
        <v>66</v>
      </c>
      <c r="I4" s="1" t="s">
        <v>67</v>
      </c>
      <c r="J4" s="1" t="s">
        <v>68</v>
      </c>
      <c r="K4" s="1" t="s">
        <v>74</v>
      </c>
      <c r="M4" s="1" t="s">
        <v>58</v>
      </c>
      <c r="N4" s="1" t="s">
        <v>58</v>
      </c>
      <c r="O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59</v>
      </c>
      <c r="Y4" s="1" t="s">
        <v>60</v>
      </c>
      <c r="Z4" s="1" t="s">
        <v>61</v>
      </c>
      <c r="AA4" s="1">
        <v>30.0</v>
      </c>
      <c r="AB4" s="1" t="s">
        <v>62</v>
      </c>
      <c r="AC4" s="1" t="s">
        <v>71</v>
      </c>
      <c r="AF4" s="1" t="s">
        <v>51</v>
      </c>
      <c r="AG4" s="1" t="s">
        <v>72</v>
      </c>
      <c r="AI4" s="1">
        <v>1.0</v>
      </c>
      <c r="AJ4" s="1">
        <v>0.0</v>
      </c>
      <c r="AK4" s="1">
        <v>0.0</v>
      </c>
      <c r="AL4" s="1">
        <v>0.0</v>
      </c>
      <c r="AM4" s="1" t="s">
        <v>72</v>
      </c>
      <c r="AP4" s="1">
        <v>4.89890054E8</v>
      </c>
      <c r="AQ4" s="1" t="s">
        <v>75</v>
      </c>
      <c r="AR4" s="1">
        <v>45808.33927</v>
      </c>
      <c r="AU4" s="1" t="s">
        <v>64</v>
      </c>
      <c r="AW4" s="1" t="s">
        <v>65</v>
      </c>
      <c r="AY4" s="1">
        <v>3.0</v>
      </c>
    </row>
    <row r="5">
      <c r="A5" s="1" t="s">
        <v>51</v>
      </c>
      <c r="C5" s="1" t="s">
        <v>52</v>
      </c>
      <c r="E5" s="1" t="s">
        <v>53</v>
      </c>
      <c r="F5" s="1" t="s">
        <v>54</v>
      </c>
      <c r="G5" s="1">
        <v>27.0</v>
      </c>
      <c r="H5" s="1" t="s">
        <v>66</v>
      </c>
      <c r="I5" s="1" t="s">
        <v>76</v>
      </c>
      <c r="J5" s="1" t="s">
        <v>68</v>
      </c>
      <c r="K5" s="1" t="s">
        <v>74</v>
      </c>
      <c r="M5" s="1" t="s">
        <v>58</v>
      </c>
      <c r="N5" s="1" t="s">
        <v>58</v>
      </c>
      <c r="O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59</v>
      </c>
      <c r="Y5" s="1" t="s">
        <v>60</v>
      </c>
      <c r="Z5" s="1" t="s">
        <v>61</v>
      </c>
      <c r="AA5" s="1">
        <v>40.0</v>
      </c>
      <c r="AB5" s="1" t="s">
        <v>62</v>
      </c>
      <c r="AC5" s="1" t="s">
        <v>71</v>
      </c>
      <c r="AF5" s="1" t="s">
        <v>51</v>
      </c>
      <c r="AG5" s="1" t="s">
        <v>72</v>
      </c>
      <c r="AI5" s="1">
        <v>1.0</v>
      </c>
      <c r="AJ5" s="1">
        <v>0.0</v>
      </c>
      <c r="AK5" s="1">
        <v>0.0</v>
      </c>
      <c r="AL5" s="1">
        <v>0.0</v>
      </c>
      <c r="AM5" s="1" t="s">
        <v>72</v>
      </c>
      <c r="AP5" s="1">
        <v>4.89890911E8</v>
      </c>
      <c r="AQ5" s="1" t="s">
        <v>77</v>
      </c>
      <c r="AR5" s="1">
        <v>45808.34058</v>
      </c>
      <c r="AU5" s="1" t="s">
        <v>64</v>
      </c>
      <c r="AW5" s="1" t="s">
        <v>65</v>
      </c>
      <c r="AY5" s="1">
        <v>4.0</v>
      </c>
    </row>
    <row r="6">
      <c r="A6" s="1" t="s">
        <v>51</v>
      </c>
      <c r="C6" s="1" t="s">
        <v>52</v>
      </c>
      <c r="E6" s="1" t="s">
        <v>52</v>
      </c>
      <c r="G6" s="1">
        <v>53.0</v>
      </c>
      <c r="H6" s="1" t="s">
        <v>66</v>
      </c>
      <c r="J6" s="1" t="s">
        <v>68</v>
      </c>
      <c r="K6" s="1" t="s">
        <v>78</v>
      </c>
      <c r="M6" s="1" t="s">
        <v>58</v>
      </c>
      <c r="N6" s="1" t="s">
        <v>58</v>
      </c>
      <c r="O6" s="1" t="s">
        <v>58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58</v>
      </c>
      <c r="W6" s="1" t="s">
        <v>58</v>
      </c>
      <c r="X6" s="1" t="s">
        <v>59</v>
      </c>
      <c r="Y6" s="1" t="s">
        <v>60</v>
      </c>
      <c r="Z6" s="1" t="s">
        <v>61</v>
      </c>
      <c r="AA6" s="1">
        <v>20.0</v>
      </c>
      <c r="AB6" s="1" t="s">
        <v>79</v>
      </c>
      <c r="AC6" s="1" t="s">
        <v>71</v>
      </c>
      <c r="AF6" s="1" t="s">
        <v>51</v>
      </c>
      <c r="AG6" s="1" t="s">
        <v>51</v>
      </c>
      <c r="AH6" s="1">
        <v>5000.0</v>
      </c>
      <c r="AI6" s="1">
        <v>1.0</v>
      </c>
      <c r="AJ6" s="1">
        <v>0.0</v>
      </c>
      <c r="AK6" s="1">
        <v>0.0</v>
      </c>
      <c r="AL6" s="1">
        <v>0.0</v>
      </c>
      <c r="AP6" s="1">
        <v>4.89891719E8</v>
      </c>
      <c r="AQ6" s="1" t="s">
        <v>80</v>
      </c>
      <c r="AR6" s="1">
        <v>45808.34218</v>
      </c>
      <c r="AU6" s="1" t="s">
        <v>64</v>
      </c>
      <c r="AW6" s="1" t="s">
        <v>65</v>
      </c>
      <c r="AY6" s="1">
        <v>5.0</v>
      </c>
    </row>
    <row r="7">
      <c r="A7" s="1" t="s">
        <v>51</v>
      </c>
      <c r="C7" s="1" t="s">
        <v>52</v>
      </c>
      <c r="E7" s="1" t="s">
        <v>53</v>
      </c>
      <c r="F7" s="1" t="s">
        <v>54</v>
      </c>
      <c r="G7" s="1">
        <v>36.0</v>
      </c>
      <c r="H7" s="1" t="s">
        <v>66</v>
      </c>
      <c r="I7" s="1" t="s">
        <v>67</v>
      </c>
      <c r="J7" s="1" t="s">
        <v>68</v>
      </c>
      <c r="K7" s="1" t="s">
        <v>74</v>
      </c>
      <c r="M7" s="1" t="s">
        <v>58</v>
      </c>
      <c r="N7" s="1" t="s">
        <v>58</v>
      </c>
      <c r="O7" s="1" t="s">
        <v>69</v>
      </c>
      <c r="Q7" s="1" t="s">
        <v>70</v>
      </c>
      <c r="R7" s="1" t="s">
        <v>58</v>
      </c>
      <c r="S7" s="1" t="s">
        <v>69</v>
      </c>
      <c r="T7" s="1" t="s">
        <v>69</v>
      </c>
      <c r="U7" s="1" t="s">
        <v>70</v>
      </c>
      <c r="V7" s="1" t="s">
        <v>69</v>
      </c>
      <c r="W7" s="1" t="s">
        <v>69</v>
      </c>
      <c r="X7" s="1" t="s">
        <v>81</v>
      </c>
      <c r="Y7" s="1" t="s">
        <v>82</v>
      </c>
      <c r="Z7" s="1" t="s">
        <v>61</v>
      </c>
      <c r="AA7" s="1">
        <v>100.0</v>
      </c>
      <c r="AB7" s="1" t="s">
        <v>79</v>
      </c>
      <c r="AC7" s="1" t="s">
        <v>71</v>
      </c>
      <c r="AF7" s="1" t="s">
        <v>51</v>
      </c>
      <c r="AG7" s="1" t="s">
        <v>51</v>
      </c>
      <c r="AH7" s="1">
        <v>20.0</v>
      </c>
      <c r="AI7" s="1">
        <v>0.0</v>
      </c>
      <c r="AJ7" s="1">
        <v>0.0</v>
      </c>
      <c r="AK7" s="1">
        <v>0.0</v>
      </c>
      <c r="AL7" s="1">
        <v>1.0</v>
      </c>
      <c r="AM7" s="1" t="s">
        <v>51</v>
      </c>
      <c r="AN7" s="1">
        <v>6.03855945E8</v>
      </c>
      <c r="AP7" s="1">
        <v>4.87549124E8</v>
      </c>
      <c r="AQ7" s="1" t="s">
        <v>83</v>
      </c>
      <c r="AR7" s="1">
        <v>45805.15648</v>
      </c>
      <c r="AU7" s="1" t="s">
        <v>64</v>
      </c>
      <c r="AW7" s="1" t="s">
        <v>84</v>
      </c>
      <c r="AY7" s="1">
        <v>1.0</v>
      </c>
    </row>
    <row r="8">
      <c r="A8" s="1" t="s">
        <v>51</v>
      </c>
      <c r="C8" s="1" t="s">
        <v>52</v>
      </c>
      <c r="E8" s="1" t="s">
        <v>53</v>
      </c>
      <c r="F8" s="1" t="s">
        <v>85</v>
      </c>
      <c r="G8" s="1">
        <v>41.0</v>
      </c>
      <c r="H8" s="1" t="s">
        <v>55</v>
      </c>
      <c r="I8" s="1" t="s">
        <v>67</v>
      </c>
      <c r="J8" s="1" t="s">
        <v>86</v>
      </c>
      <c r="K8" s="1" t="s">
        <v>87</v>
      </c>
      <c r="M8" s="1" t="s">
        <v>58</v>
      </c>
      <c r="N8" s="1" t="s">
        <v>70</v>
      </c>
      <c r="O8" s="1" t="s">
        <v>58</v>
      </c>
      <c r="Q8" s="1" t="s">
        <v>58</v>
      </c>
      <c r="R8" s="1" t="s">
        <v>58</v>
      </c>
      <c r="S8" s="1" t="s">
        <v>69</v>
      </c>
      <c r="T8" s="1" t="s">
        <v>70</v>
      </c>
      <c r="U8" s="1" t="s">
        <v>58</v>
      </c>
      <c r="V8" s="1" t="s">
        <v>58</v>
      </c>
      <c r="W8" s="1" t="s">
        <v>58</v>
      </c>
      <c r="X8" s="1" t="s">
        <v>88</v>
      </c>
      <c r="Y8" s="1" t="s">
        <v>60</v>
      </c>
      <c r="Z8" s="1" t="s">
        <v>89</v>
      </c>
      <c r="AA8" s="1">
        <v>100.0</v>
      </c>
      <c r="AB8" s="1" t="s">
        <v>62</v>
      </c>
      <c r="AC8" s="1" t="s">
        <v>51</v>
      </c>
      <c r="AD8" s="1" t="s">
        <v>59</v>
      </c>
      <c r="AE8" s="1" t="s">
        <v>51</v>
      </c>
      <c r="AF8" s="1" t="s">
        <v>51</v>
      </c>
      <c r="AG8" s="1" t="s">
        <v>72</v>
      </c>
      <c r="AI8" s="1">
        <v>0.0</v>
      </c>
      <c r="AJ8" s="1">
        <v>0.0</v>
      </c>
      <c r="AK8" s="1">
        <v>0.0</v>
      </c>
      <c r="AL8" s="1">
        <v>1.0</v>
      </c>
      <c r="AM8" s="1" t="s">
        <v>51</v>
      </c>
      <c r="AN8" s="1">
        <v>7.89114176E8</v>
      </c>
      <c r="AP8" s="1">
        <v>4.87569504E8</v>
      </c>
      <c r="AQ8" s="1" t="s">
        <v>90</v>
      </c>
      <c r="AR8" s="1">
        <v>45805.20499</v>
      </c>
      <c r="AU8" s="1" t="s">
        <v>64</v>
      </c>
      <c r="AW8" s="1" t="s">
        <v>84</v>
      </c>
      <c r="AY8" s="1">
        <v>2.0</v>
      </c>
    </row>
    <row r="9">
      <c r="A9" s="1" t="s">
        <v>72</v>
      </c>
      <c r="AP9" s="1">
        <v>4.87569554E8</v>
      </c>
      <c r="AQ9" s="1" t="s">
        <v>91</v>
      </c>
      <c r="AR9" s="1">
        <v>45805.20507</v>
      </c>
      <c r="AU9" s="1" t="s">
        <v>64</v>
      </c>
      <c r="AW9" s="1" t="s">
        <v>84</v>
      </c>
      <c r="AY9" s="1">
        <v>3.0</v>
      </c>
    </row>
    <row r="10">
      <c r="A10" s="1" t="s">
        <v>51</v>
      </c>
      <c r="C10" s="1" t="s">
        <v>52</v>
      </c>
      <c r="E10" s="1" t="s">
        <v>53</v>
      </c>
      <c r="F10" s="1" t="s">
        <v>54</v>
      </c>
      <c r="G10" s="1">
        <v>36.0</v>
      </c>
      <c r="H10" s="1" t="s">
        <v>55</v>
      </c>
      <c r="I10" s="1" t="s">
        <v>67</v>
      </c>
      <c r="J10" s="1" t="s">
        <v>68</v>
      </c>
      <c r="K10" s="1" t="s">
        <v>92</v>
      </c>
      <c r="M10" s="1" t="s">
        <v>58</v>
      </c>
      <c r="N10" s="1" t="s">
        <v>58</v>
      </c>
      <c r="O10" s="1" t="s">
        <v>58</v>
      </c>
      <c r="Q10" s="1" t="s">
        <v>69</v>
      </c>
      <c r="R10" s="1" t="s">
        <v>58</v>
      </c>
      <c r="S10" s="1" t="s">
        <v>69</v>
      </c>
      <c r="T10" s="1" t="s">
        <v>58</v>
      </c>
      <c r="U10" s="1" t="s">
        <v>58</v>
      </c>
      <c r="V10" s="1" t="s">
        <v>58</v>
      </c>
      <c r="W10" s="1" t="s">
        <v>69</v>
      </c>
      <c r="X10" s="1" t="s">
        <v>81</v>
      </c>
      <c r="Y10" s="1" t="s">
        <v>60</v>
      </c>
      <c r="Z10" s="1" t="s">
        <v>89</v>
      </c>
      <c r="AA10" s="1">
        <v>50.0</v>
      </c>
      <c r="AB10" s="1" t="s">
        <v>79</v>
      </c>
      <c r="AC10" s="1" t="s">
        <v>51</v>
      </c>
      <c r="AD10" s="1" t="s">
        <v>81</v>
      </c>
      <c r="AE10" s="1" t="s">
        <v>51</v>
      </c>
      <c r="AF10" s="1" t="s">
        <v>51</v>
      </c>
      <c r="AG10" s="1" t="s">
        <v>51</v>
      </c>
      <c r="AH10" s="1">
        <v>50.0</v>
      </c>
      <c r="AI10" s="1">
        <v>0.0</v>
      </c>
      <c r="AJ10" s="1">
        <v>0.0</v>
      </c>
      <c r="AK10" s="1">
        <v>0.0</v>
      </c>
      <c r="AL10" s="1">
        <v>1.0</v>
      </c>
      <c r="AM10" s="1" t="s">
        <v>51</v>
      </c>
      <c r="AN10" s="1">
        <v>7.85939885E8</v>
      </c>
      <c r="AP10" s="1">
        <v>4.87579768E8</v>
      </c>
      <c r="AQ10" s="1" t="s">
        <v>93</v>
      </c>
      <c r="AR10" s="1">
        <v>45805.22567</v>
      </c>
      <c r="AU10" s="1" t="s">
        <v>64</v>
      </c>
      <c r="AW10" s="1" t="s">
        <v>84</v>
      </c>
      <c r="AY10" s="1">
        <v>4.0</v>
      </c>
    </row>
    <row r="11">
      <c r="A11" s="1" t="s">
        <v>51</v>
      </c>
      <c r="C11" s="1" t="s">
        <v>52</v>
      </c>
      <c r="E11" s="1" t="s">
        <v>53</v>
      </c>
      <c r="F11" s="1" t="s">
        <v>94</v>
      </c>
      <c r="G11" s="1">
        <v>45.0</v>
      </c>
      <c r="H11" s="1" t="s">
        <v>66</v>
      </c>
      <c r="I11" s="1" t="s">
        <v>67</v>
      </c>
      <c r="J11" s="1" t="s">
        <v>86</v>
      </c>
      <c r="K11" s="1" t="s">
        <v>87</v>
      </c>
      <c r="M11" s="1" t="s">
        <v>58</v>
      </c>
      <c r="N11" s="1" t="s">
        <v>58</v>
      </c>
      <c r="O11" s="1" t="s">
        <v>69</v>
      </c>
      <c r="Q11" s="1" t="s">
        <v>69</v>
      </c>
      <c r="R11" s="1" t="s">
        <v>58</v>
      </c>
      <c r="S11" s="1" t="s">
        <v>58</v>
      </c>
      <c r="T11" s="1" t="s">
        <v>58</v>
      </c>
      <c r="U11" s="1" t="s">
        <v>69</v>
      </c>
      <c r="V11" s="1" t="s">
        <v>58</v>
      </c>
      <c r="W11" s="1" t="s">
        <v>58</v>
      </c>
      <c r="X11" s="1" t="s">
        <v>88</v>
      </c>
      <c r="Y11" s="1" t="s">
        <v>95</v>
      </c>
      <c r="Z11" s="1" t="s">
        <v>96</v>
      </c>
      <c r="AA11" s="1">
        <v>100.0</v>
      </c>
      <c r="AB11" s="1" t="s">
        <v>62</v>
      </c>
      <c r="AF11" s="1" t="s">
        <v>51</v>
      </c>
      <c r="AI11" s="1">
        <v>0.0</v>
      </c>
      <c r="AJ11" s="1">
        <v>0.0</v>
      </c>
      <c r="AK11" s="1">
        <v>0.0</v>
      </c>
      <c r="AL11" s="1">
        <v>1.0</v>
      </c>
      <c r="AM11" s="1" t="s">
        <v>51</v>
      </c>
      <c r="AP11" s="1">
        <v>4.87581103E8</v>
      </c>
      <c r="AQ11" s="1" t="s">
        <v>97</v>
      </c>
      <c r="AR11" s="1">
        <v>45805.22862</v>
      </c>
      <c r="AU11" s="1" t="s">
        <v>64</v>
      </c>
      <c r="AW11" s="1" t="s">
        <v>84</v>
      </c>
      <c r="AY11" s="1">
        <v>5.0</v>
      </c>
    </row>
    <row r="12">
      <c r="A12" s="1" t="s">
        <v>51</v>
      </c>
      <c r="C12" s="1" t="s">
        <v>52</v>
      </c>
      <c r="E12" s="1" t="s">
        <v>53</v>
      </c>
      <c r="F12" s="1" t="s">
        <v>54</v>
      </c>
      <c r="G12" s="1">
        <v>49.0</v>
      </c>
      <c r="H12" s="1" t="s">
        <v>55</v>
      </c>
      <c r="I12" s="1" t="s">
        <v>67</v>
      </c>
      <c r="J12" s="1" t="s">
        <v>86</v>
      </c>
      <c r="K12" s="1" t="s">
        <v>87</v>
      </c>
      <c r="M12" s="1" t="s">
        <v>58</v>
      </c>
      <c r="N12" s="1" t="s">
        <v>58</v>
      </c>
      <c r="O12" s="1" t="s">
        <v>58</v>
      </c>
      <c r="Q12" s="1" t="s">
        <v>58</v>
      </c>
      <c r="R12" s="1" t="s">
        <v>58</v>
      </c>
      <c r="S12" s="1" t="s">
        <v>58</v>
      </c>
      <c r="T12" s="1" t="s">
        <v>70</v>
      </c>
      <c r="U12" s="1" t="s">
        <v>58</v>
      </c>
      <c r="V12" s="1" t="s">
        <v>58</v>
      </c>
      <c r="W12" s="1" t="s">
        <v>58</v>
      </c>
      <c r="X12" s="1" t="s">
        <v>88</v>
      </c>
      <c r="Y12" s="1" t="s">
        <v>95</v>
      </c>
      <c r="Z12" s="1" t="s">
        <v>96</v>
      </c>
      <c r="AA12" s="1">
        <v>100.0</v>
      </c>
      <c r="AB12" s="1" t="s">
        <v>62</v>
      </c>
      <c r="AC12" s="1" t="s">
        <v>51</v>
      </c>
      <c r="AD12" s="1" t="s">
        <v>81</v>
      </c>
      <c r="AE12" s="1" t="s">
        <v>51</v>
      </c>
      <c r="AF12" s="1" t="s">
        <v>51</v>
      </c>
      <c r="AG12" s="1" t="s">
        <v>51</v>
      </c>
      <c r="AH12" s="1">
        <v>50.0</v>
      </c>
      <c r="AI12" s="1">
        <v>0.0</v>
      </c>
      <c r="AJ12" s="1">
        <v>0.0</v>
      </c>
      <c r="AK12" s="1">
        <v>1.0</v>
      </c>
      <c r="AL12" s="1">
        <v>0.0</v>
      </c>
      <c r="AM12" s="1" t="s">
        <v>51</v>
      </c>
      <c r="AN12" s="1">
        <v>6.80530886E8</v>
      </c>
      <c r="AP12" s="1">
        <v>4.87583535E8</v>
      </c>
      <c r="AQ12" s="1" t="s">
        <v>98</v>
      </c>
      <c r="AR12" s="1">
        <v>45805.2337</v>
      </c>
      <c r="AU12" s="1" t="s">
        <v>64</v>
      </c>
      <c r="AW12" s="1" t="s">
        <v>84</v>
      </c>
      <c r="AY12" s="1">
        <v>6.0</v>
      </c>
    </row>
    <row r="13">
      <c r="A13" s="1" t="s">
        <v>51</v>
      </c>
      <c r="C13" s="1" t="s">
        <v>52</v>
      </c>
      <c r="E13" s="1" t="s">
        <v>53</v>
      </c>
      <c r="F13" s="1" t="s">
        <v>54</v>
      </c>
      <c r="G13" s="1">
        <v>39.0</v>
      </c>
      <c r="H13" s="1" t="s">
        <v>55</v>
      </c>
      <c r="I13" s="1" t="s">
        <v>67</v>
      </c>
      <c r="J13" s="1" t="s">
        <v>86</v>
      </c>
      <c r="K13" s="1" t="s">
        <v>87</v>
      </c>
      <c r="M13" s="1" t="s">
        <v>58</v>
      </c>
      <c r="N13" s="1" t="s">
        <v>58</v>
      </c>
      <c r="O13" s="1" t="s">
        <v>69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88</v>
      </c>
      <c r="Y13" s="1" t="s">
        <v>95</v>
      </c>
      <c r="Z13" s="1" t="s">
        <v>89</v>
      </c>
      <c r="AA13" s="1">
        <v>50.0</v>
      </c>
      <c r="AB13" s="1" t="s">
        <v>62</v>
      </c>
      <c r="AC13" s="1" t="s">
        <v>51</v>
      </c>
      <c r="AD13" s="1" t="s">
        <v>81</v>
      </c>
      <c r="AE13" s="1" t="s">
        <v>51</v>
      </c>
      <c r="AF13" s="1" t="s">
        <v>51</v>
      </c>
      <c r="AG13" s="1" t="s">
        <v>72</v>
      </c>
      <c r="AI13" s="1">
        <v>0.0</v>
      </c>
      <c r="AJ13" s="1">
        <v>0.0</v>
      </c>
      <c r="AK13" s="1">
        <v>0.0</v>
      </c>
      <c r="AL13" s="1">
        <v>1.0</v>
      </c>
      <c r="AM13" s="1" t="s">
        <v>72</v>
      </c>
      <c r="AP13" s="1">
        <v>4.87584635E8</v>
      </c>
      <c r="AQ13" s="1" t="s">
        <v>99</v>
      </c>
      <c r="AR13" s="1">
        <v>45805.23601</v>
      </c>
      <c r="AU13" s="1" t="s">
        <v>64</v>
      </c>
      <c r="AW13" s="1" t="s">
        <v>84</v>
      </c>
      <c r="AY13" s="1">
        <v>7.0</v>
      </c>
    </row>
    <row r="14">
      <c r="A14" s="1" t="s">
        <v>51</v>
      </c>
      <c r="C14" s="1" t="s">
        <v>53</v>
      </c>
      <c r="E14" s="1" t="s">
        <v>53</v>
      </c>
      <c r="F14" s="1" t="s">
        <v>54</v>
      </c>
      <c r="G14" s="1">
        <v>19.0</v>
      </c>
      <c r="H14" s="1" t="s">
        <v>55</v>
      </c>
      <c r="I14" s="1" t="s">
        <v>100</v>
      </c>
      <c r="J14" s="1" t="s">
        <v>68</v>
      </c>
      <c r="K14" s="1" t="s">
        <v>92</v>
      </c>
      <c r="M14" s="1" t="s">
        <v>58</v>
      </c>
      <c r="N14" s="1" t="s">
        <v>58</v>
      </c>
      <c r="O14" s="1" t="s">
        <v>70</v>
      </c>
      <c r="Q14" s="1" t="s">
        <v>58</v>
      </c>
      <c r="R14" s="1" t="s">
        <v>58</v>
      </c>
      <c r="S14" s="1" t="s">
        <v>69</v>
      </c>
      <c r="T14" s="1" t="s">
        <v>69</v>
      </c>
      <c r="U14" s="1" t="s">
        <v>70</v>
      </c>
      <c r="V14" s="1" t="s">
        <v>58</v>
      </c>
      <c r="W14" s="1" t="s">
        <v>69</v>
      </c>
      <c r="X14" s="1" t="s">
        <v>88</v>
      </c>
      <c r="Y14" s="1" t="s">
        <v>82</v>
      </c>
      <c r="Z14" s="1" t="s">
        <v>89</v>
      </c>
      <c r="AA14" s="1">
        <v>40.0</v>
      </c>
      <c r="AB14" s="1" t="s">
        <v>28</v>
      </c>
      <c r="AC14" s="1" t="s">
        <v>72</v>
      </c>
      <c r="AF14" s="1" t="s">
        <v>51</v>
      </c>
      <c r="AG14" s="1" t="s">
        <v>51</v>
      </c>
      <c r="AH14" s="1">
        <v>20.0</v>
      </c>
      <c r="AI14" s="1">
        <v>0.0</v>
      </c>
      <c r="AJ14" s="1">
        <v>0.0</v>
      </c>
      <c r="AK14" s="1">
        <v>1.0</v>
      </c>
      <c r="AL14" s="1">
        <v>0.0</v>
      </c>
      <c r="AM14" s="1" t="s">
        <v>72</v>
      </c>
      <c r="AP14" s="1">
        <v>4.87590182E8</v>
      </c>
      <c r="AQ14" s="1" t="s">
        <v>101</v>
      </c>
      <c r="AR14" s="1">
        <v>45805.24519</v>
      </c>
      <c r="AU14" s="1" t="s">
        <v>64</v>
      </c>
      <c r="AW14" s="1" t="s">
        <v>84</v>
      </c>
      <c r="AY14" s="1">
        <v>8.0</v>
      </c>
    </row>
    <row r="15">
      <c r="A15" s="1" t="s">
        <v>51</v>
      </c>
      <c r="C15" s="1" t="s">
        <v>52</v>
      </c>
      <c r="E15" s="1" t="s">
        <v>53</v>
      </c>
      <c r="F15" s="1" t="s">
        <v>102</v>
      </c>
      <c r="G15" s="1">
        <v>41.0</v>
      </c>
      <c r="H15" s="1" t="s">
        <v>55</v>
      </c>
      <c r="I15" s="1" t="s">
        <v>67</v>
      </c>
      <c r="J15" s="1" t="s">
        <v>56</v>
      </c>
      <c r="K15" s="1" t="s">
        <v>87</v>
      </c>
      <c r="M15" s="1" t="s">
        <v>58</v>
      </c>
      <c r="N15" s="1" t="s">
        <v>58</v>
      </c>
      <c r="O15" s="1" t="s">
        <v>58</v>
      </c>
      <c r="Q15" s="1" t="s">
        <v>70</v>
      </c>
      <c r="R15" s="1" t="s">
        <v>58</v>
      </c>
      <c r="S15" s="1" t="s">
        <v>69</v>
      </c>
      <c r="T15" s="1" t="s">
        <v>69</v>
      </c>
      <c r="U15" s="1" t="s">
        <v>69</v>
      </c>
      <c r="V15" s="1" t="s">
        <v>58</v>
      </c>
      <c r="W15" s="1" t="s">
        <v>69</v>
      </c>
      <c r="X15" s="1" t="s">
        <v>103</v>
      </c>
      <c r="Y15" s="1" t="s">
        <v>95</v>
      </c>
      <c r="Z15" s="1" t="s">
        <v>89</v>
      </c>
      <c r="AA15" s="1">
        <v>100.0</v>
      </c>
      <c r="AB15" s="1" t="s">
        <v>62</v>
      </c>
      <c r="AC15" s="1" t="s">
        <v>71</v>
      </c>
      <c r="AF15" s="1" t="s">
        <v>72</v>
      </c>
      <c r="AG15" s="1" t="s">
        <v>51</v>
      </c>
      <c r="AH15" s="1">
        <v>15.0</v>
      </c>
      <c r="AI15" s="1">
        <v>0.0</v>
      </c>
      <c r="AJ15" s="1">
        <v>0.0</v>
      </c>
      <c r="AK15" s="1">
        <v>1.0</v>
      </c>
      <c r="AL15" s="1">
        <v>0.0</v>
      </c>
      <c r="AM15" s="1" t="s">
        <v>72</v>
      </c>
      <c r="AP15" s="1">
        <v>4.87597851E8</v>
      </c>
      <c r="AQ15" s="1" t="s">
        <v>104</v>
      </c>
      <c r="AR15" s="1">
        <v>45805.25703</v>
      </c>
      <c r="AU15" s="1" t="s">
        <v>64</v>
      </c>
      <c r="AW15" s="1" t="s">
        <v>84</v>
      </c>
      <c r="AY15" s="1">
        <v>9.0</v>
      </c>
    </row>
    <row r="16">
      <c r="A16" s="1" t="s">
        <v>51</v>
      </c>
      <c r="C16" s="1" t="s">
        <v>52</v>
      </c>
      <c r="E16" s="1" t="s">
        <v>105</v>
      </c>
      <c r="G16" s="1">
        <v>44.0</v>
      </c>
      <c r="H16" s="1" t="s">
        <v>66</v>
      </c>
      <c r="K16" s="1" t="s">
        <v>92</v>
      </c>
      <c r="M16" s="1" t="s">
        <v>58</v>
      </c>
      <c r="N16" s="1" t="s">
        <v>58</v>
      </c>
      <c r="O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88</v>
      </c>
      <c r="Y16" s="1" t="s">
        <v>95</v>
      </c>
      <c r="Z16" s="1" t="s">
        <v>89</v>
      </c>
      <c r="AA16" s="1">
        <v>100.0</v>
      </c>
      <c r="AB16" s="1" t="s">
        <v>79</v>
      </c>
      <c r="AF16" s="1" t="s">
        <v>51</v>
      </c>
      <c r="AG16" s="1" t="s">
        <v>51</v>
      </c>
      <c r="AI16" s="1">
        <v>0.0</v>
      </c>
      <c r="AJ16" s="1">
        <v>0.0</v>
      </c>
      <c r="AK16" s="1">
        <v>0.0</v>
      </c>
      <c r="AL16" s="1">
        <v>1.0</v>
      </c>
      <c r="AP16" s="1">
        <v>4.87598469E8</v>
      </c>
      <c r="AQ16" s="1" t="s">
        <v>106</v>
      </c>
      <c r="AR16" s="1">
        <v>45805.25779</v>
      </c>
      <c r="AU16" s="1" t="s">
        <v>64</v>
      </c>
      <c r="AW16" s="1" t="s">
        <v>84</v>
      </c>
      <c r="AY16" s="1">
        <v>10.0</v>
      </c>
    </row>
    <row r="17">
      <c r="A17" s="1" t="s">
        <v>51</v>
      </c>
      <c r="C17" s="1" t="s">
        <v>52</v>
      </c>
      <c r="E17" s="1" t="s">
        <v>107</v>
      </c>
      <c r="G17" s="1">
        <v>45.0</v>
      </c>
      <c r="H17" s="1" t="s">
        <v>55</v>
      </c>
      <c r="J17" s="1" t="s">
        <v>86</v>
      </c>
      <c r="K17" s="1" t="s">
        <v>87</v>
      </c>
      <c r="M17" s="1" t="s">
        <v>58</v>
      </c>
      <c r="N17" s="1" t="s">
        <v>58</v>
      </c>
      <c r="O17" s="1" t="s">
        <v>58</v>
      </c>
      <c r="Q17" s="1" t="s">
        <v>69</v>
      </c>
      <c r="R17" s="1" t="s">
        <v>58</v>
      </c>
      <c r="S17" s="1" t="s">
        <v>69</v>
      </c>
      <c r="T17" s="1" t="s">
        <v>58</v>
      </c>
      <c r="U17" s="1" t="s">
        <v>58</v>
      </c>
      <c r="V17" s="1" t="s">
        <v>58</v>
      </c>
      <c r="W17" s="1" t="s">
        <v>69</v>
      </c>
      <c r="X17" s="1" t="s">
        <v>103</v>
      </c>
      <c r="Y17" s="1" t="s">
        <v>95</v>
      </c>
      <c r="Z17" s="1" t="s">
        <v>108</v>
      </c>
      <c r="AA17" s="1">
        <v>100.0</v>
      </c>
      <c r="AB17" s="1" t="s">
        <v>62</v>
      </c>
      <c r="AC17" s="1" t="s">
        <v>71</v>
      </c>
      <c r="AF17" s="1" t="s">
        <v>51</v>
      </c>
      <c r="AG17" s="1" t="s">
        <v>72</v>
      </c>
      <c r="AI17" s="1">
        <v>0.0</v>
      </c>
      <c r="AJ17" s="1">
        <v>0.0</v>
      </c>
      <c r="AK17" s="1">
        <v>1.0</v>
      </c>
      <c r="AL17" s="1">
        <v>0.0</v>
      </c>
      <c r="AP17" s="1">
        <v>4.87601692E8</v>
      </c>
      <c r="AQ17" s="1" t="s">
        <v>109</v>
      </c>
      <c r="AR17" s="1">
        <v>45805.26286</v>
      </c>
      <c r="AU17" s="1" t="s">
        <v>64</v>
      </c>
      <c r="AW17" s="1" t="s">
        <v>84</v>
      </c>
      <c r="AY17" s="1">
        <v>11.0</v>
      </c>
    </row>
    <row r="18">
      <c r="A18" s="1" t="s">
        <v>51</v>
      </c>
      <c r="C18" s="1" t="s">
        <v>52</v>
      </c>
      <c r="E18" s="1" t="s">
        <v>53</v>
      </c>
      <c r="G18" s="1">
        <v>35.0</v>
      </c>
      <c r="H18" s="1" t="s">
        <v>66</v>
      </c>
      <c r="I18" s="1" t="s">
        <v>67</v>
      </c>
      <c r="J18" s="1" t="s">
        <v>68</v>
      </c>
      <c r="K18" s="1" t="s">
        <v>74</v>
      </c>
      <c r="M18" s="1" t="s">
        <v>58</v>
      </c>
      <c r="N18" s="1" t="s">
        <v>58</v>
      </c>
      <c r="O18" s="1" t="s">
        <v>58</v>
      </c>
      <c r="Q18" s="1" t="s">
        <v>58</v>
      </c>
      <c r="R18" s="1" t="s">
        <v>58</v>
      </c>
      <c r="S18" s="1" t="s">
        <v>69</v>
      </c>
      <c r="T18" s="1" t="s">
        <v>69</v>
      </c>
      <c r="U18" s="1" t="s">
        <v>58</v>
      </c>
      <c r="V18" s="1" t="s">
        <v>58</v>
      </c>
      <c r="W18" s="1" t="s">
        <v>69</v>
      </c>
      <c r="X18" s="1" t="s">
        <v>59</v>
      </c>
      <c r="Y18" s="1" t="s">
        <v>82</v>
      </c>
      <c r="Z18" s="1" t="s">
        <v>108</v>
      </c>
      <c r="AA18" s="1">
        <v>10.0</v>
      </c>
      <c r="AB18" s="1" t="s">
        <v>79</v>
      </c>
      <c r="AC18" s="1" t="s">
        <v>51</v>
      </c>
      <c r="AD18" s="1" t="s">
        <v>81</v>
      </c>
      <c r="AE18" s="1" t="s">
        <v>51</v>
      </c>
      <c r="AF18" s="1" t="s">
        <v>51</v>
      </c>
      <c r="AG18" s="1" t="s">
        <v>51</v>
      </c>
      <c r="AH18" s="1">
        <v>6000.0</v>
      </c>
      <c r="AI18" s="1">
        <v>0.0</v>
      </c>
      <c r="AJ18" s="1">
        <v>1.0</v>
      </c>
      <c r="AK18" s="1">
        <v>0.0</v>
      </c>
      <c r="AL18" s="1">
        <v>0.0</v>
      </c>
      <c r="AM18" s="1" t="s">
        <v>51</v>
      </c>
      <c r="AN18" s="1">
        <v>7.80638071E8</v>
      </c>
      <c r="AP18" s="1">
        <v>4.87603844E8</v>
      </c>
      <c r="AQ18" s="1" t="s">
        <v>110</v>
      </c>
      <c r="AR18" s="1">
        <v>45805.26619</v>
      </c>
      <c r="AU18" s="1" t="s">
        <v>64</v>
      </c>
      <c r="AW18" s="1" t="s">
        <v>84</v>
      </c>
      <c r="AY18" s="1">
        <v>12.0</v>
      </c>
    </row>
    <row r="19">
      <c r="A19" s="1" t="s">
        <v>51</v>
      </c>
      <c r="C19" s="1" t="s">
        <v>52</v>
      </c>
      <c r="E19" s="1" t="s">
        <v>53</v>
      </c>
      <c r="F19" s="1" t="s">
        <v>102</v>
      </c>
      <c r="G19" s="1">
        <v>43.0</v>
      </c>
      <c r="H19" s="1" t="s">
        <v>66</v>
      </c>
      <c r="I19" s="1" t="s">
        <v>67</v>
      </c>
      <c r="J19" s="1" t="s">
        <v>111</v>
      </c>
      <c r="K19" s="1" t="s">
        <v>87</v>
      </c>
      <c r="M19" s="1" t="s">
        <v>58</v>
      </c>
      <c r="N19" s="1" t="s">
        <v>58</v>
      </c>
      <c r="O19" s="1" t="s">
        <v>69</v>
      </c>
      <c r="Q19" s="1" t="s">
        <v>69</v>
      </c>
      <c r="R19" s="1" t="s">
        <v>58</v>
      </c>
      <c r="S19" s="1" t="s">
        <v>69</v>
      </c>
      <c r="T19" s="1" t="s">
        <v>69</v>
      </c>
      <c r="U19" s="1" t="s">
        <v>69</v>
      </c>
      <c r="V19" s="1" t="s">
        <v>58</v>
      </c>
      <c r="W19" s="1" t="s">
        <v>70</v>
      </c>
      <c r="X19" s="1" t="s">
        <v>59</v>
      </c>
      <c r="Y19" s="1" t="s">
        <v>95</v>
      </c>
      <c r="Z19" s="1" t="s">
        <v>61</v>
      </c>
      <c r="AA19" s="1">
        <v>10.0</v>
      </c>
      <c r="AB19" s="1" t="s">
        <v>79</v>
      </c>
      <c r="AC19" s="1" t="s">
        <v>51</v>
      </c>
      <c r="AD19" s="1" t="s">
        <v>81</v>
      </c>
      <c r="AE19" s="1" t="s">
        <v>51</v>
      </c>
      <c r="AF19" s="1" t="s">
        <v>51</v>
      </c>
      <c r="AG19" s="1" t="s">
        <v>51</v>
      </c>
      <c r="AH19" s="1">
        <v>100.0</v>
      </c>
      <c r="AI19" s="1">
        <v>0.0</v>
      </c>
      <c r="AJ19" s="1">
        <v>0.0</v>
      </c>
      <c r="AK19" s="1">
        <v>1.0</v>
      </c>
      <c r="AL19" s="1">
        <v>0.0</v>
      </c>
      <c r="AM19" s="1" t="s">
        <v>51</v>
      </c>
      <c r="AN19" s="1">
        <v>7.42878903E8</v>
      </c>
      <c r="AP19" s="1">
        <v>4.8760696E8</v>
      </c>
      <c r="AQ19" s="1" t="s">
        <v>112</v>
      </c>
      <c r="AR19" s="1">
        <v>45805.27038</v>
      </c>
      <c r="AU19" s="1" t="s">
        <v>64</v>
      </c>
      <c r="AW19" s="1" t="s">
        <v>84</v>
      </c>
      <c r="AY19" s="1">
        <v>13.0</v>
      </c>
    </row>
    <row r="20">
      <c r="A20" s="1" t="s">
        <v>51</v>
      </c>
      <c r="C20" s="1" t="s">
        <v>52</v>
      </c>
      <c r="E20" s="1" t="s">
        <v>52</v>
      </c>
      <c r="G20" s="1">
        <v>36.0</v>
      </c>
      <c r="H20" s="1" t="s">
        <v>55</v>
      </c>
      <c r="J20" s="1" t="s">
        <v>111</v>
      </c>
      <c r="K20" s="1" t="s">
        <v>87</v>
      </c>
      <c r="M20" s="1" t="s">
        <v>58</v>
      </c>
      <c r="N20" s="1" t="s">
        <v>58</v>
      </c>
      <c r="O20" s="1" t="s">
        <v>69</v>
      </c>
      <c r="Q20" s="1" t="s">
        <v>58</v>
      </c>
      <c r="R20" s="1" t="s">
        <v>58</v>
      </c>
      <c r="S20" s="1" t="s">
        <v>69</v>
      </c>
      <c r="T20" s="1" t="s">
        <v>58</v>
      </c>
      <c r="U20" s="1" t="s">
        <v>58</v>
      </c>
      <c r="V20" s="1" t="s">
        <v>58</v>
      </c>
      <c r="W20" s="1" t="s">
        <v>69</v>
      </c>
      <c r="X20" s="1" t="s">
        <v>88</v>
      </c>
      <c r="Y20" s="1" t="s">
        <v>95</v>
      </c>
      <c r="Z20" s="1" t="s">
        <v>89</v>
      </c>
      <c r="AA20" s="1">
        <v>50.0</v>
      </c>
      <c r="AB20" s="1" t="s">
        <v>79</v>
      </c>
      <c r="AC20" s="1" t="s">
        <v>71</v>
      </c>
      <c r="AF20" s="1" t="s">
        <v>51</v>
      </c>
      <c r="AG20" s="1" t="s">
        <v>51</v>
      </c>
      <c r="AH20" s="1">
        <v>50.0</v>
      </c>
      <c r="AI20" s="1">
        <v>0.0</v>
      </c>
      <c r="AJ20" s="1">
        <v>0.0</v>
      </c>
      <c r="AK20" s="1">
        <v>0.0</v>
      </c>
      <c r="AL20" s="1">
        <v>1.0</v>
      </c>
      <c r="AP20" s="1">
        <v>4.87608107E8</v>
      </c>
      <c r="AQ20" s="1" t="s">
        <v>113</v>
      </c>
      <c r="AR20" s="1">
        <v>45805.27188</v>
      </c>
      <c r="AU20" s="1" t="s">
        <v>64</v>
      </c>
      <c r="AW20" s="1" t="s">
        <v>84</v>
      </c>
      <c r="AY20" s="1">
        <v>14.0</v>
      </c>
    </row>
    <row r="21">
      <c r="A21" s="1" t="s">
        <v>51</v>
      </c>
      <c r="C21" s="1" t="s">
        <v>52</v>
      </c>
      <c r="E21" s="1" t="s">
        <v>52</v>
      </c>
      <c r="G21" s="1">
        <v>30.0</v>
      </c>
      <c r="H21" s="1" t="s">
        <v>55</v>
      </c>
      <c r="J21" s="1" t="s">
        <v>86</v>
      </c>
      <c r="K21" s="1" t="s">
        <v>87</v>
      </c>
      <c r="M21" s="1" t="s">
        <v>58</v>
      </c>
      <c r="N21" s="1" t="s">
        <v>58</v>
      </c>
      <c r="O21" s="1" t="s">
        <v>70</v>
      </c>
      <c r="Q21" s="1" t="s">
        <v>58</v>
      </c>
      <c r="R21" s="1" t="s">
        <v>70</v>
      </c>
      <c r="S21" s="1" t="s">
        <v>69</v>
      </c>
      <c r="T21" s="1" t="s">
        <v>69</v>
      </c>
      <c r="U21" s="1" t="s">
        <v>58</v>
      </c>
      <c r="V21" s="1" t="s">
        <v>58</v>
      </c>
      <c r="W21" s="1" t="s">
        <v>69</v>
      </c>
      <c r="X21" s="1" t="s">
        <v>81</v>
      </c>
      <c r="Y21" s="1" t="s">
        <v>95</v>
      </c>
      <c r="Z21" s="1" t="s">
        <v>89</v>
      </c>
      <c r="AA21" s="1">
        <v>40.0</v>
      </c>
      <c r="AB21" s="1" t="s">
        <v>62</v>
      </c>
      <c r="AC21" s="1" t="s">
        <v>51</v>
      </c>
      <c r="AD21" s="1" t="s">
        <v>81</v>
      </c>
      <c r="AE21" s="1" t="s">
        <v>51</v>
      </c>
      <c r="AF21" s="1" t="s">
        <v>51</v>
      </c>
      <c r="AG21" s="1" t="s">
        <v>51</v>
      </c>
      <c r="AH21" s="1">
        <v>20.0</v>
      </c>
      <c r="AI21" s="1">
        <v>1.0</v>
      </c>
      <c r="AJ21" s="1">
        <v>1.0</v>
      </c>
      <c r="AK21" s="1">
        <v>1.0</v>
      </c>
      <c r="AL21" s="1">
        <v>0.0</v>
      </c>
      <c r="AP21" s="1">
        <v>4.87609783E8</v>
      </c>
      <c r="AQ21" s="1" t="s">
        <v>114</v>
      </c>
      <c r="AR21" s="1">
        <v>45805.27391</v>
      </c>
      <c r="AU21" s="1" t="s">
        <v>64</v>
      </c>
      <c r="AW21" s="1" t="s">
        <v>84</v>
      </c>
      <c r="AY21" s="1">
        <v>15.0</v>
      </c>
    </row>
    <row r="22">
      <c r="A22" s="1" t="s">
        <v>51</v>
      </c>
      <c r="C22" s="1" t="s">
        <v>52</v>
      </c>
      <c r="E22" s="1" t="s">
        <v>53</v>
      </c>
      <c r="F22" s="1" t="s">
        <v>115</v>
      </c>
      <c r="G22" s="1">
        <v>44.0</v>
      </c>
      <c r="H22" s="1" t="s">
        <v>55</v>
      </c>
      <c r="I22" s="1" t="s">
        <v>67</v>
      </c>
      <c r="J22" s="1" t="s">
        <v>86</v>
      </c>
      <c r="K22" s="1" t="s">
        <v>87</v>
      </c>
      <c r="M22" s="1" t="s">
        <v>58</v>
      </c>
      <c r="N22" s="1" t="s">
        <v>58</v>
      </c>
      <c r="O22" s="1" t="s">
        <v>69</v>
      </c>
      <c r="Q22" s="1" t="s">
        <v>69</v>
      </c>
      <c r="R22" s="1" t="s">
        <v>70</v>
      </c>
      <c r="S22" s="1" t="s">
        <v>69</v>
      </c>
      <c r="T22" s="1" t="s">
        <v>69</v>
      </c>
      <c r="U22" s="1" t="s">
        <v>70</v>
      </c>
      <c r="V22" s="1" t="s">
        <v>58</v>
      </c>
      <c r="W22" s="1" t="s">
        <v>70</v>
      </c>
      <c r="X22" s="1" t="s">
        <v>88</v>
      </c>
      <c r="Y22" s="1" t="s">
        <v>82</v>
      </c>
      <c r="Z22" s="1" t="s">
        <v>89</v>
      </c>
      <c r="AA22" s="1">
        <v>50.0</v>
      </c>
      <c r="AB22" s="1" t="s">
        <v>62</v>
      </c>
      <c r="AC22" s="1" t="s">
        <v>71</v>
      </c>
      <c r="AF22" s="1" t="s">
        <v>51</v>
      </c>
      <c r="AG22" s="1" t="s">
        <v>51</v>
      </c>
      <c r="AH22" s="1">
        <v>50.0</v>
      </c>
      <c r="AI22" s="1">
        <v>0.0</v>
      </c>
      <c r="AJ22" s="1">
        <v>0.0</v>
      </c>
      <c r="AK22" s="1">
        <v>0.0</v>
      </c>
      <c r="AL22" s="1">
        <v>1.0</v>
      </c>
      <c r="AM22" s="1" t="s">
        <v>51</v>
      </c>
      <c r="AN22" s="1">
        <v>8.35757654E8</v>
      </c>
      <c r="AP22" s="1">
        <v>4.87612881E8</v>
      </c>
      <c r="AQ22" s="1" t="s">
        <v>116</v>
      </c>
      <c r="AR22" s="1">
        <v>45805.27794</v>
      </c>
      <c r="AU22" s="1" t="s">
        <v>64</v>
      </c>
      <c r="AW22" s="1" t="s">
        <v>84</v>
      </c>
      <c r="AY22" s="1">
        <v>16.0</v>
      </c>
    </row>
    <row r="23">
      <c r="A23" s="1" t="s">
        <v>51</v>
      </c>
      <c r="Q23" s="1" t="s">
        <v>69</v>
      </c>
      <c r="R23" s="1" t="s">
        <v>70</v>
      </c>
      <c r="S23" s="1" t="s">
        <v>70</v>
      </c>
      <c r="T23" s="1" t="s">
        <v>58</v>
      </c>
      <c r="U23" s="1" t="s">
        <v>58</v>
      </c>
      <c r="V23" s="1" t="s">
        <v>58</v>
      </c>
      <c r="W23" s="1" t="s">
        <v>70</v>
      </c>
      <c r="X23" s="1" t="s">
        <v>88</v>
      </c>
      <c r="Y23" s="1" t="s">
        <v>95</v>
      </c>
      <c r="Z23" s="1" t="s">
        <v>89</v>
      </c>
      <c r="AA23" s="1">
        <v>100.0</v>
      </c>
      <c r="AB23" s="1" t="s">
        <v>79</v>
      </c>
      <c r="AC23" s="1" t="s">
        <v>71</v>
      </c>
      <c r="AF23" s="1" t="s">
        <v>51</v>
      </c>
      <c r="AG23" s="1" t="s">
        <v>72</v>
      </c>
      <c r="AI23" s="1">
        <v>0.0</v>
      </c>
      <c r="AJ23" s="1">
        <v>0.0</v>
      </c>
      <c r="AK23" s="1">
        <v>1.0</v>
      </c>
      <c r="AL23" s="1">
        <v>0.0</v>
      </c>
      <c r="AP23" s="1">
        <v>4.87617465E8</v>
      </c>
      <c r="AQ23" s="1" t="s">
        <v>117</v>
      </c>
      <c r="AR23" s="1">
        <v>45805.2839</v>
      </c>
      <c r="AU23" s="1" t="s">
        <v>64</v>
      </c>
      <c r="AW23" s="1" t="s">
        <v>84</v>
      </c>
      <c r="AY23" s="1">
        <v>17.0</v>
      </c>
    </row>
    <row r="24">
      <c r="A24" s="1" t="s">
        <v>51</v>
      </c>
      <c r="C24" s="1" t="s">
        <v>118</v>
      </c>
      <c r="E24" s="1" t="s">
        <v>105</v>
      </c>
      <c r="G24" s="1">
        <v>38.0</v>
      </c>
      <c r="H24" s="1" t="s">
        <v>66</v>
      </c>
      <c r="J24" s="1" t="s">
        <v>86</v>
      </c>
      <c r="K24" s="1" t="s">
        <v>92</v>
      </c>
      <c r="M24" s="1" t="s">
        <v>58</v>
      </c>
      <c r="N24" s="1" t="s">
        <v>58</v>
      </c>
      <c r="O24" s="1" t="s">
        <v>69</v>
      </c>
      <c r="Q24" s="1" t="s">
        <v>69</v>
      </c>
      <c r="R24" s="1" t="s">
        <v>58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81</v>
      </c>
      <c r="Y24" s="1" t="s">
        <v>95</v>
      </c>
      <c r="Z24" s="1" t="s">
        <v>89</v>
      </c>
      <c r="AA24" s="1">
        <v>10.0</v>
      </c>
      <c r="AB24" s="1" t="s">
        <v>28</v>
      </c>
      <c r="AC24" s="1" t="s">
        <v>51</v>
      </c>
      <c r="AD24" s="1" t="s">
        <v>81</v>
      </c>
      <c r="AE24" s="1" t="s">
        <v>51</v>
      </c>
      <c r="AF24" s="1" t="s">
        <v>51</v>
      </c>
      <c r="AG24" s="1" t="s">
        <v>51</v>
      </c>
      <c r="AH24" s="1">
        <v>300.0</v>
      </c>
      <c r="AI24" s="1">
        <v>0.0</v>
      </c>
      <c r="AJ24" s="1">
        <v>0.0</v>
      </c>
      <c r="AK24" s="1">
        <v>0.0</v>
      </c>
      <c r="AL24" s="1">
        <v>1.0</v>
      </c>
      <c r="AP24" s="1">
        <v>4.87617819E8</v>
      </c>
      <c r="AQ24" s="1" t="s">
        <v>119</v>
      </c>
      <c r="AR24" s="1">
        <v>45805.28432</v>
      </c>
      <c r="AU24" s="1" t="s">
        <v>64</v>
      </c>
      <c r="AW24" s="1" t="s">
        <v>84</v>
      </c>
      <c r="AY24" s="1">
        <v>18.0</v>
      </c>
    </row>
    <row r="25">
      <c r="A25" s="1" t="s">
        <v>51</v>
      </c>
      <c r="C25" s="1" t="s">
        <v>52</v>
      </c>
      <c r="E25" s="1" t="s">
        <v>52</v>
      </c>
      <c r="G25" s="1">
        <v>48.0</v>
      </c>
      <c r="H25" s="1" t="s">
        <v>66</v>
      </c>
      <c r="J25" s="1" t="s">
        <v>86</v>
      </c>
      <c r="K25" s="1" t="s">
        <v>87</v>
      </c>
      <c r="M25" s="1" t="s">
        <v>58</v>
      </c>
      <c r="N25" s="1" t="s">
        <v>58</v>
      </c>
      <c r="O25" s="1" t="s">
        <v>70</v>
      </c>
      <c r="Q25" s="1" t="s">
        <v>69</v>
      </c>
      <c r="R25" s="1" t="s">
        <v>58</v>
      </c>
      <c r="S25" s="1" t="s">
        <v>69</v>
      </c>
      <c r="T25" s="1" t="s">
        <v>69</v>
      </c>
      <c r="U25" s="1" t="s">
        <v>69</v>
      </c>
      <c r="V25" s="1" t="s">
        <v>58</v>
      </c>
      <c r="W25" s="1" t="s">
        <v>69</v>
      </c>
      <c r="X25" s="1" t="s">
        <v>59</v>
      </c>
      <c r="Y25" s="1" t="s">
        <v>95</v>
      </c>
      <c r="Z25" s="1" t="s">
        <v>89</v>
      </c>
      <c r="AA25" s="1">
        <v>40.0</v>
      </c>
      <c r="AB25" s="1" t="s">
        <v>62</v>
      </c>
      <c r="AC25" s="1" t="s">
        <v>71</v>
      </c>
      <c r="AF25" s="1" t="s">
        <v>51</v>
      </c>
      <c r="AG25" s="1" t="s">
        <v>72</v>
      </c>
      <c r="AI25" s="1">
        <v>1.0</v>
      </c>
      <c r="AJ25" s="1">
        <v>0.0</v>
      </c>
      <c r="AK25" s="1">
        <v>1.0</v>
      </c>
      <c r="AL25" s="1">
        <v>0.0</v>
      </c>
      <c r="AP25" s="1">
        <v>4.87617916E8</v>
      </c>
      <c r="AQ25" s="1" t="s">
        <v>120</v>
      </c>
      <c r="AR25" s="1">
        <v>45805.28444</v>
      </c>
      <c r="AU25" s="1" t="s">
        <v>64</v>
      </c>
      <c r="AW25" s="1" t="s">
        <v>84</v>
      </c>
      <c r="AY25" s="1">
        <v>19.0</v>
      </c>
    </row>
    <row r="26">
      <c r="A26" s="1" t="s">
        <v>51</v>
      </c>
      <c r="C26" s="1" t="s">
        <v>53</v>
      </c>
      <c r="E26" s="1" t="s">
        <v>53</v>
      </c>
      <c r="F26" s="1" t="s">
        <v>102</v>
      </c>
      <c r="G26" s="1">
        <v>57.0</v>
      </c>
      <c r="H26" s="1" t="s">
        <v>66</v>
      </c>
      <c r="I26" s="1" t="s">
        <v>121</v>
      </c>
      <c r="J26" s="1" t="s">
        <v>111</v>
      </c>
      <c r="K26" s="1" t="s">
        <v>87</v>
      </c>
      <c r="M26" s="1" t="s">
        <v>58</v>
      </c>
      <c r="N26" s="1" t="s">
        <v>58</v>
      </c>
      <c r="O26" s="1" t="s">
        <v>58</v>
      </c>
      <c r="Q26" s="1" t="s">
        <v>69</v>
      </c>
      <c r="R26" s="1" t="s">
        <v>58</v>
      </c>
      <c r="S26" s="1" t="s">
        <v>70</v>
      </c>
      <c r="T26" s="1" t="s">
        <v>58</v>
      </c>
      <c r="U26" s="1" t="s">
        <v>58</v>
      </c>
      <c r="V26" s="1" t="s">
        <v>58</v>
      </c>
      <c r="W26" s="1" t="s">
        <v>69</v>
      </c>
      <c r="X26" s="1" t="s">
        <v>88</v>
      </c>
      <c r="Y26" s="1" t="s">
        <v>95</v>
      </c>
      <c r="Z26" s="1" t="s">
        <v>89</v>
      </c>
      <c r="AA26" s="1">
        <v>100.0</v>
      </c>
      <c r="AB26" s="1" t="s">
        <v>79</v>
      </c>
      <c r="AC26" s="1" t="s">
        <v>71</v>
      </c>
      <c r="AF26" s="1" t="s">
        <v>51</v>
      </c>
      <c r="AG26" s="1" t="s">
        <v>72</v>
      </c>
      <c r="AI26" s="1">
        <v>0.0</v>
      </c>
      <c r="AJ26" s="1">
        <v>0.0</v>
      </c>
      <c r="AK26" s="1">
        <v>1.0</v>
      </c>
      <c r="AL26" s="1">
        <v>0.0</v>
      </c>
      <c r="AM26" s="1" t="s">
        <v>72</v>
      </c>
      <c r="AP26" s="1">
        <v>4.87618968E8</v>
      </c>
      <c r="AQ26" s="1" t="s">
        <v>122</v>
      </c>
      <c r="AR26" s="1">
        <v>45805.28564</v>
      </c>
      <c r="AU26" s="1" t="s">
        <v>64</v>
      </c>
      <c r="AW26" s="1" t="s">
        <v>84</v>
      </c>
      <c r="AY26" s="1">
        <v>20.0</v>
      </c>
    </row>
    <row r="27">
      <c r="A27" s="1" t="s">
        <v>51</v>
      </c>
      <c r="C27" s="1" t="s">
        <v>52</v>
      </c>
      <c r="E27" s="1" t="s">
        <v>53</v>
      </c>
      <c r="F27" s="1" t="s">
        <v>54</v>
      </c>
      <c r="G27" s="1">
        <v>50.0</v>
      </c>
      <c r="H27" s="1" t="s">
        <v>55</v>
      </c>
      <c r="I27" s="1" t="s">
        <v>100</v>
      </c>
      <c r="J27" s="1" t="s">
        <v>111</v>
      </c>
      <c r="K27" s="1" t="s">
        <v>87</v>
      </c>
      <c r="M27" s="1" t="s">
        <v>58</v>
      </c>
      <c r="N27" s="1" t="s">
        <v>58</v>
      </c>
      <c r="O27" s="1" t="s">
        <v>69</v>
      </c>
      <c r="Q27" s="1" t="s">
        <v>70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69</v>
      </c>
      <c r="X27" s="1" t="s">
        <v>59</v>
      </c>
      <c r="Y27" s="1" t="s">
        <v>95</v>
      </c>
      <c r="Z27" s="1" t="s">
        <v>89</v>
      </c>
      <c r="AA27" s="1">
        <v>100.0</v>
      </c>
      <c r="AB27" s="1" t="s">
        <v>79</v>
      </c>
      <c r="AC27" s="1" t="s">
        <v>51</v>
      </c>
      <c r="AD27" s="1" t="s">
        <v>59</v>
      </c>
      <c r="AE27" s="1" t="s">
        <v>51</v>
      </c>
      <c r="AF27" s="1" t="s">
        <v>51</v>
      </c>
      <c r="AG27" s="1" t="s">
        <v>51</v>
      </c>
      <c r="AH27" s="1">
        <v>200.0</v>
      </c>
      <c r="AI27" s="1">
        <v>0.0</v>
      </c>
      <c r="AJ27" s="1">
        <v>0.0</v>
      </c>
      <c r="AK27" s="1">
        <v>0.0</v>
      </c>
      <c r="AL27" s="1">
        <v>1.0</v>
      </c>
      <c r="AM27" s="1" t="s">
        <v>51</v>
      </c>
      <c r="AN27" s="1">
        <v>7.10864009E8</v>
      </c>
      <c r="AP27" s="1">
        <v>4.87620011E8</v>
      </c>
      <c r="AQ27" s="1" t="s">
        <v>123</v>
      </c>
      <c r="AR27" s="1">
        <v>45805.28686</v>
      </c>
      <c r="AU27" s="1" t="s">
        <v>64</v>
      </c>
      <c r="AW27" s="1" t="s">
        <v>84</v>
      </c>
      <c r="AY27" s="1">
        <v>21.0</v>
      </c>
    </row>
    <row r="28">
      <c r="A28" s="1" t="s">
        <v>51</v>
      </c>
      <c r="C28" s="1" t="s">
        <v>52</v>
      </c>
      <c r="E28" s="1" t="s">
        <v>53</v>
      </c>
      <c r="F28" s="1" t="s">
        <v>102</v>
      </c>
      <c r="G28" s="1">
        <v>42.0</v>
      </c>
      <c r="H28" s="1" t="s">
        <v>66</v>
      </c>
      <c r="I28" s="1" t="s">
        <v>67</v>
      </c>
      <c r="J28" s="1" t="s">
        <v>86</v>
      </c>
      <c r="K28" s="1" t="s">
        <v>87</v>
      </c>
      <c r="M28" s="1" t="s">
        <v>58</v>
      </c>
      <c r="N28" s="1" t="s">
        <v>58</v>
      </c>
      <c r="O28" s="1" t="s">
        <v>58</v>
      </c>
      <c r="Q28" s="1" t="s">
        <v>69</v>
      </c>
      <c r="R28" s="1" t="s">
        <v>58</v>
      </c>
      <c r="S28" s="1" t="s">
        <v>69</v>
      </c>
      <c r="T28" s="1" t="s">
        <v>58</v>
      </c>
      <c r="U28" s="1" t="s">
        <v>69</v>
      </c>
      <c r="V28" s="1" t="s">
        <v>58</v>
      </c>
      <c r="W28" s="1" t="s">
        <v>58</v>
      </c>
      <c r="X28" s="1" t="s">
        <v>88</v>
      </c>
      <c r="Y28" s="1" t="s">
        <v>95</v>
      </c>
      <c r="Z28" s="1" t="s">
        <v>89</v>
      </c>
      <c r="AA28" s="1">
        <v>40.0</v>
      </c>
      <c r="AB28" s="1" t="s">
        <v>62</v>
      </c>
      <c r="AC28" s="1" t="s">
        <v>71</v>
      </c>
      <c r="AF28" s="1" t="s">
        <v>51</v>
      </c>
      <c r="AG28" s="1" t="s">
        <v>51</v>
      </c>
      <c r="AH28" s="1">
        <v>20.0</v>
      </c>
      <c r="AI28" s="1">
        <v>0.0</v>
      </c>
      <c r="AJ28" s="1">
        <v>0.0</v>
      </c>
      <c r="AK28" s="1">
        <v>0.0</v>
      </c>
      <c r="AL28" s="1">
        <v>1.0</v>
      </c>
      <c r="AM28" s="1" t="s">
        <v>51</v>
      </c>
      <c r="AN28" s="1">
        <v>7.11170838E8</v>
      </c>
      <c r="AP28" s="1">
        <v>4.87629939E8</v>
      </c>
      <c r="AQ28" s="1" t="s">
        <v>124</v>
      </c>
      <c r="AR28" s="1">
        <v>45805.29897</v>
      </c>
      <c r="AU28" s="1" t="s">
        <v>64</v>
      </c>
      <c r="AW28" s="1" t="s">
        <v>84</v>
      </c>
      <c r="AY28" s="1">
        <v>22.0</v>
      </c>
    </row>
    <row r="29">
      <c r="A29" s="1" t="s">
        <v>51</v>
      </c>
      <c r="C29" s="1" t="s">
        <v>52</v>
      </c>
      <c r="E29" s="1" t="s">
        <v>53</v>
      </c>
      <c r="F29" s="1" t="s">
        <v>102</v>
      </c>
      <c r="G29" s="1">
        <v>45.0</v>
      </c>
      <c r="H29" s="1" t="s">
        <v>55</v>
      </c>
      <c r="I29" s="1" t="s">
        <v>67</v>
      </c>
      <c r="J29" s="1" t="s">
        <v>86</v>
      </c>
      <c r="K29" s="1" t="s">
        <v>87</v>
      </c>
      <c r="M29" s="1" t="s">
        <v>58</v>
      </c>
      <c r="N29" s="1" t="s">
        <v>58</v>
      </c>
      <c r="O29" s="1" t="s">
        <v>69</v>
      </c>
      <c r="Q29" s="1" t="s">
        <v>69</v>
      </c>
      <c r="R29" s="1" t="s">
        <v>58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88</v>
      </c>
      <c r="Y29" s="1" t="s">
        <v>95</v>
      </c>
      <c r="Z29" s="1" t="s">
        <v>89</v>
      </c>
      <c r="AA29" s="1">
        <v>100.0</v>
      </c>
      <c r="AB29" s="1" t="s">
        <v>62</v>
      </c>
      <c r="AC29" s="1" t="s">
        <v>71</v>
      </c>
      <c r="AF29" s="1" t="s">
        <v>51</v>
      </c>
      <c r="AG29" s="1" t="s">
        <v>72</v>
      </c>
      <c r="AI29" s="1">
        <v>1.0</v>
      </c>
      <c r="AJ29" s="1">
        <v>1.0</v>
      </c>
      <c r="AK29" s="1">
        <v>1.0</v>
      </c>
      <c r="AL29" s="1">
        <v>0.0</v>
      </c>
      <c r="AM29" s="1" t="s">
        <v>72</v>
      </c>
      <c r="AP29" s="1">
        <v>4.87630267E8</v>
      </c>
      <c r="AQ29" s="1" t="s">
        <v>125</v>
      </c>
      <c r="AR29" s="1">
        <v>45805.29935</v>
      </c>
      <c r="AU29" s="1" t="s">
        <v>64</v>
      </c>
      <c r="AW29" s="1" t="s">
        <v>84</v>
      </c>
      <c r="AY29" s="1">
        <v>23.0</v>
      </c>
    </row>
    <row r="30">
      <c r="A30" s="1" t="s">
        <v>51</v>
      </c>
      <c r="C30" s="1" t="s">
        <v>118</v>
      </c>
      <c r="E30" s="1" t="s">
        <v>53</v>
      </c>
      <c r="F30" s="1" t="s">
        <v>102</v>
      </c>
      <c r="G30" s="1">
        <v>44.0</v>
      </c>
      <c r="H30" s="1" t="s">
        <v>55</v>
      </c>
      <c r="I30" s="1" t="s">
        <v>67</v>
      </c>
      <c r="J30" s="1" t="s">
        <v>86</v>
      </c>
      <c r="K30" s="1" t="s">
        <v>87</v>
      </c>
      <c r="M30" s="1" t="s">
        <v>58</v>
      </c>
      <c r="N30" s="1" t="s">
        <v>58</v>
      </c>
      <c r="O30" s="1" t="s">
        <v>58</v>
      </c>
      <c r="Q30" s="1" t="s">
        <v>69</v>
      </c>
      <c r="R30" s="1" t="s">
        <v>58</v>
      </c>
      <c r="S30" s="1" t="s">
        <v>69</v>
      </c>
      <c r="T30" s="1" t="s">
        <v>58</v>
      </c>
      <c r="U30" s="1" t="s">
        <v>58</v>
      </c>
      <c r="V30" s="1" t="s">
        <v>58</v>
      </c>
      <c r="W30" s="1" t="s">
        <v>69</v>
      </c>
      <c r="X30" s="1" t="s">
        <v>103</v>
      </c>
      <c r="Y30" s="1" t="s">
        <v>95</v>
      </c>
      <c r="Z30" s="1" t="s">
        <v>89</v>
      </c>
      <c r="AA30" s="1">
        <v>100.0</v>
      </c>
      <c r="AB30" s="1" t="s">
        <v>62</v>
      </c>
      <c r="AC30" s="1" t="s">
        <v>71</v>
      </c>
      <c r="AF30" s="1" t="s">
        <v>51</v>
      </c>
      <c r="AG30" s="1" t="s">
        <v>72</v>
      </c>
      <c r="AI30" s="1">
        <v>0.0</v>
      </c>
      <c r="AJ30" s="1">
        <v>0.0</v>
      </c>
      <c r="AK30" s="1">
        <v>1.0</v>
      </c>
      <c r="AL30" s="1">
        <v>0.0</v>
      </c>
      <c r="AM30" s="1" t="s">
        <v>72</v>
      </c>
      <c r="AP30" s="1">
        <v>4.87631676E8</v>
      </c>
      <c r="AQ30" s="1" t="s">
        <v>126</v>
      </c>
      <c r="AR30" s="1">
        <v>45805.30094</v>
      </c>
      <c r="AU30" s="1" t="s">
        <v>64</v>
      </c>
      <c r="AW30" s="1" t="s">
        <v>84</v>
      </c>
      <c r="AY30" s="1">
        <v>24.0</v>
      </c>
    </row>
    <row r="31">
      <c r="A31" s="1" t="s">
        <v>51</v>
      </c>
      <c r="C31" s="1" t="s">
        <v>52</v>
      </c>
      <c r="E31" s="1" t="s">
        <v>107</v>
      </c>
      <c r="G31" s="1">
        <v>40.0</v>
      </c>
      <c r="H31" s="1" t="s">
        <v>66</v>
      </c>
      <c r="J31" s="1" t="s">
        <v>86</v>
      </c>
      <c r="K31" s="1" t="s">
        <v>87</v>
      </c>
      <c r="M31" s="1" t="s">
        <v>58</v>
      </c>
      <c r="N31" s="1" t="s">
        <v>58</v>
      </c>
      <c r="O31" s="1" t="s">
        <v>58</v>
      </c>
      <c r="Q31" s="1" t="s">
        <v>70</v>
      </c>
      <c r="R31" s="1" t="s">
        <v>58</v>
      </c>
      <c r="S31" s="1" t="s">
        <v>69</v>
      </c>
      <c r="T31" s="1" t="s">
        <v>69</v>
      </c>
      <c r="U31" s="1" t="s">
        <v>58</v>
      </c>
      <c r="V31" s="1" t="s">
        <v>58</v>
      </c>
      <c r="W31" s="1" t="s">
        <v>69</v>
      </c>
      <c r="X31" s="1" t="s">
        <v>59</v>
      </c>
      <c r="Y31" s="1" t="s">
        <v>60</v>
      </c>
      <c r="Z31" s="1" t="s">
        <v>127</v>
      </c>
      <c r="AA31" s="1">
        <v>40.0</v>
      </c>
      <c r="AB31" s="1" t="s">
        <v>62</v>
      </c>
      <c r="AC31" s="1" t="s">
        <v>71</v>
      </c>
      <c r="AF31" s="1" t="s">
        <v>51</v>
      </c>
      <c r="AG31" s="1" t="s">
        <v>72</v>
      </c>
      <c r="AI31" s="1">
        <v>0.0</v>
      </c>
      <c r="AJ31" s="1">
        <v>0.0</v>
      </c>
      <c r="AK31" s="1">
        <v>0.0</v>
      </c>
      <c r="AL31" s="1">
        <v>1.0</v>
      </c>
      <c r="AP31" s="1">
        <v>4.87633386E8</v>
      </c>
      <c r="AQ31" s="1" t="s">
        <v>128</v>
      </c>
      <c r="AR31" s="1">
        <v>45805.30301</v>
      </c>
      <c r="AU31" s="1" t="s">
        <v>64</v>
      </c>
      <c r="AW31" s="1" t="s">
        <v>84</v>
      </c>
      <c r="AY31" s="1">
        <v>25.0</v>
      </c>
    </row>
    <row r="32">
      <c r="A32" s="1" t="s">
        <v>51</v>
      </c>
      <c r="C32" s="1" t="s">
        <v>53</v>
      </c>
      <c r="E32" s="1" t="s">
        <v>53</v>
      </c>
      <c r="F32" s="1" t="s">
        <v>94</v>
      </c>
      <c r="G32" s="1">
        <v>48.0</v>
      </c>
      <c r="H32" s="1" t="s">
        <v>55</v>
      </c>
      <c r="I32" s="1" t="s">
        <v>121</v>
      </c>
      <c r="J32" s="1" t="s">
        <v>86</v>
      </c>
      <c r="K32" s="1" t="s">
        <v>87</v>
      </c>
      <c r="M32" s="1" t="s">
        <v>58</v>
      </c>
      <c r="N32" s="1" t="s">
        <v>58</v>
      </c>
      <c r="O32" s="1" t="s">
        <v>58</v>
      </c>
      <c r="Q32" s="1" t="s">
        <v>69</v>
      </c>
      <c r="R32" s="1" t="s">
        <v>58</v>
      </c>
      <c r="S32" s="1" t="s">
        <v>69</v>
      </c>
      <c r="T32" s="1" t="s">
        <v>58</v>
      </c>
      <c r="U32" s="1" t="s">
        <v>58</v>
      </c>
      <c r="V32" s="1" t="s">
        <v>58</v>
      </c>
      <c r="W32" s="1" t="s">
        <v>69</v>
      </c>
      <c r="X32" s="1" t="s">
        <v>103</v>
      </c>
      <c r="Y32" s="1" t="s">
        <v>60</v>
      </c>
      <c r="Z32" s="1" t="s">
        <v>61</v>
      </c>
      <c r="AA32" s="1">
        <v>100.0</v>
      </c>
      <c r="AB32" s="1" t="s">
        <v>79</v>
      </c>
      <c r="AC32" s="1" t="s">
        <v>71</v>
      </c>
      <c r="AF32" s="1" t="s">
        <v>51</v>
      </c>
      <c r="AG32" s="1" t="s">
        <v>51</v>
      </c>
      <c r="AH32" s="1">
        <v>500.0</v>
      </c>
      <c r="AI32" s="1">
        <v>0.0</v>
      </c>
      <c r="AJ32" s="1">
        <v>0.0</v>
      </c>
      <c r="AK32" s="1">
        <v>0.0</v>
      </c>
      <c r="AL32" s="1">
        <v>1.0</v>
      </c>
      <c r="AM32" s="1" t="s">
        <v>51</v>
      </c>
      <c r="AN32" s="1">
        <v>7.11468867E8</v>
      </c>
      <c r="AP32" s="1">
        <v>4.87636484E8</v>
      </c>
      <c r="AQ32" s="1" t="s">
        <v>129</v>
      </c>
      <c r="AR32" s="1">
        <v>45805.30628</v>
      </c>
      <c r="AU32" s="1" t="s">
        <v>64</v>
      </c>
      <c r="AW32" s="1" t="s">
        <v>84</v>
      </c>
      <c r="AY32" s="1">
        <v>26.0</v>
      </c>
    </row>
    <row r="33">
      <c r="A33" s="1" t="s">
        <v>51</v>
      </c>
      <c r="C33" s="1" t="s">
        <v>52</v>
      </c>
      <c r="E33" s="1" t="s">
        <v>107</v>
      </c>
      <c r="G33" s="1">
        <v>44.0</v>
      </c>
      <c r="H33" s="1" t="s">
        <v>55</v>
      </c>
      <c r="J33" s="1" t="s">
        <v>86</v>
      </c>
      <c r="K33" s="1" t="s">
        <v>87</v>
      </c>
      <c r="M33" s="1" t="s">
        <v>58</v>
      </c>
      <c r="N33" s="1" t="s">
        <v>58</v>
      </c>
      <c r="O33" s="1" t="s">
        <v>69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103</v>
      </c>
      <c r="Y33" s="1" t="s">
        <v>95</v>
      </c>
      <c r="Z33" s="1" t="s">
        <v>89</v>
      </c>
      <c r="AA33" s="1">
        <v>100.0</v>
      </c>
      <c r="AB33" s="1" t="s">
        <v>28</v>
      </c>
      <c r="AC33" s="1" t="s">
        <v>51</v>
      </c>
      <c r="AD33" s="1" t="s">
        <v>103</v>
      </c>
      <c r="AE33" s="1" t="s">
        <v>51</v>
      </c>
      <c r="AF33" s="1" t="s">
        <v>51</v>
      </c>
      <c r="AG33" s="1" t="s">
        <v>51</v>
      </c>
      <c r="AH33" s="1">
        <v>50.0</v>
      </c>
      <c r="AI33" s="1">
        <v>1.0</v>
      </c>
      <c r="AJ33" s="1">
        <v>0.0</v>
      </c>
      <c r="AK33" s="1">
        <v>1.0</v>
      </c>
      <c r="AL33" s="1">
        <v>0.0</v>
      </c>
      <c r="AP33" s="1">
        <v>4.87637677E8</v>
      </c>
      <c r="AQ33" s="1" t="s">
        <v>130</v>
      </c>
      <c r="AR33" s="1">
        <v>45805.30784</v>
      </c>
      <c r="AU33" s="1" t="s">
        <v>64</v>
      </c>
      <c r="AW33" s="1" t="s">
        <v>84</v>
      </c>
      <c r="AY33" s="1">
        <v>27.0</v>
      </c>
    </row>
    <row r="34">
      <c r="A34" s="1" t="s">
        <v>51</v>
      </c>
      <c r="C34" s="1" t="s">
        <v>131</v>
      </c>
      <c r="E34" s="1" t="s">
        <v>131</v>
      </c>
      <c r="G34" s="1">
        <v>42.0</v>
      </c>
      <c r="H34" s="1" t="s">
        <v>66</v>
      </c>
      <c r="J34" s="1" t="s">
        <v>56</v>
      </c>
      <c r="K34" s="1" t="s">
        <v>87</v>
      </c>
      <c r="M34" s="1" t="s">
        <v>58</v>
      </c>
      <c r="N34" s="1" t="s">
        <v>58</v>
      </c>
      <c r="O34" s="1" t="s">
        <v>69</v>
      </c>
      <c r="Q34" s="1" t="s">
        <v>69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69</v>
      </c>
      <c r="X34" s="1" t="s">
        <v>59</v>
      </c>
      <c r="Y34" s="1" t="s">
        <v>95</v>
      </c>
      <c r="Z34" s="1" t="s">
        <v>96</v>
      </c>
      <c r="AA34" s="1">
        <v>30.0</v>
      </c>
      <c r="AB34" s="1" t="s">
        <v>79</v>
      </c>
      <c r="AC34" s="1" t="s">
        <v>71</v>
      </c>
      <c r="AF34" s="1" t="s">
        <v>51</v>
      </c>
      <c r="AG34" s="1" t="s">
        <v>72</v>
      </c>
      <c r="AI34" s="1">
        <v>1.0</v>
      </c>
      <c r="AJ34" s="1">
        <v>0.0</v>
      </c>
      <c r="AK34" s="1">
        <v>0.0</v>
      </c>
      <c r="AL34" s="1">
        <v>0.0</v>
      </c>
      <c r="AP34" s="1">
        <v>4.87637735E8</v>
      </c>
      <c r="AQ34" s="1" t="s">
        <v>132</v>
      </c>
      <c r="AR34" s="1">
        <v>45805.30793</v>
      </c>
      <c r="AU34" s="1" t="s">
        <v>64</v>
      </c>
      <c r="AW34" s="1" t="s">
        <v>84</v>
      </c>
      <c r="AY34" s="1">
        <v>28.0</v>
      </c>
    </row>
    <row r="35">
      <c r="A35" s="1" t="s">
        <v>51</v>
      </c>
      <c r="C35" s="1" t="s">
        <v>52</v>
      </c>
      <c r="E35" s="1" t="s">
        <v>53</v>
      </c>
      <c r="F35" s="1" t="s">
        <v>54</v>
      </c>
      <c r="G35" s="1">
        <v>28.0</v>
      </c>
      <c r="H35" s="1" t="s">
        <v>66</v>
      </c>
      <c r="I35" s="1" t="s">
        <v>67</v>
      </c>
      <c r="J35" s="1" t="s">
        <v>68</v>
      </c>
      <c r="K35" s="1" t="s">
        <v>74</v>
      </c>
      <c r="M35" s="1" t="s">
        <v>58</v>
      </c>
      <c r="N35" s="1" t="s">
        <v>58</v>
      </c>
      <c r="O35" s="1" t="s">
        <v>69</v>
      </c>
      <c r="Q35" s="1" t="s">
        <v>58</v>
      </c>
      <c r="R35" s="1" t="s">
        <v>58</v>
      </c>
      <c r="S35" s="1" t="s">
        <v>69</v>
      </c>
      <c r="T35" s="1" t="s">
        <v>69</v>
      </c>
      <c r="U35" s="1" t="s">
        <v>58</v>
      </c>
      <c r="V35" s="1" t="s">
        <v>58</v>
      </c>
      <c r="W35" s="1" t="s">
        <v>58</v>
      </c>
      <c r="X35" s="1" t="s">
        <v>88</v>
      </c>
      <c r="Y35" s="1" t="s">
        <v>82</v>
      </c>
      <c r="Z35" s="1" t="s">
        <v>61</v>
      </c>
      <c r="AA35" s="1">
        <v>100.0</v>
      </c>
      <c r="AB35" s="1" t="s">
        <v>79</v>
      </c>
      <c r="AC35" s="1" t="s">
        <v>71</v>
      </c>
      <c r="AF35" s="1" t="s">
        <v>51</v>
      </c>
      <c r="AG35" s="1" t="s">
        <v>51</v>
      </c>
      <c r="AH35" s="1">
        <v>500.0</v>
      </c>
      <c r="AI35" s="1">
        <v>0.0</v>
      </c>
      <c r="AJ35" s="1">
        <v>0.0</v>
      </c>
      <c r="AK35" s="1">
        <v>0.0</v>
      </c>
      <c r="AL35" s="1">
        <v>1.0</v>
      </c>
      <c r="AM35" s="1" t="s">
        <v>51</v>
      </c>
      <c r="AP35" s="1">
        <v>4.87640213E8</v>
      </c>
      <c r="AQ35" s="1" t="s">
        <v>133</v>
      </c>
      <c r="AR35" s="1">
        <v>45805.31078</v>
      </c>
      <c r="AU35" s="1" t="s">
        <v>64</v>
      </c>
      <c r="AW35" s="1" t="s">
        <v>84</v>
      </c>
      <c r="AY35" s="1">
        <v>29.0</v>
      </c>
    </row>
    <row r="36">
      <c r="A36" s="1" t="s">
        <v>51</v>
      </c>
      <c r="C36" s="1" t="s">
        <v>52</v>
      </c>
      <c r="E36" s="1" t="s">
        <v>107</v>
      </c>
      <c r="G36" s="1">
        <v>37.0</v>
      </c>
      <c r="H36" s="1" t="s">
        <v>66</v>
      </c>
      <c r="J36" s="1" t="s">
        <v>86</v>
      </c>
      <c r="K36" s="1" t="s">
        <v>87</v>
      </c>
      <c r="M36" s="1" t="s">
        <v>58</v>
      </c>
      <c r="N36" s="1" t="s">
        <v>58</v>
      </c>
      <c r="O36" s="1" t="s">
        <v>70</v>
      </c>
      <c r="Q36" s="1" t="s">
        <v>69</v>
      </c>
      <c r="R36" s="1" t="s">
        <v>70</v>
      </c>
      <c r="S36" s="1" t="s">
        <v>69</v>
      </c>
      <c r="T36" s="1" t="s">
        <v>69</v>
      </c>
      <c r="U36" s="1" t="s">
        <v>70</v>
      </c>
      <c r="V36" s="1" t="s">
        <v>58</v>
      </c>
      <c r="W36" s="1" t="s">
        <v>69</v>
      </c>
      <c r="X36" s="1" t="s">
        <v>81</v>
      </c>
      <c r="Y36" s="1" t="s">
        <v>95</v>
      </c>
      <c r="Z36" s="1" t="s">
        <v>108</v>
      </c>
      <c r="AA36" s="1">
        <v>100.0</v>
      </c>
      <c r="AB36" s="1" t="s">
        <v>62</v>
      </c>
      <c r="AC36" s="1" t="s">
        <v>51</v>
      </c>
      <c r="AD36" s="1" t="s">
        <v>81</v>
      </c>
      <c r="AE36" s="1" t="s">
        <v>51</v>
      </c>
      <c r="AF36" s="1" t="s">
        <v>51</v>
      </c>
      <c r="AG36" s="1" t="s">
        <v>72</v>
      </c>
      <c r="AI36" s="1">
        <v>0.0</v>
      </c>
      <c r="AJ36" s="1">
        <v>0.0</v>
      </c>
      <c r="AK36" s="1">
        <v>0.0</v>
      </c>
      <c r="AL36" s="1">
        <v>1.0</v>
      </c>
      <c r="AP36" s="1">
        <v>4.87640652E8</v>
      </c>
      <c r="AQ36" s="1" t="s">
        <v>134</v>
      </c>
      <c r="AR36" s="1">
        <v>45805.3113</v>
      </c>
      <c r="AU36" s="1" t="s">
        <v>64</v>
      </c>
      <c r="AW36" s="1" t="s">
        <v>84</v>
      </c>
      <c r="AY36" s="1">
        <v>30.0</v>
      </c>
    </row>
    <row r="37">
      <c r="A37" s="1" t="s">
        <v>51</v>
      </c>
      <c r="C37" s="1" t="s">
        <v>52</v>
      </c>
      <c r="E37" s="1" t="s">
        <v>53</v>
      </c>
      <c r="F37" s="1" t="s">
        <v>102</v>
      </c>
      <c r="G37" s="1">
        <v>21.0</v>
      </c>
      <c r="H37" s="1" t="s">
        <v>55</v>
      </c>
      <c r="I37" s="1" t="s">
        <v>100</v>
      </c>
      <c r="J37" s="1" t="s">
        <v>86</v>
      </c>
      <c r="K37" s="1" t="s">
        <v>87</v>
      </c>
      <c r="M37" s="1" t="s">
        <v>58</v>
      </c>
      <c r="N37" s="1" t="s">
        <v>58</v>
      </c>
      <c r="O37" s="1" t="s">
        <v>69</v>
      </c>
      <c r="Q37" s="1" t="s">
        <v>58</v>
      </c>
      <c r="R37" s="1" t="s">
        <v>58</v>
      </c>
      <c r="S37" s="1" t="s">
        <v>58</v>
      </c>
      <c r="T37" s="1" t="s">
        <v>69</v>
      </c>
      <c r="U37" s="1" t="s">
        <v>70</v>
      </c>
      <c r="V37" s="1" t="s">
        <v>58</v>
      </c>
      <c r="W37" s="1" t="s">
        <v>69</v>
      </c>
      <c r="X37" s="1" t="s">
        <v>81</v>
      </c>
      <c r="Y37" s="1" t="s">
        <v>60</v>
      </c>
      <c r="Z37" s="1" t="s">
        <v>89</v>
      </c>
      <c r="AA37" s="1">
        <v>50.0</v>
      </c>
      <c r="AB37" s="1" t="s">
        <v>79</v>
      </c>
      <c r="AC37" s="1" t="s">
        <v>71</v>
      </c>
      <c r="AF37" s="1" t="s">
        <v>51</v>
      </c>
      <c r="AG37" s="1" t="s">
        <v>51</v>
      </c>
      <c r="AH37" s="1">
        <v>50.0</v>
      </c>
      <c r="AI37" s="1">
        <v>1.0</v>
      </c>
      <c r="AJ37" s="1">
        <v>0.0</v>
      </c>
      <c r="AK37" s="1">
        <v>0.0</v>
      </c>
      <c r="AL37" s="1">
        <v>0.0</v>
      </c>
      <c r="AM37" s="1" t="s">
        <v>51</v>
      </c>
      <c r="AN37" s="1">
        <v>6.01072833E8</v>
      </c>
      <c r="AP37" s="1">
        <v>4.87644284E8</v>
      </c>
      <c r="AQ37" s="1" t="s">
        <v>135</v>
      </c>
      <c r="AR37" s="1">
        <v>45805.31497</v>
      </c>
      <c r="AU37" s="1" t="s">
        <v>64</v>
      </c>
      <c r="AW37" s="1" t="s">
        <v>84</v>
      </c>
      <c r="AY37" s="1">
        <v>31.0</v>
      </c>
    </row>
    <row r="38">
      <c r="A38" s="1" t="s">
        <v>51</v>
      </c>
      <c r="C38" s="1" t="s">
        <v>52</v>
      </c>
      <c r="E38" s="1" t="s">
        <v>53</v>
      </c>
      <c r="F38" s="1" t="s">
        <v>136</v>
      </c>
      <c r="G38" s="1">
        <v>28.0</v>
      </c>
      <c r="H38" s="1" t="s">
        <v>66</v>
      </c>
      <c r="I38" s="1" t="s">
        <v>67</v>
      </c>
      <c r="J38" s="1" t="s">
        <v>56</v>
      </c>
      <c r="K38" s="1" t="s">
        <v>74</v>
      </c>
      <c r="M38" s="1" t="s">
        <v>58</v>
      </c>
      <c r="N38" s="1" t="s">
        <v>58</v>
      </c>
      <c r="O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59</v>
      </c>
      <c r="Y38" s="1" t="s">
        <v>82</v>
      </c>
      <c r="Z38" s="1" t="s">
        <v>61</v>
      </c>
      <c r="AA38" s="1">
        <v>100.0</v>
      </c>
      <c r="AB38" s="1" t="s">
        <v>28</v>
      </c>
      <c r="AC38" s="1" t="s">
        <v>71</v>
      </c>
      <c r="AF38" s="1" t="s">
        <v>51</v>
      </c>
      <c r="AG38" s="1" t="s">
        <v>51</v>
      </c>
      <c r="AH38" s="1">
        <v>3000.0</v>
      </c>
      <c r="AI38" s="1">
        <v>0.0</v>
      </c>
      <c r="AJ38" s="1">
        <v>1.0</v>
      </c>
      <c r="AK38" s="1">
        <v>0.0</v>
      </c>
      <c r="AL38" s="1">
        <v>0.0</v>
      </c>
      <c r="AM38" s="1" t="s">
        <v>51</v>
      </c>
      <c r="AN38" s="1">
        <v>7.32575737E8</v>
      </c>
      <c r="AP38" s="1">
        <v>4.87651294E8</v>
      </c>
      <c r="AQ38" s="1" t="s">
        <v>137</v>
      </c>
      <c r="AR38" s="1">
        <v>45805.3244</v>
      </c>
      <c r="AU38" s="1" t="s">
        <v>64</v>
      </c>
      <c r="AW38" s="1" t="s">
        <v>84</v>
      </c>
      <c r="AY38" s="1">
        <v>32.0</v>
      </c>
    </row>
    <row r="39">
      <c r="A39" s="1" t="s">
        <v>51</v>
      </c>
      <c r="C39" s="1" t="s">
        <v>52</v>
      </c>
      <c r="E39" s="1" t="s">
        <v>52</v>
      </c>
      <c r="G39" s="1">
        <v>59.0</v>
      </c>
      <c r="H39" s="1" t="s">
        <v>55</v>
      </c>
      <c r="J39" s="1" t="s">
        <v>111</v>
      </c>
      <c r="K39" s="1" t="s">
        <v>87</v>
      </c>
      <c r="M39" s="1" t="s">
        <v>58</v>
      </c>
      <c r="N39" s="1" t="s">
        <v>58</v>
      </c>
      <c r="O39" s="1" t="s">
        <v>58</v>
      </c>
      <c r="Q39" s="1" t="s">
        <v>69</v>
      </c>
      <c r="R39" s="1" t="s">
        <v>58</v>
      </c>
      <c r="S39" s="1" t="s">
        <v>69</v>
      </c>
      <c r="T39" s="1" t="s">
        <v>70</v>
      </c>
      <c r="U39" s="1" t="s">
        <v>58</v>
      </c>
      <c r="V39" s="1" t="s">
        <v>58</v>
      </c>
      <c r="W39" s="1" t="s">
        <v>58</v>
      </c>
      <c r="X39" s="1" t="s">
        <v>103</v>
      </c>
      <c r="Y39" s="1" t="s">
        <v>95</v>
      </c>
      <c r="Z39" s="1" t="s">
        <v>89</v>
      </c>
      <c r="AA39" s="1">
        <v>100.0</v>
      </c>
      <c r="AB39" s="1" t="s">
        <v>62</v>
      </c>
      <c r="AC39" s="1" t="s">
        <v>71</v>
      </c>
      <c r="AF39" s="1" t="s">
        <v>51</v>
      </c>
      <c r="AI39" s="1">
        <v>0.0</v>
      </c>
      <c r="AJ39" s="1">
        <v>0.0</v>
      </c>
      <c r="AK39" s="1">
        <v>1.0</v>
      </c>
      <c r="AL39" s="1">
        <v>0.0</v>
      </c>
      <c r="AP39" s="1">
        <v>4.87664993E8</v>
      </c>
      <c r="AQ39" s="1" t="s">
        <v>138</v>
      </c>
      <c r="AR39" s="1">
        <v>45805.3364</v>
      </c>
      <c r="AU39" s="1" t="s">
        <v>64</v>
      </c>
      <c r="AW39" s="1" t="s">
        <v>84</v>
      </c>
      <c r="AY39" s="1">
        <v>33.0</v>
      </c>
    </row>
    <row r="40">
      <c r="A40" s="1" t="s">
        <v>51</v>
      </c>
      <c r="C40" s="1" t="s">
        <v>52</v>
      </c>
      <c r="E40" s="1" t="s">
        <v>53</v>
      </c>
      <c r="F40" s="1" t="s">
        <v>54</v>
      </c>
      <c r="G40" s="1">
        <v>44.0</v>
      </c>
      <c r="H40" s="1" t="s">
        <v>55</v>
      </c>
      <c r="I40" s="1" t="s">
        <v>100</v>
      </c>
      <c r="J40" s="1" t="s">
        <v>86</v>
      </c>
      <c r="K40" s="1" t="s">
        <v>87</v>
      </c>
      <c r="M40" s="1" t="s">
        <v>58</v>
      </c>
      <c r="N40" s="1" t="s">
        <v>58</v>
      </c>
      <c r="O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59</v>
      </c>
      <c r="Y40" s="1" t="s">
        <v>60</v>
      </c>
      <c r="Z40" s="1" t="s">
        <v>89</v>
      </c>
      <c r="AA40" s="1">
        <v>100.0</v>
      </c>
      <c r="AB40" s="1" t="s">
        <v>79</v>
      </c>
      <c r="AC40" s="1" t="s">
        <v>71</v>
      </c>
      <c r="AF40" s="1" t="s">
        <v>51</v>
      </c>
      <c r="AG40" s="1" t="s">
        <v>72</v>
      </c>
      <c r="AI40" s="1">
        <v>1.0</v>
      </c>
      <c r="AJ40" s="1">
        <v>1.0</v>
      </c>
      <c r="AK40" s="1">
        <v>1.0</v>
      </c>
      <c r="AL40" s="1">
        <v>0.0</v>
      </c>
      <c r="AM40" s="1" t="s">
        <v>51</v>
      </c>
      <c r="AN40" s="1">
        <v>7.19465454E8</v>
      </c>
      <c r="AP40" s="1">
        <v>4.87674106E8</v>
      </c>
      <c r="AQ40" s="1" t="s">
        <v>139</v>
      </c>
      <c r="AR40" s="1">
        <v>45805.34544</v>
      </c>
      <c r="AU40" s="1" t="s">
        <v>64</v>
      </c>
      <c r="AW40" s="1" t="s">
        <v>84</v>
      </c>
      <c r="AY40" s="1">
        <v>34.0</v>
      </c>
    </row>
    <row r="41">
      <c r="A41" s="1" t="s">
        <v>51</v>
      </c>
      <c r="C41" s="1" t="s">
        <v>52</v>
      </c>
      <c r="E41" s="1" t="s">
        <v>53</v>
      </c>
      <c r="F41" s="1" t="s">
        <v>54</v>
      </c>
      <c r="G41" s="1">
        <v>42.0</v>
      </c>
      <c r="H41" s="1" t="s">
        <v>66</v>
      </c>
      <c r="I41" s="1" t="s">
        <v>67</v>
      </c>
      <c r="J41" s="1" t="s">
        <v>86</v>
      </c>
      <c r="K41" s="1" t="s">
        <v>87</v>
      </c>
      <c r="M41" s="1" t="s">
        <v>58</v>
      </c>
      <c r="N41" s="1" t="s">
        <v>58</v>
      </c>
      <c r="O41" s="1" t="s">
        <v>58</v>
      </c>
      <c r="Q41" s="1" t="s">
        <v>69</v>
      </c>
      <c r="R41" s="1" t="s">
        <v>58</v>
      </c>
      <c r="S41" s="1" t="s">
        <v>69</v>
      </c>
      <c r="T41" s="1" t="s">
        <v>69</v>
      </c>
      <c r="U41" s="1" t="s">
        <v>58</v>
      </c>
      <c r="V41" s="1" t="s">
        <v>58</v>
      </c>
      <c r="W41" s="1" t="s">
        <v>69</v>
      </c>
      <c r="X41" s="1" t="s">
        <v>59</v>
      </c>
      <c r="Y41" s="1" t="s">
        <v>95</v>
      </c>
      <c r="Z41" s="1" t="s">
        <v>89</v>
      </c>
      <c r="AA41" s="1">
        <v>50.0</v>
      </c>
      <c r="AB41" s="1" t="s">
        <v>62</v>
      </c>
      <c r="AC41" s="1" t="s">
        <v>51</v>
      </c>
      <c r="AD41" s="1" t="s">
        <v>81</v>
      </c>
      <c r="AE41" s="1" t="s">
        <v>51</v>
      </c>
      <c r="AF41" s="1" t="s">
        <v>51</v>
      </c>
      <c r="AG41" s="1" t="s">
        <v>51</v>
      </c>
      <c r="AH41" s="1">
        <v>4000.0</v>
      </c>
      <c r="AI41" s="1">
        <v>0.0</v>
      </c>
      <c r="AJ41" s="1">
        <v>0.0</v>
      </c>
      <c r="AK41" s="1">
        <v>0.0</v>
      </c>
      <c r="AL41" s="1">
        <v>1.0</v>
      </c>
      <c r="AM41" s="1" t="s">
        <v>51</v>
      </c>
      <c r="AN41" s="1">
        <v>7.18013824E8</v>
      </c>
      <c r="AP41" s="1">
        <v>4.87690832E8</v>
      </c>
      <c r="AQ41" s="1" t="s">
        <v>140</v>
      </c>
      <c r="AR41" s="1">
        <v>45805.36303</v>
      </c>
      <c r="AU41" s="1" t="s">
        <v>64</v>
      </c>
      <c r="AW41" s="1" t="s">
        <v>84</v>
      </c>
      <c r="AY41" s="1">
        <v>35.0</v>
      </c>
    </row>
    <row r="42">
      <c r="A42" s="1" t="s">
        <v>51</v>
      </c>
      <c r="C42" s="1" t="s">
        <v>52</v>
      </c>
      <c r="E42" s="1" t="s">
        <v>52</v>
      </c>
      <c r="G42" s="1">
        <v>55.0</v>
      </c>
      <c r="H42" s="1" t="s">
        <v>55</v>
      </c>
      <c r="J42" s="1" t="s">
        <v>86</v>
      </c>
      <c r="K42" s="1" t="s">
        <v>87</v>
      </c>
      <c r="M42" s="1" t="s">
        <v>58</v>
      </c>
      <c r="N42" s="1" t="s">
        <v>58</v>
      </c>
      <c r="O42" s="1" t="s">
        <v>58</v>
      </c>
      <c r="Q42" s="1" t="s">
        <v>69</v>
      </c>
      <c r="R42" s="1" t="s">
        <v>58</v>
      </c>
      <c r="S42" s="1" t="s">
        <v>69</v>
      </c>
      <c r="T42" s="1" t="s">
        <v>69</v>
      </c>
      <c r="U42" s="1" t="s">
        <v>69</v>
      </c>
      <c r="V42" s="1" t="s">
        <v>58</v>
      </c>
      <c r="W42" s="1" t="s">
        <v>69</v>
      </c>
      <c r="X42" s="1" t="s">
        <v>59</v>
      </c>
      <c r="Y42" s="1" t="s">
        <v>95</v>
      </c>
      <c r="Z42" s="1" t="s">
        <v>89</v>
      </c>
      <c r="AA42" s="1">
        <v>100.0</v>
      </c>
      <c r="AB42" s="1" t="s">
        <v>79</v>
      </c>
      <c r="AC42" s="1" t="s">
        <v>51</v>
      </c>
      <c r="AD42" s="1" t="s">
        <v>59</v>
      </c>
      <c r="AE42" s="1" t="s">
        <v>51</v>
      </c>
      <c r="AF42" s="1" t="s">
        <v>51</v>
      </c>
      <c r="AG42" s="1" t="s">
        <v>72</v>
      </c>
      <c r="AI42" s="1">
        <v>0.0</v>
      </c>
      <c r="AJ42" s="1">
        <v>0.0</v>
      </c>
      <c r="AK42" s="1">
        <v>0.0</v>
      </c>
      <c r="AL42" s="1">
        <v>1.0</v>
      </c>
      <c r="AP42" s="1">
        <v>4.8770913E8</v>
      </c>
      <c r="AQ42" s="1" t="s">
        <v>141</v>
      </c>
      <c r="AR42" s="1">
        <v>45805.38169</v>
      </c>
      <c r="AU42" s="1" t="s">
        <v>64</v>
      </c>
      <c r="AW42" s="1" t="s">
        <v>84</v>
      </c>
      <c r="AY42" s="1">
        <v>36.0</v>
      </c>
    </row>
    <row r="43">
      <c r="A43" s="1" t="s">
        <v>51</v>
      </c>
      <c r="C43" s="1" t="s">
        <v>53</v>
      </c>
      <c r="E43" s="1" t="s">
        <v>53</v>
      </c>
      <c r="F43" s="1" t="s">
        <v>54</v>
      </c>
      <c r="G43" s="1">
        <v>51.0</v>
      </c>
      <c r="H43" s="1" t="s">
        <v>66</v>
      </c>
      <c r="I43" s="1" t="s">
        <v>121</v>
      </c>
      <c r="J43" s="1" t="s">
        <v>111</v>
      </c>
      <c r="K43" s="1" t="s">
        <v>87</v>
      </c>
      <c r="M43" s="1" t="s">
        <v>58</v>
      </c>
      <c r="N43" s="1" t="s">
        <v>58</v>
      </c>
      <c r="O43" s="1" t="s">
        <v>58</v>
      </c>
      <c r="Q43" s="1" t="s">
        <v>58</v>
      </c>
      <c r="R43" s="1" t="s">
        <v>58</v>
      </c>
      <c r="S43" s="1" t="s">
        <v>58</v>
      </c>
      <c r="T43" s="1" t="s">
        <v>70</v>
      </c>
      <c r="U43" s="1" t="s">
        <v>69</v>
      </c>
      <c r="V43" s="1" t="s">
        <v>69</v>
      </c>
      <c r="W43" s="1" t="s">
        <v>69</v>
      </c>
      <c r="X43" s="1" t="s">
        <v>59</v>
      </c>
      <c r="Y43" s="1" t="s">
        <v>60</v>
      </c>
      <c r="AC43" s="1" t="s">
        <v>51</v>
      </c>
      <c r="AD43" s="1" t="s">
        <v>59</v>
      </c>
      <c r="AE43" s="1" t="s">
        <v>72</v>
      </c>
      <c r="AF43" s="1" t="s">
        <v>72</v>
      </c>
      <c r="AG43" s="1" t="s">
        <v>72</v>
      </c>
      <c r="AI43" s="1">
        <v>0.0</v>
      </c>
      <c r="AJ43" s="1">
        <v>0.0</v>
      </c>
      <c r="AK43" s="1">
        <v>0.0</v>
      </c>
      <c r="AL43" s="1">
        <v>1.0</v>
      </c>
      <c r="AM43" s="1" t="s">
        <v>72</v>
      </c>
      <c r="AP43" s="1">
        <v>4.87711757E8</v>
      </c>
      <c r="AQ43" s="1" t="s">
        <v>142</v>
      </c>
      <c r="AR43" s="1">
        <v>45805.38399</v>
      </c>
      <c r="AU43" s="1" t="s">
        <v>64</v>
      </c>
      <c r="AW43" s="1" t="s">
        <v>84</v>
      </c>
      <c r="AY43" s="1">
        <v>37.0</v>
      </c>
    </row>
    <row r="44">
      <c r="A44" s="1" t="s">
        <v>51</v>
      </c>
      <c r="C44" s="1" t="s">
        <v>107</v>
      </c>
      <c r="E44" s="1" t="s">
        <v>53</v>
      </c>
      <c r="F44" s="1" t="s">
        <v>102</v>
      </c>
      <c r="G44" s="1">
        <v>44.0</v>
      </c>
      <c r="H44" s="1" t="s">
        <v>55</v>
      </c>
      <c r="I44" s="1" t="s">
        <v>67</v>
      </c>
      <c r="J44" s="1" t="s">
        <v>111</v>
      </c>
      <c r="K44" s="1" t="s">
        <v>87</v>
      </c>
      <c r="M44" s="1" t="s">
        <v>58</v>
      </c>
      <c r="N44" s="1" t="s">
        <v>58</v>
      </c>
      <c r="O44" s="1" t="s">
        <v>69</v>
      </c>
      <c r="Q44" s="1" t="s">
        <v>58</v>
      </c>
      <c r="R44" s="1" t="s">
        <v>70</v>
      </c>
      <c r="S44" s="1" t="s">
        <v>69</v>
      </c>
      <c r="T44" s="1" t="s">
        <v>69</v>
      </c>
      <c r="U44" s="1" t="s">
        <v>69</v>
      </c>
      <c r="V44" s="1" t="s">
        <v>58</v>
      </c>
      <c r="W44" s="1" t="s">
        <v>69</v>
      </c>
      <c r="X44" s="1" t="s">
        <v>88</v>
      </c>
      <c r="Y44" s="1" t="s">
        <v>82</v>
      </c>
      <c r="Z44" s="1" t="s">
        <v>61</v>
      </c>
      <c r="AA44" s="1">
        <v>100.0</v>
      </c>
      <c r="AB44" s="1" t="s">
        <v>79</v>
      </c>
      <c r="AC44" s="1" t="s">
        <v>51</v>
      </c>
      <c r="AD44" s="1" t="s">
        <v>59</v>
      </c>
      <c r="AE44" s="1" t="s">
        <v>51</v>
      </c>
      <c r="AF44" s="1" t="s">
        <v>51</v>
      </c>
      <c r="AG44" s="1" t="s">
        <v>72</v>
      </c>
      <c r="AI44" s="1">
        <v>0.0</v>
      </c>
      <c r="AJ44" s="1">
        <v>0.0</v>
      </c>
      <c r="AK44" s="1">
        <v>1.0</v>
      </c>
      <c r="AL44" s="1">
        <v>0.0</v>
      </c>
      <c r="AM44" s="1" t="s">
        <v>51</v>
      </c>
      <c r="AN44" s="1">
        <v>7.24087235E8</v>
      </c>
      <c r="AP44" s="1">
        <v>4.87711791E8</v>
      </c>
      <c r="AQ44" s="1" t="s">
        <v>143</v>
      </c>
      <c r="AR44" s="1">
        <v>45805.38402</v>
      </c>
      <c r="AU44" s="1" t="s">
        <v>64</v>
      </c>
      <c r="AW44" s="1" t="s">
        <v>84</v>
      </c>
      <c r="AY44" s="1">
        <v>38.0</v>
      </c>
    </row>
    <row r="45">
      <c r="A45" s="1" t="s">
        <v>51</v>
      </c>
      <c r="C45" s="1" t="s">
        <v>52</v>
      </c>
      <c r="E45" s="1" t="s">
        <v>53</v>
      </c>
      <c r="F45" s="1" t="s">
        <v>85</v>
      </c>
      <c r="G45" s="1">
        <v>43.0</v>
      </c>
      <c r="H45" s="1" t="s">
        <v>55</v>
      </c>
      <c r="I45" s="1" t="s">
        <v>67</v>
      </c>
      <c r="J45" s="1" t="s">
        <v>86</v>
      </c>
      <c r="K45" s="1" t="s">
        <v>87</v>
      </c>
      <c r="M45" s="1" t="s">
        <v>58</v>
      </c>
      <c r="N45" s="1" t="s">
        <v>58</v>
      </c>
      <c r="O45" s="1" t="s">
        <v>69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69</v>
      </c>
      <c r="X45" s="1" t="s">
        <v>59</v>
      </c>
      <c r="Y45" s="1" t="s">
        <v>95</v>
      </c>
      <c r="Z45" s="1" t="s">
        <v>89</v>
      </c>
      <c r="AA45" s="1">
        <v>30.0</v>
      </c>
      <c r="AB45" s="1" t="s">
        <v>62</v>
      </c>
      <c r="AC45" s="1" t="s">
        <v>71</v>
      </c>
      <c r="AF45" s="1" t="s">
        <v>51</v>
      </c>
      <c r="AG45" s="1" t="s">
        <v>72</v>
      </c>
      <c r="AI45" s="1">
        <v>0.0</v>
      </c>
      <c r="AJ45" s="1">
        <v>0.0</v>
      </c>
      <c r="AK45" s="1">
        <v>0.0</v>
      </c>
      <c r="AL45" s="1">
        <v>1.0</v>
      </c>
      <c r="AM45" s="1" t="s">
        <v>72</v>
      </c>
      <c r="AP45" s="1">
        <v>4.8771705E8</v>
      </c>
      <c r="AQ45" s="1" t="s">
        <v>144</v>
      </c>
      <c r="AR45" s="1">
        <v>45805.38848</v>
      </c>
      <c r="AU45" s="1" t="s">
        <v>64</v>
      </c>
      <c r="AW45" s="1" t="s">
        <v>84</v>
      </c>
      <c r="AY45" s="1">
        <v>39.0</v>
      </c>
    </row>
    <row r="46">
      <c r="A46" s="1" t="s">
        <v>51</v>
      </c>
      <c r="C46" s="1" t="s">
        <v>53</v>
      </c>
      <c r="E46" s="1" t="s">
        <v>53</v>
      </c>
      <c r="F46" s="1" t="s">
        <v>102</v>
      </c>
      <c r="G46" s="1">
        <v>39.0</v>
      </c>
      <c r="H46" s="1" t="s">
        <v>55</v>
      </c>
      <c r="I46" s="1" t="s">
        <v>121</v>
      </c>
      <c r="J46" s="1" t="s">
        <v>56</v>
      </c>
      <c r="K46" s="1" t="s">
        <v>87</v>
      </c>
      <c r="M46" s="1" t="s">
        <v>58</v>
      </c>
      <c r="N46" s="1" t="s">
        <v>58</v>
      </c>
      <c r="O46" s="1" t="s">
        <v>58</v>
      </c>
      <c r="Q46" s="1" t="s">
        <v>58</v>
      </c>
      <c r="R46" s="1" t="s">
        <v>58</v>
      </c>
      <c r="S46" s="1" t="s">
        <v>69</v>
      </c>
      <c r="T46" s="1" t="s">
        <v>69</v>
      </c>
      <c r="U46" s="1" t="s">
        <v>58</v>
      </c>
      <c r="V46" s="1" t="s">
        <v>69</v>
      </c>
      <c r="W46" s="1" t="s">
        <v>69</v>
      </c>
      <c r="X46" s="1" t="s">
        <v>81</v>
      </c>
      <c r="Y46" s="1" t="s">
        <v>60</v>
      </c>
      <c r="Z46" s="1" t="s">
        <v>61</v>
      </c>
      <c r="AA46" s="1">
        <v>100.0</v>
      </c>
      <c r="AB46" s="1" t="s">
        <v>79</v>
      </c>
      <c r="AC46" s="1" t="s">
        <v>72</v>
      </c>
      <c r="AF46" s="1" t="s">
        <v>51</v>
      </c>
      <c r="AG46" s="1" t="s">
        <v>72</v>
      </c>
      <c r="AI46" s="1">
        <v>0.0</v>
      </c>
      <c r="AJ46" s="1">
        <v>1.0</v>
      </c>
      <c r="AK46" s="1">
        <v>0.0</v>
      </c>
      <c r="AL46" s="1">
        <v>0.0</v>
      </c>
      <c r="AM46" s="1" t="s">
        <v>51</v>
      </c>
      <c r="AP46" s="1">
        <v>4.87749469E8</v>
      </c>
      <c r="AQ46" s="1" t="s">
        <v>145</v>
      </c>
      <c r="AR46" s="1">
        <v>45805.4219</v>
      </c>
      <c r="AU46" s="1" t="s">
        <v>64</v>
      </c>
      <c r="AW46" s="1" t="s">
        <v>84</v>
      </c>
      <c r="AY46" s="1">
        <v>40.0</v>
      </c>
    </row>
    <row r="47">
      <c r="A47" s="1" t="s">
        <v>51</v>
      </c>
      <c r="C47" s="1" t="s">
        <v>52</v>
      </c>
      <c r="E47" s="1" t="s">
        <v>53</v>
      </c>
      <c r="F47" s="1" t="s">
        <v>94</v>
      </c>
      <c r="G47" s="1">
        <v>42.0</v>
      </c>
      <c r="H47" s="1" t="s">
        <v>66</v>
      </c>
      <c r="I47" s="1" t="s">
        <v>67</v>
      </c>
      <c r="J47" s="1" t="s">
        <v>56</v>
      </c>
      <c r="K47" s="1" t="s">
        <v>87</v>
      </c>
      <c r="M47" s="1" t="s">
        <v>58</v>
      </c>
      <c r="N47" s="1" t="s">
        <v>58</v>
      </c>
      <c r="O47" s="1" t="s">
        <v>69</v>
      </c>
      <c r="Q47" s="1" t="s">
        <v>69</v>
      </c>
      <c r="R47" s="1" t="s">
        <v>69</v>
      </c>
      <c r="S47" s="1" t="s">
        <v>70</v>
      </c>
      <c r="T47" s="1" t="s">
        <v>69</v>
      </c>
      <c r="U47" s="1" t="s">
        <v>58</v>
      </c>
      <c r="V47" s="1" t="s">
        <v>58</v>
      </c>
      <c r="W47" s="1" t="s">
        <v>69</v>
      </c>
      <c r="X47" s="1" t="s">
        <v>59</v>
      </c>
      <c r="Y47" s="1" t="s">
        <v>60</v>
      </c>
      <c r="Z47" s="1" t="s">
        <v>89</v>
      </c>
      <c r="AA47" s="1">
        <v>100.0</v>
      </c>
      <c r="AB47" s="1" t="s">
        <v>62</v>
      </c>
      <c r="AC47" s="1" t="s">
        <v>71</v>
      </c>
      <c r="AF47" s="1" t="s">
        <v>51</v>
      </c>
      <c r="AG47" s="1" t="s">
        <v>51</v>
      </c>
      <c r="AH47" s="1">
        <v>50.0</v>
      </c>
      <c r="AI47" s="1">
        <v>1.0</v>
      </c>
      <c r="AJ47" s="1">
        <v>0.0</v>
      </c>
      <c r="AK47" s="1">
        <v>1.0</v>
      </c>
      <c r="AL47" s="1">
        <v>0.0</v>
      </c>
      <c r="AM47" s="1" t="s">
        <v>72</v>
      </c>
      <c r="AP47" s="1">
        <v>4.87750454E8</v>
      </c>
      <c r="AQ47" s="1" t="s">
        <v>146</v>
      </c>
      <c r="AR47" s="1">
        <v>45805.42289</v>
      </c>
      <c r="AU47" s="1" t="s">
        <v>64</v>
      </c>
      <c r="AW47" s="1" t="s">
        <v>84</v>
      </c>
      <c r="AY47" s="1">
        <v>41.0</v>
      </c>
    </row>
    <row r="48">
      <c r="A48" s="1" t="s">
        <v>51</v>
      </c>
      <c r="C48" s="1" t="s">
        <v>53</v>
      </c>
      <c r="E48" s="1" t="s">
        <v>53</v>
      </c>
      <c r="F48" s="1" t="s">
        <v>54</v>
      </c>
      <c r="G48" s="1">
        <v>55.0</v>
      </c>
      <c r="H48" s="1" t="s">
        <v>66</v>
      </c>
      <c r="I48" s="1" t="s">
        <v>121</v>
      </c>
      <c r="J48" s="1" t="s">
        <v>56</v>
      </c>
      <c r="K48" s="1" t="s">
        <v>87</v>
      </c>
      <c r="M48" s="1" t="s">
        <v>58</v>
      </c>
      <c r="N48" s="1" t="s">
        <v>58</v>
      </c>
      <c r="O48" s="1" t="s">
        <v>58</v>
      </c>
      <c r="Q48" s="1" t="s">
        <v>70</v>
      </c>
      <c r="R48" s="1" t="s">
        <v>58</v>
      </c>
      <c r="S48" s="1" t="s">
        <v>58</v>
      </c>
      <c r="T48" s="1" t="s">
        <v>69</v>
      </c>
      <c r="U48" s="1" t="s">
        <v>70</v>
      </c>
      <c r="V48" s="1" t="s">
        <v>58</v>
      </c>
      <c r="W48" s="1" t="s">
        <v>69</v>
      </c>
      <c r="X48" s="1" t="s">
        <v>59</v>
      </c>
      <c r="Y48" s="1" t="s">
        <v>60</v>
      </c>
      <c r="Z48" s="1" t="s">
        <v>89</v>
      </c>
      <c r="AA48" s="1">
        <v>40.0</v>
      </c>
      <c r="AB48" s="1" t="s">
        <v>79</v>
      </c>
      <c r="AC48" s="1" t="s">
        <v>71</v>
      </c>
      <c r="AF48" s="1" t="s">
        <v>51</v>
      </c>
      <c r="AG48" s="1" t="s">
        <v>72</v>
      </c>
      <c r="AI48" s="1">
        <v>0.0</v>
      </c>
      <c r="AJ48" s="1">
        <v>0.0</v>
      </c>
      <c r="AK48" s="1">
        <v>0.0</v>
      </c>
      <c r="AL48" s="1">
        <v>1.0</v>
      </c>
      <c r="AM48" s="1" t="s">
        <v>51</v>
      </c>
      <c r="AN48" s="1">
        <v>8.27701274E8</v>
      </c>
      <c r="AP48" s="1">
        <v>4.87757298E8</v>
      </c>
      <c r="AQ48" s="1" t="s">
        <v>147</v>
      </c>
      <c r="AR48" s="1">
        <v>45805.43036</v>
      </c>
      <c r="AU48" s="1" t="s">
        <v>64</v>
      </c>
      <c r="AW48" s="1" t="s">
        <v>84</v>
      </c>
      <c r="AY48" s="1">
        <v>42.0</v>
      </c>
    </row>
    <row r="49">
      <c r="A49" s="1" t="s">
        <v>51</v>
      </c>
      <c r="C49" s="1" t="s">
        <v>52</v>
      </c>
      <c r="E49" s="1" t="s">
        <v>53</v>
      </c>
      <c r="F49" s="1" t="s">
        <v>85</v>
      </c>
      <c r="G49" s="1">
        <v>42.0</v>
      </c>
      <c r="H49" s="1" t="s">
        <v>55</v>
      </c>
      <c r="I49" s="1" t="s">
        <v>67</v>
      </c>
      <c r="J49" s="1" t="s">
        <v>86</v>
      </c>
      <c r="K49" s="1" t="s">
        <v>87</v>
      </c>
      <c r="M49" s="1" t="s">
        <v>69</v>
      </c>
      <c r="N49" s="1" t="s">
        <v>69</v>
      </c>
      <c r="O49" s="1" t="s">
        <v>69</v>
      </c>
      <c r="Q49" s="1" t="s">
        <v>69</v>
      </c>
      <c r="R49" s="1" t="s">
        <v>58</v>
      </c>
      <c r="S49" s="1" t="s">
        <v>58</v>
      </c>
      <c r="T49" s="1" t="s">
        <v>69</v>
      </c>
      <c r="U49" s="1" t="s">
        <v>58</v>
      </c>
      <c r="V49" s="1" t="s">
        <v>58</v>
      </c>
      <c r="W49" s="1" t="s">
        <v>69</v>
      </c>
      <c r="X49" s="1" t="s">
        <v>81</v>
      </c>
      <c r="Y49" s="1" t="s">
        <v>60</v>
      </c>
      <c r="Z49" s="1" t="s">
        <v>61</v>
      </c>
      <c r="AA49" s="1">
        <v>50.0</v>
      </c>
      <c r="AB49" s="1" t="s">
        <v>62</v>
      </c>
      <c r="AC49" s="1" t="s">
        <v>71</v>
      </c>
      <c r="AF49" s="1" t="s">
        <v>51</v>
      </c>
      <c r="AG49" s="1" t="s">
        <v>72</v>
      </c>
      <c r="AI49" s="1">
        <v>1.0</v>
      </c>
      <c r="AJ49" s="1">
        <v>0.0</v>
      </c>
      <c r="AK49" s="1">
        <v>0.0</v>
      </c>
      <c r="AL49" s="1">
        <v>0.0</v>
      </c>
      <c r="AM49" s="1" t="s">
        <v>72</v>
      </c>
      <c r="AP49" s="1">
        <v>4.87766407E8</v>
      </c>
      <c r="AQ49" s="1" t="s">
        <v>148</v>
      </c>
      <c r="AR49" s="1">
        <v>45805.4399</v>
      </c>
      <c r="AU49" s="1" t="s">
        <v>64</v>
      </c>
      <c r="AW49" s="1" t="s">
        <v>84</v>
      </c>
      <c r="AY49" s="1">
        <v>43.0</v>
      </c>
    </row>
    <row r="50">
      <c r="A50" s="1" t="s">
        <v>51</v>
      </c>
      <c r="C50" s="1" t="s">
        <v>52</v>
      </c>
      <c r="E50" s="1" t="s">
        <v>53</v>
      </c>
      <c r="F50" s="1" t="s">
        <v>149</v>
      </c>
      <c r="G50" s="1">
        <v>46.0</v>
      </c>
      <c r="H50" s="1" t="s">
        <v>55</v>
      </c>
      <c r="I50" s="1" t="s">
        <v>67</v>
      </c>
      <c r="J50" s="1" t="s">
        <v>86</v>
      </c>
      <c r="K50" s="1" t="s">
        <v>87</v>
      </c>
      <c r="M50" s="1" t="s">
        <v>58</v>
      </c>
      <c r="N50" s="1" t="s">
        <v>58</v>
      </c>
      <c r="O50" s="1" t="s">
        <v>58</v>
      </c>
      <c r="Q50" s="1" t="s">
        <v>69</v>
      </c>
      <c r="R50" s="1" t="s">
        <v>58</v>
      </c>
      <c r="S50" s="1" t="s">
        <v>69</v>
      </c>
      <c r="T50" s="1" t="s">
        <v>69</v>
      </c>
      <c r="U50" s="1" t="s">
        <v>58</v>
      </c>
      <c r="V50" s="1" t="s">
        <v>58</v>
      </c>
      <c r="W50" s="1" t="s">
        <v>69</v>
      </c>
      <c r="X50" s="1" t="s">
        <v>88</v>
      </c>
      <c r="Y50" s="1" t="s">
        <v>95</v>
      </c>
      <c r="Z50" s="1" t="s">
        <v>89</v>
      </c>
      <c r="AA50" s="1">
        <v>100.0</v>
      </c>
      <c r="AB50" s="1" t="s">
        <v>28</v>
      </c>
      <c r="AC50" s="1" t="s">
        <v>71</v>
      </c>
      <c r="AF50" s="1" t="s">
        <v>51</v>
      </c>
      <c r="AG50" s="1" t="s">
        <v>72</v>
      </c>
      <c r="AI50" s="1">
        <v>0.0</v>
      </c>
      <c r="AJ50" s="1">
        <v>0.0</v>
      </c>
      <c r="AK50" s="1">
        <v>1.0</v>
      </c>
      <c r="AL50" s="1">
        <v>0.0</v>
      </c>
      <c r="AM50" s="1" t="s">
        <v>72</v>
      </c>
      <c r="AP50" s="1">
        <v>4.87788797E8</v>
      </c>
      <c r="AQ50" s="1" t="s">
        <v>150</v>
      </c>
      <c r="AR50" s="1">
        <v>45805.4602</v>
      </c>
      <c r="AU50" s="1" t="s">
        <v>64</v>
      </c>
      <c r="AW50" s="1" t="s">
        <v>84</v>
      </c>
      <c r="AY50" s="1">
        <v>44.0</v>
      </c>
    </row>
    <row r="51">
      <c r="A51" s="1" t="s">
        <v>51</v>
      </c>
      <c r="C51" s="1" t="s">
        <v>151</v>
      </c>
      <c r="E51" s="1" t="s">
        <v>53</v>
      </c>
      <c r="F51" s="1" t="s">
        <v>54</v>
      </c>
      <c r="G51" s="1">
        <v>43.0</v>
      </c>
      <c r="H51" s="1" t="s">
        <v>55</v>
      </c>
      <c r="I51" s="1" t="s">
        <v>67</v>
      </c>
      <c r="J51" s="1" t="s">
        <v>56</v>
      </c>
      <c r="K51" s="1" t="s">
        <v>78</v>
      </c>
      <c r="M51" s="1" t="s">
        <v>58</v>
      </c>
      <c r="N51" s="1" t="s">
        <v>58</v>
      </c>
      <c r="O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81</v>
      </c>
      <c r="Y51" s="1" t="s">
        <v>82</v>
      </c>
      <c r="Z51" s="1" t="s">
        <v>89</v>
      </c>
      <c r="AA51" s="1">
        <v>50.0</v>
      </c>
      <c r="AB51" s="1" t="s">
        <v>79</v>
      </c>
      <c r="AC51" s="1" t="s">
        <v>71</v>
      </c>
      <c r="AF51" s="1" t="s">
        <v>51</v>
      </c>
      <c r="AG51" s="1" t="s">
        <v>51</v>
      </c>
      <c r="AH51" s="1">
        <v>40.0</v>
      </c>
      <c r="AI51" s="1">
        <v>0.0</v>
      </c>
      <c r="AJ51" s="1">
        <v>0.0</v>
      </c>
      <c r="AK51" s="1">
        <v>0.0</v>
      </c>
      <c r="AL51" s="1">
        <v>1.0</v>
      </c>
      <c r="AM51" s="1" t="s">
        <v>51</v>
      </c>
      <c r="AN51" s="1">
        <v>8.39756269E8</v>
      </c>
      <c r="AP51" s="1">
        <v>4.87797842E8</v>
      </c>
      <c r="AQ51" s="1" t="s">
        <v>152</v>
      </c>
      <c r="AR51" s="1">
        <v>45805.46944</v>
      </c>
      <c r="AU51" s="1" t="s">
        <v>64</v>
      </c>
      <c r="AW51" s="1" t="s">
        <v>84</v>
      </c>
      <c r="AY51" s="1">
        <v>45.0</v>
      </c>
    </row>
    <row r="52">
      <c r="A52" s="1" t="s">
        <v>51</v>
      </c>
      <c r="C52" s="1" t="s">
        <v>118</v>
      </c>
      <c r="E52" s="1" t="s">
        <v>53</v>
      </c>
      <c r="F52" s="1" t="s">
        <v>85</v>
      </c>
      <c r="G52" s="1">
        <v>39.0</v>
      </c>
      <c r="H52" s="1" t="s">
        <v>55</v>
      </c>
      <c r="I52" s="1" t="s">
        <v>67</v>
      </c>
      <c r="J52" s="1" t="s">
        <v>86</v>
      </c>
      <c r="K52" s="1" t="s">
        <v>87</v>
      </c>
      <c r="M52" s="1" t="s">
        <v>58</v>
      </c>
      <c r="N52" s="1" t="s">
        <v>58</v>
      </c>
      <c r="O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58</v>
      </c>
      <c r="W52" s="1" t="s">
        <v>69</v>
      </c>
      <c r="X52" s="1" t="s">
        <v>88</v>
      </c>
      <c r="Y52" s="1" t="s">
        <v>95</v>
      </c>
      <c r="Z52" s="1" t="s">
        <v>89</v>
      </c>
      <c r="AA52" s="1">
        <v>100.0</v>
      </c>
      <c r="AB52" s="1" t="s">
        <v>62</v>
      </c>
      <c r="AC52" s="1" t="s">
        <v>71</v>
      </c>
      <c r="AF52" s="1" t="s">
        <v>51</v>
      </c>
      <c r="AG52" s="1" t="s">
        <v>72</v>
      </c>
      <c r="AI52" s="1">
        <v>0.0</v>
      </c>
      <c r="AJ52" s="1">
        <v>0.0</v>
      </c>
      <c r="AK52" s="1">
        <v>0.0</v>
      </c>
      <c r="AL52" s="1">
        <v>1.0</v>
      </c>
      <c r="AM52" s="1" t="s">
        <v>72</v>
      </c>
      <c r="AP52" s="1">
        <v>4.87805968E8</v>
      </c>
      <c r="AQ52" s="1" t="s">
        <v>153</v>
      </c>
      <c r="AR52" s="1">
        <v>45805.47704</v>
      </c>
      <c r="AU52" s="1" t="s">
        <v>64</v>
      </c>
      <c r="AW52" s="1" t="s">
        <v>84</v>
      </c>
      <c r="AY52" s="1">
        <v>46.0</v>
      </c>
    </row>
    <row r="53">
      <c r="A53" s="1" t="s">
        <v>51</v>
      </c>
      <c r="C53" s="1" t="s">
        <v>52</v>
      </c>
      <c r="E53" s="1" t="s">
        <v>154</v>
      </c>
      <c r="G53" s="1">
        <v>45.0</v>
      </c>
      <c r="H53" s="1" t="s">
        <v>66</v>
      </c>
      <c r="J53" s="1" t="s">
        <v>86</v>
      </c>
      <c r="K53" s="1" t="s">
        <v>87</v>
      </c>
      <c r="M53" s="1" t="s">
        <v>69</v>
      </c>
      <c r="N53" s="1" t="s">
        <v>58</v>
      </c>
      <c r="O53" s="1" t="s">
        <v>69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69</v>
      </c>
      <c r="X53" s="1" t="s">
        <v>59</v>
      </c>
      <c r="Y53" s="1" t="s">
        <v>60</v>
      </c>
      <c r="Z53" s="1" t="s">
        <v>127</v>
      </c>
      <c r="AA53" s="1">
        <v>100.0</v>
      </c>
      <c r="AB53" s="1" t="s">
        <v>28</v>
      </c>
      <c r="AC53" s="1" t="s">
        <v>51</v>
      </c>
      <c r="AD53" s="1" t="s">
        <v>59</v>
      </c>
      <c r="AE53" s="1" t="s">
        <v>51</v>
      </c>
      <c r="AF53" s="1" t="s">
        <v>51</v>
      </c>
      <c r="AG53" s="1" t="s">
        <v>51</v>
      </c>
      <c r="AH53" s="1">
        <v>200.0</v>
      </c>
      <c r="AI53" s="1">
        <v>0.0</v>
      </c>
      <c r="AJ53" s="1">
        <v>0.0</v>
      </c>
      <c r="AK53" s="1">
        <v>0.0</v>
      </c>
      <c r="AL53" s="1">
        <v>1.0</v>
      </c>
      <c r="AP53" s="1">
        <v>4.87813566E8</v>
      </c>
      <c r="AQ53" s="1" t="s">
        <v>155</v>
      </c>
      <c r="AR53" s="1">
        <v>45805.48422</v>
      </c>
      <c r="AU53" s="1" t="s">
        <v>64</v>
      </c>
      <c r="AW53" s="1" t="s">
        <v>84</v>
      </c>
      <c r="AY53" s="1">
        <v>47.0</v>
      </c>
    </row>
    <row r="54">
      <c r="A54" s="1" t="s">
        <v>51</v>
      </c>
      <c r="C54" s="1" t="s">
        <v>52</v>
      </c>
      <c r="E54" s="1" t="s">
        <v>154</v>
      </c>
      <c r="G54" s="1">
        <v>55.0</v>
      </c>
      <c r="H54" s="1" t="s">
        <v>66</v>
      </c>
      <c r="J54" s="1" t="s">
        <v>86</v>
      </c>
      <c r="K54" s="1" t="s">
        <v>87</v>
      </c>
      <c r="M54" s="1" t="s">
        <v>58</v>
      </c>
      <c r="N54" s="1" t="s">
        <v>58</v>
      </c>
      <c r="O54" s="1" t="s">
        <v>58</v>
      </c>
      <c r="Q54" s="1" t="s">
        <v>58</v>
      </c>
      <c r="R54" s="1" t="s">
        <v>58</v>
      </c>
      <c r="S54" s="1" t="s">
        <v>69</v>
      </c>
      <c r="T54" s="1" t="s">
        <v>70</v>
      </c>
      <c r="U54" s="1" t="s">
        <v>70</v>
      </c>
      <c r="V54" s="1" t="s">
        <v>58</v>
      </c>
      <c r="W54" s="1" t="s">
        <v>70</v>
      </c>
      <c r="X54" s="1" t="s">
        <v>81</v>
      </c>
      <c r="Y54" s="1" t="s">
        <v>95</v>
      </c>
      <c r="Z54" s="1" t="s">
        <v>96</v>
      </c>
      <c r="AA54" s="1">
        <v>100.0</v>
      </c>
      <c r="AB54" s="1" t="s">
        <v>62</v>
      </c>
      <c r="AC54" s="1" t="s">
        <v>71</v>
      </c>
      <c r="AF54" s="1" t="s">
        <v>51</v>
      </c>
      <c r="AG54" s="1" t="s">
        <v>51</v>
      </c>
      <c r="AP54" s="1">
        <v>4.878188E8</v>
      </c>
      <c r="AQ54" s="1" t="s">
        <v>156</v>
      </c>
      <c r="AR54" s="1">
        <v>45805.48888</v>
      </c>
      <c r="AU54" s="1" t="s">
        <v>64</v>
      </c>
      <c r="AW54" s="1" t="s">
        <v>84</v>
      </c>
      <c r="AY54" s="1">
        <v>48.0</v>
      </c>
    </row>
    <row r="55">
      <c r="A55" s="1" t="s">
        <v>51</v>
      </c>
      <c r="C55" s="1" t="s">
        <v>52</v>
      </c>
      <c r="E55" s="1" t="s">
        <v>154</v>
      </c>
      <c r="G55" s="1">
        <v>47.0</v>
      </c>
      <c r="H55" s="1" t="s">
        <v>55</v>
      </c>
      <c r="J55" s="1" t="s">
        <v>86</v>
      </c>
      <c r="K55" s="1" t="s">
        <v>87</v>
      </c>
      <c r="M55" s="1" t="s">
        <v>58</v>
      </c>
      <c r="N55" s="1" t="s">
        <v>58</v>
      </c>
      <c r="O55" s="1" t="s">
        <v>58</v>
      </c>
      <c r="Q55" s="1" t="s">
        <v>69</v>
      </c>
      <c r="R55" s="1" t="s">
        <v>58</v>
      </c>
      <c r="S55" s="1" t="s">
        <v>69</v>
      </c>
      <c r="T55" s="1" t="s">
        <v>69</v>
      </c>
      <c r="U55" s="1" t="s">
        <v>58</v>
      </c>
      <c r="V55" s="1" t="s">
        <v>58</v>
      </c>
      <c r="W55" s="1" t="s">
        <v>69</v>
      </c>
      <c r="X55" s="1" t="s">
        <v>88</v>
      </c>
      <c r="Y55" s="1" t="s">
        <v>95</v>
      </c>
      <c r="Z55" s="1" t="s">
        <v>89</v>
      </c>
      <c r="AA55" s="1">
        <v>100.0</v>
      </c>
      <c r="AB55" s="1" t="s">
        <v>62</v>
      </c>
      <c r="AC55" s="1" t="s">
        <v>51</v>
      </c>
      <c r="AD55" s="1" t="s">
        <v>88</v>
      </c>
      <c r="AE55" s="1" t="s">
        <v>51</v>
      </c>
      <c r="AF55" s="1" t="s">
        <v>51</v>
      </c>
      <c r="AG55" s="1" t="s">
        <v>51</v>
      </c>
      <c r="AH55" s="1">
        <v>30.0</v>
      </c>
      <c r="AI55" s="1">
        <v>0.0</v>
      </c>
      <c r="AJ55" s="1">
        <v>0.0</v>
      </c>
      <c r="AK55" s="1">
        <v>0.0</v>
      </c>
      <c r="AL55" s="1">
        <v>1.0</v>
      </c>
      <c r="AP55" s="1">
        <v>4.87826428E8</v>
      </c>
      <c r="AQ55" s="1" t="s">
        <v>157</v>
      </c>
      <c r="AR55" s="1">
        <v>45805.4961</v>
      </c>
      <c r="AU55" s="1" t="s">
        <v>64</v>
      </c>
      <c r="AW55" s="1" t="s">
        <v>84</v>
      </c>
      <c r="AY55" s="1">
        <v>49.0</v>
      </c>
    </row>
    <row r="56">
      <c r="A56" s="1" t="s">
        <v>51</v>
      </c>
      <c r="C56" s="1" t="s">
        <v>53</v>
      </c>
      <c r="E56" s="1" t="s">
        <v>53</v>
      </c>
      <c r="F56" s="1" t="s">
        <v>158</v>
      </c>
      <c r="G56" s="1">
        <v>45.0</v>
      </c>
      <c r="H56" s="1" t="s">
        <v>66</v>
      </c>
      <c r="I56" s="1" t="s">
        <v>121</v>
      </c>
      <c r="J56" s="1" t="s">
        <v>86</v>
      </c>
      <c r="K56" s="1" t="s">
        <v>87</v>
      </c>
      <c r="M56" s="1" t="s">
        <v>58</v>
      </c>
      <c r="N56" s="1" t="s">
        <v>58</v>
      </c>
      <c r="O56" s="1" t="s">
        <v>70</v>
      </c>
      <c r="Q56" s="1" t="s">
        <v>58</v>
      </c>
      <c r="R56" s="1" t="s">
        <v>58</v>
      </c>
      <c r="S56" s="1" t="s">
        <v>58</v>
      </c>
      <c r="T56" s="1" t="s">
        <v>69</v>
      </c>
      <c r="U56" s="1" t="s">
        <v>70</v>
      </c>
      <c r="V56" s="1" t="s">
        <v>69</v>
      </c>
      <c r="W56" s="1" t="s">
        <v>69</v>
      </c>
      <c r="X56" s="1" t="s">
        <v>59</v>
      </c>
      <c r="Y56" s="1" t="s">
        <v>82</v>
      </c>
      <c r="Z56" s="1" t="s">
        <v>89</v>
      </c>
      <c r="AA56" s="1">
        <v>10.0</v>
      </c>
      <c r="AB56" s="1" t="s">
        <v>79</v>
      </c>
      <c r="AC56" s="1" t="s">
        <v>71</v>
      </c>
      <c r="AF56" s="1" t="s">
        <v>51</v>
      </c>
      <c r="AG56" s="1" t="s">
        <v>51</v>
      </c>
      <c r="AH56" s="1">
        <v>250.0</v>
      </c>
      <c r="AI56" s="1">
        <v>0.0</v>
      </c>
      <c r="AJ56" s="1">
        <v>0.0</v>
      </c>
      <c r="AK56" s="1">
        <v>0.0</v>
      </c>
      <c r="AL56" s="1">
        <v>1.0</v>
      </c>
      <c r="AM56" s="1" t="s">
        <v>72</v>
      </c>
      <c r="AP56" s="1">
        <v>4.87873583E8</v>
      </c>
      <c r="AQ56" s="1" t="s">
        <v>159</v>
      </c>
      <c r="AR56" s="1">
        <v>45805.53353</v>
      </c>
      <c r="AU56" s="1" t="s">
        <v>64</v>
      </c>
      <c r="AW56" s="1" t="s">
        <v>84</v>
      </c>
      <c r="AY56" s="1">
        <v>50.0</v>
      </c>
    </row>
    <row r="57">
      <c r="A57" s="1" t="s">
        <v>51</v>
      </c>
      <c r="C57" s="1" t="s">
        <v>52</v>
      </c>
      <c r="E57" s="1" t="s">
        <v>105</v>
      </c>
      <c r="G57" s="1">
        <v>44.0</v>
      </c>
      <c r="H57" s="1" t="s">
        <v>66</v>
      </c>
      <c r="J57" s="1" t="s">
        <v>86</v>
      </c>
      <c r="K57" s="1" t="s">
        <v>87</v>
      </c>
      <c r="M57" s="1" t="s">
        <v>58</v>
      </c>
      <c r="N57" s="1" t="s">
        <v>58</v>
      </c>
      <c r="O57" s="1" t="s">
        <v>69</v>
      </c>
      <c r="Q57" s="1" t="s">
        <v>58</v>
      </c>
      <c r="R57" s="1" t="s">
        <v>58</v>
      </c>
      <c r="S57" s="1" t="s">
        <v>69</v>
      </c>
      <c r="T57" s="1" t="s">
        <v>70</v>
      </c>
      <c r="U57" s="1" t="s">
        <v>70</v>
      </c>
      <c r="V57" s="1" t="s">
        <v>70</v>
      </c>
      <c r="W57" s="1" t="s">
        <v>69</v>
      </c>
      <c r="X57" s="1" t="s">
        <v>81</v>
      </c>
      <c r="Y57" s="1" t="s">
        <v>95</v>
      </c>
      <c r="Z57" s="1" t="s">
        <v>89</v>
      </c>
      <c r="AA57" s="1">
        <v>100.0</v>
      </c>
      <c r="AB57" s="1" t="s">
        <v>62</v>
      </c>
      <c r="AC57" s="1" t="s">
        <v>71</v>
      </c>
      <c r="AF57" s="1" t="s">
        <v>51</v>
      </c>
      <c r="AG57" s="1" t="s">
        <v>72</v>
      </c>
      <c r="AI57" s="1">
        <v>0.0</v>
      </c>
      <c r="AJ57" s="1">
        <v>0.0</v>
      </c>
      <c r="AK57" s="1">
        <v>0.0</v>
      </c>
      <c r="AL57" s="1">
        <v>1.0</v>
      </c>
      <c r="AP57" s="1">
        <v>4.87902328E8</v>
      </c>
      <c r="AQ57" s="1" t="s">
        <v>160</v>
      </c>
      <c r="AR57" s="1">
        <v>45805.55344</v>
      </c>
      <c r="AU57" s="1" t="s">
        <v>64</v>
      </c>
      <c r="AW57" s="1" t="s">
        <v>84</v>
      </c>
      <c r="AY57" s="1">
        <v>51.0</v>
      </c>
    </row>
    <row r="58">
      <c r="A58" s="1" t="s">
        <v>51</v>
      </c>
      <c r="C58" s="1" t="s">
        <v>53</v>
      </c>
      <c r="E58" s="1" t="s">
        <v>53</v>
      </c>
      <c r="F58" s="1" t="s">
        <v>161</v>
      </c>
      <c r="G58" s="1">
        <v>41.0</v>
      </c>
      <c r="H58" s="1" t="s">
        <v>66</v>
      </c>
      <c r="I58" s="1" t="s">
        <v>121</v>
      </c>
      <c r="J58" s="1" t="s">
        <v>111</v>
      </c>
      <c r="K58" s="1" t="s">
        <v>87</v>
      </c>
      <c r="M58" s="1" t="s">
        <v>58</v>
      </c>
      <c r="N58" s="1" t="s">
        <v>58</v>
      </c>
      <c r="O58" s="1" t="s">
        <v>69</v>
      </c>
      <c r="Q58" s="1" t="s">
        <v>58</v>
      </c>
      <c r="R58" s="1" t="s">
        <v>58</v>
      </c>
      <c r="S58" s="1" t="s">
        <v>58</v>
      </c>
      <c r="T58" s="1" t="s">
        <v>69</v>
      </c>
      <c r="U58" s="1" t="s">
        <v>69</v>
      </c>
      <c r="V58" s="1" t="s">
        <v>58</v>
      </c>
      <c r="W58" s="1" t="s">
        <v>69</v>
      </c>
      <c r="X58" s="1" t="s">
        <v>88</v>
      </c>
      <c r="Y58" s="1" t="s">
        <v>95</v>
      </c>
      <c r="Z58" s="1" t="s">
        <v>61</v>
      </c>
      <c r="AA58" s="1">
        <v>100.0</v>
      </c>
      <c r="AB58" s="1" t="s">
        <v>62</v>
      </c>
      <c r="AC58" s="1" t="s">
        <v>72</v>
      </c>
      <c r="AF58" s="1" t="s">
        <v>51</v>
      </c>
      <c r="AG58" s="1" t="s">
        <v>51</v>
      </c>
      <c r="AH58" s="1">
        <v>50.0</v>
      </c>
      <c r="AI58" s="1">
        <v>0.0</v>
      </c>
      <c r="AJ58" s="1">
        <v>0.0</v>
      </c>
      <c r="AK58" s="1">
        <v>0.0</v>
      </c>
      <c r="AL58" s="1">
        <v>1.0</v>
      </c>
      <c r="AM58" s="1" t="s">
        <v>51</v>
      </c>
      <c r="AN58" s="1">
        <v>7.16262093E8</v>
      </c>
      <c r="AP58" s="1">
        <v>4.87913501E8</v>
      </c>
      <c r="AQ58" s="1" t="s">
        <v>162</v>
      </c>
      <c r="AR58" s="1">
        <v>45805.56046</v>
      </c>
      <c r="AU58" s="1" t="s">
        <v>64</v>
      </c>
      <c r="AW58" s="1" t="s">
        <v>84</v>
      </c>
      <c r="AY58" s="1">
        <v>52.0</v>
      </c>
    </row>
    <row r="59">
      <c r="A59" s="1" t="s">
        <v>51</v>
      </c>
      <c r="C59" s="1" t="s">
        <v>52</v>
      </c>
      <c r="E59" s="1" t="s">
        <v>53</v>
      </c>
      <c r="F59" s="1" t="s">
        <v>102</v>
      </c>
      <c r="G59" s="1">
        <v>45.0</v>
      </c>
      <c r="H59" s="1" t="s">
        <v>55</v>
      </c>
      <c r="I59" s="1" t="s">
        <v>67</v>
      </c>
      <c r="J59" s="1" t="s">
        <v>86</v>
      </c>
      <c r="K59" s="1" t="s">
        <v>87</v>
      </c>
      <c r="M59" s="1" t="s">
        <v>58</v>
      </c>
      <c r="N59" s="1" t="s">
        <v>58</v>
      </c>
      <c r="O59" s="1" t="s">
        <v>58</v>
      </c>
      <c r="Q59" s="1" t="s">
        <v>70</v>
      </c>
      <c r="R59" s="1" t="s">
        <v>58</v>
      </c>
      <c r="S59" s="1" t="s">
        <v>69</v>
      </c>
      <c r="T59" s="1" t="s">
        <v>58</v>
      </c>
      <c r="U59" s="1" t="s">
        <v>70</v>
      </c>
      <c r="V59" s="1" t="s">
        <v>58</v>
      </c>
      <c r="W59" s="1" t="s">
        <v>69</v>
      </c>
      <c r="X59" s="1" t="s">
        <v>81</v>
      </c>
      <c r="Y59" s="1" t="s">
        <v>95</v>
      </c>
      <c r="Z59" s="1" t="s">
        <v>89</v>
      </c>
      <c r="AA59" s="1">
        <v>50.0</v>
      </c>
      <c r="AB59" s="1" t="s">
        <v>62</v>
      </c>
      <c r="AC59" s="1" t="s">
        <v>71</v>
      </c>
      <c r="AF59" s="1" t="s">
        <v>51</v>
      </c>
      <c r="AG59" s="1" t="s">
        <v>72</v>
      </c>
      <c r="AI59" s="1">
        <v>0.0</v>
      </c>
      <c r="AJ59" s="1">
        <v>0.0</v>
      </c>
      <c r="AK59" s="1">
        <v>0.0</v>
      </c>
      <c r="AL59" s="1">
        <v>1.0</v>
      </c>
      <c r="AM59" s="1" t="s">
        <v>72</v>
      </c>
      <c r="AP59" s="1">
        <v>4.87937854E8</v>
      </c>
      <c r="AQ59" s="1" t="s">
        <v>163</v>
      </c>
      <c r="AR59" s="1">
        <v>45805.57583</v>
      </c>
      <c r="AU59" s="1" t="s">
        <v>64</v>
      </c>
      <c r="AW59" s="1" t="s">
        <v>84</v>
      </c>
      <c r="AY59" s="1">
        <v>53.0</v>
      </c>
    </row>
    <row r="60">
      <c r="A60" s="1" t="s">
        <v>51</v>
      </c>
      <c r="C60" s="1" t="s">
        <v>52</v>
      </c>
      <c r="E60" s="1" t="s">
        <v>53</v>
      </c>
      <c r="F60" s="1" t="s">
        <v>102</v>
      </c>
      <c r="G60" s="1">
        <v>37.0</v>
      </c>
      <c r="H60" s="1" t="s">
        <v>55</v>
      </c>
      <c r="I60" s="1" t="s">
        <v>67</v>
      </c>
      <c r="J60" s="1" t="s">
        <v>86</v>
      </c>
      <c r="K60" s="1" t="s">
        <v>87</v>
      </c>
      <c r="M60" s="1" t="s">
        <v>58</v>
      </c>
      <c r="N60" s="1" t="s">
        <v>58</v>
      </c>
      <c r="O60" s="1" t="s">
        <v>58</v>
      </c>
      <c r="Q60" s="1" t="s">
        <v>69</v>
      </c>
      <c r="R60" s="1" t="s">
        <v>58</v>
      </c>
      <c r="S60" s="1" t="s">
        <v>69</v>
      </c>
      <c r="T60" s="1" t="s">
        <v>69</v>
      </c>
      <c r="U60" s="1" t="s">
        <v>69</v>
      </c>
      <c r="V60" s="1" t="s">
        <v>70</v>
      </c>
      <c r="W60" s="1" t="s">
        <v>69</v>
      </c>
      <c r="X60" s="1" t="s">
        <v>88</v>
      </c>
      <c r="Y60" s="1" t="s">
        <v>95</v>
      </c>
      <c r="Z60" s="1" t="s">
        <v>89</v>
      </c>
      <c r="AA60" s="1">
        <v>50.0</v>
      </c>
      <c r="AB60" s="1" t="s">
        <v>62</v>
      </c>
      <c r="AC60" s="1" t="s">
        <v>71</v>
      </c>
      <c r="AF60" s="1" t="s">
        <v>51</v>
      </c>
      <c r="AG60" s="1" t="s">
        <v>72</v>
      </c>
      <c r="AI60" s="1">
        <v>0.0</v>
      </c>
      <c r="AJ60" s="1">
        <v>0.0</v>
      </c>
      <c r="AK60" s="1">
        <v>1.0</v>
      </c>
      <c r="AL60" s="1">
        <v>0.0</v>
      </c>
      <c r="AM60" s="1" t="s">
        <v>72</v>
      </c>
      <c r="AP60" s="1">
        <v>4.87977877E8</v>
      </c>
      <c r="AQ60" s="1" t="s">
        <v>164</v>
      </c>
      <c r="AR60" s="1">
        <v>45805.59932</v>
      </c>
      <c r="AU60" s="1" t="s">
        <v>64</v>
      </c>
      <c r="AW60" s="1" t="s">
        <v>165</v>
      </c>
      <c r="AY60" s="1">
        <v>54.0</v>
      </c>
    </row>
    <row r="61">
      <c r="A61" s="1" t="s">
        <v>51</v>
      </c>
      <c r="C61" s="1" t="s">
        <v>52</v>
      </c>
      <c r="E61" s="1" t="s">
        <v>53</v>
      </c>
      <c r="F61" s="1" t="s">
        <v>102</v>
      </c>
      <c r="G61" s="1">
        <v>44.0</v>
      </c>
      <c r="H61" s="1" t="s">
        <v>66</v>
      </c>
      <c r="I61" s="1" t="s">
        <v>67</v>
      </c>
      <c r="J61" s="1" t="s">
        <v>111</v>
      </c>
      <c r="K61" s="1" t="s">
        <v>87</v>
      </c>
      <c r="M61" s="1" t="s">
        <v>58</v>
      </c>
      <c r="N61" s="1" t="s">
        <v>58</v>
      </c>
      <c r="O61" s="1" t="s">
        <v>58</v>
      </c>
      <c r="Q61" s="1" t="s">
        <v>69</v>
      </c>
      <c r="R61" s="1" t="s">
        <v>58</v>
      </c>
      <c r="S61" s="1" t="s">
        <v>69</v>
      </c>
      <c r="T61" s="1" t="s">
        <v>69</v>
      </c>
      <c r="U61" s="1" t="s">
        <v>58</v>
      </c>
      <c r="V61" s="1" t="s">
        <v>58</v>
      </c>
      <c r="W61" s="1" t="s">
        <v>69</v>
      </c>
      <c r="X61" s="1" t="s">
        <v>88</v>
      </c>
      <c r="Y61" s="1" t="s">
        <v>95</v>
      </c>
      <c r="Z61" s="1" t="s">
        <v>89</v>
      </c>
      <c r="AA61" s="1">
        <v>100.0</v>
      </c>
      <c r="AB61" s="1" t="s">
        <v>79</v>
      </c>
      <c r="AC61" s="1" t="s">
        <v>71</v>
      </c>
      <c r="AF61" s="1" t="s">
        <v>51</v>
      </c>
      <c r="AG61" s="1" t="s">
        <v>72</v>
      </c>
      <c r="AI61" s="1">
        <v>0.0</v>
      </c>
      <c r="AJ61" s="1">
        <v>1.0</v>
      </c>
      <c r="AK61" s="1">
        <v>1.0</v>
      </c>
      <c r="AL61" s="1">
        <v>0.0</v>
      </c>
      <c r="AM61" s="1" t="s">
        <v>72</v>
      </c>
      <c r="AP61" s="1">
        <v>4.88028391E8</v>
      </c>
      <c r="AQ61" s="1" t="s">
        <v>166</v>
      </c>
      <c r="AR61" s="1">
        <v>45805.62756</v>
      </c>
      <c r="AU61" s="1" t="s">
        <v>64</v>
      </c>
      <c r="AW61" s="1" t="s">
        <v>165</v>
      </c>
      <c r="AY61" s="1">
        <v>55.0</v>
      </c>
    </row>
    <row r="62">
      <c r="A62" s="1" t="s">
        <v>51</v>
      </c>
      <c r="C62" s="1" t="s">
        <v>52</v>
      </c>
      <c r="E62" s="1" t="s">
        <v>53</v>
      </c>
      <c r="F62" s="1" t="s">
        <v>54</v>
      </c>
      <c r="G62" s="1">
        <v>45.0</v>
      </c>
      <c r="H62" s="1" t="s">
        <v>66</v>
      </c>
      <c r="I62" s="1" t="s">
        <v>67</v>
      </c>
      <c r="J62" s="1" t="s">
        <v>111</v>
      </c>
      <c r="K62" s="1" t="s">
        <v>87</v>
      </c>
      <c r="M62" s="1" t="s">
        <v>58</v>
      </c>
      <c r="N62" s="1" t="s">
        <v>58</v>
      </c>
      <c r="O62" s="1" t="s">
        <v>69</v>
      </c>
      <c r="Q62" s="1" t="s">
        <v>58</v>
      </c>
      <c r="R62" s="1" t="s">
        <v>58</v>
      </c>
      <c r="S62" s="1" t="s">
        <v>69</v>
      </c>
      <c r="T62" s="1" t="s">
        <v>58</v>
      </c>
      <c r="U62" s="1" t="s">
        <v>58</v>
      </c>
      <c r="V62" s="1" t="s">
        <v>58</v>
      </c>
      <c r="W62" s="1" t="s">
        <v>69</v>
      </c>
      <c r="X62" s="1" t="s">
        <v>81</v>
      </c>
      <c r="Y62" s="1" t="s">
        <v>82</v>
      </c>
      <c r="Z62" s="1" t="s">
        <v>61</v>
      </c>
      <c r="AA62" s="1">
        <v>100.0</v>
      </c>
      <c r="AB62" s="1" t="s">
        <v>79</v>
      </c>
      <c r="AC62" s="1" t="s">
        <v>71</v>
      </c>
      <c r="AF62" s="1" t="s">
        <v>51</v>
      </c>
      <c r="AG62" s="1" t="s">
        <v>51</v>
      </c>
      <c r="AI62" s="1">
        <v>0.0</v>
      </c>
      <c r="AJ62" s="1">
        <v>0.0</v>
      </c>
      <c r="AK62" s="1">
        <v>0.0</v>
      </c>
      <c r="AL62" s="1">
        <v>1.0</v>
      </c>
      <c r="AM62" s="1" t="s">
        <v>51</v>
      </c>
      <c r="AN62" s="1">
        <v>7.39553284E8</v>
      </c>
      <c r="AP62" s="1">
        <v>4.8804228E8</v>
      </c>
      <c r="AQ62" s="1" t="s">
        <v>167</v>
      </c>
      <c r="AR62" s="1">
        <v>45805.63536</v>
      </c>
      <c r="AU62" s="1" t="s">
        <v>64</v>
      </c>
      <c r="AW62" s="1" t="s">
        <v>165</v>
      </c>
      <c r="AY62" s="1">
        <v>56.0</v>
      </c>
    </row>
    <row r="63">
      <c r="A63" s="1" t="s">
        <v>51</v>
      </c>
      <c r="C63" s="1" t="s">
        <v>131</v>
      </c>
      <c r="E63" s="1" t="s">
        <v>131</v>
      </c>
      <c r="G63" s="1">
        <v>53.0</v>
      </c>
      <c r="H63" s="1" t="s">
        <v>55</v>
      </c>
      <c r="J63" s="1" t="s">
        <v>86</v>
      </c>
      <c r="K63" s="1" t="s">
        <v>87</v>
      </c>
      <c r="M63" s="1" t="s">
        <v>58</v>
      </c>
      <c r="N63" s="1" t="s">
        <v>58</v>
      </c>
      <c r="O63" s="1" t="s">
        <v>70</v>
      </c>
      <c r="Q63" s="1" t="s">
        <v>69</v>
      </c>
      <c r="R63" s="1" t="s">
        <v>58</v>
      </c>
      <c r="S63" s="1" t="s">
        <v>69</v>
      </c>
      <c r="T63" s="1" t="s">
        <v>69</v>
      </c>
      <c r="U63" s="1" t="s">
        <v>70</v>
      </c>
      <c r="V63" s="1" t="s">
        <v>58</v>
      </c>
      <c r="W63" s="1" t="s">
        <v>69</v>
      </c>
      <c r="X63" s="1" t="s">
        <v>59</v>
      </c>
      <c r="Z63" s="1" t="s">
        <v>108</v>
      </c>
      <c r="AA63" s="1">
        <v>10.0</v>
      </c>
      <c r="AB63" s="1" t="s">
        <v>62</v>
      </c>
      <c r="AF63" s="1" t="s">
        <v>51</v>
      </c>
      <c r="AG63" s="1" t="s">
        <v>72</v>
      </c>
      <c r="AI63" s="1">
        <v>0.0</v>
      </c>
      <c r="AJ63" s="1">
        <v>0.0</v>
      </c>
      <c r="AK63" s="1">
        <v>0.0</v>
      </c>
      <c r="AL63" s="1">
        <v>1.0</v>
      </c>
      <c r="AP63" s="1">
        <v>4.88064602E8</v>
      </c>
      <c r="AQ63" s="1" t="s">
        <v>168</v>
      </c>
      <c r="AR63" s="1">
        <v>45805.64787</v>
      </c>
      <c r="AU63" s="1" t="s">
        <v>64</v>
      </c>
      <c r="AW63" s="1" t="s">
        <v>165</v>
      </c>
      <c r="AY63" s="1">
        <v>57.0</v>
      </c>
    </row>
    <row r="64">
      <c r="A64" s="1" t="s">
        <v>51</v>
      </c>
      <c r="C64" s="1" t="s">
        <v>52</v>
      </c>
      <c r="E64" s="1" t="s">
        <v>53</v>
      </c>
      <c r="F64" s="1" t="s">
        <v>161</v>
      </c>
      <c r="G64" s="1">
        <v>45.0</v>
      </c>
      <c r="H64" s="1" t="s">
        <v>55</v>
      </c>
      <c r="I64" s="1" t="s">
        <v>67</v>
      </c>
      <c r="J64" s="1" t="s">
        <v>86</v>
      </c>
      <c r="K64" s="1" t="s">
        <v>87</v>
      </c>
      <c r="M64" s="1" t="s">
        <v>58</v>
      </c>
      <c r="N64" s="1" t="s">
        <v>58</v>
      </c>
      <c r="O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103</v>
      </c>
      <c r="Y64" s="1" t="s">
        <v>95</v>
      </c>
      <c r="Z64" s="1" t="s">
        <v>96</v>
      </c>
      <c r="AA64" s="1">
        <v>100.0</v>
      </c>
      <c r="AB64" s="1" t="s">
        <v>28</v>
      </c>
      <c r="AC64" s="1" t="s">
        <v>51</v>
      </c>
      <c r="AD64" s="1" t="s">
        <v>88</v>
      </c>
      <c r="AE64" s="1" t="s">
        <v>51</v>
      </c>
      <c r="AF64" s="1" t="s">
        <v>51</v>
      </c>
      <c r="AG64" s="1" t="s">
        <v>72</v>
      </c>
      <c r="AI64" s="1">
        <v>0.0</v>
      </c>
      <c r="AJ64" s="1">
        <v>0.0</v>
      </c>
      <c r="AK64" s="1">
        <v>1.0</v>
      </c>
      <c r="AL64" s="1">
        <v>0.0</v>
      </c>
      <c r="AM64" s="1" t="s">
        <v>72</v>
      </c>
      <c r="AP64" s="1">
        <v>4.88106386E8</v>
      </c>
      <c r="AQ64" s="1" t="s">
        <v>169</v>
      </c>
      <c r="AR64" s="1">
        <v>45805.67096</v>
      </c>
      <c r="AU64" s="1" t="s">
        <v>64</v>
      </c>
      <c r="AW64" s="1" t="s">
        <v>165</v>
      </c>
      <c r="AY64" s="1">
        <v>58.0</v>
      </c>
    </row>
    <row r="65">
      <c r="A65" s="1" t="s">
        <v>51</v>
      </c>
      <c r="C65" s="1" t="s">
        <v>170</v>
      </c>
      <c r="E65" s="1" t="s">
        <v>53</v>
      </c>
      <c r="F65" s="1" t="s">
        <v>54</v>
      </c>
      <c r="G65" s="1">
        <v>51.0</v>
      </c>
      <c r="H65" s="1" t="s">
        <v>55</v>
      </c>
      <c r="I65" s="1" t="s">
        <v>67</v>
      </c>
      <c r="J65" s="1" t="s">
        <v>68</v>
      </c>
      <c r="K65" s="1" t="s">
        <v>74</v>
      </c>
      <c r="M65" s="1" t="s">
        <v>58</v>
      </c>
      <c r="N65" s="1" t="s">
        <v>58</v>
      </c>
      <c r="O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81</v>
      </c>
      <c r="Y65" s="1" t="s">
        <v>82</v>
      </c>
      <c r="Z65" s="1" t="s">
        <v>89</v>
      </c>
      <c r="AA65" s="1">
        <v>20.0</v>
      </c>
      <c r="AB65" s="1" t="s">
        <v>79</v>
      </c>
      <c r="AC65" s="1" t="s">
        <v>51</v>
      </c>
      <c r="AM65" s="1" t="s">
        <v>51</v>
      </c>
      <c r="AN65" s="1">
        <v>6.4483844E8</v>
      </c>
      <c r="AP65" s="1">
        <v>4.88131078E8</v>
      </c>
      <c r="AQ65" s="1" t="s">
        <v>171</v>
      </c>
      <c r="AR65" s="1">
        <v>45805.68455</v>
      </c>
      <c r="AU65" s="1" t="s">
        <v>64</v>
      </c>
      <c r="AW65" s="1" t="s">
        <v>165</v>
      </c>
      <c r="AY65" s="1">
        <v>59.0</v>
      </c>
    </row>
    <row r="66">
      <c r="A66" s="1" t="s">
        <v>51</v>
      </c>
      <c r="C66" s="1" t="s">
        <v>170</v>
      </c>
      <c r="E66" s="1" t="s">
        <v>53</v>
      </c>
      <c r="F66" s="1" t="s">
        <v>54</v>
      </c>
      <c r="H66" s="1" t="s">
        <v>66</v>
      </c>
      <c r="I66" s="1" t="s">
        <v>100</v>
      </c>
      <c r="J66" s="1" t="s">
        <v>56</v>
      </c>
      <c r="K66" s="1" t="s">
        <v>74</v>
      </c>
      <c r="M66" s="1" t="s">
        <v>58</v>
      </c>
      <c r="N66" s="1" t="s">
        <v>58</v>
      </c>
      <c r="O66" s="1" t="s">
        <v>69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103</v>
      </c>
      <c r="Y66" s="1" t="s">
        <v>172</v>
      </c>
      <c r="Z66" s="1" t="s">
        <v>89</v>
      </c>
      <c r="AA66" s="1">
        <v>30.0</v>
      </c>
      <c r="AB66" s="1" t="s">
        <v>28</v>
      </c>
      <c r="AC66" s="1" t="s">
        <v>72</v>
      </c>
      <c r="AF66" s="1" t="s">
        <v>51</v>
      </c>
      <c r="AG66" s="1" t="s">
        <v>51</v>
      </c>
      <c r="AI66" s="1">
        <v>1.0</v>
      </c>
      <c r="AJ66" s="1">
        <v>1.0</v>
      </c>
      <c r="AK66" s="1">
        <v>1.0</v>
      </c>
      <c r="AL66" s="1">
        <v>0.0</v>
      </c>
      <c r="AM66" s="1" t="s">
        <v>72</v>
      </c>
      <c r="AP66" s="1">
        <v>4.88133757E8</v>
      </c>
      <c r="AQ66" s="1" t="s">
        <v>173</v>
      </c>
      <c r="AR66" s="1">
        <v>45805.68609</v>
      </c>
      <c r="AU66" s="1" t="s">
        <v>64</v>
      </c>
      <c r="AW66" s="1" t="s">
        <v>165</v>
      </c>
      <c r="AY66" s="1">
        <v>60.0</v>
      </c>
    </row>
    <row r="67">
      <c r="A67" s="1" t="s">
        <v>51</v>
      </c>
      <c r="C67" s="1" t="s">
        <v>52</v>
      </c>
      <c r="E67" s="1" t="s">
        <v>52</v>
      </c>
      <c r="G67" s="1">
        <v>45.0</v>
      </c>
      <c r="H67" s="1" t="s">
        <v>55</v>
      </c>
      <c r="J67" s="1" t="s">
        <v>86</v>
      </c>
      <c r="K67" s="1" t="s">
        <v>87</v>
      </c>
      <c r="M67" s="1" t="s">
        <v>58</v>
      </c>
      <c r="N67" s="1" t="s">
        <v>58</v>
      </c>
      <c r="O67" s="1" t="s">
        <v>58</v>
      </c>
      <c r="Q67" s="1" t="s">
        <v>58</v>
      </c>
      <c r="R67" s="1" t="s">
        <v>58</v>
      </c>
      <c r="S67" s="1" t="s">
        <v>58</v>
      </c>
      <c r="T67" s="1" t="s">
        <v>69</v>
      </c>
      <c r="U67" s="1" t="s">
        <v>58</v>
      </c>
      <c r="V67" s="1" t="s">
        <v>58</v>
      </c>
      <c r="W67" s="1" t="s">
        <v>58</v>
      </c>
      <c r="X67" s="1" t="s">
        <v>88</v>
      </c>
      <c r="Y67" s="1" t="s">
        <v>60</v>
      </c>
      <c r="Z67" s="1" t="s">
        <v>89</v>
      </c>
      <c r="AA67" s="1">
        <v>100.0</v>
      </c>
      <c r="AB67" s="1" t="s">
        <v>62</v>
      </c>
      <c r="AC67" s="1" t="s">
        <v>71</v>
      </c>
      <c r="AF67" s="1" t="s">
        <v>51</v>
      </c>
      <c r="AG67" s="1" t="s">
        <v>72</v>
      </c>
      <c r="AI67" s="1">
        <v>0.0</v>
      </c>
      <c r="AJ67" s="1">
        <v>0.0</v>
      </c>
      <c r="AK67" s="1">
        <v>0.0</v>
      </c>
      <c r="AL67" s="1">
        <v>1.0</v>
      </c>
      <c r="AP67" s="1">
        <v>4.88135385E8</v>
      </c>
      <c r="AQ67" s="1" t="s">
        <v>174</v>
      </c>
      <c r="AR67" s="1">
        <v>45805.68712</v>
      </c>
      <c r="AU67" s="1" t="s">
        <v>64</v>
      </c>
      <c r="AW67" s="1" t="s">
        <v>165</v>
      </c>
      <c r="AY67" s="1">
        <v>61.0</v>
      </c>
    </row>
    <row r="68">
      <c r="A68" s="1" t="s">
        <v>51</v>
      </c>
      <c r="C68" s="1" t="s">
        <v>52</v>
      </c>
      <c r="E68" s="1" t="s">
        <v>53</v>
      </c>
      <c r="F68" s="1" t="s">
        <v>54</v>
      </c>
      <c r="G68" s="1">
        <v>47.0</v>
      </c>
      <c r="H68" s="1" t="s">
        <v>66</v>
      </c>
      <c r="I68" s="1" t="s">
        <v>67</v>
      </c>
      <c r="J68" s="1" t="s">
        <v>86</v>
      </c>
      <c r="K68" s="1" t="s">
        <v>74</v>
      </c>
      <c r="M68" s="1" t="s">
        <v>58</v>
      </c>
      <c r="N68" s="1" t="s">
        <v>58</v>
      </c>
      <c r="O68" s="1" t="s">
        <v>69</v>
      </c>
      <c r="Q68" s="1" t="s">
        <v>69</v>
      </c>
      <c r="R68" s="1" t="s">
        <v>58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81</v>
      </c>
      <c r="Y68" s="1" t="s">
        <v>82</v>
      </c>
      <c r="Z68" s="1" t="s">
        <v>89</v>
      </c>
      <c r="AA68" s="1">
        <v>10.0</v>
      </c>
      <c r="AB68" s="1" t="s">
        <v>79</v>
      </c>
      <c r="AC68" s="1" t="s">
        <v>71</v>
      </c>
      <c r="AF68" s="1" t="s">
        <v>51</v>
      </c>
      <c r="AG68" s="1" t="s">
        <v>51</v>
      </c>
      <c r="AH68" s="1">
        <v>100.0</v>
      </c>
      <c r="AI68" s="1">
        <v>0.0</v>
      </c>
      <c r="AJ68" s="1">
        <v>0.0</v>
      </c>
      <c r="AK68" s="1">
        <v>0.0</v>
      </c>
      <c r="AL68" s="1">
        <v>1.0</v>
      </c>
      <c r="AM68" s="1" t="s">
        <v>51</v>
      </c>
      <c r="AN68" s="1">
        <v>6.10832654E8</v>
      </c>
      <c r="AP68" s="1">
        <v>4.88197952E8</v>
      </c>
      <c r="AQ68" s="1" t="s">
        <v>175</v>
      </c>
      <c r="AR68" s="1">
        <v>45805.72736</v>
      </c>
      <c r="AU68" s="1" t="s">
        <v>64</v>
      </c>
      <c r="AW68" s="1" t="s">
        <v>165</v>
      </c>
      <c r="AY68" s="1">
        <v>62.0</v>
      </c>
    </row>
    <row r="69">
      <c r="A69" s="1" t="s">
        <v>51</v>
      </c>
      <c r="C69" s="1" t="s">
        <v>53</v>
      </c>
      <c r="E69" s="1" t="s">
        <v>53</v>
      </c>
      <c r="F69" s="1" t="s">
        <v>102</v>
      </c>
      <c r="G69" s="1">
        <v>32.0</v>
      </c>
      <c r="H69" s="1" t="s">
        <v>55</v>
      </c>
      <c r="I69" s="1" t="s">
        <v>121</v>
      </c>
      <c r="J69" s="1" t="s">
        <v>86</v>
      </c>
      <c r="K69" s="1" t="s">
        <v>87</v>
      </c>
      <c r="M69" s="1" t="s">
        <v>58</v>
      </c>
      <c r="N69" s="1" t="s">
        <v>58</v>
      </c>
      <c r="O69" s="1" t="s">
        <v>69</v>
      </c>
      <c r="Q69" s="1" t="s">
        <v>58</v>
      </c>
      <c r="R69" s="1" t="s">
        <v>58</v>
      </c>
      <c r="S69" s="1" t="s">
        <v>69</v>
      </c>
      <c r="T69" s="1" t="s">
        <v>69</v>
      </c>
      <c r="U69" s="1" t="s">
        <v>58</v>
      </c>
      <c r="V69" s="1" t="s">
        <v>58</v>
      </c>
      <c r="W69" s="1" t="s">
        <v>69</v>
      </c>
      <c r="X69" s="1" t="s">
        <v>81</v>
      </c>
      <c r="Y69" s="1" t="s">
        <v>82</v>
      </c>
      <c r="Z69" s="1" t="s">
        <v>89</v>
      </c>
      <c r="AA69" s="1">
        <v>10.0</v>
      </c>
      <c r="AB69" s="1" t="s">
        <v>79</v>
      </c>
      <c r="AC69" s="1" t="s">
        <v>71</v>
      </c>
      <c r="AF69" s="1" t="s">
        <v>51</v>
      </c>
      <c r="AG69" s="1" t="s">
        <v>72</v>
      </c>
      <c r="AI69" s="1">
        <v>1.0</v>
      </c>
      <c r="AJ69" s="1">
        <v>1.0</v>
      </c>
      <c r="AK69" s="1">
        <v>1.0</v>
      </c>
      <c r="AL69" s="1">
        <v>0.0</v>
      </c>
      <c r="AM69" s="1" t="s">
        <v>72</v>
      </c>
      <c r="AP69" s="1">
        <v>4.88202438E8</v>
      </c>
      <c r="AQ69" s="1" t="s">
        <v>176</v>
      </c>
      <c r="AR69" s="1">
        <v>45805.7312</v>
      </c>
      <c r="AU69" s="1" t="s">
        <v>64</v>
      </c>
      <c r="AW69" s="1" t="s">
        <v>165</v>
      </c>
      <c r="AY69" s="1">
        <v>63.0</v>
      </c>
    </row>
    <row r="70">
      <c r="A70" s="1" t="s">
        <v>51</v>
      </c>
      <c r="C70" s="1" t="s">
        <v>170</v>
      </c>
      <c r="E70" s="1" t="s">
        <v>53</v>
      </c>
      <c r="F70" s="1" t="s">
        <v>54</v>
      </c>
      <c r="G70" s="1">
        <v>27.0</v>
      </c>
      <c r="H70" s="1" t="s">
        <v>66</v>
      </c>
      <c r="I70" s="1" t="s">
        <v>67</v>
      </c>
      <c r="J70" s="1" t="s">
        <v>68</v>
      </c>
      <c r="K70" s="1" t="s">
        <v>74</v>
      </c>
      <c r="M70" s="1" t="s">
        <v>58</v>
      </c>
      <c r="N70" s="1" t="s">
        <v>58</v>
      </c>
      <c r="O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59</v>
      </c>
      <c r="Y70" s="1" t="s">
        <v>82</v>
      </c>
      <c r="Z70" s="1" t="s">
        <v>89</v>
      </c>
      <c r="AA70" s="1">
        <v>10.0</v>
      </c>
      <c r="AB70" s="1" t="s">
        <v>79</v>
      </c>
      <c r="AC70" s="1" t="s">
        <v>51</v>
      </c>
      <c r="AD70" s="1" t="s">
        <v>81</v>
      </c>
      <c r="AE70" s="1" t="s">
        <v>51</v>
      </c>
      <c r="AF70" s="1" t="s">
        <v>51</v>
      </c>
      <c r="AG70" s="1" t="s">
        <v>51</v>
      </c>
      <c r="AH70" s="1">
        <v>350.0</v>
      </c>
      <c r="AI70" s="1">
        <v>0.0</v>
      </c>
      <c r="AJ70" s="1">
        <v>1.0</v>
      </c>
      <c r="AK70" s="1">
        <v>0.0</v>
      </c>
      <c r="AL70" s="1">
        <v>0.0</v>
      </c>
      <c r="AM70" s="1" t="s">
        <v>51</v>
      </c>
      <c r="AN70" s="1">
        <v>6.59857007E8</v>
      </c>
      <c r="AP70" s="1">
        <v>4.88227278E8</v>
      </c>
      <c r="AQ70" s="1" t="s">
        <v>177</v>
      </c>
      <c r="AR70" s="1">
        <v>45805.75213</v>
      </c>
      <c r="AU70" s="1" t="s">
        <v>64</v>
      </c>
      <c r="AW70" s="1" t="s">
        <v>165</v>
      </c>
      <c r="AY70" s="1">
        <v>64.0</v>
      </c>
    </row>
    <row r="71">
      <c r="A71" s="1" t="s">
        <v>51</v>
      </c>
      <c r="C71" s="1" t="s">
        <v>151</v>
      </c>
      <c r="E71" s="1" t="s">
        <v>151</v>
      </c>
      <c r="G71" s="1">
        <v>52.0</v>
      </c>
      <c r="H71" s="1" t="s">
        <v>66</v>
      </c>
      <c r="J71" s="1" t="s">
        <v>86</v>
      </c>
      <c r="K71" s="1" t="s">
        <v>87</v>
      </c>
      <c r="M71" s="1" t="s">
        <v>58</v>
      </c>
      <c r="N71" s="1" t="s">
        <v>58</v>
      </c>
      <c r="O71" s="1" t="s">
        <v>58</v>
      </c>
      <c r="Q71" s="1" t="s">
        <v>69</v>
      </c>
      <c r="R71" s="1" t="s">
        <v>58</v>
      </c>
      <c r="S71" s="1" t="s">
        <v>69</v>
      </c>
      <c r="T71" s="1" t="s">
        <v>69</v>
      </c>
      <c r="U71" s="1" t="s">
        <v>58</v>
      </c>
      <c r="V71" s="1" t="s">
        <v>58</v>
      </c>
      <c r="W71" s="1" t="s">
        <v>69</v>
      </c>
      <c r="X71" s="1" t="s">
        <v>88</v>
      </c>
      <c r="Y71" s="1" t="s">
        <v>95</v>
      </c>
      <c r="Z71" s="1" t="s">
        <v>89</v>
      </c>
      <c r="AA71" s="1">
        <v>100.0</v>
      </c>
      <c r="AB71" s="1" t="s">
        <v>28</v>
      </c>
      <c r="AC71" s="1" t="s">
        <v>51</v>
      </c>
      <c r="AD71" s="1" t="s">
        <v>88</v>
      </c>
      <c r="AE71" s="1" t="s">
        <v>51</v>
      </c>
      <c r="AF71" s="1" t="s">
        <v>51</v>
      </c>
      <c r="AG71" s="1" t="s">
        <v>51</v>
      </c>
      <c r="AI71" s="1">
        <v>1.0</v>
      </c>
      <c r="AJ71" s="1">
        <v>1.0</v>
      </c>
      <c r="AK71" s="1">
        <v>1.0</v>
      </c>
      <c r="AL71" s="1">
        <v>0.0</v>
      </c>
      <c r="AP71" s="1">
        <v>4.8823866E8</v>
      </c>
      <c r="AQ71" s="1" t="s">
        <v>178</v>
      </c>
      <c r="AR71" s="1">
        <v>45805.76369</v>
      </c>
      <c r="AU71" s="1" t="s">
        <v>64</v>
      </c>
      <c r="AW71" s="1" t="s">
        <v>165</v>
      </c>
      <c r="AY71" s="1">
        <v>65.0</v>
      </c>
    </row>
    <row r="72">
      <c r="A72" s="1" t="s">
        <v>51</v>
      </c>
      <c r="C72" s="1" t="s">
        <v>151</v>
      </c>
      <c r="E72" s="1" t="s">
        <v>151</v>
      </c>
      <c r="G72" s="1">
        <v>44.0</v>
      </c>
      <c r="H72" s="1" t="s">
        <v>66</v>
      </c>
      <c r="J72" s="1" t="s">
        <v>86</v>
      </c>
      <c r="K72" s="1" t="s">
        <v>87</v>
      </c>
      <c r="M72" s="1" t="s">
        <v>58</v>
      </c>
      <c r="N72" s="1" t="s">
        <v>58</v>
      </c>
      <c r="O72" s="1" t="s">
        <v>58</v>
      </c>
      <c r="Q72" s="1" t="s">
        <v>69</v>
      </c>
      <c r="R72" s="1" t="s">
        <v>58</v>
      </c>
      <c r="S72" s="1" t="s">
        <v>58</v>
      </c>
      <c r="T72" s="1" t="s">
        <v>70</v>
      </c>
      <c r="U72" s="1" t="s">
        <v>69</v>
      </c>
      <c r="V72" s="1" t="s">
        <v>58</v>
      </c>
      <c r="W72" s="1" t="s">
        <v>70</v>
      </c>
      <c r="X72" s="1" t="s">
        <v>59</v>
      </c>
      <c r="Y72" s="1" t="s">
        <v>60</v>
      </c>
      <c r="Z72" s="1" t="s">
        <v>89</v>
      </c>
      <c r="AA72" s="1">
        <v>100.0</v>
      </c>
      <c r="AB72" s="1" t="s">
        <v>62</v>
      </c>
      <c r="AC72" s="1" t="s">
        <v>71</v>
      </c>
      <c r="AF72" s="1" t="s">
        <v>51</v>
      </c>
      <c r="AG72" s="1" t="s">
        <v>51</v>
      </c>
      <c r="AI72" s="1">
        <v>0.0</v>
      </c>
      <c r="AJ72" s="1">
        <v>0.0</v>
      </c>
      <c r="AK72" s="1">
        <v>1.0</v>
      </c>
      <c r="AL72" s="1">
        <v>0.0</v>
      </c>
      <c r="AP72" s="1">
        <v>4.88239373E8</v>
      </c>
      <c r="AQ72" s="1" t="s">
        <v>179</v>
      </c>
      <c r="AR72" s="1">
        <v>45805.76443</v>
      </c>
      <c r="AU72" s="1" t="s">
        <v>64</v>
      </c>
      <c r="AW72" s="1" t="s">
        <v>165</v>
      </c>
      <c r="AY72" s="1">
        <v>66.0</v>
      </c>
    </row>
    <row r="73">
      <c r="A73" s="1" t="s">
        <v>51</v>
      </c>
      <c r="C73" s="1" t="s">
        <v>151</v>
      </c>
      <c r="E73" s="1" t="s">
        <v>151</v>
      </c>
      <c r="G73" s="1">
        <v>41.0</v>
      </c>
      <c r="H73" s="1" t="s">
        <v>55</v>
      </c>
      <c r="J73" s="1" t="s">
        <v>86</v>
      </c>
      <c r="K73" s="1" t="s">
        <v>87</v>
      </c>
      <c r="M73" s="1" t="s">
        <v>58</v>
      </c>
      <c r="N73" s="1" t="s">
        <v>58</v>
      </c>
      <c r="O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81</v>
      </c>
      <c r="Y73" s="1" t="s">
        <v>95</v>
      </c>
      <c r="Z73" s="1" t="s">
        <v>96</v>
      </c>
      <c r="AA73" s="1">
        <v>100.0</v>
      </c>
      <c r="AB73" s="1" t="s">
        <v>62</v>
      </c>
      <c r="AC73" s="1" t="s">
        <v>51</v>
      </c>
      <c r="AD73" s="1" t="s">
        <v>81</v>
      </c>
      <c r="AE73" s="1" t="s">
        <v>51</v>
      </c>
      <c r="AF73" s="1" t="s">
        <v>51</v>
      </c>
      <c r="AG73" s="1" t="s">
        <v>51</v>
      </c>
      <c r="AH73" s="1">
        <v>200.0</v>
      </c>
      <c r="AI73" s="1">
        <v>1.0</v>
      </c>
      <c r="AJ73" s="1">
        <v>0.0</v>
      </c>
      <c r="AK73" s="1">
        <v>0.0</v>
      </c>
      <c r="AL73" s="1">
        <v>0.0</v>
      </c>
      <c r="AP73" s="1">
        <v>4.88239828E8</v>
      </c>
      <c r="AQ73" s="1" t="s">
        <v>180</v>
      </c>
      <c r="AR73" s="1">
        <v>45805.76498</v>
      </c>
      <c r="AU73" s="1" t="s">
        <v>64</v>
      </c>
      <c r="AW73" s="1" t="s">
        <v>165</v>
      </c>
      <c r="AY73" s="1">
        <v>67.0</v>
      </c>
    </row>
    <row r="74">
      <c r="A74" s="1" t="s">
        <v>51</v>
      </c>
      <c r="C74" s="1" t="s">
        <v>52</v>
      </c>
      <c r="E74" s="1" t="s">
        <v>151</v>
      </c>
      <c r="G74" s="1">
        <v>47.0</v>
      </c>
      <c r="H74" s="1" t="s">
        <v>55</v>
      </c>
      <c r="J74" s="1" t="s">
        <v>86</v>
      </c>
      <c r="K74" s="1" t="s">
        <v>87</v>
      </c>
      <c r="M74" s="1" t="s">
        <v>58</v>
      </c>
      <c r="N74" s="1" t="s">
        <v>58</v>
      </c>
      <c r="O74" s="1" t="s">
        <v>69</v>
      </c>
      <c r="Q74" s="1" t="s">
        <v>69</v>
      </c>
      <c r="R74" s="1" t="s">
        <v>58</v>
      </c>
      <c r="S74" s="1" t="s">
        <v>69</v>
      </c>
      <c r="T74" s="1" t="s">
        <v>69</v>
      </c>
      <c r="U74" s="1" t="s">
        <v>58</v>
      </c>
      <c r="V74" s="1" t="s">
        <v>58</v>
      </c>
      <c r="W74" s="1" t="s">
        <v>69</v>
      </c>
      <c r="X74" s="1" t="s">
        <v>103</v>
      </c>
      <c r="Y74" s="1" t="s">
        <v>60</v>
      </c>
      <c r="Z74" s="1" t="s">
        <v>89</v>
      </c>
      <c r="AA74" s="1">
        <v>100.0</v>
      </c>
      <c r="AB74" s="1" t="s">
        <v>62</v>
      </c>
      <c r="AC74" s="1" t="s">
        <v>71</v>
      </c>
      <c r="AF74" s="1" t="s">
        <v>51</v>
      </c>
      <c r="AG74" s="1" t="s">
        <v>72</v>
      </c>
      <c r="AI74" s="1">
        <v>0.0</v>
      </c>
      <c r="AJ74" s="1">
        <v>0.0</v>
      </c>
      <c r="AK74" s="1">
        <v>0.0</v>
      </c>
      <c r="AL74" s="1">
        <v>1.0</v>
      </c>
      <c r="AP74" s="1">
        <v>4.8824426E8</v>
      </c>
      <c r="AQ74" s="1" t="s">
        <v>181</v>
      </c>
      <c r="AR74" s="1">
        <v>45805.76895</v>
      </c>
      <c r="AU74" s="1" t="s">
        <v>64</v>
      </c>
      <c r="AW74" s="1" t="s">
        <v>165</v>
      </c>
      <c r="AY74" s="1">
        <v>68.0</v>
      </c>
    </row>
    <row r="75">
      <c r="A75" s="1" t="s">
        <v>51</v>
      </c>
      <c r="C75" s="1" t="s">
        <v>151</v>
      </c>
      <c r="E75" s="1" t="s">
        <v>151</v>
      </c>
      <c r="G75" s="1">
        <v>39.0</v>
      </c>
      <c r="H75" s="1" t="s">
        <v>66</v>
      </c>
      <c r="J75" s="1" t="s">
        <v>86</v>
      </c>
      <c r="K75" s="1" t="s">
        <v>87</v>
      </c>
      <c r="M75" s="1" t="s">
        <v>58</v>
      </c>
      <c r="N75" s="1" t="s">
        <v>58</v>
      </c>
      <c r="O75" s="1" t="s">
        <v>69</v>
      </c>
      <c r="Q75" s="1" t="s">
        <v>58</v>
      </c>
      <c r="R75" s="1" t="s">
        <v>58</v>
      </c>
      <c r="S75" s="1" t="s">
        <v>69</v>
      </c>
      <c r="T75" s="1" t="s">
        <v>69</v>
      </c>
      <c r="U75" s="1" t="s">
        <v>69</v>
      </c>
      <c r="V75" s="1" t="s">
        <v>58</v>
      </c>
      <c r="W75" s="1" t="s">
        <v>69</v>
      </c>
      <c r="X75" s="1" t="s">
        <v>88</v>
      </c>
      <c r="Y75" s="1" t="s">
        <v>95</v>
      </c>
      <c r="Z75" s="1" t="s">
        <v>89</v>
      </c>
      <c r="AA75" s="1">
        <v>100.0</v>
      </c>
      <c r="AB75" s="1" t="s">
        <v>62</v>
      </c>
      <c r="AC75" s="1" t="s">
        <v>71</v>
      </c>
      <c r="AF75" s="1" t="s">
        <v>51</v>
      </c>
      <c r="AG75" s="1" t="s">
        <v>72</v>
      </c>
      <c r="AI75" s="1">
        <v>1.0</v>
      </c>
      <c r="AJ75" s="1">
        <v>0.0</v>
      </c>
      <c r="AK75" s="1">
        <v>0.0</v>
      </c>
      <c r="AL75" s="1">
        <v>0.0</v>
      </c>
      <c r="AP75" s="1">
        <v>4.88245531E8</v>
      </c>
      <c r="AQ75" s="1" t="s">
        <v>182</v>
      </c>
      <c r="AR75" s="1">
        <v>45805.77047</v>
      </c>
      <c r="AU75" s="1" t="s">
        <v>64</v>
      </c>
      <c r="AW75" s="1" t="s">
        <v>165</v>
      </c>
      <c r="AY75" s="1">
        <v>69.0</v>
      </c>
    </row>
    <row r="76">
      <c r="A76" s="1" t="s">
        <v>51</v>
      </c>
      <c r="C76" s="1" t="s">
        <v>52</v>
      </c>
      <c r="E76" s="1" t="s">
        <v>53</v>
      </c>
      <c r="F76" s="1" t="s">
        <v>183</v>
      </c>
      <c r="H76" s="1" t="s">
        <v>55</v>
      </c>
      <c r="I76" s="1" t="s">
        <v>67</v>
      </c>
      <c r="J76" s="1" t="s">
        <v>86</v>
      </c>
      <c r="K76" s="1" t="s">
        <v>87</v>
      </c>
      <c r="M76" s="1" t="s">
        <v>58</v>
      </c>
      <c r="N76" s="1" t="s">
        <v>58</v>
      </c>
      <c r="O76" s="1" t="s">
        <v>58</v>
      </c>
      <c r="Q76" s="1" t="s">
        <v>69</v>
      </c>
      <c r="R76" s="1" t="s">
        <v>58</v>
      </c>
      <c r="S76" s="1" t="s">
        <v>69</v>
      </c>
      <c r="T76" s="1" t="s">
        <v>69</v>
      </c>
      <c r="U76" s="1" t="s">
        <v>70</v>
      </c>
      <c r="V76" s="1" t="s">
        <v>69</v>
      </c>
      <c r="W76" s="1" t="s">
        <v>69</v>
      </c>
      <c r="X76" s="1" t="s">
        <v>103</v>
      </c>
      <c r="Y76" s="1" t="s">
        <v>95</v>
      </c>
      <c r="Z76" s="1" t="s">
        <v>89</v>
      </c>
      <c r="AA76" s="1">
        <v>100.0</v>
      </c>
      <c r="AB76" s="1" t="s">
        <v>62</v>
      </c>
      <c r="AC76" s="1" t="s">
        <v>51</v>
      </c>
      <c r="AD76" s="1" t="s">
        <v>103</v>
      </c>
      <c r="AE76" s="1" t="s">
        <v>51</v>
      </c>
      <c r="AF76" s="1" t="s">
        <v>51</v>
      </c>
      <c r="AG76" s="1" t="s">
        <v>51</v>
      </c>
      <c r="AH76" s="1">
        <v>20.0</v>
      </c>
      <c r="AI76" s="1">
        <v>0.0</v>
      </c>
      <c r="AJ76" s="1">
        <v>0.0</v>
      </c>
      <c r="AK76" s="1">
        <v>1.0</v>
      </c>
      <c r="AL76" s="1">
        <v>0.0</v>
      </c>
      <c r="AM76" s="1" t="s">
        <v>51</v>
      </c>
      <c r="AN76" s="1">
        <v>7.24419895E8</v>
      </c>
      <c r="AP76" s="1">
        <v>4.88246175E8</v>
      </c>
      <c r="AQ76" s="1" t="s">
        <v>184</v>
      </c>
      <c r="AR76" s="1">
        <v>45805.77132</v>
      </c>
      <c r="AU76" s="1" t="s">
        <v>64</v>
      </c>
      <c r="AW76" s="1" t="s">
        <v>165</v>
      </c>
      <c r="AY76" s="1">
        <v>70.0</v>
      </c>
    </row>
    <row r="77">
      <c r="A77" s="1" t="s">
        <v>51</v>
      </c>
      <c r="C77" s="1" t="s">
        <v>151</v>
      </c>
      <c r="E77" s="1" t="s">
        <v>151</v>
      </c>
      <c r="G77" s="1">
        <v>51.0</v>
      </c>
      <c r="H77" s="1" t="s">
        <v>66</v>
      </c>
      <c r="J77" s="1" t="s">
        <v>56</v>
      </c>
      <c r="K77" s="1" t="s">
        <v>87</v>
      </c>
      <c r="M77" s="1" t="s">
        <v>58</v>
      </c>
      <c r="N77" s="1" t="s">
        <v>58</v>
      </c>
      <c r="O77" s="1" t="s">
        <v>58</v>
      </c>
      <c r="Q77" s="1" t="s">
        <v>69</v>
      </c>
      <c r="R77" s="1" t="s">
        <v>58</v>
      </c>
      <c r="S77" s="1" t="s">
        <v>69</v>
      </c>
      <c r="T77" s="1" t="s">
        <v>69</v>
      </c>
      <c r="U77" s="1" t="s">
        <v>70</v>
      </c>
      <c r="V77" s="1" t="s">
        <v>58</v>
      </c>
      <c r="W77" s="1" t="s">
        <v>69</v>
      </c>
      <c r="X77" s="1" t="s">
        <v>59</v>
      </c>
      <c r="Y77" s="1" t="s">
        <v>95</v>
      </c>
      <c r="Z77" s="1" t="s">
        <v>61</v>
      </c>
      <c r="AA77" s="1">
        <v>100.0</v>
      </c>
      <c r="AB77" s="1" t="s">
        <v>79</v>
      </c>
      <c r="AC77" s="1" t="s">
        <v>71</v>
      </c>
      <c r="AF77" s="1" t="s">
        <v>51</v>
      </c>
      <c r="AG77" s="1" t="s">
        <v>72</v>
      </c>
      <c r="AI77" s="1">
        <v>1.0</v>
      </c>
      <c r="AJ77" s="1">
        <v>0.0</v>
      </c>
      <c r="AK77" s="1">
        <v>0.0</v>
      </c>
      <c r="AL77" s="1">
        <v>0.0</v>
      </c>
      <c r="AP77" s="1">
        <v>4.882564E8</v>
      </c>
      <c r="AQ77" s="1" t="s">
        <v>185</v>
      </c>
      <c r="AR77" s="1">
        <v>45805.78273</v>
      </c>
      <c r="AU77" s="1" t="s">
        <v>64</v>
      </c>
      <c r="AW77" s="1" t="s">
        <v>165</v>
      </c>
      <c r="AY77" s="1">
        <v>71.0</v>
      </c>
    </row>
    <row r="78">
      <c r="A78" s="1" t="s">
        <v>51</v>
      </c>
      <c r="C78" s="1" t="s">
        <v>53</v>
      </c>
      <c r="E78" s="1" t="s">
        <v>53</v>
      </c>
      <c r="F78" s="1" t="s">
        <v>102</v>
      </c>
      <c r="G78" s="1">
        <v>60.0</v>
      </c>
      <c r="H78" s="1" t="s">
        <v>66</v>
      </c>
      <c r="I78" s="1" t="s">
        <v>121</v>
      </c>
      <c r="J78" s="1" t="s">
        <v>111</v>
      </c>
      <c r="K78" s="1" t="s">
        <v>87</v>
      </c>
      <c r="M78" s="1" t="s">
        <v>58</v>
      </c>
      <c r="N78" s="1" t="s">
        <v>58</v>
      </c>
      <c r="O78" s="1" t="s">
        <v>69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 t="s">
        <v>69</v>
      </c>
      <c r="X78" s="1" t="s">
        <v>88</v>
      </c>
      <c r="Y78" s="1" t="s">
        <v>172</v>
      </c>
      <c r="Z78" s="1" t="s">
        <v>89</v>
      </c>
      <c r="AA78" s="1">
        <v>100.0</v>
      </c>
      <c r="AB78" s="1" t="s">
        <v>62</v>
      </c>
      <c r="AC78" s="1" t="s">
        <v>51</v>
      </c>
      <c r="AD78" s="1" t="s">
        <v>88</v>
      </c>
      <c r="AE78" s="1" t="s">
        <v>51</v>
      </c>
      <c r="AF78" s="1" t="s">
        <v>51</v>
      </c>
      <c r="AG78" s="1" t="s">
        <v>72</v>
      </c>
      <c r="AI78" s="1">
        <v>0.0</v>
      </c>
      <c r="AJ78" s="1">
        <v>0.0</v>
      </c>
      <c r="AK78" s="1">
        <v>0.0</v>
      </c>
      <c r="AL78" s="1">
        <v>1.0</v>
      </c>
      <c r="AM78" s="1" t="s">
        <v>72</v>
      </c>
      <c r="AP78" s="1">
        <v>4.88303256E8</v>
      </c>
      <c r="AQ78" s="1" t="s">
        <v>186</v>
      </c>
      <c r="AR78" s="1">
        <v>45805.84951</v>
      </c>
      <c r="AU78" s="1" t="s">
        <v>64</v>
      </c>
      <c r="AW78" s="1" t="s">
        <v>165</v>
      </c>
      <c r="AY78" s="1">
        <v>72.0</v>
      </c>
    </row>
    <row r="79">
      <c r="A79" s="1" t="s">
        <v>51</v>
      </c>
      <c r="C79" s="1" t="s">
        <v>52</v>
      </c>
      <c r="E79" s="1" t="s">
        <v>53</v>
      </c>
      <c r="F79" s="1" t="s">
        <v>54</v>
      </c>
      <c r="G79" s="1">
        <v>47.0</v>
      </c>
      <c r="H79" s="1" t="s">
        <v>55</v>
      </c>
      <c r="I79" s="1" t="s">
        <v>67</v>
      </c>
      <c r="J79" s="1" t="s">
        <v>86</v>
      </c>
      <c r="K79" s="1" t="s">
        <v>87</v>
      </c>
      <c r="M79" s="1" t="s">
        <v>58</v>
      </c>
      <c r="N79" s="1" t="s">
        <v>58</v>
      </c>
      <c r="O79" s="1" t="s">
        <v>58</v>
      </c>
      <c r="Q79" s="1" t="s">
        <v>70</v>
      </c>
      <c r="R79" s="1" t="s">
        <v>58</v>
      </c>
      <c r="S79" s="1" t="s">
        <v>69</v>
      </c>
      <c r="T79" s="1" t="s">
        <v>69</v>
      </c>
      <c r="U79" s="1" t="s">
        <v>58</v>
      </c>
      <c r="V79" s="1" t="s">
        <v>58</v>
      </c>
      <c r="W79" s="1" t="s">
        <v>69</v>
      </c>
      <c r="X79" s="1" t="s">
        <v>88</v>
      </c>
      <c r="Y79" s="1" t="s">
        <v>95</v>
      </c>
      <c r="Z79" s="1" t="s">
        <v>89</v>
      </c>
      <c r="AA79" s="1">
        <v>50.0</v>
      </c>
      <c r="AB79" s="1" t="s">
        <v>62</v>
      </c>
      <c r="AC79" s="1" t="s">
        <v>71</v>
      </c>
      <c r="AF79" s="1" t="s">
        <v>51</v>
      </c>
      <c r="AG79" s="1" t="s">
        <v>72</v>
      </c>
      <c r="AI79" s="1">
        <v>0.0</v>
      </c>
      <c r="AJ79" s="1">
        <v>0.0</v>
      </c>
      <c r="AK79" s="1">
        <v>0.0</v>
      </c>
      <c r="AL79" s="1">
        <v>1.0</v>
      </c>
      <c r="AM79" s="1" t="s">
        <v>51</v>
      </c>
      <c r="AN79" s="1">
        <v>8.10323079E8</v>
      </c>
      <c r="AP79" s="1">
        <v>4.88304149E8</v>
      </c>
      <c r="AQ79" s="1" t="s">
        <v>187</v>
      </c>
      <c r="AR79" s="1">
        <v>45805.85111</v>
      </c>
      <c r="AU79" s="1" t="s">
        <v>64</v>
      </c>
      <c r="AW79" s="1" t="s">
        <v>165</v>
      </c>
      <c r="AY79" s="1">
        <v>73.0</v>
      </c>
    </row>
    <row r="80">
      <c r="A80" s="1" t="s">
        <v>51</v>
      </c>
      <c r="C80" s="1" t="s">
        <v>188</v>
      </c>
      <c r="E80" s="1" t="s">
        <v>53</v>
      </c>
      <c r="F80" s="1" t="s">
        <v>102</v>
      </c>
      <c r="G80" s="1">
        <v>31.0</v>
      </c>
      <c r="H80" s="1" t="s">
        <v>55</v>
      </c>
      <c r="I80" s="1" t="s">
        <v>100</v>
      </c>
      <c r="J80" s="1" t="s">
        <v>86</v>
      </c>
      <c r="K80" s="1" t="s">
        <v>87</v>
      </c>
      <c r="M80" s="1" t="s">
        <v>58</v>
      </c>
      <c r="N80" s="1" t="s">
        <v>58</v>
      </c>
      <c r="O80" s="1" t="s">
        <v>58</v>
      </c>
      <c r="Q80" s="1" t="s">
        <v>69</v>
      </c>
      <c r="R80" s="1" t="s">
        <v>58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81</v>
      </c>
      <c r="Y80" s="1" t="s">
        <v>60</v>
      </c>
      <c r="Z80" s="1" t="s">
        <v>96</v>
      </c>
      <c r="AA80" s="1">
        <v>100.0</v>
      </c>
      <c r="AB80" s="1" t="s">
        <v>28</v>
      </c>
      <c r="AC80" s="1" t="s">
        <v>71</v>
      </c>
      <c r="AF80" s="1" t="s">
        <v>51</v>
      </c>
      <c r="AG80" s="1" t="s">
        <v>72</v>
      </c>
      <c r="AI80" s="1">
        <v>0.0</v>
      </c>
      <c r="AJ80" s="1">
        <v>0.0</v>
      </c>
      <c r="AK80" s="1">
        <v>0.0</v>
      </c>
      <c r="AL80" s="1">
        <v>1.0</v>
      </c>
      <c r="AM80" s="1" t="s">
        <v>72</v>
      </c>
      <c r="AP80" s="1">
        <v>4.88356383E8</v>
      </c>
      <c r="AQ80" s="1" t="s">
        <v>189</v>
      </c>
      <c r="AR80" s="1">
        <v>45805.99693</v>
      </c>
      <c r="AU80" s="1" t="s">
        <v>64</v>
      </c>
      <c r="AW80" s="1" t="s">
        <v>165</v>
      </c>
      <c r="AY80" s="1">
        <v>74.0</v>
      </c>
    </row>
    <row r="81">
      <c r="A81" s="1" t="s">
        <v>51</v>
      </c>
      <c r="C81" s="1" t="s">
        <v>131</v>
      </c>
      <c r="E81" s="1" t="s">
        <v>131</v>
      </c>
      <c r="G81" s="1">
        <v>30.0</v>
      </c>
      <c r="H81" s="1" t="s">
        <v>55</v>
      </c>
      <c r="J81" s="1" t="s">
        <v>111</v>
      </c>
      <c r="K81" s="1" t="s">
        <v>87</v>
      </c>
      <c r="M81" s="1" t="s">
        <v>58</v>
      </c>
      <c r="N81" s="1" t="s">
        <v>58</v>
      </c>
      <c r="O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69</v>
      </c>
      <c r="X81" s="1" t="s">
        <v>103</v>
      </c>
      <c r="Y81" s="1" t="s">
        <v>82</v>
      </c>
      <c r="Z81" s="1" t="s">
        <v>96</v>
      </c>
      <c r="AA81" s="1">
        <v>100.0</v>
      </c>
      <c r="AB81" s="1" t="s">
        <v>28</v>
      </c>
      <c r="AC81" s="1" t="s">
        <v>51</v>
      </c>
      <c r="AD81" s="1" t="s">
        <v>103</v>
      </c>
      <c r="AE81" s="1" t="s">
        <v>51</v>
      </c>
      <c r="AF81" s="1" t="s">
        <v>51</v>
      </c>
      <c r="AG81" s="1" t="s">
        <v>51</v>
      </c>
      <c r="AH81" s="1">
        <v>20.0</v>
      </c>
      <c r="AI81" s="1">
        <v>1.0</v>
      </c>
      <c r="AJ81" s="1">
        <v>1.0</v>
      </c>
      <c r="AK81" s="1">
        <v>1.0</v>
      </c>
      <c r="AL81" s="1">
        <v>0.0</v>
      </c>
      <c r="AP81" s="1">
        <v>4.88401783E8</v>
      </c>
      <c r="AQ81" s="1" t="s">
        <v>190</v>
      </c>
      <c r="AR81" s="1">
        <v>45806.18826</v>
      </c>
      <c r="AU81" s="1" t="s">
        <v>64</v>
      </c>
      <c r="AW81" s="1" t="s">
        <v>191</v>
      </c>
      <c r="AY81" s="1">
        <v>75.0</v>
      </c>
    </row>
    <row r="82">
      <c r="A82" s="1" t="s">
        <v>51</v>
      </c>
      <c r="C82" s="1" t="s">
        <v>151</v>
      </c>
      <c r="E82" s="1" t="s">
        <v>151</v>
      </c>
      <c r="G82" s="1">
        <v>42.0</v>
      </c>
      <c r="H82" s="1" t="s">
        <v>55</v>
      </c>
      <c r="J82" s="1" t="s">
        <v>86</v>
      </c>
      <c r="K82" s="1" t="s">
        <v>87</v>
      </c>
      <c r="M82" s="1" t="s">
        <v>58</v>
      </c>
      <c r="N82" s="1" t="s">
        <v>58</v>
      </c>
      <c r="O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58</v>
      </c>
      <c r="V82" s="1" t="s">
        <v>69</v>
      </c>
      <c r="W82" s="1" t="s">
        <v>69</v>
      </c>
      <c r="X82" s="1" t="s">
        <v>81</v>
      </c>
      <c r="Y82" s="1" t="s">
        <v>95</v>
      </c>
      <c r="Z82" s="1" t="s">
        <v>108</v>
      </c>
      <c r="AA82" s="1">
        <v>50.0</v>
      </c>
      <c r="AB82" s="1" t="s">
        <v>62</v>
      </c>
      <c r="AC82" s="1" t="s">
        <v>51</v>
      </c>
      <c r="AD82" s="1" t="s">
        <v>59</v>
      </c>
      <c r="AE82" s="1" t="s">
        <v>51</v>
      </c>
      <c r="AF82" s="1" t="s">
        <v>51</v>
      </c>
      <c r="AG82" s="1" t="s">
        <v>51</v>
      </c>
      <c r="AH82" s="1">
        <v>100.0</v>
      </c>
      <c r="AI82" s="1">
        <v>0.0</v>
      </c>
      <c r="AJ82" s="1">
        <v>0.0</v>
      </c>
      <c r="AK82" s="1">
        <v>0.0</v>
      </c>
      <c r="AL82" s="1">
        <v>1.0</v>
      </c>
      <c r="AP82" s="1">
        <v>4.88438457E8</v>
      </c>
      <c r="AQ82" s="1" t="s">
        <v>192</v>
      </c>
      <c r="AR82" s="1">
        <v>45806.26267</v>
      </c>
      <c r="AU82" s="1" t="s">
        <v>64</v>
      </c>
      <c r="AW82" s="1" t="s">
        <v>191</v>
      </c>
      <c r="AY82" s="1">
        <v>76.0</v>
      </c>
    </row>
    <row r="83">
      <c r="A83" s="1" t="s">
        <v>51</v>
      </c>
      <c r="C83" s="1" t="s">
        <v>151</v>
      </c>
      <c r="E83" s="1" t="s">
        <v>151</v>
      </c>
      <c r="G83" s="1">
        <v>40.0</v>
      </c>
      <c r="H83" s="1" t="s">
        <v>66</v>
      </c>
      <c r="J83" s="1" t="s">
        <v>86</v>
      </c>
      <c r="K83" s="1" t="s">
        <v>87</v>
      </c>
      <c r="M83" s="1" t="s">
        <v>58</v>
      </c>
      <c r="N83" s="1" t="s">
        <v>58</v>
      </c>
      <c r="O83" s="1" t="s">
        <v>58</v>
      </c>
      <c r="Q83" s="1" t="s">
        <v>70</v>
      </c>
      <c r="R83" s="1" t="s">
        <v>58</v>
      </c>
      <c r="S83" s="1" t="s">
        <v>69</v>
      </c>
      <c r="T83" s="1" t="s">
        <v>70</v>
      </c>
      <c r="U83" s="1" t="s">
        <v>58</v>
      </c>
      <c r="V83" s="1" t="s">
        <v>58</v>
      </c>
      <c r="W83" s="1" t="s">
        <v>70</v>
      </c>
      <c r="X83" s="1" t="s">
        <v>81</v>
      </c>
      <c r="Y83" s="1" t="s">
        <v>95</v>
      </c>
      <c r="Z83" s="1" t="s">
        <v>127</v>
      </c>
      <c r="AA83" s="1">
        <v>100.0</v>
      </c>
      <c r="AB83" s="1" t="s">
        <v>79</v>
      </c>
      <c r="AC83" s="1" t="s">
        <v>71</v>
      </c>
      <c r="AF83" s="1" t="s">
        <v>51</v>
      </c>
      <c r="AG83" s="1" t="s">
        <v>72</v>
      </c>
      <c r="AI83" s="1">
        <v>0.0</v>
      </c>
      <c r="AJ83" s="1">
        <v>0.0</v>
      </c>
      <c r="AK83" s="1">
        <v>0.0</v>
      </c>
      <c r="AL83" s="1">
        <v>1.0</v>
      </c>
      <c r="AP83" s="1">
        <v>4.88457611E8</v>
      </c>
      <c r="AQ83" s="1" t="s">
        <v>193</v>
      </c>
      <c r="AR83" s="1">
        <v>45806.29027</v>
      </c>
      <c r="AU83" s="1" t="s">
        <v>64</v>
      </c>
      <c r="AW83" s="1" t="s">
        <v>191</v>
      </c>
      <c r="AY83" s="1">
        <v>77.0</v>
      </c>
    </row>
    <row r="84">
      <c r="A84" s="1" t="s">
        <v>51</v>
      </c>
      <c r="C84" s="1" t="s">
        <v>170</v>
      </c>
      <c r="E84" s="1" t="s">
        <v>170</v>
      </c>
      <c r="G84" s="1">
        <v>20.0</v>
      </c>
      <c r="H84" s="1" t="s">
        <v>66</v>
      </c>
      <c r="J84" s="1" t="s">
        <v>56</v>
      </c>
      <c r="K84" s="1" t="s">
        <v>74</v>
      </c>
      <c r="M84" s="1" t="s">
        <v>58</v>
      </c>
      <c r="N84" s="1" t="s">
        <v>58</v>
      </c>
      <c r="O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81</v>
      </c>
      <c r="Y84" s="1" t="s">
        <v>82</v>
      </c>
      <c r="Z84" s="1" t="s">
        <v>61</v>
      </c>
      <c r="AA84" s="1">
        <v>100.0</v>
      </c>
      <c r="AB84" s="1" t="s">
        <v>28</v>
      </c>
      <c r="AC84" s="1" t="s">
        <v>51</v>
      </c>
      <c r="AD84" s="1" t="s">
        <v>81</v>
      </c>
      <c r="AE84" s="1" t="s">
        <v>51</v>
      </c>
      <c r="AF84" s="1" t="s">
        <v>51</v>
      </c>
      <c r="AG84" s="1" t="s">
        <v>51</v>
      </c>
      <c r="AH84" s="1">
        <v>100.0</v>
      </c>
      <c r="AI84" s="1">
        <v>0.0</v>
      </c>
      <c r="AJ84" s="1">
        <v>0.0</v>
      </c>
      <c r="AK84" s="1">
        <v>1.0</v>
      </c>
      <c r="AL84" s="1">
        <v>0.0</v>
      </c>
      <c r="AP84" s="1">
        <v>4.88499875E8</v>
      </c>
      <c r="AQ84" s="1" t="s">
        <v>194</v>
      </c>
      <c r="AR84" s="1">
        <v>45806.34858</v>
      </c>
      <c r="AU84" s="1" t="s">
        <v>64</v>
      </c>
      <c r="AW84" s="1" t="s">
        <v>191</v>
      </c>
      <c r="AY84" s="1">
        <v>78.0</v>
      </c>
    </row>
    <row r="85">
      <c r="A85" s="1" t="s">
        <v>51</v>
      </c>
      <c r="C85" s="1" t="s">
        <v>52</v>
      </c>
      <c r="E85" s="1" t="s">
        <v>53</v>
      </c>
      <c r="F85" s="1" t="s">
        <v>54</v>
      </c>
      <c r="G85" s="1">
        <v>35.0</v>
      </c>
      <c r="H85" s="1" t="s">
        <v>66</v>
      </c>
      <c r="I85" s="1" t="s">
        <v>67</v>
      </c>
      <c r="J85" s="1" t="s">
        <v>111</v>
      </c>
      <c r="K85" s="1" t="s">
        <v>87</v>
      </c>
      <c r="M85" s="1" t="s">
        <v>58</v>
      </c>
      <c r="N85" s="1" t="s">
        <v>58</v>
      </c>
      <c r="O85" s="1" t="s">
        <v>58</v>
      </c>
      <c r="Q85" s="1" t="s">
        <v>69</v>
      </c>
      <c r="R85" s="1" t="s">
        <v>58</v>
      </c>
      <c r="S85" s="1" t="s">
        <v>58</v>
      </c>
      <c r="T85" s="1" t="s">
        <v>69</v>
      </c>
      <c r="U85" s="1" t="s">
        <v>58</v>
      </c>
      <c r="V85" s="1" t="s">
        <v>58</v>
      </c>
      <c r="W85" s="1" t="s">
        <v>58</v>
      </c>
      <c r="X85" s="1" t="s">
        <v>88</v>
      </c>
      <c r="Y85" s="1" t="s">
        <v>95</v>
      </c>
      <c r="Z85" s="1" t="s">
        <v>89</v>
      </c>
      <c r="AA85" s="1">
        <v>10.0</v>
      </c>
      <c r="AB85" s="1" t="s">
        <v>62</v>
      </c>
      <c r="AC85" s="1" t="s">
        <v>51</v>
      </c>
      <c r="AD85" s="1" t="s">
        <v>59</v>
      </c>
      <c r="AE85" s="1" t="s">
        <v>72</v>
      </c>
      <c r="AF85" s="1" t="s">
        <v>51</v>
      </c>
      <c r="AG85" s="1" t="s">
        <v>72</v>
      </c>
      <c r="AI85" s="1">
        <v>0.0</v>
      </c>
      <c r="AJ85" s="1">
        <v>1.0</v>
      </c>
      <c r="AK85" s="1">
        <v>1.0</v>
      </c>
      <c r="AL85" s="1">
        <v>0.0</v>
      </c>
      <c r="AM85" s="1" t="s">
        <v>72</v>
      </c>
      <c r="AP85" s="1">
        <v>4.88506903E8</v>
      </c>
      <c r="AQ85" s="1" t="s">
        <v>195</v>
      </c>
      <c r="AR85" s="1">
        <v>45806.35742</v>
      </c>
      <c r="AU85" s="1" t="s">
        <v>64</v>
      </c>
      <c r="AW85" s="1" t="s">
        <v>191</v>
      </c>
      <c r="AY85" s="1">
        <v>79.0</v>
      </c>
    </row>
    <row r="86">
      <c r="A86" s="1" t="s">
        <v>51</v>
      </c>
      <c r="C86" s="1" t="s">
        <v>52</v>
      </c>
      <c r="E86" s="1" t="s">
        <v>53</v>
      </c>
      <c r="F86" s="1" t="s">
        <v>102</v>
      </c>
      <c r="G86" s="1">
        <v>40.0</v>
      </c>
      <c r="H86" s="1" t="s">
        <v>55</v>
      </c>
      <c r="I86" s="1" t="s">
        <v>67</v>
      </c>
      <c r="J86" s="1" t="s">
        <v>111</v>
      </c>
      <c r="M86" s="1" t="s">
        <v>58</v>
      </c>
      <c r="N86" s="1" t="s">
        <v>58</v>
      </c>
      <c r="O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103</v>
      </c>
      <c r="Y86" s="1" t="s">
        <v>60</v>
      </c>
      <c r="Z86" s="1" t="s">
        <v>89</v>
      </c>
      <c r="AA86" s="1">
        <v>100.0</v>
      </c>
      <c r="AB86" s="1" t="s">
        <v>62</v>
      </c>
      <c r="AC86" s="1" t="s">
        <v>72</v>
      </c>
      <c r="AF86" s="1" t="s">
        <v>51</v>
      </c>
      <c r="AG86" s="1" t="s">
        <v>72</v>
      </c>
      <c r="AI86" s="1">
        <v>1.0</v>
      </c>
      <c r="AJ86" s="1">
        <v>1.0</v>
      </c>
      <c r="AK86" s="1">
        <v>1.0</v>
      </c>
      <c r="AL86" s="1">
        <v>1.0</v>
      </c>
      <c r="AM86" s="1" t="s">
        <v>72</v>
      </c>
      <c r="AP86" s="1">
        <v>4.88569497E8</v>
      </c>
      <c r="AQ86" s="1" t="s">
        <v>196</v>
      </c>
      <c r="AR86" s="1">
        <v>45806.42549</v>
      </c>
      <c r="AU86" s="1" t="s">
        <v>64</v>
      </c>
      <c r="AW86" s="1" t="s">
        <v>191</v>
      </c>
      <c r="AY86" s="1">
        <v>80.0</v>
      </c>
    </row>
    <row r="87">
      <c r="A87" s="1" t="s">
        <v>51</v>
      </c>
      <c r="C87" s="1" t="s">
        <v>53</v>
      </c>
      <c r="E87" s="1" t="s">
        <v>53</v>
      </c>
      <c r="F87" s="1" t="s">
        <v>197</v>
      </c>
      <c r="G87" s="1">
        <v>39.0</v>
      </c>
      <c r="H87" s="1" t="s">
        <v>55</v>
      </c>
      <c r="I87" s="1" t="s">
        <v>121</v>
      </c>
      <c r="J87" s="1" t="s">
        <v>86</v>
      </c>
      <c r="K87" s="1" t="s">
        <v>87</v>
      </c>
      <c r="M87" s="1" t="s">
        <v>58</v>
      </c>
      <c r="N87" s="1" t="s">
        <v>58</v>
      </c>
      <c r="O87" s="1" t="s">
        <v>69</v>
      </c>
      <c r="Q87" s="1" t="s">
        <v>69</v>
      </c>
      <c r="R87" s="1" t="s">
        <v>58</v>
      </c>
      <c r="S87" s="1" t="s">
        <v>69</v>
      </c>
      <c r="T87" s="1" t="s">
        <v>69</v>
      </c>
      <c r="U87" s="1" t="s">
        <v>58</v>
      </c>
      <c r="V87" s="1" t="s">
        <v>58</v>
      </c>
      <c r="W87" s="1" t="s">
        <v>70</v>
      </c>
      <c r="X87" s="1" t="s">
        <v>59</v>
      </c>
      <c r="Y87" s="1" t="s">
        <v>95</v>
      </c>
      <c r="Z87" s="1" t="s">
        <v>108</v>
      </c>
      <c r="AA87" s="1">
        <v>100.0</v>
      </c>
      <c r="AB87" s="1" t="s">
        <v>79</v>
      </c>
      <c r="AC87" s="1" t="s">
        <v>71</v>
      </c>
      <c r="AF87" s="1" t="s">
        <v>51</v>
      </c>
      <c r="AG87" s="1" t="s">
        <v>51</v>
      </c>
      <c r="AH87" s="1">
        <v>100.0</v>
      </c>
      <c r="AI87" s="1">
        <v>1.0</v>
      </c>
      <c r="AJ87" s="1">
        <v>1.0</v>
      </c>
      <c r="AK87" s="1">
        <v>1.0</v>
      </c>
      <c r="AL87" s="1">
        <v>0.0</v>
      </c>
      <c r="AM87" s="1" t="s">
        <v>72</v>
      </c>
      <c r="AP87" s="1">
        <v>4.88676978E8</v>
      </c>
      <c r="AQ87" s="1" t="s">
        <v>198</v>
      </c>
      <c r="AR87" s="1">
        <v>45806.52781</v>
      </c>
      <c r="AU87" s="1" t="s">
        <v>64</v>
      </c>
      <c r="AW87" s="1" t="s">
        <v>191</v>
      </c>
      <c r="AY87" s="1">
        <v>81.0</v>
      </c>
    </row>
    <row r="88">
      <c r="A88" s="1" t="s">
        <v>51</v>
      </c>
      <c r="C88" s="1" t="s">
        <v>52</v>
      </c>
      <c r="E88" s="1" t="s">
        <v>53</v>
      </c>
      <c r="F88" s="1" t="s">
        <v>102</v>
      </c>
      <c r="G88" s="1">
        <v>34.0</v>
      </c>
      <c r="H88" s="1" t="s">
        <v>66</v>
      </c>
      <c r="I88" s="1" t="s">
        <v>67</v>
      </c>
      <c r="J88" s="1" t="s">
        <v>111</v>
      </c>
      <c r="K88" s="1" t="s">
        <v>87</v>
      </c>
      <c r="M88" s="1" t="s">
        <v>58</v>
      </c>
      <c r="N88" s="1" t="s">
        <v>58</v>
      </c>
      <c r="O88" s="1" t="s">
        <v>58</v>
      </c>
      <c r="Q88" s="1" t="s">
        <v>70</v>
      </c>
      <c r="R88" s="1" t="s">
        <v>58</v>
      </c>
      <c r="S88" s="1" t="s">
        <v>69</v>
      </c>
      <c r="T88" s="1" t="s">
        <v>69</v>
      </c>
      <c r="U88" s="1" t="s">
        <v>58</v>
      </c>
      <c r="V88" s="1" t="s">
        <v>58</v>
      </c>
      <c r="W88" s="1" t="s">
        <v>58</v>
      </c>
      <c r="X88" s="1" t="s">
        <v>88</v>
      </c>
      <c r="Y88" s="1" t="s">
        <v>95</v>
      </c>
      <c r="Z88" s="1" t="s">
        <v>108</v>
      </c>
      <c r="AA88" s="1">
        <v>50.0</v>
      </c>
      <c r="AB88" s="1" t="s">
        <v>62</v>
      </c>
      <c r="AC88" s="1" t="s">
        <v>71</v>
      </c>
      <c r="AF88" s="1" t="s">
        <v>51</v>
      </c>
      <c r="AG88" s="1" t="s">
        <v>72</v>
      </c>
      <c r="AI88" s="1">
        <v>0.0</v>
      </c>
      <c r="AJ88" s="1">
        <v>0.0</v>
      </c>
      <c r="AK88" s="1">
        <v>1.0</v>
      </c>
      <c r="AL88" s="1">
        <v>0.0</v>
      </c>
      <c r="AM88" s="1" t="s">
        <v>72</v>
      </c>
      <c r="AP88" s="1">
        <v>4.88690503E8</v>
      </c>
      <c r="AQ88" s="1" t="s">
        <v>199</v>
      </c>
      <c r="AR88" s="1">
        <v>45806.53906</v>
      </c>
      <c r="AU88" s="1" t="s">
        <v>64</v>
      </c>
      <c r="AW88" s="1" t="s">
        <v>191</v>
      </c>
      <c r="AY88" s="1">
        <v>82.0</v>
      </c>
    </row>
    <row r="89">
      <c r="A89" s="1" t="s">
        <v>51</v>
      </c>
      <c r="C89" s="1" t="s">
        <v>52</v>
      </c>
      <c r="E89" s="1" t="s">
        <v>53</v>
      </c>
      <c r="F89" s="1" t="s">
        <v>54</v>
      </c>
      <c r="G89" s="1">
        <v>22.0</v>
      </c>
      <c r="H89" s="1" t="s">
        <v>66</v>
      </c>
      <c r="I89" s="1" t="s">
        <v>67</v>
      </c>
      <c r="J89" s="1" t="s">
        <v>86</v>
      </c>
      <c r="K89" s="1" t="s">
        <v>87</v>
      </c>
      <c r="M89" s="1" t="s">
        <v>58</v>
      </c>
      <c r="N89" s="1" t="s">
        <v>58</v>
      </c>
      <c r="O89" s="1" t="s">
        <v>58</v>
      </c>
      <c r="Q89" s="1" t="s">
        <v>69</v>
      </c>
      <c r="R89" s="1" t="s">
        <v>58</v>
      </c>
      <c r="S89" s="1" t="s">
        <v>58</v>
      </c>
      <c r="T89" s="1" t="s">
        <v>69</v>
      </c>
      <c r="U89" s="1" t="s">
        <v>69</v>
      </c>
      <c r="V89" s="1" t="s">
        <v>58</v>
      </c>
      <c r="W89" s="1" t="s">
        <v>69</v>
      </c>
      <c r="X89" s="1" t="s">
        <v>59</v>
      </c>
      <c r="Y89" s="1" t="s">
        <v>60</v>
      </c>
      <c r="Z89" s="1" t="s">
        <v>89</v>
      </c>
      <c r="AA89" s="1">
        <v>100.0</v>
      </c>
      <c r="AB89" s="1" t="s">
        <v>28</v>
      </c>
      <c r="AC89" s="1" t="s">
        <v>71</v>
      </c>
      <c r="AF89" s="1" t="s">
        <v>72</v>
      </c>
      <c r="AG89" s="1" t="s">
        <v>72</v>
      </c>
      <c r="AI89" s="1">
        <v>0.0</v>
      </c>
      <c r="AJ89" s="1">
        <v>0.0</v>
      </c>
      <c r="AK89" s="1">
        <v>0.0</v>
      </c>
      <c r="AL89" s="1">
        <v>1.0</v>
      </c>
      <c r="AM89" s="1" t="s">
        <v>72</v>
      </c>
      <c r="AP89" s="1">
        <v>4.88720274E8</v>
      </c>
      <c r="AQ89" s="1" t="s">
        <v>200</v>
      </c>
      <c r="AR89" s="1">
        <v>45806.56146</v>
      </c>
      <c r="AU89" s="1" t="s">
        <v>64</v>
      </c>
      <c r="AW89" s="1" t="s">
        <v>191</v>
      </c>
      <c r="AY89" s="1">
        <v>83.0</v>
      </c>
    </row>
    <row r="90">
      <c r="A90" s="1" t="s">
        <v>51</v>
      </c>
      <c r="C90" s="1" t="s">
        <v>53</v>
      </c>
      <c r="E90" s="1" t="s">
        <v>53</v>
      </c>
      <c r="F90" s="1" t="s">
        <v>54</v>
      </c>
      <c r="G90" s="1">
        <v>41.0</v>
      </c>
      <c r="H90" s="1" t="s">
        <v>66</v>
      </c>
      <c r="I90" s="1" t="s">
        <v>121</v>
      </c>
      <c r="J90" s="1" t="s">
        <v>86</v>
      </c>
      <c r="K90" s="1" t="s">
        <v>87</v>
      </c>
      <c r="M90" s="1" t="s">
        <v>58</v>
      </c>
      <c r="N90" s="1" t="s">
        <v>58</v>
      </c>
      <c r="O90" s="1" t="s">
        <v>69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69</v>
      </c>
      <c r="V90" s="1" t="s">
        <v>58</v>
      </c>
      <c r="W90" s="1" t="s">
        <v>58</v>
      </c>
      <c r="X90" s="1" t="s">
        <v>88</v>
      </c>
      <c r="Y90" s="1" t="s">
        <v>60</v>
      </c>
      <c r="Z90" s="1" t="s">
        <v>89</v>
      </c>
      <c r="AA90" s="1">
        <v>100.0</v>
      </c>
      <c r="AB90" s="1" t="s">
        <v>62</v>
      </c>
      <c r="AC90" s="1" t="s">
        <v>71</v>
      </c>
      <c r="AF90" s="1" t="s">
        <v>51</v>
      </c>
      <c r="AG90" s="1" t="s">
        <v>51</v>
      </c>
      <c r="AH90" s="1">
        <v>50.0</v>
      </c>
      <c r="AI90" s="1">
        <v>0.0</v>
      </c>
      <c r="AJ90" s="1">
        <v>0.0</v>
      </c>
      <c r="AK90" s="1">
        <v>0.0</v>
      </c>
      <c r="AL90" s="1">
        <v>1.0</v>
      </c>
      <c r="AM90" s="1" t="s">
        <v>72</v>
      </c>
      <c r="AP90" s="1">
        <v>4.88730589E8</v>
      </c>
      <c r="AQ90" s="1" t="s">
        <v>201</v>
      </c>
      <c r="AR90" s="1">
        <v>45806.56794</v>
      </c>
      <c r="AU90" s="1" t="s">
        <v>64</v>
      </c>
      <c r="AW90" s="1" t="s">
        <v>84</v>
      </c>
      <c r="AY90" s="1">
        <v>84.0</v>
      </c>
    </row>
    <row r="91">
      <c r="A91" s="1" t="s">
        <v>51</v>
      </c>
      <c r="C91" s="1" t="s">
        <v>202</v>
      </c>
      <c r="E91" s="1" t="s">
        <v>202</v>
      </c>
      <c r="G91" s="1">
        <v>42.0</v>
      </c>
      <c r="H91" s="1" t="s">
        <v>66</v>
      </c>
      <c r="J91" s="1" t="s">
        <v>86</v>
      </c>
      <c r="K91" s="1" t="s">
        <v>87</v>
      </c>
      <c r="M91" s="1" t="s">
        <v>58</v>
      </c>
      <c r="N91" s="1" t="s">
        <v>58</v>
      </c>
      <c r="O91" s="1" t="s">
        <v>58</v>
      </c>
      <c r="Q91" s="1" t="s">
        <v>69</v>
      </c>
      <c r="R91" s="1" t="s">
        <v>58</v>
      </c>
      <c r="S91" s="1" t="s">
        <v>69</v>
      </c>
      <c r="T91" s="1" t="s">
        <v>58</v>
      </c>
      <c r="U91" s="1" t="s">
        <v>70</v>
      </c>
      <c r="V91" s="1" t="s">
        <v>58</v>
      </c>
      <c r="W91" s="1" t="s">
        <v>69</v>
      </c>
      <c r="X91" s="1" t="s">
        <v>81</v>
      </c>
      <c r="Y91" s="1" t="s">
        <v>95</v>
      </c>
      <c r="Z91" s="1" t="s">
        <v>96</v>
      </c>
      <c r="AA91" s="1">
        <v>100.0</v>
      </c>
      <c r="AB91" s="1" t="s">
        <v>62</v>
      </c>
      <c r="AC91" s="1" t="s">
        <v>71</v>
      </c>
      <c r="AF91" s="1" t="s">
        <v>51</v>
      </c>
      <c r="AG91" s="1" t="s">
        <v>72</v>
      </c>
      <c r="AI91" s="1">
        <v>0.0</v>
      </c>
      <c r="AJ91" s="1">
        <v>0.0</v>
      </c>
      <c r="AK91" s="1">
        <v>1.0</v>
      </c>
      <c r="AL91" s="1">
        <v>0.0</v>
      </c>
      <c r="AP91" s="1">
        <v>4.88786593E8</v>
      </c>
      <c r="AQ91" s="1" t="s">
        <v>203</v>
      </c>
      <c r="AR91" s="1">
        <v>45806.60795</v>
      </c>
      <c r="AU91" s="1" t="s">
        <v>64</v>
      </c>
      <c r="AW91" s="1" t="s">
        <v>191</v>
      </c>
      <c r="AY91" s="1">
        <v>85.0</v>
      </c>
    </row>
    <row r="92">
      <c r="A92" s="1" t="s">
        <v>51</v>
      </c>
      <c r="C92" s="1" t="s">
        <v>53</v>
      </c>
      <c r="E92" s="1" t="s">
        <v>53</v>
      </c>
      <c r="F92" s="1" t="s">
        <v>54</v>
      </c>
      <c r="G92" s="1">
        <v>46.0</v>
      </c>
      <c r="H92" s="1" t="s">
        <v>66</v>
      </c>
      <c r="I92" s="1" t="s">
        <v>121</v>
      </c>
      <c r="J92" s="1" t="s">
        <v>111</v>
      </c>
      <c r="K92" s="1" t="s">
        <v>87</v>
      </c>
      <c r="M92" s="1" t="s">
        <v>58</v>
      </c>
      <c r="N92" s="1" t="s">
        <v>58</v>
      </c>
      <c r="O92" s="1" t="s">
        <v>58</v>
      </c>
      <c r="Q92" s="1" t="s">
        <v>69</v>
      </c>
      <c r="R92" s="1" t="s">
        <v>58</v>
      </c>
      <c r="S92" s="1" t="s">
        <v>69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59</v>
      </c>
      <c r="Y92" s="1" t="s">
        <v>95</v>
      </c>
      <c r="Z92" s="1" t="s">
        <v>96</v>
      </c>
      <c r="AA92" s="1">
        <v>100.0</v>
      </c>
      <c r="AB92" s="1" t="s">
        <v>62</v>
      </c>
      <c r="AC92" s="1" t="s">
        <v>72</v>
      </c>
      <c r="AF92" s="1" t="s">
        <v>51</v>
      </c>
      <c r="AG92" s="1" t="s">
        <v>72</v>
      </c>
      <c r="AI92" s="1">
        <v>0.0</v>
      </c>
      <c r="AJ92" s="1">
        <v>0.0</v>
      </c>
      <c r="AK92" s="1">
        <v>0.0</v>
      </c>
      <c r="AL92" s="1">
        <v>1.0</v>
      </c>
      <c r="AM92" s="1" t="s">
        <v>51</v>
      </c>
      <c r="AN92" s="1" t="s">
        <v>204</v>
      </c>
      <c r="AP92" s="1">
        <v>4.8882061E8</v>
      </c>
      <c r="AQ92" s="1" t="s">
        <v>205</v>
      </c>
      <c r="AR92" s="1">
        <v>45806.62994</v>
      </c>
      <c r="AU92" s="1" t="s">
        <v>64</v>
      </c>
      <c r="AW92" s="1" t="s">
        <v>191</v>
      </c>
      <c r="AY92" s="1">
        <v>86.0</v>
      </c>
    </row>
    <row r="93">
      <c r="A93" s="1" t="s">
        <v>51</v>
      </c>
      <c r="C93" s="1" t="s">
        <v>53</v>
      </c>
      <c r="E93" s="1" t="s">
        <v>53</v>
      </c>
      <c r="F93" s="1" t="s">
        <v>54</v>
      </c>
      <c r="G93" s="1">
        <v>33.0</v>
      </c>
      <c r="H93" s="1" t="s">
        <v>66</v>
      </c>
      <c r="I93" s="1" t="s">
        <v>121</v>
      </c>
      <c r="J93" s="1" t="s">
        <v>86</v>
      </c>
      <c r="K93" s="1" t="s">
        <v>87</v>
      </c>
      <c r="M93" s="1" t="s">
        <v>58</v>
      </c>
      <c r="N93" s="1" t="s">
        <v>58</v>
      </c>
      <c r="O93" s="1" t="s">
        <v>69</v>
      </c>
      <c r="Q93" s="1" t="s">
        <v>69</v>
      </c>
      <c r="R93" s="1" t="s">
        <v>58</v>
      </c>
      <c r="S93" s="1" t="s">
        <v>58</v>
      </c>
      <c r="T93" s="1" t="s">
        <v>58</v>
      </c>
      <c r="U93" s="1" t="s">
        <v>70</v>
      </c>
      <c r="V93" s="1" t="s">
        <v>58</v>
      </c>
      <c r="W93" s="1" t="s">
        <v>69</v>
      </c>
      <c r="X93" s="1" t="s">
        <v>59</v>
      </c>
      <c r="Y93" s="1" t="s">
        <v>60</v>
      </c>
      <c r="Z93" s="1" t="s">
        <v>96</v>
      </c>
      <c r="AA93" s="1">
        <v>100.0</v>
      </c>
      <c r="AB93" s="1" t="s">
        <v>79</v>
      </c>
      <c r="AC93" s="1" t="s">
        <v>71</v>
      </c>
      <c r="AF93" s="1" t="s">
        <v>51</v>
      </c>
      <c r="AG93" s="1" t="s">
        <v>72</v>
      </c>
      <c r="AI93" s="1">
        <v>0.0</v>
      </c>
      <c r="AJ93" s="1">
        <v>0.0</v>
      </c>
      <c r="AK93" s="1">
        <v>1.0</v>
      </c>
      <c r="AL93" s="1">
        <v>0.0</v>
      </c>
      <c r="AM93" s="1" t="s">
        <v>51</v>
      </c>
      <c r="AN93" s="1" t="s">
        <v>206</v>
      </c>
      <c r="AP93" s="1">
        <v>4.88832371E8</v>
      </c>
      <c r="AQ93" s="1" t="s">
        <v>207</v>
      </c>
      <c r="AR93" s="1">
        <v>45806.63735</v>
      </c>
      <c r="AU93" s="1" t="s">
        <v>64</v>
      </c>
      <c r="AW93" s="1" t="s">
        <v>191</v>
      </c>
      <c r="AY93" s="1">
        <v>87.0</v>
      </c>
    </row>
    <row r="94">
      <c r="A94" s="1" t="s">
        <v>51</v>
      </c>
      <c r="C94" s="1" t="s">
        <v>52</v>
      </c>
      <c r="E94" s="1" t="s">
        <v>53</v>
      </c>
      <c r="F94" s="1" t="s">
        <v>94</v>
      </c>
      <c r="G94" s="1">
        <v>43.0</v>
      </c>
      <c r="H94" s="1" t="s">
        <v>66</v>
      </c>
      <c r="I94" s="1" t="s">
        <v>67</v>
      </c>
      <c r="J94" s="1" t="s">
        <v>86</v>
      </c>
      <c r="K94" s="1" t="s">
        <v>87</v>
      </c>
      <c r="M94" s="1" t="s">
        <v>58</v>
      </c>
      <c r="N94" s="1" t="s">
        <v>58</v>
      </c>
      <c r="O94" s="1" t="s">
        <v>70</v>
      </c>
      <c r="Q94" s="1" t="s">
        <v>69</v>
      </c>
      <c r="R94" s="1" t="s">
        <v>58</v>
      </c>
      <c r="S94" s="1" t="s">
        <v>69</v>
      </c>
      <c r="T94" s="1" t="s">
        <v>69</v>
      </c>
      <c r="U94" s="1" t="s">
        <v>69</v>
      </c>
      <c r="V94" s="1" t="s">
        <v>69</v>
      </c>
      <c r="W94" s="1" t="s">
        <v>58</v>
      </c>
      <c r="X94" s="1" t="s">
        <v>88</v>
      </c>
      <c r="Y94" s="1" t="s">
        <v>60</v>
      </c>
      <c r="Z94" s="1" t="s">
        <v>108</v>
      </c>
      <c r="AA94" s="1">
        <v>50.0</v>
      </c>
      <c r="AB94" s="1" t="s">
        <v>79</v>
      </c>
      <c r="AC94" s="1" t="s">
        <v>71</v>
      </c>
      <c r="AF94" s="1" t="s">
        <v>72</v>
      </c>
      <c r="AG94" s="1" t="s">
        <v>72</v>
      </c>
      <c r="AI94" s="1">
        <v>0.0</v>
      </c>
      <c r="AJ94" s="1">
        <v>0.0</v>
      </c>
      <c r="AK94" s="1">
        <v>0.0</v>
      </c>
      <c r="AL94" s="1">
        <v>1.0</v>
      </c>
      <c r="AM94" s="1" t="s">
        <v>72</v>
      </c>
      <c r="AP94" s="1">
        <v>4.88847644E8</v>
      </c>
      <c r="AQ94" s="1" t="s">
        <v>208</v>
      </c>
      <c r="AR94" s="1">
        <v>45806.6484</v>
      </c>
      <c r="AU94" s="1" t="s">
        <v>64</v>
      </c>
      <c r="AW94" s="1" t="s">
        <v>191</v>
      </c>
      <c r="AY94" s="1">
        <v>88.0</v>
      </c>
    </row>
    <row r="95">
      <c r="A95" s="1" t="s">
        <v>51</v>
      </c>
      <c r="C95" s="1" t="s">
        <v>52</v>
      </c>
      <c r="E95" s="1" t="s">
        <v>52</v>
      </c>
      <c r="G95" s="1">
        <v>35.0</v>
      </c>
      <c r="H95" s="1" t="s">
        <v>66</v>
      </c>
      <c r="J95" s="1" t="s">
        <v>56</v>
      </c>
      <c r="K95" s="1" t="s">
        <v>87</v>
      </c>
      <c r="M95" s="1" t="s">
        <v>58</v>
      </c>
      <c r="N95" s="1" t="s">
        <v>58</v>
      </c>
      <c r="O95" s="1" t="s">
        <v>69</v>
      </c>
      <c r="Q95" s="1" t="s">
        <v>69</v>
      </c>
      <c r="R95" s="1" t="s">
        <v>58</v>
      </c>
      <c r="S95" s="1" t="s">
        <v>69</v>
      </c>
      <c r="T95" s="1" t="s">
        <v>58</v>
      </c>
      <c r="U95" s="1" t="s">
        <v>58</v>
      </c>
      <c r="V95" s="1" t="s">
        <v>58</v>
      </c>
      <c r="W95" s="1" t="s">
        <v>69</v>
      </c>
      <c r="X95" s="1" t="s">
        <v>88</v>
      </c>
      <c r="Y95" s="1" t="s">
        <v>82</v>
      </c>
      <c r="Z95" s="1" t="s">
        <v>108</v>
      </c>
      <c r="AA95" s="1">
        <v>100.0</v>
      </c>
      <c r="AB95" s="1" t="s">
        <v>62</v>
      </c>
      <c r="AC95" s="1" t="s">
        <v>51</v>
      </c>
      <c r="AD95" s="1" t="s">
        <v>81</v>
      </c>
      <c r="AE95" s="1" t="s">
        <v>51</v>
      </c>
      <c r="AF95" s="1" t="s">
        <v>51</v>
      </c>
      <c r="AG95" s="1" t="s">
        <v>51</v>
      </c>
      <c r="AH95" s="1">
        <v>15.0</v>
      </c>
      <c r="AI95" s="1">
        <v>0.0</v>
      </c>
      <c r="AJ95" s="1">
        <v>0.0</v>
      </c>
      <c r="AK95" s="1">
        <v>0.0</v>
      </c>
      <c r="AL95" s="1">
        <v>1.0</v>
      </c>
      <c r="AP95" s="1">
        <v>4.88871967E8</v>
      </c>
      <c r="AQ95" s="1" t="s">
        <v>209</v>
      </c>
      <c r="AR95" s="1">
        <v>45806.66529</v>
      </c>
      <c r="AU95" s="1" t="s">
        <v>64</v>
      </c>
      <c r="AW95" s="1" t="s">
        <v>191</v>
      </c>
      <c r="AY95" s="1">
        <v>89.0</v>
      </c>
    </row>
    <row r="96">
      <c r="A96" s="1" t="s">
        <v>51</v>
      </c>
      <c r="C96" s="1" t="s">
        <v>52</v>
      </c>
      <c r="E96" s="1" t="s">
        <v>53</v>
      </c>
      <c r="F96" s="1" t="s">
        <v>54</v>
      </c>
      <c r="G96" s="1">
        <v>59.0</v>
      </c>
      <c r="H96" s="1" t="s">
        <v>55</v>
      </c>
      <c r="I96" s="1" t="s">
        <v>67</v>
      </c>
      <c r="J96" s="1" t="s">
        <v>111</v>
      </c>
      <c r="K96" s="1" t="s">
        <v>87</v>
      </c>
      <c r="M96" s="1" t="s">
        <v>58</v>
      </c>
      <c r="N96" s="1" t="s">
        <v>58</v>
      </c>
      <c r="O96" s="1" t="s">
        <v>58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58</v>
      </c>
      <c r="V96" s="1" t="s">
        <v>58</v>
      </c>
      <c r="W96" s="1" t="s">
        <v>69</v>
      </c>
      <c r="X96" s="1" t="s">
        <v>59</v>
      </c>
      <c r="Y96" s="1" t="s">
        <v>95</v>
      </c>
      <c r="Z96" s="1" t="s">
        <v>89</v>
      </c>
      <c r="AA96" s="1">
        <v>100.0</v>
      </c>
      <c r="AB96" s="1" t="s">
        <v>62</v>
      </c>
      <c r="AC96" s="1" t="s">
        <v>51</v>
      </c>
      <c r="AD96" s="1" t="s">
        <v>59</v>
      </c>
      <c r="AE96" s="1" t="s">
        <v>51</v>
      </c>
      <c r="AF96" s="1" t="s">
        <v>51</v>
      </c>
      <c r="AG96" s="1" t="s">
        <v>51</v>
      </c>
      <c r="AH96" s="1">
        <v>100.0</v>
      </c>
      <c r="AI96" s="1">
        <v>0.0</v>
      </c>
      <c r="AJ96" s="1">
        <v>0.0</v>
      </c>
      <c r="AK96" s="1">
        <v>0.0</v>
      </c>
      <c r="AL96" s="1">
        <v>1.0</v>
      </c>
      <c r="AM96" s="1" t="s">
        <v>51</v>
      </c>
      <c r="AN96" s="3">
        <v>27727644928</v>
      </c>
      <c r="AP96" s="1">
        <v>4.88885171E8</v>
      </c>
      <c r="AQ96" s="1" t="s">
        <v>210</v>
      </c>
      <c r="AR96" s="1">
        <v>45806.67403</v>
      </c>
      <c r="AU96" s="1" t="s">
        <v>64</v>
      </c>
      <c r="AW96" s="1" t="s">
        <v>191</v>
      </c>
      <c r="AY96" s="1">
        <v>90.0</v>
      </c>
    </row>
    <row r="97">
      <c r="A97" s="1" t="s">
        <v>51</v>
      </c>
      <c r="C97" s="1" t="s">
        <v>53</v>
      </c>
      <c r="E97" s="1" t="s">
        <v>53</v>
      </c>
      <c r="F97" s="1" t="s">
        <v>149</v>
      </c>
      <c r="G97" s="1">
        <v>34.0</v>
      </c>
      <c r="H97" s="1" t="s">
        <v>66</v>
      </c>
      <c r="I97" s="1" t="s">
        <v>121</v>
      </c>
      <c r="J97" s="1" t="s">
        <v>86</v>
      </c>
      <c r="K97" s="1" t="s">
        <v>87</v>
      </c>
      <c r="M97" s="1" t="s">
        <v>58</v>
      </c>
      <c r="O97" s="1" t="s">
        <v>58</v>
      </c>
      <c r="Q97" s="1" t="s">
        <v>58</v>
      </c>
      <c r="R97" s="1" t="s">
        <v>58</v>
      </c>
      <c r="S97" s="1" t="s">
        <v>69</v>
      </c>
      <c r="T97" s="1" t="s">
        <v>69</v>
      </c>
      <c r="U97" s="1" t="s">
        <v>58</v>
      </c>
      <c r="V97" s="1" t="s">
        <v>69</v>
      </c>
      <c r="W97" s="1" t="s">
        <v>69</v>
      </c>
      <c r="X97" s="1" t="s">
        <v>59</v>
      </c>
      <c r="Y97" s="1" t="s">
        <v>95</v>
      </c>
      <c r="Z97" s="1" t="s">
        <v>61</v>
      </c>
      <c r="AA97" s="1">
        <v>100.0</v>
      </c>
      <c r="AB97" s="1" t="s">
        <v>79</v>
      </c>
      <c r="AF97" s="1" t="s">
        <v>51</v>
      </c>
      <c r="AG97" s="1" t="s">
        <v>51</v>
      </c>
      <c r="AH97" s="1">
        <v>50.0</v>
      </c>
      <c r="AI97" s="1">
        <v>0.0</v>
      </c>
      <c r="AJ97" s="1">
        <v>0.0</v>
      </c>
      <c r="AK97" s="1">
        <v>0.0</v>
      </c>
      <c r="AL97" s="1">
        <v>1.0</v>
      </c>
      <c r="AM97" s="1" t="s">
        <v>51</v>
      </c>
      <c r="AN97" s="1">
        <v>7.31367408E8</v>
      </c>
      <c r="AP97" s="1">
        <v>4.88933913E8</v>
      </c>
      <c r="AQ97" s="1" t="s">
        <v>211</v>
      </c>
      <c r="AR97" s="1">
        <v>45806.70992</v>
      </c>
      <c r="AU97" s="1" t="s">
        <v>64</v>
      </c>
      <c r="AW97" s="1" t="s">
        <v>191</v>
      </c>
      <c r="AY97" s="1">
        <v>91.0</v>
      </c>
    </row>
    <row r="98">
      <c r="A98" s="1" t="s">
        <v>51</v>
      </c>
      <c r="C98" s="1" t="s">
        <v>212</v>
      </c>
      <c r="E98" s="1" t="s">
        <v>53</v>
      </c>
      <c r="F98" s="1" t="s">
        <v>102</v>
      </c>
      <c r="G98" s="1">
        <v>50.0</v>
      </c>
      <c r="H98" s="1" t="s">
        <v>55</v>
      </c>
      <c r="I98" s="1" t="s">
        <v>67</v>
      </c>
      <c r="J98" s="1" t="s">
        <v>86</v>
      </c>
      <c r="K98" s="1" t="s">
        <v>87</v>
      </c>
      <c r="M98" s="1" t="s">
        <v>58</v>
      </c>
      <c r="N98" s="1" t="s">
        <v>58</v>
      </c>
      <c r="O98" s="1" t="s">
        <v>58</v>
      </c>
      <c r="Q98" s="1" t="s">
        <v>69</v>
      </c>
      <c r="R98" s="1" t="s">
        <v>58</v>
      </c>
      <c r="S98" s="1" t="s">
        <v>69</v>
      </c>
      <c r="T98" s="1" t="s">
        <v>69</v>
      </c>
      <c r="U98" s="1" t="s">
        <v>69</v>
      </c>
      <c r="V98" s="1" t="s">
        <v>58</v>
      </c>
      <c r="W98" s="1" t="s">
        <v>69</v>
      </c>
      <c r="X98" s="1" t="s">
        <v>88</v>
      </c>
      <c r="Y98" s="1" t="s">
        <v>95</v>
      </c>
      <c r="Z98" s="1" t="s">
        <v>89</v>
      </c>
      <c r="AA98" s="1">
        <v>100.0</v>
      </c>
      <c r="AB98" s="1" t="s">
        <v>79</v>
      </c>
      <c r="AF98" s="1" t="s">
        <v>51</v>
      </c>
      <c r="AG98" s="1" t="s">
        <v>72</v>
      </c>
      <c r="AI98" s="1">
        <v>0.0</v>
      </c>
      <c r="AJ98" s="1">
        <v>0.0</v>
      </c>
      <c r="AK98" s="1">
        <v>0.0</v>
      </c>
      <c r="AL98" s="1">
        <v>1.0</v>
      </c>
      <c r="AM98" s="1" t="s">
        <v>72</v>
      </c>
      <c r="AP98" s="1">
        <v>4.88978682E8</v>
      </c>
      <c r="AQ98" s="1" t="s">
        <v>213</v>
      </c>
      <c r="AR98" s="1">
        <v>45806.75002</v>
      </c>
      <c r="AU98" s="1" t="s">
        <v>64</v>
      </c>
      <c r="AW98" s="1" t="s">
        <v>191</v>
      </c>
      <c r="AY98" s="1">
        <v>92.0</v>
      </c>
    </row>
    <row r="99">
      <c r="A99" s="1" t="s">
        <v>51</v>
      </c>
      <c r="C99" s="1" t="s">
        <v>53</v>
      </c>
      <c r="E99" s="1" t="s">
        <v>53</v>
      </c>
      <c r="F99" s="1" t="s">
        <v>214</v>
      </c>
      <c r="G99" s="1">
        <v>39.0</v>
      </c>
      <c r="H99" s="1" t="s">
        <v>66</v>
      </c>
      <c r="I99" s="1" t="s">
        <v>121</v>
      </c>
      <c r="J99" s="1" t="s">
        <v>86</v>
      </c>
      <c r="K99" s="1" t="s">
        <v>87</v>
      </c>
      <c r="M99" s="1" t="s">
        <v>58</v>
      </c>
      <c r="N99" s="1" t="s">
        <v>58</v>
      </c>
      <c r="O99" s="1" t="s">
        <v>58</v>
      </c>
      <c r="Q99" s="1" t="s">
        <v>69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88</v>
      </c>
      <c r="Y99" s="1" t="s">
        <v>95</v>
      </c>
      <c r="Z99" s="1" t="s">
        <v>89</v>
      </c>
      <c r="AA99" s="1">
        <v>100.0</v>
      </c>
      <c r="AB99" s="1" t="s">
        <v>62</v>
      </c>
      <c r="AC99" s="1" t="s">
        <v>51</v>
      </c>
      <c r="AD99" s="1" t="s">
        <v>81</v>
      </c>
      <c r="AE99" s="1" t="s">
        <v>51</v>
      </c>
      <c r="AG99" s="1" t="s">
        <v>51</v>
      </c>
      <c r="AH99" s="1">
        <v>100.0</v>
      </c>
      <c r="AI99" s="1">
        <v>0.0</v>
      </c>
      <c r="AJ99" s="1">
        <v>1.0</v>
      </c>
      <c r="AK99" s="1">
        <v>1.0</v>
      </c>
      <c r="AL99" s="1">
        <v>0.0</v>
      </c>
      <c r="AM99" s="1" t="s">
        <v>72</v>
      </c>
      <c r="AP99" s="1">
        <v>4.88978973E8</v>
      </c>
      <c r="AQ99" s="1" t="s">
        <v>215</v>
      </c>
      <c r="AR99" s="1">
        <v>45806.75044</v>
      </c>
      <c r="AU99" s="1" t="s">
        <v>64</v>
      </c>
      <c r="AW99" s="1" t="s">
        <v>191</v>
      </c>
      <c r="AY99" s="1">
        <v>93.0</v>
      </c>
    </row>
    <row r="100">
      <c r="A100" s="1" t="s">
        <v>51</v>
      </c>
      <c r="C100" s="1" t="s">
        <v>53</v>
      </c>
      <c r="E100" s="1" t="s">
        <v>53</v>
      </c>
      <c r="F100" s="1" t="s">
        <v>54</v>
      </c>
      <c r="G100" s="1">
        <v>45.0</v>
      </c>
      <c r="H100" s="1" t="s">
        <v>66</v>
      </c>
      <c r="I100" s="1" t="s">
        <v>121</v>
      </c>
      <c r="J100" s="1" t="s">
        <v>56</v>
      </c>
      <c r="K100" s="1" t="s">
        <v>87</v>
      </c>
      <c r="M100" s="1" t="s">
        <v>58</v>
      </c>
      <c r="N100" s="1" t="s">
        <v>58</v>
      </c>
      <c r="O100" s="1" t="s">
        <v>69</v>
      </c>
      <c r="Q100" s="1" t="s">
        <v>69</v>
      </c>
      <c r="R100" s="1" t="s">
        <v>58</v>
      </c>
      <c r="S100" s="1" t="s">
        <v>69</v>
      </c>
      <c r="T100" s="1" t="s">
        <v>69</v>
      </c>
      <c r="U100" s="1" t="s">
        <v>70</v>
      </c>
      <c r="V100" s="1" t="s">
        <v>58</v>
      </c>
      <c r="W100" s="1" t="s">
        <v>69</v>
      </c>
      <c r="X100" s="1" t="s">
        <v>88</v>
      </c>
      <c r="Y100" s="1" t="s">
        <v>95</v>
      </c>
      <c r="Z100" s="1" t="s">
        <v>96</v>
      </c>
      <c r="AA100" s="1">
        <v>100.0</v>
      </c>
      <c r="AB100" s="1" t="s">
        <v>62</v>
      </c>
      <c r="AC100" s="1" t="s">
        <v>51</v>
      </c>
      <c r="AD100" s="1" t="s">
        <v>59</v>
      </c>
      <c r="AF100" s="1" t="s">
        <v>51</v>
      </c>
      <c r="AG100" s="1" t="s">
        <v>51</v>
      </c>
      <c r="AH100" s="1">
        <v>50.0</v>
      </c>
      <c r="AI100" s="1">
        <v>1.0</v>
      </c>
      <c r="AJ100" s="1">
        <v>1.0</v>
      </c>
      <c r="AK100" s="1">
        <v>1.0</v>
      </c>
      <c r="AL100" s="1">
        <v>0.0</v>
      </c>
      <c r="AM100" s="1" t="s">
        <v>51</v>
      </c>
      <c r="AN100" s="1">
        <v>8.37723525E8</v>
      </c>
      <c r="AP100" s="1">
        <v>4.89006974E8</v>
      </c>
      <c r="AQ100" s="1" t="s">
        <v>216</v>
      </c>
      <c r="AR100" s="1">
        <v>45806.78529</v>
      </c>
      <c r="AU100" s="1" t="s">
        <v>64</v>
      </c>
      <c r="AW100" s="1" t="s">
        <v>191</v>
      </c>
      <c r="AY100" s="1">
        <v>94.0</v>
      </c>
    </row>
    <row r="101">
      <c r="A101" s="1" t="s">
        <v>51</v>
      </c>
      <c r="C101" s="1" t="s">
        <v>53</v>
      </c>
      <c r="E101" s="1" t="s">
        <v>53</v>
      </c>
      <c r="F101" s="1" t="s">
        <v>94</v>
      </c>
      <c r="G101" s="1">
        <v>43.0</v>
      </c>
      <c r="H101" s="1" t="s">
        <v>66</v>
      </c>
      <c r="I101" s="1" t="s">
        <v>121</v>
      </c>
      <c r="J101" s="1" t="s">
        <v>86</v>
      </c>
      <c r="K101" s="1" t="s">
        <v>87</v>
      </c>
      <c r="M101" s="1" t="s">
        <v>58</v>
      </c>
      <c r="N101" s="1" t="s">
        <v>58</v>
      </c>
      <c r="O101" s="1" t="s">
        <v>69</v>
      </c>
      <c r="Q101" s="1" t="s">
        <v>58</v>
      </c>
      <c r="R101" s="1" t="s">
        <v>58</v>
      </c>
      <c r="S101" s="1" t="s">
        <v>58</v>
      </c>
      <c r="T101" s="1" t="s">
        <v>69</v>
      </c>
      <c r="U101" s="1" t="s">
        <v>58</v>
      </c>
      <c r="V101" s="1" t="s">
        <v>58</v>
      </c>
      <c r="W101" s="1" t="s">
        <v>69</v>
      </c>
      <c r="X101" s="1" t="s">
        <v>59</v>
      </c>
      <c r="Y101" s="1" t="s">
        <v>95</v>
      </c>
      <c r="Z101" s="1" t="s">
        <v>89</v>
      </c>
      <c r="AA101" s="1">
        <v>30.0</v>
      </c>
      <c r="AB101" s="1" t="s">
        <v>28</v>
      </c>
      <c r="AC101" s="1" t="s">
        <v>71</v>
      </c>
      <c r="AF101" s="1" t="s">
        <v>72</v>
      </c>
      <c r="AG101" s="1" t="s">
        <v>72</v>
      </c>
      <c r="AI101" s="1">
        <v>0.0</v>
      </c>
      <c r="AJ101" s="1">
        <v>0.0</v>
      </c>
      <c r="AK101" s="1">
        <v>1.0</v>
      </c>
      <c r="AL101" s="1">
        <v>0.0</v>
      </c>
      <c r="AM101" s="1" t="s">
        <v>72</v>
      </c>
      <c r="AP101" s="1">
        <v>4.89015378E8</v>
      </c>
      <c r="AQ101" s="1" t="s">
        <v>217</v>
      </c>
      <c r="AR101" s="1">
        <v>45806.79795</v>
      </c>
      <c r="AU101" s="1" t="s">
        <v>64</v>
      </c>
      <c r="AW101" s="1" t="s">
        <v>191</v>
      </c>
      <c r="AY101" s="1">
        <v>95.0</v>
      </c>
    </row>
    <row r="102">
      <c r="A102" s="1" t="s">
        <v>51</v>
      </c>
      <c r="C102" s="1" t="s">
        <v>151</v>
      </c>
      <c r="E102" s="1" t="s">
        <v>53</v>
      </c>
      <c r="F102" s="1" t="s">
        <v>102</v>
      </c>
      <c r="G102" s="1">
        <v>38.0</v>
      </c>
      <c r="H102" s="1" t="s">
        <v>66</v>
      </c>
      <c r="I102" s="1" t="s">
        <v>67</v>
      </c>
      <c r="J102" s="1" t="s">
        <v>68</v>
      </c>
      <c r="K102" s="1" t="s">
        <v>74</v>
      </c>
      <c r="M102" s="1" t="s">
        <v>58</v>
      </c>
      <c r="N102" s="1" t="s">
        <v>58</v>
      </c>
      <c r="O102" s="1" t="s">
        <v>58</v>
      </c>
      <c r="Q102" s="1" t="s">
        <v>58</v>
      </c>
      <c r="R102" s="1" t="s">
        <v>58</v>
      </c>
      <c r="S102" s="1" t="s">
        <v>58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81</v>
      </c>
      <c r="Y102" s="1" t="s">
        <v>60</v>
      </c>
      <c r="Z102" s="1" t="s">
        <v>61</v>
      </c>
      <c r="AA102" s="1">
        <v>10.0</v>
      </c>
      <c r="AB102" s="1" t="s">
        <v>62</v>
      </c>
      <c r="AC102" s="1" t="s">
        <v>71</v>
      </c>
      <c r="AF102" s="1" t="s">
        <v>51</v>
      </c>
      <c r="AG102" s="1" t="s">
        <v>72</v>
      </c>
      <c r="AI102" s="1">
        <v>0.0</v>
      </c>
      <c r="AJ102" s="1">
        <v>0.0</v>
      </c>
      <c r="AK102" s="1">
        <v>0.0</v>
      </c>
      <c r="AL102" s="1">
        <v>1.0</v>
      </c>
      <c r="AM102" s="1" t="s">
        <v>72</v>
      </c>
      <c r="AP102" s="1">
        <v>4.89056347E8</v>
      </c>
      <c r="AQ102" s="1" t="s">
        <v>218</v>
      </c>
      <c r="AR102" s="1">
        <v>45806.86391</v>
      </c>
      <c r="AU102" s="1" t="s">
        <v>64</v>
      </c>
      <c r="AW102" s="1" t="s">
        <v>165</v>
      </c>
      <c r="AY102" s="1">
        <v>96.0</v>
      </c>
    </row>
    <row r="103">
      <c r="A103" s="1" t="s">
        <v>51</v>
      </c>
      <c r="C103" s="1" t="s">
        <v>53</v>
      </c>
      <c r="E103" s="1" t="s">
        <v>53</v>
      </c>
      <c r="F103" s="1" t="s">
        <v>102</v>
      </c>
      <c r="G103" s="1">
        <v>39.0</v>
      </c>
      <c r="H103" s="1" t="s">
        <v>55</v>
      </c>
      <c r="I103" s="1" t="s">
        <v>121</v>
      </c>
      <c r="J103" s="1" t="s">
        <v>86</v>
      </c>
      <c r="K103" s="1" t="s">
        <v>74</v>
      </c>
      <c r="M103" s="1" t="s">
        <v>58</v>
      </c>
      <c r="N103" s="1" t="s">
        <v>58</v>
      </c>
      <c r="O103" s="1" t="s">
        <v>58</v>
      </c>
      <c r="Q103" s="1" t="s">
        <v>69</v>
      </c>
      <c r="R103" s="1" t="s">
        <v>58</v>
      </c>
      <c r="S103" s="1" t="s">
        <v>69</v>
      </c>
      <c r="T103" s="1" t="s">
        <v>69</v>
      </c>
      <c r="U103" s="1" t="s">
        <v>69</v>
      </c>
      <c r="V103" s="1" t="s">
        <v>58</v>
      </c>
      <c r="W103" s="1" t="s">
        <v>69</v>
      </c>
      <c r="X103" s="1" t="s">
        <v>59</v>
      </c>
      <c r="Y103" s="1" t="s">
        <v>60</v>
      </c>
      <c r="Z103" s="1" t="s">
        <v>61</v>
      </c>
      <c r="AA103" s="1">
        <v>100.0</v>
      </c>
      <c r="AB103" s="1" t="s">
        <v>62</v>
      </c>
      <c r="AC103" s="1" t="s">
        <v>72</v>
      </c>
      <c r="AF103" s="1" t="s">
        <v>51</v>
      </c>
      <c r="AG103" s="1" t="s">
        <v>51</v>
      </c>
      <c r="AH103" s="1">
        <v>500.0</v>
      </c>
      <c r="AI103" s="1">
        <v>0.0</v>
      </c>
      <c r="AJ103" s="1">
        <v>1.0</v>
      </c>
      <c r="AK103" s="1">
        <v>0.0</v>
      </c>
      <c r="AL103" s="1">
        <v>0.0</v>
      </c>
      <c r="AM103" s="1" t="s">
        <v>51</v>
      </c>
      <c r="AN103" s="1">
        <v>6.94715148E8</v>
      </c>
      <c r="AP103" s="1">
        <v>4.89145506E8</v>
      </c>
      <c r="AQ103" s="1" t="s">
        <v>219</v>
      </c>
      <c r="AR103" s="1">
        <v>45807.16942</v>
      </c>
      <c r="AU103" s="1" t="s">
        <v>64</v>
      </c>
      <c r="AW103" s="1" t="s">
        <v>191</v>
      </c>
      <c r="AY103" s="1">
        <v>97.0</v>
      </c>
    </row>
    <row r="104">
      <c r="A104" s="1" t="s">
        <v>51</v>
      </c>
      <c r="C104" s="1" t="s">
        <v>53</v>
      </c>
      <c r="E104" s="1" t="s">
        <v>53</v>
      </c>
      <c r="F104" s="1" t="s">
        <v>102</v>
      </c>
      <c r="G104" s="1">
        <v>54.0</v>
      </c>
      <c r="H104" s="1" t="s">
        <v>66</v>
      </c>
      <c r="I104" s="1" t="s">
        <v>121</v>
      </c>
      <c r="J104" s="1" t="s">
        <v>86</v>
      </c>
      <c r="K104" s="1" t="s">
        <v>87</v>
      </c>
      <c r="M104" s="1" t="s">
        <v>58</v>
      </c>
      <c r="N104" s="1" t="s">
        <v>58</v>
      </c>
      <c r="O104" s="1" t="s">
        <v>58</v>
      </c>
      <c r="Q104" s="1" t="s">
        <v>69</v>
      </c>
      <c r="R104" s="1" t="s">
        <v>69</v>
      </c>
      <c r="S104" s="1" t="s">
        <v>58</v>
      </c>
      <c r="T104" s="1" t="s">
        <v>69</v>
      </c>
      <c r="U104" s="1" t="s">
        <v>58</v>
      </c>
      <c r="V104" s="1" t="s">
        <v>58</v>
      </c>
      <c r="W104" s="1" t="s">
        <v>69</v>
      </c>
      <c r="X104" s="1" t="s">
        <v>81</v>
      </c>
      <c r="Y104" s="1" t="s">
        <v>95</v>
      </c>
      <c r="Z104" s="1" t="s">
        <v>61</v>
      </c>
      <c r="AA104" s="1">
        <v>100.0</v>
      </c>
      <c r="AB104" s="1" t="s">
        <v>62</v>
      </c>
      <c r="AC104" s="1" t="s">
        <v>71</v>
      </c>
      <c r="AF104" s="1" t="s">
        <v>51</v>
      </c>
      <c r="AG104" s="1" t="s">
        <v>51</v>
      </c>
      <c r="AH104" s="1">
        <v>2000.0</v>
      </c>
      <c r="AI104" s="1">
        <v>0.0</v>
      </c>
      <c r="AJ104" s="1">
        <v>0.0</v>
      </c>
      <c r="AK104" s="1">
        <v>0.0</v>
      </c>
      <c r="AL104" s="1">
        <v>1.0</v>
      </c>
      <c r="AM104" s="1" t="s">
        <v>51</v>
      </c>
      <c r="AN104" s="1">
        <v>7.81400075E8</v>
      </c>
      <c r="AP104" s="1">
        <v>4.89150112E8</v>
      </c>
      <c r="AQ104" s="1" t="s">
        <v>220</v>
      </c>
      <c r="AR104" s="1">
        <v>45807.18352</v>
      </c>
      <c r="AU104" s="1" t="s">
        <v>64</v>
      </c>
      <c r="AW104" s="1" t="s">
        <v>191</v>
      </c>
      <c r="AY104" s="1">
        <v>98.0</v>
      </c>
    </row>
    <row r="105">
      <c r="A105" s="1" t="s">
        <v>51</v>
      </c>
      <c r="C105" s="1" t="s">
        <v>53</v>
      </c>
      <c r="E105" s="1" t="s">
        <v>53</v>
      </c>
      <c r="F105" s="1" t="s">
        <v>221</v>
      </c>
      <c r="G105" s="1">
        <v>41.0</v>
      </c>
      <c r="H105" s="1" t="s">
        <v>55</v>
      </c>
      <c r="I105" s="1" t="s">
        <v>121</v>
      </c>
      <c r="J105" s="1" t="s">
        <v>56</v>
      </c>
      <c r="K105" s="1" t="s">
        <v>87</v>
      </c>
      <c r="M105" s="1" t="s">
        <v>58</v>
      </c>
      <c r="N105" s="1" t="s">
        <v>58</v>
      </c>
      <c r="O105" s="1" t="s">
        <v>70</v>
      </c>
      <c r="Q105" s="1" t="s">
        <v>70</v>
      </c>
      <c r="R105" s="1" t="s">
        <v>58</v>
      </c>
      <c r="S105" s="1" t="s">
        <v>69</v>
      </c>
      <c r="T105" s="1" t="s">
        <v>69</v>
      </c>
      <c r="U105" s="1" t="s">
        <v>58</v>
      </c>
      <c r="V105" s="1" t="s">
        <v>58</v>
      </c>
      <c r="W105" s="1" t="s">
        <v>70</v>
      </c>
      <c r="X105" s="1" t="s">
        <v>59</v>
      </c>
      <c r="Z105" s="1" t="s">
        <v>89</v>
      </c>
      <c r="AA105" s="1">
        <v>50.0</v>
      </c>
      <c r="AB105" s="1" t="s">
        <v>62</v>
      </c>
      <c r="AC105" s="1" t="s">
        <v>51</v>
      </c>
      <c r="AD105" s="1" t="s">
        <v>59</v>
      </c>
      <c r="AE105" s="1" t="s">
        <v>51</v>
      </c>
      <c r="AF105" s="1" t="s">
        <v>51</v>
      </c>
      <c r="AG105" s="1" t="s">
        <v>51</v>
      </c>
      <c r="AH105" s="1">
        <v>50.0</v>
      </c>
      <c r="AI105" s="1">
        <v>0.0</v>
      </c>
      <c r="AJ105" s="1">
        <v>0.0</v>
      </c>
      <c r="AK105" s="1">
        <v>0.0</v>
      </c>
      <c r="AL105" s="1">
        <v>1.0</v>
      </c>
      <c r="AM105" s="1" t="s">
        <v>72</v>
      </c>
      <c r="AP105" s="1">
        <v>4.89158046E8</v>
      </c>
      <c r="AQ105" s="1" t="s">
        <v>222</v>
      </c>
      <c r="AR105" s="1">
        <v>45807.20084</v>
      </c>
      <c r="AU105" s="1" t="s">
        <v>64</v>
      </c>
      <c r="AW105" s="1" t="s">
        <v>191</v>
      </c>
      <c r="AY105" s="1">
        <v>99.0</v>
      </c>
    </row>
    <row r="106">
      <c r="A106" s="1" t="s">
        <v>51</v>
      </c>
      <c r="C106" s="1" t="s">
        <v>53</v>
      </c>
      <c r="E106" s="1" t="s">
        <v>53</v>
      </c>
      <c r="F106" s="1" t="s">
        <v>54</v>
      </c>
      <c r="G106" s="1">
        <v>30.0</v>
      </c>
      <c r="H106" s="1" t="s">
        <v>66</v>
      </c>
      <c r="I106" s="1" t="s">
        <v>121</v>
      </c>
      <c r="J106" s="1" t="s">
        <v>86</v>
      </c>
      <c r="K106" s="1" t="s">
        <v>87</v>
      </c>
      <c r="M106" s="1" t="s">
        <v>69</v>
      </c>
      <c r="N106" s="1" t="s">
        <v>58</v>
      </c>
      <c r="O106" s="1" t="s">
        <v>69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81</v>
      </c>
      <c r="Y106" s="1" t="s">
        <v>82</v>
      </c>
      <c r="Z106" s="1" t="s">
        <v>89</v>
      </c>
      <c r="AA106" s="1">
        <v>100.0</v>
      </c>
      <c r="AB106" s="1" t="s">
        <v>79</v>
      </c>
      <c r="AC106" s="1" t="s">
        <v>71</v>
      </c>
      <c r="AF106" s="1" t="s">
        <v>51</v>
      </c>
      <c r="AG106" s="1" t="s">
        <v>51</v>
      </c>
      <c r="AH106" s="1">
        <v>125.0</v>
      </c>
      <c r="AI106" s="1">
        <v>1.0</v>
      </c>
      <c r="AJ106" s="1">
        <v>1.0</v>
      </c>
      <c r="AK106" s="1">
        <v>1.0</v>
      </c>
      <c r="AL106" s="1">
        <v>0.0</v>
      </c>
      <c r="AM106" s="1" t="s">
        <v>51</v>
      </c>
      <c r="AN106" s="1">
        <v>7.22406196E8</v>
      </c>
      <c r="AP106" s="1">
        <v>4.8916466E8</v>
      </c>
      <c r="AQ106" s="1" t="s">
        <v>223</v>
      </c>
      <c r="AR106" s="1">
        <v>45807.21714</v>
      </c>
      <c r="AU106" s="1" t="s">
        <v>64</v>
      </c>
      <c r="AW106" s="1" t="s">
        <v>191</v>
      </c>
      <c r="AY106" s="1">
        <v>100.0</v>
      </c>
    </row>
    <row r="107">
      <c r="A107" s="1" t="s">
        <v>51</v>
      </c>
      <c r="C107" s="1" t="s">
        <v>52</v>
      </c>
      <c r="E107" s="1" t="s">
        <v>53</v>
      </c>
      <c r="F107" s="1" t="s">
        <v>54</v>
      </c>
      <c r="G107" s="1">
        <v>40.0</v>
      </c>
      <c r="H107" s="1" t="s">
        <v>55</v>
      </c>
      <c r="I107" s="1" t="s">
        <v>67</v>
      </c>
      <c r="J107" s="1" t="s">
        <v>86</v>
      </c>
      <c r="K107" s="1" t="s">
        <v>87</v>
      </c>
      <c r="M107" s="1" t="s">
        <v>58</v>
      </c>
      <c r="N107" s="1" t="s">
        <v>58</v>
      </c>
      <c r="O107" s="1" t="s">
        <v>69</v>
      </c>
      <c r="Q107" s="1" t="s">
        <v>69</v>
      </c>
      <c r="R107" s="1" t="s">
        <v>58</v>
      </c>
      <c r="S107" s="1" t="s">
        <v>69</v>
      </c>
      <c r="T107" s="1" t="s">
        <v>69</v>
      </c>
      <c r="U107" s="1" t="s">
        <v>58</v>
      </c>
      <c r="V107" s="1" t="s">
        <v>58</v>
      </c>
      <c r="W107" s="1" t="s">
        <v>69</v>
      </c>
      <c r="X107" s="1" t="s">
        <v>88</v>
      </c>
      <c r="Y107" s="1" t="s">
        <v>95</v>
      </c>
      <c r="Z107" s="1" t="s">
        <v>96</v>
      </c>
      <c r="AA107" s="1">
        <v>100.0</v>
      </c>
      <c r="AB107" s="1" t="s">
        <v>79</v>
      </c>
      <c r="AC107" s="1" t="s">
        <v>51</v>
      </c>
      <c r="AD107" s="1" t="s">
        <v>103</v>
      </c>
      <c r="AE107" s="1" t="s">
        <v>51</v>
      </c>
      <c r="AF107" s="1" t="s">
        <v>51</v>
      </c>
      <c r="AG107" s="1" t="s">
        <v>72</v>
      </c>
      <c r="AI107" s="1">
        <v>0.0</v>
      </c>
      <c r="AJ107" s="1">
        <v>1.0</v>
      </c>
      <c r="AK107" s="1">
        <v>0.0</v>
      </c>
      <c r="AL107" s="1">
        <v>0.0</v>
      </c>
      <c r="AM107" s="1" t="s">
        <v>51</v>
      </c>
      <c r="AN107" s="1">
        <v>7.49037713E8</v>
      </c>
      <c r="AP107" s="1">
        <v>4.89165434E8</v>
      </c>
      <c r="AQ107" s="1" t="s">
        <v>224</v>
      </c>
      <c r="AR107" s="1">
        <v>45807.21875</v>
      </c>
      <c r="AU107" s="1" t="s">
        <v>64</v>
      </c>
      <c r="AW107" s="1" t="s">
        <v>191</v>
      </c>
      <c r="AY107" s="1">
        <v>101.0</v>
      </c>
    </row>
    <row r="108">
      <c r="A108" s="1" t="s">
        <v>51</v>
      </c>
      <c r="C108" s="1" t="s">
        <v>53</v>
      </c>
      <c r="E108" s="1" t="s">
        <v>53</v>
      </c>
      <c r="F108" s="1" t="s">
        <v>225</v>
      </c>
      <c r="G108" s="1">
        <v>37.0</v>
      </c>
      <c r="H108" s="1" t="s">
        <v>66</v>
      </c>
      <c r="I108" s="1" t="s">
        <v>121</v>
      </c>
      <c r="J108" s="1" t="s">
        <v>56</v>
      </c>
      <c r="K108" s="1" t="s">
        <v>87</v>
      </c>
      <c r="M108" s="1" t="s">
        <v>58</v>
      </c>
      <c r="N108" s="1" t="s">
        <v>58</v>
      </c>
      <c r="O108" s="1" t="s">
        <v>58</v>
      </c>
      <c r="Q108" s="1" t="s">
        <v>69</v>
      </c>
      <c r="R108" s="1" t="s">
        <v>58</v>
      </c>
      <c r="S108" s="1" t="s">
        <v>58</v>
      </c>
      <c r="T108" s="1" t="s">
        <v>69</v>
      </c>
      <c r="U108" s="1" t="s">
        <v>58</v>
      </c>
      <c r="V108" s="1" t="s">
        <v>58</v>
      </c>
      <c r="W108" s="1" t="s">
        <v>69</v>
      </c>
      <c r="X108" s="1" t="s">
        <v>59</v>
      </c>
      <c r="Y108" s="1" t="s">
        <v>60</v>
      </c>
      <c r="Z108" s="1" t="s">
        <v>61</v>
      </c>
      <c r="AA108" s="1">
        <v>50.0</v>
      </c>
      <c r="AB108" s="1" t="s">
        <v>79</v>
      </c>
      <c r="AC108" s="1" t="s">
        <v>71</v>
      </c>
      <c r="AF108" s="1" t="s">
        <v>51</v>
      </c>
      <c r="AG108" s="1" t="s">
        <v>51</v>
      </c>
      <c r="AI108" s="1">
        <v>1.0</v>
      </c>
      <c r="AJ108" s="1">
        <v>1.0</v>
      </c>
      <c r="AK108" s="1">
        <v>1.0</v>
      </c>
      <c r="AL108" s="1">
        <v>0.0</v>
      </c>
      <c r="AM108" s="1" t="s">
        <v>51</v>
      </c>
      <c r="AN108" s="1">
        <v>7.63000151E8</v>
      </c>
      <c r="AP108" s="1">
        <v>4.89181341E8</v>
      </c>
      <c r="AQ108" s="1" t="s">
        <v>226</v>
      </c>
      <c r="AR108" s="1">
        <v>45807.25044</v>
      </c>
      <c r="AU108" s="1" t="s">
        <v>64</v>
      </c>
      <c r="AW108" s="1" t="s">
        <v>191</v>
      </c>
      <c r="AY108" s="1">
        <v>102.0</v>
      </c>
    </row>
    <row r="109">
      <c r="A109" s="1" t="s">
        <v>51</v>
      </c>
      <c r="C109" s="1" t="s">
        <v>151</v>
      </c>
      <c r="E109" s="1" t="s">
        <v>151</v>
      </c>
      <c r="G109" s="1">
        <v>39.0</v>
      </c>
      <c r="H109" s="1" t="s">
        <v>66</v>
      </c>
      <c r="J109" s="1" t="s">
        <v>86</v>
      </c>
      <c r="K109" s="1" t="s">
        <v>87</v>
      </c>
      <c r="M109" s="1" t="s">
        <v>58</v>
      </c>
      <c r="N109" s="1" t="s">
        <v>70</v>
      </c>
      <c r="O109" s="1" t="s">
        <v>69</v>
      </c>
      <c r="Q109" s="1" t="s">
        <v>69</v>
      </c>
      <c r="R109" s="1" t="s">
        <v>58</v>
      </c>
      <c r="S109" s="1" t="s">
        <v>69</v>
      </c>
      <c r="T109" s="1" t="s">
        <v>69</v>
      </c>
      <c r="U109" s="1" t="s">
        <v>58</v>
      </c>
      <c r="V109" s="1" t="s">
        <v>69</v>
      </c>
      <c r="W109" s="1" t="s">
        <v>69</v>
      </c>
      <c r="X109" s="1" t="s">
        <v>103</v>
      </c>
      <c r="Y109" s="1" t="s">
        <v>227</v>
      </c>
      <c r="Z109" s="1" t="s">
        <v>96</v>
      </c>
      <c r="AA109" s="1">
        <v>10.0</v>
      </c>
      <c r="AB109" s="1" t="s">
        <v>79</v>
      </c>
      <c r="AC109" s="1" t="s">
        <v>71</v>
      </c>
      <c r="AF109" s="1" t="s">
        <v>51</v>
      </c>
      <c r="AG109" s="1" t="s">
        <v>51</v>
      </c>
      <c r="AH109" s="1">
        <v>4000.0</v>
      </c>
      <c r="AI109" s="1">
        <v>1.0</v>
      </c>
      <c r="AJ109" s="1">
        <v>1.0</v>
      </c>
      <c r="AK109" s="1">
        <v>0.0</v>
      </c>
      <c r="AL109" s="1">
        <v>0.0</v>
      </c>
      <c r="AP109" s="1">
        <v>4.89189157E8</v>
      </c>
      <c r="AQ109" s="1" t="s">
        <v>228</v>
      </c>
      <c r="AR109" s="1">
        <v>45807.26234</v>
      </c>
      <c r="AU109" s="1" t="s">
        <v>64</v>
      </c>
      <c r="AW109" s="1" t="s">
        <v>191</v>
      </c>
      <c r="AY109" s="1">
        <v>103.0</v>
      </c>
    </row>
    <row r="110">
      <c r="A110" s="1" t="s">
        <v>51</v>
      </c>
      <c r="C110" s="1" t="s">
        <v>151</v>
      </c>
      <c r="E110" s="1" t="s">
        <v>151</v>
      </c>
      <c r="G110" s="1">
        <v>37.0</v>
      </c>
      <c r="H110" s="1" t="s">
        <v>55</v>
      </c>
      <c r="J110" s="1" t="s">
        <v>56</v>
      </c>
      <c r="K110" s="1" t="s">
        <v>92</v>
      </c>
      <c r="M110" s="1" t="s">
        <v>58</v>
      </c>
      <c r="N110" s="1" t="s">
        <v>58</v>
      </c>
      <c r="O110" s="1" t="s">
        <v>69</v>
      </c>
      <c r="Q110" s="1" t="s">
        <v>69</v>
      </c>
      <c r="R110" s="1" t="s">
        <v>58</v>
      </c>
      <c r="S110" s="1" t="s">
        <v>58</v>
      </c>
      <c r="T110" s="1" t="s">
        <v>58</v>
      </c>
      <c r="U110" s="1" t="s">
        <v>69</v>
      </c>
      <c r="V110" s="1" t="s">
        <v>58</v>
      </c>
      <c r="W110" s="1" t="s">
        <v>69</v>
      </c>
      <c r="X110" s="1" t="s">
        <v>81</v>
      </c>
      <c r="Y110" s="1" t="s">
        <v>60</v>
      </c>
      <c r="Z110" s="1" t="s">
        <v>89</v>
      </c>
      <c r="AA110" s="1">
        <v>100.0</v>
      </c>
      <c r="AB110" s="1" t="s">
        <v>62</v>
      </c>
      <c r="AC110" s="1" t="s">
        <v>71</v>
      </c>
      <c r="AF110" s="1" t="s">
        <v>51</v>
      </c>
      <c r="AG110" s="1" t="s">
        <v>72</v>
      </c>
      <c r="AI110" s="1">
        <v>0.0</v>
      </c>
      <c r="AJ110" s="1">
        <v>0.0</v>
      </c>
      <c r="AK110" s="1">
        <v>0.0</v>
      </c>
      <c r="AL110" s="1">
        <v>1.0</v>
      </c>
      <c r="AP110" s="1">
        <v>4.89193078E8</v>
      </c>
      <c r="AQ110" s="1" t="s">
        <v>229</v>
      </c>
      <c r="AR110" s="1">
        <v>45807.26929</v>
      </c>
      <c r="AU110" s="1" t="s">
        <v>64</v>
      </c>
      <c r="AW110" s="1" t="s">
        <v>191</v>
      </c>
      <c r="AY110" s="1">
        <v>104.0</v>
      </c>
    </row>
    <row r="111">
      <c r="A111" s="1" t="s">
        <v>51</v>
      </c>
      <c r="C111" s="1" t="s">
        <v>151</v>
      </c>
      <c r="E111" s="1" t="s">
        <v>53</v>
      </c>
      <c r="F111" s="1" t="s">
        <v>102</v>
      </c>
      <c r="G111" s="1">
        <v>39.0</v>
      </c>
      <c r="H111" s="1" t="s">
        <v>55</v>
      </c>
      <c r="I111" s="1" t="s">
        <v>67</v>
      </c>
      <c r="J111" s="1" t="s">
        <v>86</v>
      </c>
      <c r="K111" s="1" t="s">
        <v>87</v>
      </c>
      <c r="M111" s="1" t="s">
        <v>58</v>
      </c>
      <c r="N111" s="1" t="s">
        <v>58</v>
      </c>
      <c r="O111" s="1" t="s">
        <v>58</v>
      </c>
      <c r="Q111" s="1" t="s">
        <v>58</v>
      </c>
      <c r="R111" s="1" t="s">
        <v>58</v>
      </c>
      <c r="S111" s="1" t="s">
        <v>70</v>
      </c>
      <c r="T111" s="1" t="s">
        <v>70</v>
      </c>
      <c r="U111" s="1" t="s">
        <v>58</v>
      </c>
      <c r="V111" s="1" t="s">
        <v>58</v>
      </c>
      <c r="W111" s="1" t="s">
        <v>69</v>
      </c>
      <c r="X111" s="1" t="s">
        <v>59</v>
      </c>
      <c r="Y111" s="1" t="s">
        <v>95</v>
      </c>
      <c r="Z111" s="1" t="s">
        <v>89</v>
      </c>
      <c r="AA111" s="1">
        <v>100.0</v>
      </c>
      <c r="AB111" s="1" t="s">
        <v>79</v>
      </c>
      <c r="AC111" s="1" t="s">
        <v>71</v>
      </c>
      <c r="AF111" s="1" t="s">
        <v>51</v>
      </c>
      <c r="AG111" s="1" t="s">
        <v>72</v>
      </c>
      <c r="AI111" s="1">
        <v>0.0</v>
      </c>
      <c r="AJ111" s="1">
        <v>0.0</v>
      </c>
      <c r="AK111" s="1">
        <v>0.0</v>
      </c>
      <c r="AL111" s="1">
        <v>1.0</v>
      </c>
      <c r="AM111" s="1" t="s">
        <v>72</v>
      </c>
      <c r="AP111" s="1">
        <v>4.89233461E8</v>
      </c>
      <c r="AQ111" s="1" t="s">
        <v>230</v>
      </c>
      <c r="AR111" s="1">
        <v>45807.32931</v>
      </c>
      <c r="AU111" s="1" t="s">
        <v>64</v>
      </c>
      <c r="AW111" s="1" t="s">
        <v>191</v>
      </c>
      <c r="AY111" s="1">
        <v>105.0</v>
      </c>
    </row>
    <row r="112">
      <c r="A112" s="1" t="s">
        <v>51</v>
      </c>
      <c r="C112" s="1" t="s">
        <v>53</v>
      </c>
      <c r="E112" s="1" t="s">
        <v>53</v>
      </c>
      <c r="F112" s="1" t="s">
        <v>102</v>
      </c>
      <c r="G112" s="1">
        <v>20.0</v>
      </c>
      <c r="H112" s="1" t="s">
        <v>66</v>
      </c>
      <c r="I112" s="1" t="s">
        <v>121</v>
      </c>
      <c r="J112" s="1" t="s">
        <v>56</v>
      </c>
      <c r="K112" s="1" t="s">
        <v>74</v>
      </c>
      <c r="M112" s="1" t="s">
        <v>58</v>
      </c>
      <c r="N112" s="1" t="s">
        <v>58</v>
      </c>
      <c r="O112" s="1" t="s">
        <v>58</v>
      </c>
      <c r="Q112" s="1" t="s">
        <v>69</v>
      </c>
      <c r="R112" s="1" t="s">
        <v>70</v>
      </c>
      <c r="S112" s="1" t="s">
        <v>69</v>
      </c>
      <c r="T112" s="1" t="s">
        <v>69</v>
      </c>
      <c r="U112" s="1" t="s">
        <v>58</v>
      </c>
      <c r="V112" s="1" t="s">
        <v>58</v>
      </c>
      <c r="W112" s="1" t="s">
        <v>69</v>
      </c>
      <c r="X112" s="1" t="s">
        <v>81</v>
      </c>
      <c r="Y112" s="1" t="s">
        <v>82</v>
      </c>
      <c r="Z112" s="1" t="s">
        <v>89</v>
      </c>
      <c r="AA112" s="1">
        <v>50.0</v>
      </c>
      <c r="AB112" s="1" t="s">
        <v>79</v>
      </c>
      <c r="AC112" s="1" t="s">
        <v>51</v>
      </c>
      <c r="AD112" s="1" t="s">
        <v>81</v>
      </c>
      <c r="AE112" s="1" t="s">
        <v>72</v>
      </c>
      <c r="AF112" s="1" t="s">
        <v>51</v>
      </c>
      <c r="AG112" s="1" t="s">
        <v>51</v>
      </c>
      <c r="AH112" s="1">
        <v>15000.0</v>
      </c>
      <c r="AI112" s="1">
        <v>0.0</v>
      </c>
      <c r="AJ112" s="1">
        <v>1.0</v>
      </c>
      <c r="AK112" s="1">
        <v>0.0</v>
      </c>
      <c r="AL112" s="1">
        <v>0.0</v>
      </c>
      <c r="AM112" s="1" t="s">
        <v>51</v>
      </c>
      <c r="AN112" s="1">
        <v>7.9184213E7</v>
      </c>
      <c r="AP112" s="1">
        <v>4.89236468E8</v>
      </c>
      <c r="AQ112" s="1" t="s">
        <v>231</v>
      </c>
      <c r="AR112" s="1">
        <v>45807.33255</v>
      </c>
      <c r="AU112" s="1" t="s">
        <v>64</v>
      </c>
      <c r="AW112" s="1" t="s">
        <v>191</v>
      </c>
      <c r="AY112" s="1">
        <v>106.0</v>
      </c>
    </row>
    <row r="113">
      <c r="A113" s="1" t="s">
        <v>51</v>
      </c>
      <c r="C113" s="1" t="s">
        <v>151</v>
      </c>
      <c r="E113" s="1" t="s">
        <v>53</v>
      </c>
      <c r="F113" s="1" t="s">
        <v>232</v>
      </c>
      <c r="G113" s="1">
        <v>67.0</v>
      </c>
      <c r="H113" s="1" t="s">
        <v>233</v>
      </c>
      <c r="I113" s="1" t="s">
        <v>67</v>
      </c>
      <c r="J113" s="1" t="s">
        <v>68</v>
      </c>
      <c r="K113" s="1" t="s">
        <v>57</v>
      </c>
      <c r="M113" s="1" t="s">
        <v>58</v>
      </c>
      <c r="N113" s="1" t="s">
        <v>58</v>
      </c>
      <c r="O113" s="1" t="s">
        <v>69</v>
      </c>
      <c r="Q113" s="1" t="s">
        <v>70</v>
      </c>
      <c r="R113" s="1" t="s">
        <v>58</v>
      </c>
      <c r="S113" s="1" t="s">
        <v>70</v>
      </c>
      <c r="T113" s="1" t="s">
        <v>69</v>
      </c>
      <c r="U113" s="1" t="s">
        <v>70</v>
      </c>
      <c r="V113" s="1" t="s">
        <v>69</v>
      </c>
      <c r="W113" s="1" t="s">
        <v>58</v>
      </c>
      <c r="X113" s="1" t="s">
        <v>59</v>
      </c>
      <c r="Y113" s="1" t="s">
        <v>82</v>
      </c>
      <c r="Z113" s="1" t="s">
        <v>61</v>
      </c>
      <c r="AA113" s="1">
        <v>10.0</v>
      </c>
      <c r="AB113" s="1" t="s">
        <v>28</v>
      </c>
      <c r="AC113" s="1" t="s">
        <v>71</v>
      </c>
      <c r="AF113" s="1" t="s">
        <v>51</v>
      </c>
      <c r="AG113" s="1" t="s">
        <v>51</v>
      </c>
      <c r="AH113" s="1">
        <v>1000.0</v>
      </c>
      <c r="AI113" s="1">
        <v>0.0</v>
      </c>
      <c r="AJ113" s="1">
        <v>0.0</v>
      </c>
      <c r="AK113" s="1">
        <v>0.0</v>
      </c>
      <c r="AL113" s="1">
        <v>1.0</v>
      </c>
      <c r="AM113" s="1" t="s">
        <v>51</v>
      </c>
      <c r="AN113" s="1">
        <v>6.06449998E8</v>
      </c>
      <c r="AP113" s="1">
        <v>4.89241333E8</v>
      </c>
      <c r="AQ113" s="1" t="s">
        <v>234</v>
      </c>
      <c r="AR113" s="1">
        <v>45807.3388</v>
      </c>
      <c r="AU113" s="1" t="s">
        <v>64</v>
      </c>
      <c r="AW113" s="1" t="s">
        <v>191</v>
      </c>
      <c r="AY113" s="1">
        <v>107.0</v>
      </c>
    </row>
    <row r="114">
      <c r="A114" s="1" t="s">
        <v>51</v>
      </c>
      <c r="C114" s="1" t="s">
        <v>151</v>
      </c>
      <c r="E114" s="1" t="s">
        <v>151</v>
      </c>
      <c r="G114" s="1">
        <v>38.0</v>
      </c>
      <c r="H114" s="1" t="s">
        <v>66</v>
      </c>
      <c r="J114" s="1" t="s">
        <v>86</v>
      </c>
      <c r="K114" s="1" t="s">
        <v>87</v>
      </c>
      <c r="M114" s="1" t="s">
        <v>58</v>
      </c>
      <c r="N114" s="1" t="s">
        <v>58</v>
      </c>
      <c r="O114" s="1" t="s">
        <v>58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58</v>
      </c>
      <c r="V114" s="1" t="s">
        <v>69</v>
      </c>
      <c r="W114" s="1" t="s">
        <v>69</v>
      </c>
      <c r="X114" s="1" t="s">
        <v>81</v>
      </c>
      <c r="Y114" s="1" t="s">
        <v>82</v>
      </c>
      <c r="Z114" s="1" t="s">
        <v>89</v>
      </c>
      <c r="AA114" s="1">
        <v>100.0</v>
      </c>
      <c r="AB114" s="1" t="s">
        <v>28</v>
      </c>
      <c r="AC114" s="1" t="s">
        <v>51</v>
      </c>
      <c r="AD114" s="1" t="s">
        <v>81</v>
      </c>
      <c r="AE114" s="1" t="s">
        <v>51</v>
      </c>
      <c r="AF114" s="1" t="s">
        <v>51</v>
      </c>
      <c r="AG114" s="1" t="s">
        <v>51</v>
      </c>
      <c r="AH114" s="1">
        <v>2000.0</v>
      </c>
      <c r="AI114" s="1">
        <v>1.0</v>
      </c>
      <c r="AJ114" s="1">
        <v>1.0</v>
      </c>
      <c r="AK114" s="1">
        <v>0.0</v>
      </c>
      <c r="AL114" s="1">
        <v>0.0</v>
      </c>
      <c r="AP114" s="1">
        <v>4.89249492E8</v>
      </c>
      <c r="AQ114" s="1" t="s">
        <v>235</v>
      </c>
      <c r="AR114" s="1">
        <v>45807.34833</v>
      </c>
      <c r="AU114" s="1" t="s">
        <v>64</v>
      </c>
      <c r="AW114" s="1" t="s">
        <v>191</v>
      </c>
      <c r="AY114" s="1">
        <v>108.0</v>
      </c>
    </row>
    <row r="115">
      <c r="A115" s="1" t="s">
        <v>51</v>
      </c>
      <c r="C115" s="1" t="s">
        <v>170</v>
      </c>
      <c r="E115" s="1" t="s">
        <v>53</v>
      </c>
      <c r="F115" s="1" t="s">
        <v>102</v>
      </c>
      <c r="G115" s="1">
        <v>32.0</v>
      </c>
      <c r="I115" s="1" t="s">
        <v>67</v>
      </c>
      <c r="J115" s="1" t="s">
        <v>56</v>
      </c>
      <c r="K115" s="1" t="s">
        <v>74</v>
      </c>
      <c r="M115" s="1" t="s">
        <v>58</v>
      </c>
      <c r="N115" s="1" t="s">
        <v>58</v>
      </c>
      <c r="O115" s="1" t="s">
        <v>69</v>
      </c>
      <c r="Q115" s="1" t="s">
        <v>58</v>
      </c>
      <c r="R115" s="1" t="s">
        <v>58</v>
      </c>
      <c r="S115" s="1" t="s">
        <v>58</v>
      </c>
      <c r="T115" s="1" t="s">
        <v>70</v>
      </c>
      <c r="U115" s="1" t="s">
        <v>58</v>
      </c>
      <c r="V115" s="1" t="s">
        <v>70</v>
      </c>
      <c r="W115" s="1" t="s">
        <v>70</v>
      </c>
      <c r="X115" s="1" t="s">
        <v>81</v>
      </c>
      <c r="Y115" s="1" t="s">
        <v>82</v>
      </c>
      <c r="Z115" s="1" t="s">
        <v>89</v>
      </c>
      <c r="AA115" s="1">
        <v>10.0</v>
      </c>
      <c r="AB115" s="1" t="s">
        <v>79</v>
      </c>
      <c r="AC115" s="1" t="s">
        <v>51</v>
      </c>
      <c r="AD115" s="1" t="s">
        <v>81</v>
      </c>
      <c r="AE115" s="1" t="s">
        <v>51</v>
      </c>
      <c r="AF115" s="1" t="s">
        <v>51</v>
      </c>
      <c r="AG115" s="1" t="s">
        <v>51</v>
      </c>
      <c r="AH115" s="1">
        <v>500.0</v>
      </c>
      <c r="AI115" s="1">
        <v>0.0</v>
      </c>
      <c r="AJ115" s="1">
        <v>0.0</v>
      </c>
      <c r="AK115" s="1">
        <v>0.0</v>
      </c>
      <c r="AL115" s="1">
        <v>1.0</v>
      </c>
      <c r="AM115" s="1" t="s">
        <v>51</v>
      </c>
      <c r="AN115" s="1">
        <v>8.15520878E8</v>
      </c>
      <c r="AP115" s="1">
        <v>4.89250792E8</v>
      </c>
      <c r="AQ115" s="1" t="s">
        <v>236</v>
      </c>
      <c r="AR115" s="1">
        <v>45807.35</v>
      </c>
      <c r="AU115" s="1" t="s">
        <v>64</v>
      </c>
      <c r="AW115" s="1" t="s">
        <v>191</v>
      </c>
      <c r="AY115" s="1">
        <v>109.0</v>
      </c>
    </row>
    <row r="116">
      <c r="A116" s="1" t="s">
        <v>51</v>
      </c>
      <c r="C116" s="1" t="s">
        <v>53</v>
      </c>
      <c r="E116" s="1" t="s">
        <v>151</v>
      </c>
      <c r="G116" s="1">
        <v>28.0</v>
      </c>
      <c r="H116" s="1" t="s">
        <v>233</v>
      </c>
      <c r="J116" s="1" t="s">
        <v>56</v>
      </c>
      <c r="K116" s="1" t="s">
        <v>74</v>
      </c>
      <c r="M116" s="1" t="s">
        <v>58</v>
      </c>
      <c r="N116" s="1" t="s">
        <v>58</v>
      </c>
      <c r="O116" s="1" t="s">
        <v>58</v>
      </c>
      <c r="Q116" s="1" t="s">
        <v>58</v>
      </c>
      <c r="R116" s="1" t="s">
        <v>58</v>
      </c>
      <c r="S116" s="1" t="s">
        <v>70</v>
      </c>
      <c r="T116" s="1" t="s">
        <v>69</v>
      </c>
      <c r="U116" s="1" t="s">
        <v>58</v>
      </c>
      <c r="V116" s="1" t="s">
        <v>58</v>
      </c>
      <c r="W116" s="1" t="s">
        <v>69</v>
      </c>
      <c r="X116" s="1" t="s">
        <v>59</v>
      </c>
      <c r="Y116" s="1" t="s">
        <v>60</v>
      </c>
      <c r="Z116" s="1" t="s">
        <v>108</v>
      </c>
      <c r="AA116" s="1">
        <v>50.0</v>
      </c>
      <c r="AB116" s="1" t="s">
        <v>62</v>
      </c>
      <c r="AC116" s="1" t="s">
        <v>71</v>
      </c>
      <c r="AF116" s="1" t="s">
        <v>51</v>
      </c>
      <c r="AG116" s="1" t="s">
        <v>51</v>
      </c>
      <c r="AH116" s="1">
        <v>600.0</v>
      </c>
      <c r="AI116" s="1">
        <v>0.0</v>
      </c>
      <c r="AJ116" s="1">
        <v>1.0</v>
      </c>
      <c r="AK116" s="1">
        <v>1.0</v>
      </c>
      <c r="AL116" s="1">
        <v>0.0</v>
      </c>
      <c r="AP116" s="1">
        <v>4.89263708E8</v>
      </c>
      <c r="AQ116" s="1" t="s">
        <v>237</v>
      </c>
      <c r="AR116" s="1">
        <v>45807.36616</v>
      </c>
      <c r="AU116" s="1" t="s">
        <v>64</v>
      </c>
      <c r="AW116" s="1" t="s">
        <v>191</v>
      </c>
      <c r="AY116" s="1">
        <v>110.0</v>
      </c>
    </row>
    <row r="117">
      <c r="A117" s="1" t="s">
        <v>51</v>
      </c>
      <c r="C117" s="1" t="s">
        <v>151</v>
      </c>
      <c r="E117" s="1" t="s">
        <v>151</v>
      </c>
      <c r="G117" s="1">
        <v>25.0</v>
      </c>
      <c r="H117" s="1" t="s">
        <v>66</v>
      </c>
      <c r="J117" s="1" t="s">
        <v>111</v>
      </c>
      <c r="M117" s="1" t="s">
        <v>58</v>
      </c>
      <c r="N117" s="1" t="s">
        <v>58</v>
      </c>
      <c r="O117" s="1" t="s">
        <v>69</v>
      </c>
      <c r="Q117" s="1" t="s">
        <v>58</v>
      </c>
      <c r="R117" s="1" t="s">
        <v>58</v>
      </c>
      <c r="S117" s="1" t="s">
        <v>69</v>
      </c>
      <c r="T117" s="1" t="s">
        <v>69</v>
      </c>
      <c r="U117" s="1" t="s">
        <v>70</v>
      </c>
      <c r="V117" s="1" t="s">
        <v>58</v>
      </c>
      <c r="W117" s="1" t="s">
        <v>58</v>
      </c>
      <c r="X117" s="1" t="s">
        <v>81</v>
      </c>
      <c r="Y117" s="1" t="s">
        <v>60</v>
      </c>
      <c r="Z117" s="1" t="s">
        <v>61</v>
      </c>
      <c r="AA117" s="1">
        <v>10.0</v>
      </c>
      <c r="AB117" s="1" t="s">
        <v>62</v>
      </c>
      <c r="AC117" s="1" t="s">
        <v>51</v>
      </c>
      <c r="AD117" s="1" t="s">
        <v>81</v>
      </c>
      <c r="AE117" s="1" t="s">
        <v>51</v>
      </c>
      <c r="AF117" s="1" t="s">
        <v>51</v>
      </c>
      <c r="AG117" s="1" t="s">
        <v>51</v>
      </c>
      <c r="AH117" s="1">
        <v>200.0</v>
      </c>
      <c r="AI117" s="1">
        <v>1.0</v>
      </c>
      <c r="AJ117" s="1">
        <v>0.0</v>
      </c>
      <c r="AK117" s="1">
        <v>1.0</v>
      </c>
      <c r="AL117" s="1">
        <v>0.0</v>
      </c>
      <c r="AP117" s="1">
        <v>4.89268248E8</v>
      </c>
      <c r="AQ117" s="1" t="s">
        <v>238</v>
      </c>
      <c r="AR117" s="1">
        <v>45807.37072</v>
      </c>
      <c r="AU117" s="1" t="s">
        <v>64</v>
      </c>
      <c r="AW117" s="1" t="s">
        <v>191</v>
      </c>
      <c r="AY117" s="1">
        <v>111.0</v>
      </c>
    </row>
    <row r="118">
      <c r="A118" s="1" t="s">
        <v>51</v>
      </c>
      <c r="C118" s="1" t="s">
        <v>151</v>
      </c>
      <c r="E118" s="1" t="s">
        <v>53</v>
      </c>
      <c r="F118" s="1" t="s">
        <v>54</v>
      </c>
      <c r="G118" s="1">
        <v>26.0</v>
      </c>
      <c r="H118" s="1" t="s">
        <v>55</v>
      </c>
      <c r="I118" s="1" t="s">
        <v>67</v>
      </c>
      <c r="J118" s="1" t="s">
        <v>56</v>
      </c>
      <c r="K118" s="1" t="s">
        <v>87</v>
      </c>
      <c r="M118" s="1" t="s">
        <v>58</v>
      </c>
      <c r="N118" s="1" t="s">
        <v>58</v>
      </c>
      <c r="O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59</v>
      </c>
      <c r="Y118" s="1" t="s">
        <v>60</v>
      </c>
      <c r="Z118" s="1" t="s">
        <v>89</v>
      </c>
      <c r="AA118" s="1">
        <v>10.0</v>
      </c>
      <c r="AB118" s="1" t="s">
        <v>79</v>
      </c>
      <c r="AC118" s="1" t="s">
        <v>51</v>
      </c>
      <c r="AD118" s="1" t="s">
        <v>81</v>
      </c>
      <c r="AE118" s="1" t="s">
        <v>51</v>
      </c>
      <c r="AF118" s="1" t="s">
        <v>51</v>
      </c>
      <c r="AG118" s="1" t="s">
        <v>51</v>
      </c>
      <c r="AH118" s="1">
        <v>1000.0</v>
      </c>
      <c r="AI118" s="1">
        <v>0.0</v>
      </c>
      <c r="AJ118" s="1">
        <v>1.0</v>
      </c>
      <c r="AK118" s="1">
        <v>0.0</v>
      </c>
      <c r="AL118" s="1">
        <v>0.0</v>
      </c>
      <c r="AM118" s="1" t="s">
        <v>51</v>
      </c>
      <c r="AN118" s="1">
        <v>6.32773846E8</v>
      </c>
      <c r="AP118" s="1">
        <v>4.89280512E8</v>
      </c>
      <c r="AQ118" s="1" t="s">
        <v>239</v>
      </c>
      <c r="AR118" s="1">
        <v>45807.38493</v>
      </c>
      <c r="AU118" s="1" t="s">
        <v>64</v>
      </c>
      <c r="AW118" s="1" t="s">
        <v>191</v>
      </c>
      <c r="AY118" s="1">
        <v>112.0</v>
      </c>
    </row>
    <row r="119">
      <c r="A119" s="1" t="s">
        <v>51</v>
      </c>
      <c r="C119" s="1" t="s">
        <v>154</v>
      </c>
      <c r="E119" s="1" t="s">
        <v>154</v>
      </c>
      <c r="G119" s="1">
        <v>38.0</v>
      </c>
      <c r="H119" s="1" t="s">
        <v>66</v>
      </c>
      <c r="J119" s="1" t="s">
        <v>86</v>
      </c>
      <c r="K119" s="1" t="s">
        <v>87</v>
      </c>
      <c r="M119" s="1" t="s">
        <v>58</v>
      </c>
      <c r="N119" s="1" t="s">
        <v>58</v>
      </c>
      <c r="O119" s="1" t="s">
        <v>69</v>
      </c>
      <c r="Q119" s="1" t="s">
        <v>69</v>
      </c>
      <c r="R119" s="1" t="s">
        <v>69</v>
      </c>
      <c r="S119" s="1" t="s">
        <v>58</v>
      </c>
      <c r="T119" s="1" t="s">
        <v>58</v>
      </c>
      <c r="U119" s="1" t="s">
        <v>70</v>
      </c>
      <c r="V119" s="1" t="s">
        <v>58</v>
      </c>
      <c r="W119" s="1" t="s">
        <v>70</v>
      </c>
      <c r="X119" s="1" t="s">
        <v>81</v>
      </c>
      <c r="Y119" s="1" t="s">
        <v>60</v>
      </c>
      <c r="Z119" s="1" t="s">
        <v>96</v>
      </c>
      <c r="AA119" s="1">
        <v>50.0</v>
      </c>
      <c r="AB119" s="1" t="s">
        <v>62</v>
      </c>
      <c r="AC119" s="1" t="s">
        <v>71</v>
      </c>
      <c r="AF119" s="1" t="s">
        <v>51</v>
      </c>
      <c r="AG119" s="1" t="s">
        <v>51</v>
      </c>
      <c r="AH119" s="1">
        <v>5000.0</v>
      </c>
      <c r="AI119" s="1">
        <v>0.0</v>
      </c>
      <c r="AJ119" s="1">
        <v>0.0</v>
      </c>
      <c r="AK119" s="1">
        <v>0.0</v>
      </c>
      <c r="AL119" s="1">
        <v>1.0</v>
      </c>
      <c r="AP119" s="1">
        <v>4.89360254E8</v>
      </c>
      <c r="AQ119" s="1" t="s">
        <v>240</v>
      </c>
      <c r="AR119" s="1">
        <v>45807.47441</v>
      </c>
      <c r="AU119" s="1" t="s">
        <v>64</v>
      </c>
      <c r="AW119" s="1" t="s">
        <v>191</v>
      </c>
      <c r="AY119" s="1">
        <v>113.0</v>
      </c>
    </row>
    <row r="120">
      <c r="A120" s="1" t="s">
        <v>51</v>
      </c>
      <c r="C120" s="1" t="s">
        <v>154</v>
      </c>
      <c r="E120" s="1" t="s">
        <v>154</v>
      </c>
      <c r="G120" s="1">
        <v>32.0</v>
      </c>
      <c r="H120" s="1" t="s">
        <v>66</v>
      </c>
      <c r="J120" s="1" t="s">
        <v>86</v>
      </c>
      <c r="K120" s="1" t="s">
        <v>87</v>
      </c>
      <c r="M120" s="1" t="s">
        <v>58</v>
      </c>
      <c r="N120" s="1" t="s">
        <v>58</v>
      </c>
      <c r="O120" s="1" t="s">
        <v>58</v>
      </c>
      <c r="Q120" s="1" t="s">
        <v>69</v>
      </c>
      <c r="R120" s="1" t="s">
        <v>58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59</v>
      </c>
      <c r="Y120" s="1" t="s">
        <v>95</v>
      </c>
      <c r="Z120" s="1" t="s">
        <v>89</v>
      </c>
      <c r="AA120" s="1">
        <v>100.0</v>
      </c>
      <c r="AB120" s="1" t="s">
        <v>28</v>
      </c>
      <c r="AC120" s="1" t="s">
        <v>71</v>
      </c>
      <c r="AF120" s="1" t="s">
        <v>51</v>
      </c>
      <c r="AG120" s="1" t="s">
        <v>51</v>
      </c>
      <c r="AH120" s="1">
        <v>500.0</v>
      </c>
      <c r="AI120" s="1">
        <v>1.0</v>
      </c>
      <c r="AJ120" s="1">
        <v>0.0</v>
      </c>
      <c r="AK120" s="1">
        <v>0.0</v>
      </c>
      <c r="AL120" s="1">
        <v>0.0</v>
      </c>
      <c r="AP120" s="1">
        <v>4.89382361E8</v>
      </c>
      <c r="AQ120" s="1" t="s">
        <v>241</v>
      </c>
      <c r="AR120" s="1">
        <v>45807.49598</v>
      </c>
      <c r="AU120" s="1" t="s">
        <v>64</v>
      </c>
      <c r="AW120" s="1" t="s">
        <v>191</v>
      </c>
      <c r="AY120" s="1">
        <v>114.0</v>
      </c>
    </row>
    <row r="121">
      <c r="A121" s="1" t="s">
        <v>51</v>
      </c>
      <c r="C121" s="1" t="s">
        <v>154</v>
      </c>
      <c r="E121" s="1" t="s">
        <v>154</v>
      </c>
      <c r="G121" s="1">
        <v>51.0</v>
      </c>
      <c r="H121" s="1" t="s">
        <v>66</v>
      </c>
      <c r="J121" s="1" t="s">
        <v>86</v>
      </c>
      <c r="K121" s="1" t="s">
        <v>87</v>
      </c>
      <c r="M121" s="1" t="s">
        <v>58</v>
      </c>
      <c r="N121" s="1" t="s">
        <v>58</v>
      </c>
      <c r="O121" s="1" t="s">
        <v>58</v>
      </c>
      <c r="Q121" s="1" t="s">
        <v>58</v>
      </c>
      <c r="R121" s="1" t="s">
        <v>58</v>
      </c>
      <c r="S121" s="1" t="s">
        <v>69</v>
      </c>
      <c r="T121" s="1" t="s">
        <v>69</v>
      </c>
      <c r="U121" s="1" t="s">
        <v>58</v>
      </c>
      <c r="V121" s="1" t="s">
        <v>58</v>
      </c>
      <c r="W121" s="1" t="s">
        <v>69</v>
      </c>
      <c r="X121" s="1" t="s">
        <v>59</v>
      </c>
      <c r="Y121" s="1" t="s">
        <v>82</v>
      </c>
      <c r="Z121" s="1" t="s">
        <v>89</v>
      </c>
      <c r="AA121" s="1">
        <v>30.0</v>
      </c>
      <c r="AB121" s="1" t="s">
        <v>79</v>
      </c>
      <c r="AC121" s="1" t="s">
        <v>51</v>
      </c>
      <c r="AD121" s="1" t="s">
        <v>59</v>
      </c>
      <c r="AE121" s="1" t="s">
        <v>51</v>
      </c>
      <c r="AF121" s="1" t="s">
        <v>51</v>
      </c>
      <c r="AG121" s="1" t="s">
        <v>51</v>
      </c>
      <c r="AH121" s="1">
        <v>500.0</v>
      </c>
      <c r="AI121" s="1">
        <v>1.0</v>
      </c>
      <c r="AJ121" s="1">
        <v>0.0</v>
      </c>
      <c r="AK121" s="1">
        <v>1.0</v>
      </c>
      <c r="AL121" s="1">
        <v>0.0</v>
      </c>
      <c r="AP121" s="1">
        <v>4.89384259E8</v>
      </c>
      <c r="AQ121" s="1" t="s">
        <v>242</v>
      </c>
      <c r="AR121" s="1">
        <v>45807.49796</v>
      </c>
      <c r="AU121" s="1" t="s">
        <v>64</v>
      </c>
      <c r="AW121" s="1" t="s">
        <v>191</v>
      </c>
      <c r="AY121" s="1">
        <v>115.0</v>
      </c>
    </row>
    <row r="122">
      <c r="A122" s="1" t="s">
        <v>51</v>
      </c>
      <c r="C122" s="1" t="s">
        <v>52</v>
      </c>
      <c r="E122" s="1" t="s">
        <v>154</v>
      </c>
      <c r="G122" s="1">
        <v>38.0</v>
      </c>
      <c r="H122" s="1" t="s">
        <v>55</v>
      </c>
      <c r="J122" s="1" t="s">
        <v>56</v>
      </c>
      <c r="K122" s="1" t="s">
        <v>87</v>
      </c>
      <c r="M122" s="1" t="s">
        <v>58</v>
      </c>
      <c r="N122" s="1" t="s">
        <v>58</v>
      </c>
      <c r="O122" s="1" t="s">
        <v>69</v>
      </c>
      <c r="Q122" s="1" t="s">
        <v>58</v>
      </c>
      <c r="R122" s="1" t="s">
        <v>58</v>
      </c>
      <c r="S122" s="1" t="s">
        <v>69</v>
      </c>
      <c r="T122" s="1" t="s">
        <v>69</v>
      </c>
      <c r="U122" s="1" t="s">
        <v>69</v>
      </c>
      <c r="V122" s="1" t="s">
        <v>58</v>
      </c>
      <c r="W122" s="1" t="s">
        <v>70</v>
      </c>
      <c r="X122" s="1" t="s">
        <v>88</v>
      </c>
      <c r="Y122" s="1" t="s">
        <v>95</v>
      </c>
      <c r="Z122" s="1" t="s">
        <v>108</v>
      </c>
      <c r="AA122" s="1">
        <v>100.0</v>
      </c>
      <c r="AB122" s="1" t="s">
        <v>62</v>
      </c>
      <c r="AC122" s="1" t="s">
        <v>51</v>
      </c>
      <c r="AD122" s="1" t="s">
        <v>59</v>
      </c>
      <c r="AE122" s="1" t="s">
        <v>51</v>
      </c>
      <c r="AF122" s="1" t="s">
        <v>51</v>
      </c>
      <c r="AG122" s="1" t="s">
        <v>72</v>
      </c>
      <c r="AI122" s="1">
        <v>1.0</v>
      </c>
      <c r="AJ122" s="1">
        <v>0.0</v>
      </c>
      <c r="AK122" s="1">
        <v>1.0</v>
      </c>
      <c r="AL122" s="1">
        <v>0.0</v>
      </c>
      <c r="AP122" s="1">
        <v>4.89387431E8</v>
      </c>
      <c r="AQ122" s="1" t="s">
        <v>243</v>
      </c>
      <c r="AR122" s="1">
        <v>45807.50128</v>
      </c>
      <c r="AU122" s="1" t="s">
        <v>64</v>
      </c>
      <c r="AW122" s="1" t="s">
        <v>191</v>
      </c>
      <c r="AY122" s="1">
        <v>116.0</v>
      </c>
    </row>
    <row r="123">
      <c r="A123" s="1" t="s">
        <v>51</v>
      </c>
      <c r="C123" s="1" t="s">
        <v>52</v>
      </c>
      <c r="E123" s="1" t="s">
        <v>53</v>
      </c>
      <c r="F123" s="1" t="s">
        <v>54</v>
      </c>
      <c r="G123" s="1">
        <v>29.0</v>
      </c>
      <c r="H123" s="1" t="s">
        <v>66</v>
      </c>
      <c r="I123" s="1" t="s">
        <v>67</v>
      </c>
      <c r="J123" s="1" t="s">
        <v>111</v>
      </c>
      <c r="K123" s="1" t="s">
        <v>87</v>
      </c>
      <c r="M123" s="1" t="s">
        <v>58</v>
      </c>
      <c r="N123" s="1" t="s">
        <v>58</v>
      </c>
      <c r="O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59</v>
      </c>
      <c r="Y123" s="1" t="s">
        <v>95</v>
      </c>
      <c r="Z123" s="1" t="s">
        <v>89</v>
      </c>
      <c r="AA123" s="1">
        <v>100.0</v>
      </c>
      <c r="AB123" s="1" t="s">
        <v>79</v>
      </c>
      <c r="AC123" s="1" t="s">
        <v>51</v>
      </c>
      <c r="AD123" s="1" t="s">
        <v>59</v>
      </c>
      <c r="AE123" s="1" t="s">
        <v>51</v>
      </c>
      <c r="AF123" s="1" t="s">
        <v>51</v>
      </c>
      <c r="AG123" s="1" t="s">
        <v>51</v>
      </c>
      <c r="AH123" s="1">
        <v>1000.0</v>
      </c>
      <c r="AI123" s="1">
        <v>0.0</v>
      </c>
      <c r="AJ123" s="1">
        <v>1.0</v>
      </c>
      <c r="AK123" s="1">
        <v>0.0</v>
      </c>
      <c r="AL123" s="1">
        <v>0.0</v>
      </c>
      <c r="AM123" s="1" t="s">
        <v>51</v>
      </c>
      <c r="AP123" s="1">
        <v>4.89403673E8</v>
      </c>
      <c r="AQ123" s="1" t="s">
        <v>244</v>
      </c>
      <c r="AR123" s="1">
        <v>45807.51644</v>
      </c>
      <c r="AU123" s="1" t="s">
        <v>64</v>
      </c>
      <c r="AW123" s="1" t="s">
        <v>191</v>
      </c>
      <c r="AY123" s="1">
        <v>117.0</v>
      </c>
    </row>
    <row r="124">
      <c r="A124" s="1" t="s">
        <v>51</v>
      </c>
      <c r="C124" s="1" t="s">
        <v>151</v>
      </c>
      <c r="E124" s="1" t="s">
        <v>151</v>
      </c>
      <c r="G124" s="1">
        <v>53.0</v>
      </c>
      <c r="H124" s="1" t="s">
        <v>55</v>
      </c>
      <c r="J124" s="1" t="s">
        <v>56</v>
      </c>
      <c r="K124" s="1" t="s">
        <v>74</v>
      </c>
      <c r="M124" s="1" t="s">
        <v>58</v>
      </c>
      <c r="N124" s="1" t="s">
        <v>58</v>
      </c>
      <c r="O124" s="1" t="s">
        <v>58</v>
      </c>
      <c r="Q124" s="1" t="s">
        <v>69</v>
      </c>
      <c r="S124" s="1" t="s">
        <v>58</v>
      </c>
      <c r="T124" s="1" t="s">
        <v>69</v>
      </c>
      <c r="U124" s="1" t="s">
        <v>70</v>
      </c>
      <c r="V124" s="1" t="s">
        <v>58</v>
      </c>
      <c r="W124" s="1" t="s">
        <v>58</v>
      </c>
      <c r="X124" s="1" t="s">
        <v>81</v>
      </c>
      <c r="Y124" s="1" t="s">
        <v>82</v>
      </c>
      <c r="Z124" s="1" t="s">
        <v>61</v>
      </c>
      <c r="AA124" s="1">
        <v>10.0</v>
      </c>
      <c r="AB124" s="1" t="s">
        <v>79</v>
      </c>
      <c r="AC124" s="1" t="s">
        <v>71</v>
      </c>
      <c r="AF124" s="1" t="s">
        <v>51</v>
      </c>
      <c r="AG124" s="1" t="s">
        <v>72</v>
      </c>
      <c r="AI124" s="1">
        <v>0.0</v>
      </c>
      <c r="AJ124" s="1">
        <v>0.0</v>
      </c>
      <c r="AK124" s="1">
        <v>0.0</v>
      </c>
      <c r="AL124" s="1">
        <v>1.0</v>
      </c>
      <c r="AP124" s="1">
        <v>4.89426769E8</v>
      </c>
      <c r="AQ124" s="1" t="s">
        <v>245</v>
      </c>
      <c r="AR124" s="1">
        <v>45807.5375</v>
      </c>
      <c r="AU124" s="1" t="s">
        <v>64</v>
      </c>
      <c r="AW124" s="1" t="s">
        <v>191</v>
      </c>
      <c r="AY124" s="1">
        <v>118.0</v>
      </c>
    </row>
    <row r="125">
      <c r="A125" s="1" t="s">
        <v>51</v>
      </c>
      <c r="C125" s="1" t="s">
        <v>52</v>
      </c>
      <c r="G125" s="1">
        <v>56.0</v>
      </c>
      <c r="H125" s="1" t="s">
        <v>66</v>
      </c>
      <c r="J125" s="1" t="s">
        <v>86</v>
      </c>
      <c r="K125" s="1" t="s">
        <v>87</v>
      </c>
      <c r="M125" s="1" t="s">
        <v>58</v>
      </c>
      <c r="N125" s="1" t="s">
        <v>58</v>
      </c>
      <c r="O125" s="1" t="s">
        <v>58</v>
      </c>
      <c r="Q125" s="1" t="s">
        <v>69</v>
      </c>
      <c r="R125" s="1" t="s">
        <v>58</v>
      </c>
      <c r="S125" s="1" t="s">
        <v>69</v>
      </c>
      <c r="T125" s="1" t="s">
        <v>58</v>
      </c>
      <c r="U125" s="1" t="s">
        <v>58</v>
      </c>
      <c r="V125" s="1" t="s">
        <v>58</v>
      </c>
      <c r="W125" s="1" t="s">
        <v>69</v>
      </c>
      <c r="X125" s="1" t="s">
        <v>88</v>
      </c>
      <c r="Y125" s="1" t="s">
        <v>95</v>
      </c>
      <c r="Z125" s="1" t="s">
        <v>89</v>
      </c>
      <c r="AA125" s="1">
        <v>100.0</v>
      </c>
      <c r="AB125" s="1" t="s">
        <v>79</v>
      </c>
      <c r="AC125" s="1" t="s">
        <v>51</v>
      </c>
      <c r="AD125" s="1" t="s">
        <v>88</v>
      </c>
      <c r="AE125" s="1" t="s">
        <v>72</v>
      </c>
      <c r="AF125" s="1" t="s">
        <v>51</v>
      </c>
      <c r="AG125" s="1" t="s">
        <v>72</v>
      </c>
      <c r="AI125" s="1">
        <v>0.0</v>
      </c>
      <c r="AJ125" s="1">
        <v>0.0</v>
      </c>
      <c r="AK125" s="1">
        <v>1.0</v>
      </c>
      <c r="AL125" s="1">
        <v>0.0</v>
      </c>
      <c r="AP125" s="1">
        <v>4.89436305E8</v>
      </c>
      <c r="AQ125" s="1" t="s">
        <v>246</v>
      </c>
      <c r="AR125" s="1">
        <v>45807.54647</v>
      </c>
      <c r="AU125" s="1" t="s">
        <v>64</v>
      </c>
      <c r="AW125" s="1" t="s">
        <v>191</v>
      </c>
      <c r="AY125" s="1">
        <v>119.0</v>
      </c>
    </row>
    <row r="126">
      <c r="A126" s="1" t="s">
        <v>51</v>
      </c>
      <c r="C126" s="1" t="s">
        <v>52</v>
      </c>
      <c r="E126" s="1" t="s">
        <v>53</v>
      </c>
      <c r="F126" s="1" t="s">
        <v>54</v>
      </c>
      <c r="G126" s="1">
        <v>43.0</v>
      </c>
      <c r="H126" s="1" t="s">
        <v>66</v>
      </c>
      <c r="I126" s="1" t="s">
        <v>67</v>
      </c>
      <c r="J126" s="1" t="s">
        <v>86</v>
      </c>
      <c r="K126" s="1" t="s">
        <v>87</v>
      </c>
      <c r="M126" s="1" t="s">
        <v>58</v>
      </c>
      <c r="N126" s="1" t="s">
        <v>58</v>
      </c>
      <c r="O126" s="1" t="s">
        <v>69</v>
      </c>
      <c r="Q126" s="1" t="s">
        <v>58</v>
      </c>
      <c r="R126" s="1" t="s">
        <v>58</v>
      </c>
      <c r="S126" s="1" t="s">
        <v>58</v>
      </c>
      <c r="U126" s="1" t="s">
        <v>58</v>
      </c>
      <c r="W126" s="1" t="s">
        <v>58</v>
      </c>
      <c r="X126" s="1" t="s">
        <v>88</v>
      </c>
      <c r="Y126" s="1" t="s">
        <v>95</v>
      </c>
      <c r="Z126" s="1" t="s">
        <v>61</v>
      </c>
      <c r="AA126" s="1">
        <v>100.0</v>
      </c>
      <c r="AB126" s="1" t="s">
        <v>79</v>
      </c>
      <c r="AC126" s="1" t="s">
        <v>71</v>
      </c>
      <c r="AF126" s="1" t="s">
        <v>72</v>
      </c>
      <c r="AG126" s="1" t="s">
        <v>72</v>
      </c>
      <c r="AI126" s="1">
        <v>0.0</v>
      </c>
      <c r="AJ126" s="1">
        <v>0.0</v>
      </c>
      <c r="AK126" s="1">
        <v>0.0</v>
      </c>
      <c r="AL126" s="1">
        <v>1.0</v>
      </c>
      <c r="AM126" s="1" t="s">
        <v>72</v>
      </c>
      <c r="AP126" s="1">
        <v>4.89486245E8</v>
      </c>
      <c r="AQ126" s="1" t="s">
        <v>247</v>
      </c>
      <c r="AR126" s="1">
        <v>45807.592</v>
      </c>
      <c r="AU126" s="1" t="s">
        <v>64</v>
      </c>
      <c r="AW126" s="1" t="s">
        <v>191</v>
      </c>
      <c r="AY126" s="1">
        <v>120.0</v>
      </c>
    </row>
    <row r="127">
      <c r="A127" s="1" t="s">
        <v>51</v>
      </c>
      <c r="C127" s="1" t="s">
        <v>151</v>
      </c>
      <c r="E127" s="1" t="s">
        <v>105</v>
      </c>
      <c r="G127" s="1">
        <v>23.0</v>
      </c>
      <c r="H127" s="1" t="s">
        <v>66</v>
      </c>
      <c r="J127" s="1" t="s">
        <v>56</v>
      </c>
      <c r="K127" s="1" t="s">
        <v>74</v>
      </c>
      <c r="M127" s="1" t="s">
        <v>70</v>
      </c>
      <c r="N127" s="1" t="s">
        <v>70</v>
      </c>
      <c r="O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1" t="s">
        <v>70</v>
      </c>
      <c r="W127" s="1" t="s">
        <v>70</v>
      </c>
      <c r="X127" s="1" t="s">
        <v>103</v>
      </c>
      <c r="Y127" s="1" t="s">
        <v>227</v>
      </c>
      <c r="Z127" s="1" t="s">
        <v>96</v>
      </c>
      <c r="AA127" s="1">
        <v>10.0</v>
      </c>
      <c r="AB127" s="1" t="s">
        <v>62</v>
      </c>
      <c r="AC127" s="1" t="s">
        <v>71</v>
      </c>
      <c r="AF127" s="1" t="s">
        <v>72</v>
      </c>
      <c r="AG127" s="1" t="s">
        <v>72</v>
      </c>
      <c r="AI127" s="1">
        <v>0.0</v>
      </c>
      <c r="AJ127" s="1">
        <v>0.0</v>
      </c>
      <c r="AK127" s="1">
        <v>0.0</v>
      </c>
      <c r="AL127" s="1">
        <v>1.0</v>
      </c>
      <c r="AP127" s="1">
        <v>4.89492113E8</v>
      </c>
      <c r="AQ127" s="1" t="s">
        <v>248</v>
      </c>
      <c r="AR127" s="1">
        <v>45807.59733</v>
      </c>
      <c r="AU127" s="1" t="s">
        <v>64</v>
      </c>
      <c r="AW127" s="1" t="s">
        <v>191</v>
      </c>
      <c r="AY127" s="1">
        <v>121.0</v>
      </c>
    </row>
    <row r="128">
      <c r="A128" s="1" t="s">
        <v>51</v>
      </c>
      <c r="C128" s="1" t="s">
        <v>53</v>
      </c>
      <c r="E128" s="1" t="s">
        <v>53</v>
      </c>
      <c r="F128" s="1" t="s">
        <v>115</v>
      </c>
      <c r="G128" s="1">
        <v>19.0</v>
      </c>
      <c r="H128" s="1" t="s">
        <v>66</v>
      </c>
      <c r="I128" s="1" t="s">
        <v>121</v>
      </c>
      <c r="J128" s="1" t="s">
        <v>56</v>
      </c>
      <c r="K128" s="1" t="s">
        <v>74</v>
      </c>
      <c r="M128" s="1" t="s">
        <v>58</v>
      </c>
      <c r="N128" s="1" t="s">
        <v>58</v>
      </c>
      <c r="O128" s="1" t="s">
        <v>69</v>
      </c>
      <c r="Q128" s="1" t="s">
        <v>70</v>
      </c>
      <c r="R128" s="1" t="s">
        <v>58</v>
      </c>
      <c r="S128" s="1" t="s">
        <v>58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81</v>
      </c>
      <c r="Y128" s="1" t="s">
        <v>60</v>
      </c>
      <c r="Z128" s="1" t="s">
        <v>96</v>
      </c>
      <c r="AA128" s="1">
        <v>10.0</v>
      </c>
      <c r="AB128" s="1" t="s">
        <v>62</v>
      </c>
      <c r="AC128" s="1" t="s">
        <v>71</v>
      </c>
      <c r="AF128" s="1" t="s">
        <v>51</v>
      </c>
      <c r="AG128" s="1" t="s">
        <v>51</v>
      </c>
      <c r="AH128" s="1">
        <v>1000.0</v>
      </c>
      <c r="AI128" s="1">
        <v>1.0</v>
      </c>
      <c r="AJ128" s="1">
        <v>1.0</v>
      </c>
      <c r="AK128" s="1">
        <v>1.0</v>
      </c>
      <c r="AL128" s="1">
        <v>1.0</v>
      </c>
      <c r="AM128" s="1" t="s">
        <v>51</v>
      </c>
      <c r="AN128" s="1">
        <v>7.69618784E8</v>
      </c>
      <c r="AP128" s="1">
        <v>4.89502223E8</v>
      </c>
      <c r="AQ128" s="1" t="s">
        <v>249</v>
      </c>
      <c r="AR128" s="1">
        <v>45807.60527</v>
      </c>
      <c r="AU128" s="1" t="s">
        <v>64</v>
      </c>
      <c r="AW128" s="1" t="s">
        <v>191</v>
      </c>
      <c r="AY128" s="1">
        <v>122.0</v>
      </c>
    </row>
    <row r="129">
      <c r="A129" s="1" t="s">
        <v>51</v>
      </c>
      <c r="C129" s="1" t="s">
        <v>151</v>
      </c>
      <c r="E129" s="1" t="s">
        <v>53</v>
      </c>
      <c r="F129" s="1" t="s">
        <v>183</v>
      </c>
      <c r="G129" s="1">
        <v>47.0</v>
      </c>
      <c r="H129" s="1" t="s">
        <v>66</v>
      </c>
      <c r="I129" s="1" t="s">
        <v>67</v>
      </c>
      <c r="J129" s="1" t="s">
        <v>86</v>
      </c>
      <c r="K129" s="1" t="s">
        <v>87</v>
      </c>
      <c r="M129" s="1" t="s">
        <v>58</v>
      </c>
      <c r="N129" s="1" t="s">
        <v>58</v>
      </c>
      <c r="O129" s="1" t="s">
        <v>69</v>
      </c>
      <c r="S129" s="1" t="s">
        <v>69</v>
      </c>
      <c r="U129" s="1" t="s">
        <v>70</v>
      </c>
      <c r="W129" s="1" t="s">
        <v>69</v>
      </c>
      <c r="X129" s="1" t="s">
        <v>88</v>
      </c>
      <c r="Y129" s="1" t="s">
        <v>95</v>
      </c>
      <c r="AB129" s="1" t="s">
        <v>62</v>
      </c>
      <c r="AC129" s="1" t="s">
        <v>71</v>
      </c>
      <c r="AF129" s="1" t="s">
        <v>72</v>
      </c>
      <c r="AG129" s="1" t="s">
        <v>72</v>
      </c>
      <c r="AI129" s="1">
        <v>0.0</v>
      </c>
      <c r="AJ129" s="1">
        <v>0.0</v>
      </c>
      <c r="AK129" s="1">
        <v>0.0</v>
      </c>
      <c r="AL129" s="1">
        <v>1.0</v>
      </c>
      <c r="AM129" s="1" t="s">
        <v>72</v>
      </c>
      <c r="AP129" s="1">
        <v>4.89520831E8</v>
      </c>
      <c r="AQ129" s="1" t="s">
        <v>250</v>
      </c>
      <c r="AR129" s="1">
        <v>45807.62123</v>
      </c>
      <c r="AU129" s="1" t="s">
        <v>64</v>
      </c>
      <c r="AW129" s="1" t="s">
        <v>191</v>
      </c>
      <c r="AY129" s="1">
        <v>123.0</v>
      </c>
    </row>
    <row r="130">
      <c r="A130" s="1" t="s">
        <v>51</v>
      </c>
      <c r="C130" s="1" t="s">
        <v>52</v>
      </c>
      <c r="E130" s="1" t="s">
        <v>52</v>
      </c>
      <c r="G130" s="1">
        <v>35.0</v>
      </c>
      <c r="H130" s="1" t="s">
        <v>66</v>
      </c>
      <c r="J130" s="1" t="s">
        <v>86</v>
      </c>
      <c r="K130" s="1" t="s">
        <v>87</v>
      </c>
      <c r="M130" s="1" t="s">
        <v>58</v>
      </c>
      <c r="N130" s="1" t="s">
        <v>58</v>
      </c>
      <c r="O130" s="1" t="s">
        <v>58</v>
      </c>
      <c r="Q130" s="1" t="s">
        <v>69</v>
      </c>
      <c r="R130" s="1" t="s">
        <v>58</v>
      </c>
      <c r="S130" s="1" t="s">
        <v>69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59</v>
      </c>
      <c r="Y130" s="1" t="s">
        <v>95</v>
      </c>
      <c r="Z130" s="1" t="s">
        <v>89</v>
      </c>
      <c r="AA130" s="1">
        <v>30.0</v>
      </c>
      <c r="AB130" s="1" t="s">
        <v>79</v>
      </c>
      <c r="AC130" s="1" t="s">
        <v>71</v>
      </c>
      <c r="AF130" s="1" t="s">
        <v>51</v>
      </c>
      <c r="AG130" s="1" t="s">
        <v>72</v>
      </c>
      <c r="AI130" s="1">
        <v>0.0</v>
      </c>
      <c r="AJ130" s="1">
        <v>0.0</v>
      </c>
      <c r="AK130" s="1">
        <v>1.0</v>
      </c>
      <c r="AL130" s="1">
        <v>0.0</v>
      </c>
      <c r="AP130" s="1">
        <v>4.89573455E8</v>
      </c>
      <c r="AQ130" s="1" t="s">
        <v>251</v>
      </c>
      <c r="AR130" s="1">
        <v>45807.66686</v>
      </c>
      <c r="AU130" s="1" t="s">
        <v>64</v>
      </c>
      <c r="AW130" s="1" t="s">
        <v>191</v>
      </c>
      <c r="AY130" s="1">
        <v>124.0</v>
      </c>
    </row>
    <row r="131">
      <c r="A131" s="1" t="s">
        <v>51</v>
      </c>
      <c r="G131" s="1">
        <v>35.0</v>
      </c>
      <c r="AP131" s="1">
        <v>4.89573911E8</v>
      </c>
      <c r="AQ131" s="1" t="s">
        <v>252</v>
      </c>
      <c r="AR131" s="1">
        <v>45807.66736</v>
      </c>
      <c r="AU131" s="1" t="s">
        <v>64</v>
      </c>
      <c r="AW131" s="1" t="s">
        <v>191</v>
      </c>
      <c r="AY131" s="1">
        <v>125.0</v>
      </c>
    </row>
    <row r="132">
      <c r="A132" s="1" t="s">
        <v>51</v>
      </c>
      <c r="C132" s="1" t="s">
        <v>151</v>
      </c>
      <c r="E132" s="1" t="s">
        <v>151</v>
      </c>
      <c r="G132" s="1">
        <v>43.0</v>
      </c>
      <c r="H132" s="1" t="s">
        <v>66</v>
      </c>
      <c r="J132" s="1" t="s">
        <v>68</v>
      </c>
      <c r="K132" s="1" t="s">
        <v>92</v>
      </c>
      <c r="M132" s="1" t="s">
        <v>58</v>
      </c>
      <c r="N132" s="1" t="s">
        <v>58</v>
      </c>
      <c r="O132" s="1" t="s">
        <v>58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70</v>
      </c>
      <c r="V132" s="1" t="s">
        <v>58</v>
      </c>
      <c r="W132" s="1" t="s">
        <v>58</v>
      </c>
      <c r="X132" s="1" t="s">
        <v>81</v>
      </c>
      <c r="Y132" s="1" t="s">
        <v>82</v>
      </c>
      <c r="Z132" s="1" t="s">
        <v>61</v>
      </c>
      <c r="AA132" s="1">
        <v>10.0</v>
      </c>
      <c r="AB132" s="1" t="s">
        <v>79</v>
      </c>
      <c r="AC132" s="1" t="s">
        <v>71</v>
      </c>
      <c r="AF132" s="1" t="s">
        <v>51</v>
      </c>
      <c r="AG132" s="1" t="s">
        <v>51</v>
      </c>
      <c r="AH132" s="1">
        <v>200.0</v>
      </c>
      <c r="AI132" s="1">
        <v>0.0</v>
      </c>
      <c r="AJ132" s="1">
        <v>0.0</v>
      </c>
      <c r="AK132" s="1">
        <v>1.0</v>
      </c>
      <c r="AL132" s="1">
        <v>0.0</v>
      </c>
      <c r="AP132" s="1">
        <v>4.89588789E8</v>
      </c>
      <c r="AQ132" s="1" t="s">
        <v>253</v>
      </c>
      <c r="AR132" s="1">
        <v>45807.67961</v>
      </c>
      <c r="AU132" s="1" t="s">
        <v>64</v>
      </c>
      <c r="AW132" s="1" t="s">
        <v>191</v>
      </c>
      <c r="AY132" s="1">
        <v>126.0</v>
      </c>
    </row>
    <row r="133">
      <c r="A133" s="1" t="s">
        <v>51</v>
      </c>
      <c r="C133" s="1" t="s">
        <v>151</v>
      </c>
      <c r="E133" s="1" t="s">
        <v>151</v>
      </c>
      <c r="G133" s="1">
        <v>33.0</v>
      </c>
      <c r="H133" s="1" t="s">
        <v>66</v>
      </c>
      <c r="J133" s="1" t="s">
        <v>56</v>
      </c>
      <c r="K133" s="1" t="s">
        <v>78</v>
      </c>
      <c r="M133" s="1" t="s">
        <v>58</v>
      </c>
      <c r="N133" s="1" t="s">
        <v>58</v>
      </c>
      <c r="O133" s="1" t="s">
        <v>58</v>
      </c>
      <c r="Q133" s="1" t="s">
        <v>58</v>
      </c>
      <c r="R133" s="1" t="s">
        <v>70</v>
      </c>
      <c r="S133" s="1" t="s">
        <v>58</v>
      </c>
      <c r="T133" s="1" t="s">
        <v>70</v>
      </c>
      <c r="U133" s="1" t="s">
        <v>70</v>
      </c>
      <c r="V133" s="1" t="s">
        <v>70</v>
      </c>
      <c r="W133" s="1" t="s">
        <v>58</v>
      </c>
      <c r="X133" s="1" t="s">
        <v>81</v>
      </c>
      <c r="Z133" s="1" t="s">
        <v>61</v>
      </c>
      <c r="AA133" s="1">
        <v>10.0</v>
      </c>
      <c r="AB133" s="1" t="s">
        <v>28</v>
      </c>
      <c r="AC133" s="1" t="s">
        <v>71</v>
      </c>
      <c r="AF133" s="1" t="s">
        <v>72</v>
      </c>
      <c r="AG133" s="1" t="s">
        <v>51</v>
      </c>
      <c r="AH133" s="1">
        <v>1000.0</v>
      </c>
      <c r="AI133" s="1">
        <v>0.0</v>
      </c>
      <c r="AJ133" s="1">
        <v>0.0</v>
      </c>
      <c r="AK133" s="1">
        <v>0.0</v>
      </c>
      <c r="AL133" s="1">
        <v>1.0</v>
      </c>
      <c r="AP133" s="1">
        <v>4.89629902E8</v>
      </c>
      <c r="AQ133" s="1" t="s">
        <v>254</v>
      </c>
      <c r="AR133" s="1">
        <v>45807.71866</v>
      </c>
      <c r="AU133" s="1" t="s">
        <v>64</v>
      </c>
      <c r="AW133" s="1" t="s">
        <v>255</v>
      </c>
      <c r="AY133" s="1">
        <v>127.0</v>
      </c>
    </row>
    <row r="134">
      <c r="A134" s="1" t="s">
        <v>51</v>
      </c>
      <c r="C134" s="1" t="s">
        <v>52</v>
      </c>
      <c r="E134" s="1" t="s">
        <v>105</v>
      </c>
      <c r="G134" s="1">
        <v>45.0</v>
      </c>
      <c r="H134" s="1" t="s">
        <v>55</v>
      </c>
      <c r="J134" s="1" t="s">
        <v>86</v>
      </c>
      <c r="M134" s="1" t="s">
        <v>58</v>
      </c>
      <c r="N134" s="1" t="s">
        <v>58</v>
      </c>
      <c r="O134" s="1" t="s">
        <v>58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1" t="s">
        <v>69</v>
      </c>
      <c r="X134" s="1" t="s">
        <v>88</v>
      </c>
      <c r="Y134" s="1" t="s">
        <v>95</v>
      </c>
      <c r="Z134" s="1" t="s">
        <v>108</v>
      </c>
      <c r="AA134" s="1">
        <v>100.0</v>
      </c>
      <c r="AB134" s="1" t="s">
        <v>79</v>
      </c>
      <c r="AC134" s="1" t="s">
        <v>51</v>
      </c>
      <c r="AD134" s="1" t="s">
        <v>88</v>
      </c>
      <c r="AE134" s="1" t="s">
        <v>51</v>
      </c>
      <c r="AF134" s="1" t="s">
        <v>51</v>
      </c>
      <c r="AG134" s="1" t="s">
        <v>51</v>
      </c>
      <c r="AH134" s="1">
        <v>10.0</v>
      </c>
      <c r="AI134" s="1">
        <v>1.0</v>
      </c>
      <c r="AJ134" s="1">
        <v>1.0</v>
      </c>
      <c r="AK134" s="1">
        <v>1.0</v>
      </c>
      <c r="AL134" s="1">
        <v>0.0</v>
      </c>
      <c r="AP134" s="1">
        <v>4.89787188E8</v>
      </c>
      <c r="AQ134" s="1" t="s">
        <v>256</v>
      </c>
      <c r="AR134" s="1">
        <v>45808.04666</v>
      </c>
      <c r="AU134" s="1" t="s">
        <v>64</v>
      </c>
      <c r="AW134" s="1" t="s">
        <v>255</v>
      </c>
      <c r="AY134" s="1">
        <v>128.0</v>
      </c>
    </row>
    <row r="135">
      <c r="A135" s="1" t="s">
        <v>51</v>
      </c>
      <c r="C135" s="1" t="s">
        <v>52</v>
      </c>
      <c r="E135" s="1" t="s">
        <v>105</v>
      </c>
      <c r="G135" s="1">
        <v>42.0</v>
      </c>
      <c r="H135" s="1" t="s">
        <v>66</v>
      </c>
      <c r="J135" s="1" t="s">
        <v>86</v>
      </c>
      <c r="K135" s="1" t="s">
        <v>87</v>
      </c>
      <c r="M135" s="1" t="s">
        <v>58</v>
      </c>
      <c r="N135" s="1" t="s">
        <v>58</v>
      </c>
      <c r="O135" s="1" t="s">
        <v>69</v>
      </c>
      <c r="Q135" s="1" t="s">
        <v>69</v>
      </c>
      <c r="R135" s="1" t="s">
        <v>69</v>
      </c>
      <c r="S135" s="1" t="s">
        <v>58</v>
      </c>
      <c r="T135" s="1" t="s">
        <v>69</v>
      </c>
      <c r="U135" s="1" t="s">
        <v>58</v>
      </c>
      <c r="V135" s="1" t="s">
        <v>58</v>
      </c>
      <c r="W135" s="1" t="s">
        <v>69</v>
      </c>
      <c r="X135" s="1" t="s">
        <v>81</v>
      </c>
      <c r="Y135" s="1" t="s">
        <v>95</v>
      </c>
      <c r="Z135" s="1" t="s">
        <v>89</v>
      </c>
      <c r="AA135" s="1">
        <v>100.0</v>
      </c>
      <c r="AB135" s="1" t="s">
        <v>79</v>
      </c>
      <c r="AC135" s="1" t="s">
        <v>51</v>
      </c>
      <c r="AD135" s="1" t="s">
        <v>81</v>
      </c>
      <c r="AE135" s="1" t="s">
        <v>51</v>
      </c>
      <c r="AF135" s="1" t="s">
        <v>51</v>
      </c>
      <c r="AG135" s="1" t="s">
        <v>72</v>
      </c>
      <c r="AI135" s="1">
        <v>0.0</v>
      </c>
      <c r="AJ135" s="1">
        <v>0.0</v>
      </c>
      <c r="AK135" s="1">
        <v>0.0</v>
      </c>
      <c r="AL135" s="1">
        <v>1.0</v>
      </c>
      <c r="AP135" s="1">
        <v>4.8982024E8</v>
      </c>
      <c r="AQ135" s="1" t="s">
        <v>257</v>
      </c>
      <c r="AR135" s="1">
        <v>45808.19664</v>
      </c>
      <c r="AU135" s="1" t="s">
        <v>64</v>
      </c>
      <c r="AW135" s="1" t="s">
        <v>255</v>
      </c>
      <c r="AY135" s="1">
        <v>129.0</v>
      </c>
    </row>
    <row r="136">
      <c r="A136" s="1" t="s">
        <v>51</v>
      </c>
      <c r="C136" s="1" t="s">
        <v>52</v>
      </c>
      <c r="E136" s="1" t="s">
        <v>53</v>
      </c>
      <c r="F136" s="1" t="s">
        <v>102</v>
      </c>
      <c r="G136" s="1">
        <v>45.0</v>
      </c>
      <c r="H136" s="1" t="s">
        <v>55</v>
      </c>
      <c r="I136" s="1" t="s">
        <v>67</v>
      </c>
      <c r="J136" s="1" t="s">
        <v>86</v>
      </c>
      <c r="K136" s="1" t="s">
        <v>87</v>
      </c>
      <c r="M136" s="1" t="s">
        <v>58</v>
      </c>
      <c r="N136" s="1" t="s">
        <v>58</v>
      </c>
      <c r="O136" s="1" t="s">
        <v>58</v>
      </c>
      <c r="Q136" s="1" t="s">
        <v>58</v>
      </c>
      <c r="R136" s="1" t="s">
        <v>58</v>
      </c>
      <c r="S136" s="1" t="s">
        <v>70</v>
      </c>
      <c r="T136" s="1" t="s">
        <v>70</v>
      </c>
      <c r="U136" s="1" t="s">
        <v>58</v>
      </c>
      <c r="V136" s="1" t="s">
        <v>58</v>
      </c>
      <c r="W136" s="1" t="s">
        <v>70</v>
      </c>
      <c r="X136" s="1" t="s">
        <v>88</v>
      </c>
      <c r="Y136" s="1" t="s">
        <v>60</v>
      </c>
      <c r="Z136" s="1" t="s">
        <v>108</v>
      </c>
      <c r="AA136" s="1">
        <v>100.0</v>
      </c>
      <c r="AB136" s="1" t="s">
        <v>62</v>
      </c>
      <c r="AC136" s="1" t="s">
        <v>71</v>
      </c>
      <c r="AF136" s="1" t="s">
        <v>51</v>
      </c>
      <c r="AG136" s="1" t="s">
        <v>72</v>
      </c>
      <c r="AI136" s="1">
        <v>0.0</v>
      </c>
      <c r="AJ136" s="1">
        <v>0.0</v>
      </c>
      <c r="AK136" s="1">
        <v>0.0</v>
      </c>
      <c r="AL136" s="1">
        <v>1.0</v>
      </c>
      <c r="AM136" s="1" t="s">
        <v>51</v>
      </c>
      <c r="AP136" s="1">
        <v>4.89842136E8</v>
      </c>
      <c r="AQ136" s="1" t="s">
        <v>258</v>
      </c>
      <c r="AR136" s="1">
        <v>45808.25458</v>
      </c>
      <c r="AU136" s="1" t="s">
        <v>64</v>
      </c>
      <c r="AW136" s="1" t="s">
        <v>255</v>
      </c>
      <c r="AY136" s="1">
        <v>130.0</v>
      </c>
    </row>
    <row r="137">
      <c r="A137" s="1" t="s">
        <v>51</v>
      </c>
      <c r="C137" s="1" t="s">
        <v>52</v>
      </c>
      <c r="E137" s="1" t="s">
        <v>53</v>
      </c>
      <c r="F137" s="1" t="s">
        <v>136</v>
      </c>
      <c r="G137" s="1">
        <v>46.0</v>
      </c>
      <c r="H137" s="1" t="s">
        <v>55</v>
      </c>
      <c r="I137" s="1" t="s">
        <v>67</v>
      </c>
      <c r="J137" s="1" t="s">
        <v>86</v>
      </c>
      <c r="K137" s="1" t="s">
        <v>87</v>
      </c>
      <c r="M137" s="1" t="s">
        <v>58</v>
      </c>
      <c r="N137" s="1" t="s">
        <v>58</v>
      </c>
      <c r="O137" s="1" t="s">
        <v>69</v>
      </c>
      <c r="Q137" s="1" t="s">
        <v>58</v>
      </c>
      <c r="R137" s="1" t="s">
        <v>58</v>
      </c>
      <c r="S137" s="1" t="s">
        <v>58</v>
      </c>
      <c r="T137" s="1" t="s">
        <v>69</v>
      </c>
      <c r="U137" s="1" t="s">
        <v>58</v>
      </c>
      <c r="V137" s="1" t="s">
        <v>58</v>
      </c>
      <c r="W137" s="1" t="s">
        <v>69</v>
      </c>
      <c r="X137" s="1" t="s">
        <v>88</v>
      </c>
      <c r="Y137" s="1" t="s">
        <v>95</v>
      </c>
      <c r="Z137" s="1" t="s">
        <v>89</v>
      </c>
      <c r="AA137" s="1">
        <v>50.0</v>
      </c>
      <c r="AB137" s="1" t="s">
        <v>62</v>
      </c>
      <c r="AC137" s="1" t="s">
        <v>71</v>
      </c>
      <c r="AF137" s="1" t="s">
        <v>51</v>
      </c>
      <c r="AG137" s="1" t="s">
        <v>72</v>
      </c>
      <c r="AI137" s="1">
        <v>0.0</v>
      </c>
      <c r="AJ137" s="1">
        <v>0.0</v>
      </c>
      <c r="AK137" s="1">
        <v>0.0</v>
      </c>
      <c r="AL137" s="1">
        <v>1.0</v>
      </c>
      <c r="AM137" s="1" t="s">
        <v>72</v>
      </c>
      <c r="AP137" s="1">
        <v>4.89848913E8</v>
      </c>
      <c r="AQ137" s="1" t="s">
        <v>259</v>
      </c>
      <c r="AR137" s="1">
        <v>45808.26868</v>
      </c>
      <c r="AU137" s="1" t="s">
        <v>64</v>
      </c>
      <c r="AW137" s="1" t="s">
        <v>255</v>
      </c>
      <c r="AY137" s="1">
        <v>131.0</v>
      </c>
    </row>
    <row r="138">
      <c r="A138" s="1" t="s">
        <v>51</v>
      </c>
      <c r="C138" s="1" t="s">
        <v>131</v>
      </c>
      <c r="E138" s="1" t="s">
        <v>53</v>
      </c>
      <c r="F138" s="1" t="s">
        <v>54</v>
      </c>
      <c r="G138" s="1">
        <v>30.0</v>
      </c>
      <c r="H138" s="1" t="s">
        <v>66</v>
      </c>
      <c r="I138" s="1" t="s">
        <v>67</v>
      </c>
      <c r="J138" s="1" t="s">
        <v>68</v>
      </c>
      <c r="K138" s="1" t="s">
        <v>74</v>
      </c>
      <c r="M138" s="1" t="s">
        <v>58</v>
      </c>
      <c r="N138" s="1" t="s">
        <v>58</v>
      </c>
      <c r="O138" s="1" t="s">
        <v>70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70</v>
      </c>
      <c r="V138" s="1" t="s">
        <v>69</v>
      </c>
      <c r="W138" s="1" t="s">
        <v>58</v>
      </c>
      <c r="X138" s="1" t="s">
        <v>81</v>
      </c>
      <c r="Y138" s="1" t="s">
        <v>82</v>
      </c>
      <c r="Z138" s="1" t="s">
        <v>96</v>
      </c>
      <c r="AA138" s="1">
        <v>10.0</v>
      </c>
      <c r="AB138" s="1" t="s">
        <v>79</v>
      </c>
      <c r="AC138" s="1" t="s">
        <v>72</v>
      </c>
      <c r="AF138" s="1" t="s">
        <v>51</v>
      </c>
      <c r="AG138" s="1" t="s">
        <v>72</v>
      </c>
      <c r="AI138" s="1">
        <v>1.0</v>
      </c>
      <c r="AJ138" s="1">
        <v>0.0</v>
      </c>
      <c r="AK138" s="1">
        <v>0.0</v>
      </c>
      <c r="AL138" s="1">
        <v>0.0</v>
      </c>
      <c r="AM138" s="1" t="s">
        <v>51</v>
      </c>
      <c r="AN138" s="1">
        <v>7.82860878E8</v>
      </c>
      <c r="AP138" s="1">
        <v>4.89854202E8</v>
      </c>
      <c r="AQ138" s="1" t="s">
        <v>260</v>
      </c>
      <c r="AR138" s="1">
        <v>45808.27947</v>
      </c>
      <c r="AU138" s="1" t="s">
        <v>64</v>
      </c>
      <c r="AW138" s="1" t="s">
        <v>255</v>
      </c>
      <c r="AY138" s="1">
        <v>132.0</v>
      </c>
    </row>
    <row r="139">
      <c r="A139" s="1" t="s">
        <v>51</v>
      </c>
      <c r="C139" s="1" t="s">
        <v>105</v>
      </c>
      <c r="D139" s="1" t="s">
        <v>261</v>
      </c>
      <c r="E139" s="1" t="s">
        <v>52</v>
      </c>
      <c r="G139" s="1">
        <v>45.0</v>
      </c>
      <c r="H139" s="1" t="s">
        <v>55</v>
      </c>
      <c r="J139" s="1" t="s">
        <v>111</v>
      </c>
      <c r="K139" s="1" t="s">
        <v>87</v>
      </c>
      <c r="M139" s="1" t="s">
        <v>58</v>
      </c>
      <c r="N139" s="1" t="s">
        <v>58</v>
      </c>
      <c r="O139" s="1" t="s">
        <v>58</v>
      </c>
      <c r="Q139" s="1" t="s">
        <v>58</v>
      </c>
      <c r="R139" s="1" t="s">
        <v>58</v>
      </c>
      <c r="S139" s="1" t="s">
        <v>58</v>
      </c>
      <c r="T139" s="1" t="s">
        <v>69</v>
      </c>
      <c r="U139" s="1" t="s">
        <v>58</v>
      </c>
      <c r="V139" s="1" t="s">
        <v>58</v>
      </c>
      <c r="W139" s="1" t="s">
        <v>69</v>
      </c>
      <c r="X139" s="1" t="s">
        <v>88</v>
      </c>
      <c r="Y139" s="1" t="s">
        <v>60</v>
      </c>
      <c r="Z139" s="1" t="s">
        <v>108</v>
      </c>
      <c r="AA139" s="1">
        <v>100.0</v>
      </c>
      <c r="AB139" s="1" t="s">
        <v>62</v>
      </c>
      <c r="AC139" s="1" t="s">
        <v>51</v>
      </c>
      <c r="AD139" s="1" t="s">
        <v>59</v>
      </c>
      <c r="AE139" s="1" t="s">
        <v>51</v>
      </c>
      <c r="AF139" s="1" t="s">
        <v>51</v>
      </c>
      <c r="AG139" s="1" t="s">
        <v>72</v>
      </c>
      <c r="AI139" s="1">
        <v>1.0</v>
      </c>
      <c r="AJ139" s="1">
        <v>1.0</v>
      </c>
      <c r="AK139" s="1">
        <v>1.0</v>
      </c>
      <c r="AL139" s="1">
        <v>0.0</v>
      </c>
      <c r="AP139" s="1">
        <v>4.89854452E8</v>
      </c>
      <c r="AQ139" s="1" t="s">
        <v>262</v>
      </c>
      <c r="AR139" s="1">
        <v>45808.27978</v>
      </c>
      <c r="AU139" s="1" t="s">
        <v>64</v>
      </c>
      <c r="AW139" s="1" t="s">
        <v>255</v>
      </c>
      <c r="AY139" s="1">
        <v>133.0</v>
      </c>
    </row>
    <row r="140">
      <c r="A140" s="1" t="s">
        <v>51</v>
      </c>
      <c r="C140" s="1" t="s">
        <v>118</v>
      </c>
      <c r="E140" s="1" t="s">
        <v>105</v>
      </c>
      <c r="G140" s="1">
        <v>25.0</v>
      </c>
      <c r="H140" s="1" t="s">
        <v>66</v>
      </c>
      <c r="J140" s="1" t="s">
        <v>68</v>
      </c>
      <c r="K140" s="1" t="s">
        <v>92</v>
      </c>
      <c r="M140" s="1" t="s">
        <v>58</v>
      </c>
      <c r="N140" s="1" t="s">
        <v>58</v>
      </c>
      <c r="O140" s="1" t="s">
        <v>58</v>
      </c>
      <c r="Q140" s="1" t="s">
        <v>58</v>
      </c>
      <c r="R140" s="1" t="s">
        <v>58</v>
      </c>
      <c r="S140" s="1" t="s">
        <v>58</v>
      </c>
      <c r="T140" s="1" t="s">
        <v>70</v>
      </c>
      <c r="U140" s="1" t="s">
        <v>58</v>
      </c>
      <c r="V140" s="1" t="s">
        <v>58</v>
      </c>
      <c r="W140" s="1" t="s">
        <v>69</v>
      </c>
      <c r="X140" s="1" t="s">
        <v>59</v>
      </c>
      <c r="Y140" s="1" t="s">
        <v>95</v>
      </c>
      <c r="Z140" s="1" t="s">
        <v>108</v>
      </c>
      <c r="AA140" s="1">
        <v>10.0</v>
      </c>
      <c r="AB140" s="1" t="s">
        <v>28</v>
      </c>
      <c r="AC140" s="1" t="s">
        <v>71</v>
      </c>
      <c r="AF140" s="1" t="s">
        <v>51</v>
      </c>
      <c r="AG140" s="1" t="s">
        <v>51</v>
      </c>
      <c r="AH140" s="1">
        <v>20.0</v>
      </c>
      <c r="AI140" s="1">
        <v>0.0</v>
      </c>
      <c r="AJ140" s="1">
        <v>0.0</v>
      </c>
      <c r="AK140" s="1">
        <v>0.0</v>
      </c>
      <c r="AL140" s="1">
        <v>1.0</v>
      </c>
      <c r="AP140" s="1">
        <v>4.89861321E8</v>
      </c>
      <c r="AQ140" s="1" t="s">
        <v>263</v>
      </c>
      <c r="AR140" s="1">
        <v>45808.29233</v>
      </c>
      <c r="AU140" s="1" t="s">
        <v>64</v>
      </c>
      <c r="AW140" s="1" t="s">
        <v>255</v>
      </c>
      <c r="AY140" s="1">
        <v>134.0</v>
      </c>
    </row>
    <row r="141">
      <c r="A141" s="1" t="s">
        <v>51</v>
      </c>
      <c r="C141" s="1" t="s">
        <v>53</v>
      </c>
      <c r="E141" s="1" t="s">
        <v>53</v>
      </c>
      <c r="F141" s="1" t="s">
        <v>102</v>
      </c>
      <c r="G141" s="1">
        <v>42.0</v>
      </c>
      <c r="H141" s="1" t="s">
        <v>66</v>
      </c>
      <c r="I141" s="1" t="s">
        <v>67</v>
      </c>
      <c r="J141" s="1" t="s">
        <v>86</v>
      </c>
      <c r="K141" s="1" t="s">
        <v>87</v>
      </c>
      <c r="M141" s="1" t="s">
        <v>58</v>
      </c>
      <c r="N141" s="1" t="s">
        <v>58</v>
      </c>
      <c r="O141" s="1" t="s">
        <v>58</v>
      </c>
      <c r="Q141" s="1" t="s">
        <v>69</v>
      </c>
      <c r="R141" s="1" t="s">
        <v>58</v>
      </c>
      <c r="S141" s="1" t="s">
        <v>58</v>
      </c>
      <c r="T141" s="1" t="s">
        <v>70</v>
      </c>
      <c r="U141" s="1" t="s">
        <v>58</v>
      </c>
      <c r="V141" s="1" t="s">
        <v>58</v>
      </c>
      <c r="W141" s="1" t="s">
        <v>69</v>
      </c>
      <c r="X141" s="1" t="s">
        <v>88</v>
      </c>
      <c r="Y141" s="1" t="s">
        <v>60</v>
      </c>
      <c r="Z141" s="1" t="s">
        <v>108</v>
      </c>
      <c r="AA141" s="1">
        <v>100.0</v>
      </c>
      <c r="AB141" s="1" t="s">
        <v>79</v>
      </c>
      <c r="AC141" s="1" t="s">
        <v>71</v>
      </c>
      <c r="AF141" s="1" t="s">
        <v>51</v>
      </c>
      <c r="AG141" s="1" t="s">
        <v>72</v>
      </c>
      <c r="AI141" s="1">
        <v>0.0</v>
      </c>
      <c r="AJ141" s="1">
        <v>1.0</v>
      </c>
      <c r="AK141" s="1">
        <v>1.0</v>
      </c>
      <c r="AL141" s="1">
        <v>0.0</v>
      </c>
      <c r="AM141" s="1" t="s">
        <v>72</v>
      </c>
      <c r="AP141" s="1">
        <v>4.89875662E8</v>
      </c>
      <c r="AQ141" s="1" t="s">
        <v>264</v>
      </c>
      <c r="AR141" s="1">
        <v>45808.31581</v>
      </c>
      <c r="AU141" s="1" t="s">
        <v>64</v>
      </c>
      <c r="AW141" s="1" t="s">
        <v>255</v>
      </c>
      <c r="AY141" s="1">
        <v>135.0</v>
      </c>
    </row>
    <row r="142">
      <c r="A142" s="1" t="s">
        <v>51</v>
      </c>
      <c r="C142" s="1" t="s">
        <v>118</v>
      </c>
      <c r="E142" s="1" t="s">
        <v>105</v>
      </c>
      <c r="G142" s="1">
        <v>43.0</v>
      </c>
      <c r="H142" s="1" t="s">
        <v>55</v>
      </c>
      <c r="K142" s="1" t="s">
        <v>87</v>
      </c>
      <c r="M142" s="1" t="s">
        <v>58</v>
      </c>
      <c r="N142" s="1" t="s">
        <v>58</v>
      </c>
      <c r="O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W142" s="1" t="s">
        <v>69</v>
      </c>
      <c r="X142" s="1" t="s">
        <v>81</v>
      </c>
      <c r="Y142" s="1" t="s">
        <v>95</v>
      </c>
      <c r="Z142" s="1" t="s">
        <v>96</v>
      </c>
      <c r="AA142" s="1">
        <v>100.0</v>
      </c>
      <c r="AB142" s="1" t="s">
        <v>28</v>
      </c>
      <c r="AC142" s="1" t="s">
        <v>71</v>
      </c>
      <c r="AF142" s="1" t="s">
        <v>51</v>
      </c>
      <c r="AI142" s="1">
        <v>1.0</v>
      </c>
      <c r="AJ142" s="1">
        <v>0.0</v>
      </c>
      <c r="AK142" s="1">
        <v>0.0</v>
      </c>
      <c r="AL142" s="1">
        <v>0.0</v>
      </c>
      <c r="AP142" s="1">
        <v>4.89879065E8</v>
      </c>
      <c r="AQ142" s="1" t="s">
        <v>265</v>
      </c>
      <c r="AR142" s="1">
        <v>45808.32135</v>
      </c>
      <c r="AU142" s="1" t="s">
        <v>64</v>
      </c>
      <c r="AW142" s="1" t="s">
        <v>255</v>
      </c>
      <c r="AY142" s="1">
        <v>136.0</v>
      </c>
    </row>
    <row r="143">
      <c r="A143" s="1" t="s">
        <v>51</v>
      </c>
      <c r="C143" s="1" t="s">
        <v>131</v>
      </c>
      <c r="E143" s="1" t="s">
        <v>53</v>
      </c>
      <c r="F143" s="1" t="s">
        <v>54</v>
      </c>
      <c r="G143" s="1">
        <v>23.0</v>
      </c>
      <c r="H143" s="1" t="s">
        <v>66</v>
      </c>
      <c r="I143" s="1" t="s">
        <v>100</v>
      </c>
      <c r="J143" s="1" t="s">
        <v>68</v>
      </c>
      <c r="K143" s="1" t="s">
        <v>74</v>
      </c>
      <c r="M143" s="1" t="s">
        <v>58</v>
      </c>
      <c r="N143" s="1" t="s">
        <v>58</v>
      </c>
      <c r="O143" s="1" t="s">
        <v>69</v>
      </c>
      <c r="Q143" s="1" t="s">
        <v>58</v>
      </c>
      <c r="R143" s="1" t="s">
        <v>58</v>
      </c>
      <c r="S143" s="1" t="s">
        <v>70</v>
      </c>
      <c r="T143" s="1" t="s">
        <v>58</v>
      </c>
      <c r="U143" s="1" t="s">
        <v>70</v>
      </c>
      <c r="V143" s="1" t="s">
        <v>58</v>
      </c>
      <c r="W143" s="1" t="s">
        <v>58</v>
      </c>
      <c r="X143" s="1" t="s">
        <v>81</v>
      </c>
      <c r="Y143" s="1" t="s">
        <v>172</v>
      </c>
      <c r="Z143" s="1" t="s">
        <v>96</v>
      </c>
      <c r="AA143" s="1">
        <v>50.0</v>
      </c>
      <c r="AB143" s="1" t="s">
        <v>79</v>
      </c>
      <c r="AC143" s="1" t="s">
        <v>72</v>
      </c>
      <c r="AG143" s="1" t="s">
        <v>51</v>
      </c>
      <c r="AI143" s="1">
        <v>0.0</v>
      </c>
      <c r="AJ143" s="1">
        <v>0.0</v>
      </c>
      <c r="AK143" s="1">
        <v>0.0</v>
      </c>
      <c r="AL143" s="1">
        <v>1.0</v>
      </c>
      <c r="AM143" s="1" t="s">
        <v>51</v>
      </c>
      <c r="AN143" s="1">
        <v>6.55789034E8</v>
      </c>
      <c r="AP143" s="1">
        <v>4.898922E8</v>
      </c>
      <c r="AQ143" s="1" t="s">
        <v>266</v>
      </c>
      <c r="AR143" s="1">
        <v>45808.343</v>
      </c>
      <c r="AU143" s="1" t="s">
        <v>64</v>
      </c>
      <c r="AW143" s="1" t="s">
        <v>255</v>
      </c>
      <c r="AY143" s="1">
        <v>137.0</v>
      </c>
    </row>
    <row r="144">
      <c r="A144" s="1" t="s">
        <v>51</v>
      </c>
      <c r="C144" s="1" t="s">
        <v>131</v>
      </c>
      <c r="E144" s="1" t="s">
        <v>53</v>
      </c>
      <c r="F144" s="1" t="s">
        <v>54</v>
      </c>
      <c r="G144" s="1">
        <v>27.0</v>
      </c>
      <c r="H144" s="1" t="s">
        <v>55</v>
      </c>
      <c r="I144" s="1" t="s">
        <v>67</v>
      </c>
      <c r="J144" s="1" t="s">
        <v>68</v>
      </c>
      <c r="K144" s="1" t="s">
        <v>57</v>
      </c>
      <c r="M144" s="1" t="s">
        <v>58</v>
      </c>
      <c r="N144" s="1" t="s">
        <v>58</v>
      </c>
      <c r="O144" s="1" t="s">
        <v>69</v>
      </c>
      <c r="Q144" s="1" t="s">
        <v>58</v>
      </c>
      <c r="R144" s="1" t="s">
        <v>58</v>
      </c>
      <c r="S144" s="1" t="s">
        <v>58</v>
      </c>
      <c r="T144" s="1" t="s">
        <v>58</v>
      </c>
      <c r="V144" s="1" t="s">
        <v>58</v>
      </c>
      <c r="W144" s="1" t="s">
        <v>58</v>
      </c>
      <c r="X144" s="1" t="s">
        <v>81</v>
      </c>
      <c r="Y144" s="1" t="s">
        <v>172</v>
      </c>
      <c r="AA144" s="1">
        <v>100.0</v>
      </c>
      <c r="AB144" s="1" t="s">
        <v>79</v>
      </c>
      <c r="AC144" s="1" t="s">
        <v>72</v>
      </c>
      <c r="AF144" s="1" t="s">
        <v>51</v>
      </c>
      <c r="AG144" s="1" t="s">
        <v>51</v>
      </c>
      <c r="AH144" s="1">
        <v>20.0</v>
      </c>
      <c r="AI144" s="1">
        <v>0.0</v>
      </c>
      <c r="AJ144" s="1">
        <v>0.0</v>
      </c>
      <c r="AK144" s="1">
        <v>0.0</v>
      </c>
      <c r="AL144" s="1">
        <v>1.0</v>
      </c>
      <c r="AM144" s="1" t="s">
        <v>51</v>
      </c>
      <c r="AN144" s="1">
        <v>7.04538078E8</v>
      </c>
      <c r="AP144" s="1">
        <v>4.89895622E8</v>
      </c>
      <c r="AQ144" s="1" t="s">
        <v>267</v>
      </c>
      <c r="AR144" s="1">
        <v>45808.34821</v>
      </c>
      <c r="AU144" s="1" t="s">
        <v>64</v>
      </c>
      <c r="AW144" s="1" t="s">
        <v>255</v>
      </c>
      <c r="AY144" s="1">
        <v>138.0</v>
      </c>
    </row>
    <row r="145">
      <c r="A145" s="1" t="s">
        <v>51</v>
      </c>
      <c r="C145" s="1" t="s">
        <v>53</v>
      </c>
      <c r="E145" s="1" t="s">
        <v>105</v>
      </c>
      <c r="G145" s="1">
        <v>48.0</v>
      </c>
      <c r="H145" s="1" t="s">
        <v>66</v>
      </c>
      <c r="J145" s="1" t="s">
        <v>86</v>
      </c>
      <c r="K145" s="1" t="s">
        <v>87</v>
      </c>
      <c r="M145" s="1" t="s">
        <v>58</v>
      </c>
      <c r="N145" s="1" t="s">
        <v>69</v>
      </c>
      <c r="O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81</v>
      </c>
      <c r="Y145" s="1" t="s">
        <v>95</v>
      </c>
      <c r="Z145" s="1" t="s">
        <v>89</v>
      </c>
      <c r="AA145" s="1">
        <v>20.0</v>
      </c>
      <c r="AB145" s="1" t="s">
        <v>79</v>
      </c>
      <c r="AC145" s="1" t="s">
        <v>51</v>
      </c>
      <c r="AD145" s="1" t="s">
        <v>81</v>
      </c>
      <c r="AE145" s="1" t="s">
        <v>51</v>
      </c>
      <c r="AF145" s="1" t="s">
        <v>51</v>
      </c>
      <c r="AG145" s="1" t="s">
        <v>72</v>
      </c>
      <c r="AI145" s="1">
        <v>1.0</v>
      </c>
      <c r="AJ145" s="1">
        <v>0.0</v>
      </c>
      <c r="AK145" s="1">
        <v>0.0</v>
      </c>
      <c r="AL145" s="1">
        <v>0.0</v>
      </c>
      <c r="AP145" s="1">
        <v>4.89899236E8</v>
      </c>
      <c r="AQ145" s="1" t="s">
        <v>268</v>
      </c>
      <c r="AR145" s="1">
        <v>45808.35461</v>
      </c>
      <c r="AU145" s="1" t="s">
        <v>64</v>
      </c>
      <c r="AW145" s="1" t="s">
        <v>255</v>
      </c>
      <c r="AY145" s="1">
        <v>139.0</v>
      </c>
    </row>
    <row r="146">
      <c r="A146" s="1" t="s">
        <v>51</v>
      </c>
      <c r="C146" s="1" t="s">
        <v>269</v>
      </c>
      <c r="E146" s="1" t="s">
        <v>105</v>
      </c>
      <c r="G146" s="1">
        <v>37.0</v>
      </c>
      <c r="H146" s="1" t="s">
        <v>66</v>
      </c>
      <c r="J146" s="1" t="s">
        <v>86</v>
      </c>
      <c r="K146" s="1" t="s">
        <v>87</v>
      </c>
      <c r="M146" s="1" t="s">
        <v>58</v>
      </c>
      <c r="N146" s="1" t="s">
        <v>58</v>
      </c>
      <c r="O146" s="1" t="s">
        <v>58</v>
      </c>
      <c r="Q146" s="1" t="s">
        <v>69</v>
      </c>
      <c r="R146" s="1" t="s">
        <v>58</v>
      </c>
      <c r="S146" s="1" t="s">
        <v>58</v>
      </c>
      <c r="T146" s="1" t="s">
        <v>70</v>
      </c>
      <c r="U146" s="1" t="s">
        <v>70</v>
      </c>
      <c r="V146" s="1" t="s">
        <v>58</v>
      </c>
      <c r="W146" s="1" t="s">
        <v>69</v>
      </c>
      <c r="X146" s="1" t="s">
        <v>88</v>
      </c>
      <c r="Y146" s="1" t="s">
        <v>95</v>
      </c>
      <c r="Z146" s="1" t="s">
        <v>96</v>
      </c>
      <c r="AA146" s="1">
        <v>50.0</v>
      </c>
      <c r="AB146" s="1" t="s">
        <v>79</v>
      </c>
      <c r="AC146" s="1" t="s">
        <v>71</v>
      </c>
      <c r="AF146" s="1" t="s">
        <v>51</v>
      </c>
      <c r="AG146" s="1" t="s">
        <v>72</v>
      </c>
      <c r="AI146" s="1">
        <v>0.0</v>
      </c>
      <c r="AJ146" s="1">
        <v>0.0</v>
      </c>
      <c r="AK146" s="1">
        <v>0.0</v>
      </c>
      <c r="AL146" s="1">
        <v>1.0</v>
      </c>
      <c r="AP146" s="1">
        <v>4.89908744E8</v>
      </c>
      <c r="AQ146" s="1" t="s">
        <v>270</v>
      </c>
      <c r="AR146" s="1">
        <v>45808.36929</v>
      </c>
      <c r="AU146" s="1" t="s">
        <v>64</v>
      </c>
      <c r="AW146" s="1" t="s">
        <v>255</v>
      </c>
      <c r="AY146" s="1">
        <v>140.0</v>
      </c>
    </row>
    <row r="147">
      <c r="A147" s="1" t="s">
        <v>51</v>
      </c>
      <c r="C147" s="1" t="s">
        <v>151</v>
      </c>
      <c r="E147" s="1" t="s">
        <v>151</v>
      </c>
      <c r="G147" s="1">
        <v>19.0</v>
      </c>
      <c r="H147" s="1" t="s">
        <v>66</v>
      </c>
      <c r="J147" s="1" t="s">
        <v>56</v>
      </c>
      <c r="K147" s="1" t="s">
        <v>74</v>
      </c>
      <c r="M147" s="1" t="s">
        <v>58</v>
      </c>
      <c r="N147" s="1" t="s">
        <v>58</v>
      </c>
      <c r="O147" s="1" t="s">
        <v>58</v>
      </c>
      <c r="Q147" s="1" t="s">
        <v>70</v>
      </c>
      <c r="R147" s="1" t="s">
        <v>70</v>
      </c>
      <c r="S147" s="1" t="s">
        <v>69</v>
      </c>
      <c r="T147" s="1" t="s">
        <v>69</v>
      </c>
      <c r="U147" s="1" t="s">
        <v>58</v>
      </c>
      <c r="V147" s="1" t="s">
        <v>58</v>
      </c>
      <c r="W147" s="1" t="s">
        <v>69</v>
      </c>
      <c r="X147" s="1" t="s">
        <v>81</v>
      </c>
      <c r="Y147" s="1" t="s">
        <v>82</v>
      </c>
      <c r="Z147" s="1" t="s">
        <v>61</v>
      </c>
      <c r="AA147" s="1">
        <v>10.0</v>
      </c>
      <c r="AB147" s="1" t="s">
        <v>79</v>
      </c>
      <c r="AC147" s="1" t="s">
        <v>71</v>
      </c>
      <c r="AF147" s="1" t="s">
        <v>51</v>
      </c>
      <c r="AG147" s="1" t="s">
        <v>51</v>
      </c>
      <c r="AH147" s="1">
        <v>500.0</v>
      </c>
      <c r="AI147" s="1">
        <v>1.0</v>
      </c>
      <c r="AJ147" s="1">
        <v>1.0</v>
      </c>
      <c r="AK147" s="1">
        <v>1.0</v>
      </c>
      <c r="AL147" s="1">
        <v>1.0</v>
      </c>
      <c r="AP147" s="1">
        <v>4.89927291E8</v>
      </c>
      <c r="AQ147" s="1" t="s">
        <v>271</v>
      </c>
      <c r="AR147" s="1">
        <v>45808.3988</v>
      </c>
      <c r="AU147" s="1" t="s">
        <v>64</v>
      </c>
      <c r="AW147" s="1" t="s">
        <v>255</v>
      </c>
      <c r="AY147" s="1">
        <v>141.0</v>
      </c>
    </row>
    <row r="148">
      <c r="A148" s="1" t="s">
        <v>51</v>
      </c>
      <c r="C148" s="1" t="s">
        <v>131</v>
      </c>
      <c r="E148" s="1" t="s">
        <v>53</v>
      </c>
      <c r="F148" s="1" t="s">
        <v>85</v>
      </c>
      <c r="G148" s="1">
        <v>24.0</v>
      </c>
      <c r="H148" s="1" t="s">
        <v>66</v>
      </c>
      <c r="I148" s="1" t="s">
        <v>100</v>
      </c>
      <c r="J148" s="1" t="s">
        <v>56</v>
      </c>
      <c r="K148" s="1" t="s">
        <v>74</v>
      </c>
      <c r="M148" s="1" t="s">
        <v>58</v>
      </c>
      <c r="N148" s="1" t="s">
        <v>58</v>
      </c>
      <c r="O148" s="1" t="s">
        <v>58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81</v>
      </c>
      <c r="Y148" s="1" t="s">
        <v>60</v>
      </c>
      <c r="Z148" s="1" t="s">
        <v>96</v>
      </c>
      <c r="AA148" s="1">
        <v>20.0</v>
      </c>
      <c r="AB148" s="1" t="s">
        <v>79</v>
      </c>
      <c r="AC148" s="1" t="s">
        <v>51</v>
      </c>
      <c r="AD148" s="1" t="s">
        <v>81</v>
      </c>
      <c r="AE148" s="1" t="s">
        <v>51</v>
      </c>
      <c r="AF148" s="1" t="s">
        <v>51</v>
      </c>
      <c r="AG148" s="1" t="s">
        <v>51</v>
      </c>
      <c r="AH148" s="1">
        <v>200.0</v>
      </c>
      <c r="AI148" s="1">
        <v>1.0</v>
      </c>
      <c r="AJ148" s="1">
        <v>0.0</v>
      </c>
      <c r="AK148" s="1">
        <v>0.0</v>
      </c>
      <c r="AL148" s="1">
        <v>0.0</v>
      </c>
      <c r="AM148" s="1" t="s">
        <v>51</v>
      </c>
      <c r="AN148" s="1">
        <v>7.16325173E8</v>
      </c>
      <c r="AP148" s="1">
        <v>4.89931787E8</v>
      </c>
      <c r="AQ148" s="1" t="s">
        <v>272</v>
      </c>
      <c r="AR148" s="1">
        <v>45808.40631</v>
      </c>
      <c r="AU148" s="1" t="s">
        <v>64</v>
      </c>
      <c r="AW148" s="1" t="s">
        <v>255</v>
      </c>
      <c r="AY148" s="1">
        <v>142.0</v>
      </c>
    </row>
    <row r="149">
      <c r="A149" s="1" t="s">
        <v>51</v>
      </c>
      <c r="C149" s="1" t="s">
        <v>53</v>
      </c>
      <c r="E149" s="1" t="s">
        <v>131</v>
      </c>
      <c r="G149" s="1">
        <v>27.0</v>
      </c>
      <c r="H149" s="1" t="s">
        <v>66</v>
      </c>
      <c r="J149" s="1" t="s">
        <v>56</v>
      </c>
      <c r="K149" s="1" t="s">
        <v>57</v>
      </c>
      <c r="M149" s="1" t="s">
        <v>58</v>
      </c>
      <c r="N149" s="1" t="s">
        <v>58</v>
      </c>
      <c r="O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103</v>
      </c>
      <c r="Y149" s="1" t="s">
        <v>82</v>
      </c>
      <c r="Z149" s="1" t="s">
        <v>89</v>
      </c>
      <c r="AA149" s="1">
        <v>30.0</v>
      </c>
      <c r="AB149" s="1" t="s">
        <v>62</v>
      </c>
      <c r="AC149" s="1" t="s">
        <v>51</v>
      </c>
      <c r="AD149" s="1" t="s">
        <v>81</v>
      </c>
      <c r="AE149" s="1" t="s">
        <v>51</v>
      </c>
      <c r="AF149" s="1" t="s">
        <v>51</v>
      </c>
      <c r="AG149" s="1" t="s">
        <v>51</v>
      </c>
      <c r="AH149" s="1">
        <v>50.0</v>
      </c>
      <c r="AI149" s="1">
        <v>0.0</v>
      </c>
      <c r="AJ149" s="1">
        <v>1.0</v>
      </c>
      <c r="AK149" s="1">
        <v>0.0</v>
      </c>
      <c r="AL149" s="1">
        <v>1.0</v>
      </c>
      <c r="AP149" s="1">
        <v>4.89933658E8</v>
      </c>
      <c r="AQ149" s="1" t="s">
        <v>273</v>
      </c>
      <c r="AR149" s="1">
        <v>45808.40959</v>
      </c>
      <c r="AU149" s="1" t="s">
        <v>64</v>
      </c>
      <c r="AW149" s="1" t="s">
        <v>255</v>
      </c>
      <c r="AY149" s="1">
        <v>143.0</v>
      </c>
    </row>
    <row r="150">
      <c r="A150" s="1" t="s">
        <v>51</v>
      </c>
      <c r="C150" s="1" t="s">
        <v>53</v>
      </c>
      <c r="E150" s="1" t="s">
        <v>131</v>
      </c>
      <c r="G150" s="1">
        <v>27.0</v>
      </c>
      <c r="H150" s="1" t="s">
        <v>55</v>
      </c>
      <c r="J150" s="1" t="s">
        <v>86</v>
      </c>
      <c r="K150" s="1" t="s">
        <v>57</v>
      </c>
      <c r="M150" s="1" t="s">
        <v>58</v>
      </c>
      <c r="N150" s="1" t="s">
        <v>58</v>
      </c>
      <c r="O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81</v>
      </c>
      <c r="Y150" s="1" t="s">
        <v>60</v>
      </c>
      <c r="Z150" s="1" t="s">
        <v>89</v>
      </c>
      <c r="AA150" s="1">
        <v>30.0</v>
      </c>
      <c r="AB150" s="1" t="s">
        <v>62</v>
      </c>
      <c r="AC150" s="1" t="s">
        <v>51</v>
      </c>
      <c r="AD150" s="1" t="s">
        <v>81</v>
      </c>
      <c r="AE150" s="1" t="s">
        <v>51</v>
      </c>
      <c r="AF150" s="1" t="s">
        <v>51</v>
      </c>
      <c r="AG150" s="1" t="s">
        <v>51</v>
      </c>
      <c r="AH150" s="1">
        <v>50.0</v>
      </c>
      <c r="AI150" s="1">
        <v>0.0</v>
      </c>
      <c r="AJ150" s="1">
        <v>1.0</v>
      </c>
      <c r="AK150" s="1">
        <v>0.0</v>
      </c>
      <c r="AL150" s="1">
        <v>0.0</v>
      </c>
      <c r="AP150" s="1">
        <v>4.89935516E8</v>
      </c>
      <c r="AQ150" s="1" t="s">
        <v>274</v>
      </c>
      <c r="AR150" s="1">
        <v>45808.41212</v>
      </c>
      <c r="AU150" s="1" t="s">
        <v>64</v>
      </c>
      <c r="AW150" s="1" t="s">
        <v>255</v>
      </c>
      <c r="AY150" s="1">
        <v>144.0</v>
      </c>
    </row>
    <row r="151">
      <c r="A151" s="1" t="s">
        <v>51</v>
      </c>
      <c r="C151" s="1" t="s">
        <v>131</v>
      </c>
      <c r="E151" s="1" t="s">
        <v>131</v>
      </c>
      <c r="G151" s="1">
        <v>33.0</v>
      </c>
      <c r="H151" s="1" t="s">
        <v>55</v>
      </c>
      <c r="J151" s="1" t="s">
        <v>86</v>
      </c>
      <c r="K151" s="1" t="s">
        <v>57</v>
      </c>
      <c r="M151" s="1" t="s">
        <v>58</v>
      </c>
      <c r="N151" s="1" t="s">
        <v>58</v>
      </c>
      <c r="O151" s="1" t="s">
        <v>69</v>
      </c>
      <c r="Q151" s="1" t="s">
        <v>58</v>
      </c>
      <c r="R151" s="1" t="s">
        <v>58</v>
      </c>
      <c r="S151" s="1" t="s">
        <v>58</v>
      </c>
      <c r="T151" s="1" t="s">
        <v>70</v>
      </c>
      <c r="U151" s="1" t="s">
        <v>70</v>
      </c>
      <c r="V151" s="1" t="s">
        <v>69</v>
      </c>
      <c r="W151" s="1" t="s">
        <v>69</v>
      </c>
      <c r="X151" s="1" t="s">
        <v>59</v>
      </c>
      <c r="Y151" s="1" t="s">
        <v>172</v>
      </c>
      <c r="Z151" s="1" t="s">
        <v>108</v>
      </c>
      <c r="AA151" s="1">
        <v>100.0</v>
      </c>
      <c r="AB151" s="1" t="s">
        <v>79</v>
      </c>
      <c r="AC151" s="1" t="s">
        <v>72</v>
      </c>
      <c r="AF151" s="1" t="s">
        <v>51</v>
      </c>
      <c r="AG151" s="1" t="s">
        <v>51</v>
      </c>
      <c r="AH151" s="1">
        <v>10.0</v>
      </c>
      <c r="AI151" s="1">
        <v>0.0</v>
      </c>
      <c r="AJ151" s="1">
        <v>0.0</v>
      </c>
      <c r="AK151" s="1">
        <v>0.0</v>
      </c>
      <c r="AL151" s="1">
        <v>1.0</v>
      </c>
      <c r="AP151" s="1">
        <v>4.89936782E8</v>
      </c>
      <c r="AQ151" s="1" t="s">
        <v>275</v>
      </c>
      <c r="AR151" s="1">
        <v>45808.41376</v>
      </c>
      <c r="AU151" s="1" t="s">
        <v>64</v>
      </c>
      <c r="AW151" s="1" t="s">
        <v>255</v>
      </c>
      <c r="AY151" s="1">
        <v>145.0</v>
      </c>
    </row>
    <row r="152">
      <c r="A152" s="1" t="s">
        <v>51</v>
      </c>
      <c r="C152" s="1" t="s">
        <v>131</v>
      </c>
      <c r="E152" s="1" t="s">
        <v>53</v>
      </c>
      <c r="F152" s="1" t="s">
        <v>102</v>
      </c>
      <c r="G152" s="1">
        <v>31.0</v>
      </c>
      <c r="H152" s="1" t="s">
        <v>55</v>
      </c>
      <c r="I152" s="1" t="s">
        <v>67</v>
      </c>
      <c r="J152" s="1" t="s">
        <v>86</v>
      </c>
      <c r="K152" s="1" t="s">
        <v>57</v>
      </c>
      <c r="M152" s="1" t="s">
        <v>58</v>
      </c>
      <c r="N152" s="1" t="s">
        <v>58</v>
      </c>
      <c r="O152" s="1" t="s">
        <v>69</v>
      </c>
      <c r="Q152" s="1" t="s">
        <v>69</v>
      </c>
      <c r="R152" s="1" t="s">
        <v>69</v>
      </c>
      <c r="S152" s="1" t="s">
        <v>58</v>
      </c>
      <c r="T152" s="1" t="s">
        <v>69</v>
      </c>
      <c r="V152" s="1" t="s">
        <v>69</v>
      </c>
      <c r="W152" s="1" t="s">
        <v>69</v>
      </c>
      <c r="X152" s="1" t="s">
        <v>59</v>
      </c>
      <c r="Y152" s="1" t="s">
        <v>172</v>
      </c>
      <c r="Z152" s="1" t="s">
        <v>96</v>
      </c>
      <c r="AA152" s="1">
        <v>100.0</v>
      </c>
      <c r="AB152" s="1" t="s">
        <v>79</v>
      </c>
      <c r="AC152" s="1" t="s">
        <v>72</v>
      </c>
      <c r="AF152" s="1" t="s">
        <v>51</v>
      </c>
      <c r="AG152" s="1" t="s">
        <v>72</v>
      </c>
      <c r="AI152" s="1">
        <v>0.0</v>
      </c>
      <c r="AJ152" s="1">
        <v>0.0</v>
      </c>
      <c r="AK152" s="1">
        <v>0.0</v>
      </c>
      <c r="AL152" s="1">
        <v>1.0</v>
      </c>
      <c r="AM152" s="1" t="s">
        <v>51</v>
      </c>
      <c r="AN152" s="1">
        <v>6.03754007E8</v>
      </c>
      <c r="AP152" s="1">
        <v>4.89939487E8</v>
      </c>
      <c r="AQ152" s="1" t="s">
        <v>276</v>
      </c>
      <c r="AR152" s="1">
        <v>45808.4178</v>
      </c>
      <c r="AU152" s="1" t="s">
        <v>64</v>
      </c>
      <c r="AW152" s="1" t="s">
        <v>255</v>
      </c>
      <c r="AY152" s="1">
        <v>146.0</v>
      </c>
    </row>
    <row r="153">
      <c r="A153" s="1" t="s">
        <v>51</v>
      </c>
      <c r="C153" s="1" t="s">
        <v>52</v>
      </c>
      <c r="E153" s="1" t="s">
        <v>53</v>
      </c>
      <c r="F153" s="1" t="s">
        <v>102</v>
      </c>
      <c r="G153" s="1">
        <v>40.0</v>
      </c>
      <c r="H153" s="1" t="s">
        <v>66</v>
      </c>
      <c r="I153" s="1" t="s">
        <v>67</v>
      </c>
      <c r="J153" s="1" t="s">
        <v>86</v>
      </c>
      <c r="K153" s="1" t="s">
        <v>74</v>
      </c>
      <c r="M153" s="1" t="s">
        <v>58</v>
      </c>
      <c r="N153" s="1" t="s">
        <v>58</v>
      </c>
      <c r="O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70</v>
      </c>
      <c r="V153" s="1" t="s">
        <v>58</v>
      </c>
      <c r="W153" s="1" t="s">
        <v>69</v>
      </c>
      <c r="X153" s="1" t="s">
        <v>59</v>
      </c>
      <c r="Y153" s="1" t="s">
        <v>82</v>
      </c>
      <c r="Z153" s="1" t="s">
        <v>89</v>
      </c>
      <c r="AA153" s="1">
        <v>50.0</v>
      </c>
      <c r="AB153" s="1" t="s">
        <v>62</v>
      </c>
      <c r="AC153" s="1" t="s">
        <v>72</v>
      </c>
      <c r="AF153" s="1" t="s">
        <v>51</v>
      </c>
      <c r="AG153" s="1" t="s">
        <v>51</v>
      </c>
      <c r="AH153" s="1">
        <v>20.0</v>
      </c>
      <c r="AI153" s="1">
        <v>0.0</v>
      </c>
      <c r="AJ153" s="1">
        <v>0.0</v>
      </c>
      <c r="AK153" s="1">
        <v>0.0</v>
      </c>
      <c r="AL153" s="1">
        <v>1.0</v>
      </c>
      <c r="AM153" s="1" t="s">
        <v>51</v>
      </c>
      <c r="AN153" s="1">
        <v>8.46416597E8</v>
      </c>
      <c r="AP153" s="1">
        <v>4.89951561E8</v>
      </c>
      <c r="AQ153" s="1" t="s">
        <v>277</v>
      </c>
      <c r="AR153" s="1">
        <v>45808.4338</v>
      </c>
      <c r="AU153" s="1" t="s">
        <v>64</v>
      </c>
      <c r="AW153" s="1" t="s">
        <v>255</v>
      </c>
      <c r="AY153" s="1">
        <v>147.0</v>
      </c>
    </row>
    <row r="154">
      <c r="A154" s="1" t="s">
        <v>51</v>
      </c>
      <c r="C154" s="1" t="s">
        <v>52</v>
      </c>
      <c r="E154" s="1" t="s">
        <v>53</v>
      </c>
      <c r="F154" s="1" t="s">
        <v>85</v>
      </c>
      <c r="G154" s="1">
        <v>25.0</v>
      </c>
      <c r="H154" s="1" t="s">
        <v>66</v>
      </c>
      <c r="I154" s="1" t="s">
        <v>67</v>
      </c>
      <c r="J154" s="1" t="s">
        <v>56</v>
      </c>
      <c r="K154" s="1" t="s">
        <v>92</v>
      </c>
      <c r="M154" s="1" t="s">
        <v>58</v>
      </c>
      <c r="N154" s="1" t="s">
        <v>58</v>
      </c>
      <c r="O154" s="1" t="s">
        <v>58</v>
      </c>
      <c r="Q154" s="1" t="s">
        <v>70</v>
      </c>
      <c r="R154" s="1" t="s">
        <v>58</v>
      </c>
      <c r="S154" s="1" t="s">
        <v>69</v>
      </c>
      <c r="T154" s="1" t="s">
        <v>69</v>
      </c>
      <c r="U154" s="1" t="s">
        <v>58</v>
      </c>
      <c r="V154" s="1" t="s">
        <v>69</v>
      </c>
      <c r="W154" s="1" t="s">
        <v>69</v>
      </c>
      <c r="X154" s="1" t="s">
        <v>81</v>
      </c>
      <c r="Y154" s="1" t="s">
        <v>82</v>
      </c>
      <c r="Z154" s="1" t="s">
        <v>61</v>
      </c>
      <c r="AA154" s="1">
        <v>50.0</v>
      </c>
      <c r="AB154" s="1" t="s">
        <v>28</v>
      </c>
      <c r="AC154" s="1" t="s">
        <v>71</v>
      </c>
      <c r="AF154" s="1" t="s">
        <v>51</v>
      </c>
      <c r="AG154" s="1" t="s">
        <v>72</v>
      </c>
      <c r="AI154" s="1">
        <v>0.0</v>
      </c>
      <c r="AJ154" s="1">
        <v>0.0</v>
      </c>
      <c r="AK154" s="1">
        <v>0.0</v>
      </c>
      <c r="AL154" s="1">
        <v>1.0</v>
      </c>
      <c r="AM154" s="1" t="s">
        <v>72</v>
      </c>
      <c r="AP154" s="1">
        <v>4.899521E8</v>
      </c>
      <c r="AQ154" s="1" t="s">
        <v>278</v>
      </c>
      <c r="AR154" s="1">
        <v>45808.43469</v>
      </c>
      <c r="AU154" s="1" t="s">
        <v>64</v>
      </c>
      <c r="AW154" s="1" t="s">
        <v>255</v>
      </c>
      <c r="AY154" s="1">
        <v>148.0</v>
      </c>
    </row>
    <row r="155">
      <c r="A155" s="1" t="s">
        <v>51</v>
      </c>
      <c r="C155" s="1" t="s">
        <v>151</v>
      </c>
      <c r="E155" s="1" t="s">
        <v>151</v>
      </c>
      <c r="G155" s="1">
        <v>21.0</v>
      </c>
      <c r="H155" s="1" t="s">
        <v>66</v>
      </c>
      <c r="J155" s="1" t="s">
        <v>56</v>
      </c>
      <c r="K155" s="1" t="s">
        <v>87</v>
      </c>
      <c r="M155" s="1" t="s">
        <v>58</v>
      </c>
      <c r="N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81</v>
      </c>
      <c r="Y155" s="1" t="s">
        <v>60</v>
      </c>
      <c r="Z155" s="1" t="s">
        <v>61</v>
      </c>
      <c r="AA155" s="1">
        <v>30.0</v>
      </c>
      <c r="AB155" s="1" t="s">
        <v>62</v>
      </c>
      <c r="AC155" s="1" t="s">
        <v>51</v>
      </c>
      <c r="AD155" s="1" t="s">
        <v>81</v>
      </c>
      <c r="AE155" s="1" t="s">
        <v>51</v>
      </c>
      <c r="AF155" s="1" t="s">
        <v>51</v>
      </c>
      <c r="AG155" s="1" t="s">
        <v>51</v>
      </c>
      <c r="AI155" s="1">
        <v>1.0</v>
      </c>
      <c r="AJ155" s="1">
        <v>0.0</v>
      </c>
      <c r="AK155" s="1">
        <v>0.0</v>
      </c>
      <c r="AL155" s="1">
        <v>0.0</v>
      </c>
      <c r="AP155" s="1">
        <v>4.89973054E8</v>
      </c>
      <c r="AQ155" s="1" t="s">
        <v>279</v>
      </c>
      <c r="AR155" s="1">
        <v>45808.46389</v>
      </c>
      <c r="AU155" s="1" t="s">
        <v>64</v>
      </c>
      <c r="AW155" s="1" t="s">
        <v>255</v>
      </c>
      <c r="AY155" s="1">
        <v>149.0</v>
      </c>
    </row>
    <row r="156">
      <c r="A156" s="1" t="s">
        <v>51</v>
      </c>
      <c r="C156" s="1" t="s">
        <v>170</v>
      </c>
      <c r="E156" s="1" t="s">
        <v>170</v>
      </c>
      <c r="G156" s="1">
        <v>42.0</v>
      </c>
      <c r="H156" s="1" t="s">
        <v>66</v>
      </c>
      <c r="J156" s="1" t="s">
        <v>68</v>
      </c>
      <c r="K156" s="1" t="s">
        <v>57</v>
      </c>
      <c r="M156" s="1" t="s">
        <v>70</v>
      </c>
      <c r="N156" s="1" t="s">
        <v>70</v>
      </c>
      <c r="O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1" t="s">
        <v>59</v>
      </c>
      <c r="Y156" s="1" t="s">
        <v>82</v>
      </c>
      <c r="Z156" s="1" t="s">
        <v>61</v>
      </c>
      <c r="AA156" s="1">
        <v>10.0</v>
      </c>
      <c r="AB156" s="1" t="s">
        <v>79</v>
      </c>
      <c r="AC156" s="1" t="s">
        <v>51</v>
      </c>
      <c r="AD156" s="1" t="s">
        <v>59</v>
      </c>
      <c r="AE156" s="1" t="s">
        <v>72</v>
      </c>
      <c r="AF156" s="1" t="s">
        <v>51</v>
      </c>
      <c r="AG156" s="1" t="s">
        <v>51</v>
      </c>
      <c r="AI156" s="1">
        <v>0.0</v>
      </c>
      <c r="AJ156" s="1">
        <v>0.0</v>
      </c>
      <c r="AK156" s="1">
        <v>1.0</v>
      </c>
      <c r="AL156" s="1">
        <v>0.0</v>
      </c>
      <c r="AP156" s="1">
        <v>4.8998635E8</v>
      </c>
      <c r="AQ156" s="1" t="s">
        <v>280</v>
      </c>
      <c r="AR156" s="1">
        <v>45808.48172</v>
      </c>
      <c r="AU156" s="1" t="s">
        <v>64</v>
      </c>
      <c r="AW156" s="1" t="s">
        <v>255</v>
      </c>
      <c r="AY156" s="1">
        <v>150.0</v>
      </c>
    </row>
    <row r="157">
      <c r="A157" s="1" t="s">
        <v>51</v>
      </c>
      <c r="C157" s="1" t="s">
        <v>151</v>
      </c>
      <c r="E157" s="1" t="s">
        <v>151</v>
      </c>
      <c r="G157" s="1">
        <v>30.0</v>
      </c>
      <c r="H157" s="1" t="s">
        <v>55</v>
      </c>
      <c r="J157" s="1" t="s">
        <v>86</v>
      </c>
      <c r="K157" s="1" t="s">
        <v>74</v>
      </c>
      <c r="M157" s="1" t="s">
        <v>58</v>
      </c>
      <c r="N157" s="1" t="s">
        <v>58</v>
      </c>
      <c r="O157" s="1" t="s">
        <v>69</v>
      </c>
      <c r="Q157" s="1" t="s">
        <v>58</v>
      </c>
      <c r="R157" s="1" t="s">
        <v>69</v>
      </c>
      <c r="S157" s="1" t="s">
        <v>69</v>
      </c>
      <c r="T157" s="1" t="s">
        <v>58</v>
      </c>
      <c r="U157" s="1" t="s">
        <v>58</v>
      </c>
      <c r="V157" s="1" t="s">
        <v>58</v>
      </c>
      <c r="W157" s="1" t="s">
        <v>69</v>
      </c>
      <c r="X157" s="1" t="s">
        <v>81</v>
      </c>
      <c r="Y157" s="1" t="s">
        <v>227</v>
      </c>
      <c r="Z157" s="1" t="s">
        <v>61</v>
      </c>
      <c r="AA157" s="1">
        <v>50.0</v>
      </c>
      <c r="AB157" s="1" t="s">
        <v>79</v>
      </c>
      <c r="AC157" s="1" t="s">
        <v>51</v>
      </c>
      <c r="AD157" s="1" t="s">
        <v>81</v>
      </c>
      <c r="AE157" s="1" t="s">
        <v>51</v>
      </c>
      <c r="AF157" s="1" t="s">
        <v>51</v>
      </c>
      <c r="AG157" s="1" t="s">
        <v>51</v>
      </c>
      <c r="AH157" s="1">
        <v>300.0</v>
      </c>
      <c r="AI157" s="1">
        <v>1.0</v>
      </c>
      <c r="AJ157" s="1">
        <v>0.0</v>
      </c>
      <c r="AK157" s="1">
        <v>0.0</v>
      </c>
      <c r="AL157" s="1">
        <v>0.0</v>
      </c>
      <c r="AP157" s="1">
        <v>4.89995757E8</v>
      </c>
      <c r="AQ157" s="1" t="s">
        <v>281</v>
      </c>
      <c r="AR157" s="1">
        <v>45808.49559</v>
      </c>
      <c r="AU157" s="1" t="s">
        <v>64</v>
      </c>
      <c r="AW157" s="1" t="s">
        <v>191</v>
      </c>
      <c r="AY157" s="1">
        <v>151.0</v>
      </c>
    </row>
    <row r="158">
      <c r="A158" s="1" t="s">
        <v>51</v>
      </c>
      <c r="C158" s="1" t="s">
        <v>53</v>
      </c>
      <c r="E158" s="1" t="s">
        <v>131</v>
      </c>
      <c r="G158" s="1">
        <v>27.0</v>
      </c>
      <c r="H158" s="1" t="s">
        <v>55</v>
      </c>
      <c r="J158" s="1" t="s">
        <v>86</v>
      </c>
      <c r="K158" s="1" t="s">
        <v>57</v>
      </c>
      <c r="M158" s="1" t="s">
        <v>58</v>
      </c>
      <c r="N158" s="1" t="s">
        <v>58</v>
      </c>
      <c r="O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81</v>
      </c>
      <c r="Y158" s="1" t="s">
        <v>60</v>
      </c>
      <c r="Z158" s="1" t="s">
        <v>89</v>
      </c>
      <c r="AA158" s="1">
        <v>20.0</v>
      </c>
      <c r="AB158" s="1" t="s">
        <v>62</v>
      </c>
      <c r="AC158" s="1" t="s">
        <v>51</v>
      </c>
      <c r="AD158" s="1" t="s">
        <v>81</v>
      </c>
      <c r="AE158" s="1" t="s">
        <v>51</v>
      </c>
      <c r="AF158" s="1" t="s">
        <v>51</v>
      </c>
      <c r="AG158" s="1" t="s">
        <v>51</v>
      </c>
      <c r="AH158" s="1">
        <v>50.0</v>
      </c>
      <c r="AI158" s="1">
        <v>0.0</v>
      </c>
      <c r="AJ158" s="1">
        <v>1.0</v>
      </c>
      <c r="AK158" s="1">
        <v>0.0</v>
      </c>
      <c r="AL158" s="1">
        <v>0.0</v>
      </c>
      <c r="AP158" s="1">
        <v>4.89995822E8</v>
      </c>
      <c r="AQ158" s="1" t="s">
        <v>282</v>
      </c>
      <c r="AR158" s="1">
        <v>45808.49568</v>
      </c>
      <c r="AU158" s="1" t="s">
        <v>64</v>
      </c>
      <c r="AW158" s="1" t="s">
        <v>255</v>
      </c>
      <c r="AY158" s="1">
        <v>152.0</v>
      </c>
    </row>
    <row r="159">
      <c r="A159" s="1" t="s">
        <v>51</v>
      </c>
      <c r="C159" s="1" t="s">
        <v>53</v>
      </c>
      <c r="E159" s="1" t="s">
        <v>131</v>
      </c>
      <c r="G159" s="1">
        <v>27.0</v>
      </c>
      <c r="H159" s="1" t="s">
        <v>55</v>
      </c>
      <c r="J159" s="1" t="s">
        <v>86</v>
      </c>
      <c r="K159" s="1" t="s">
        <v>57</v>
      </c>
      <c r="M159" s="1" t="s">
        <v>58</v>
      </c>
      <c r="N159" s="1" t="s">
        <v>58</v>
      </c>
      <c r="O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81</v>
      </c>
      <c r="Y159" s="1" t="s">
        <v>60</v>
      </c>
      <c r="Z159" s="1" t="s">
        <v>89</v>
      </c>
      <c r="AA159" s="1">
        <v>30.0</v>
      </c>
      <c r="AB159" s="1" t="s">
        <v>62</v>
      </c>
      <c r="AC159" s="1" t="s">
        <v>51</v>
      </c>
      <c r="AF159" s="1" t="s">
        <v>51</v>
      </c>
      <c r="AG159" s="1" t="s">
        <v>51</v>
      </c>
      <c r="AI159" s="1">
        <v>0.0</v>
      </c>
      <c r="AJ159" s="1">
        <v>1.0</v>
      </c>
      <c r="AK159" s="1">
        <v>0.0</v>
      </c>
      <c r="AL159" s="1">
        <v>0.0</v>
      </c>
      <c r="AP159" s="1">
        <v>4.89999395E8</v>
      </c>
      <c r="AQ159" s="1" t="s">
        <v>283</v>
      </c>
      <c r="AR159" s="1">
        <v>45808.50059</v>
      </c>
      <c r="AU159" s="1" t="s">
        <v>64</v>
      </c>
      <c r="AW159" s="1" t="s">
        <v>255</v>
      </c>
      <c r="AY159" s="1">
        <v>153.0</v>
      </c>
    </row>
    <row r="160">
      <c r="A160" s="1" t="s">
        <v>51</v>
      </c>
      <c r="C160" s="1" t="s">
        <v>53</v>
      </c>
      <c r="E160" s="1" t="s">
        <v>131</v>
      </c>
      <c r="G160" s="1">
        <v>28.0</v>
      </c>
      <c r="H160" s="1" t="s">
        <v>66</v>
      </c>
      <c r="J160" s="1" t="s">
        <v>86</v>
      </c>
      <c r="K160" s="1" t="s">
        <v>57</v>
      </c>
      <c r="M160" s="1" t="s">
        <v>58</v>
      </c>
      <c r="N160" s="1" t="s">
        <v>58</v>
      </c>
      <c r="O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X160" s="1" t="s">
        <v>81</v>
      </c>
      <c r="Y160" s="1" t="s">
        <v>82</v>
      </c>
      <c r="Z160" s="1" t="s">
        <v>89</v>
      </c>
      <c r="AA160" s="1">
        <v>40.0</v>
      </c>
      <c r="AB160" s="1" t="s">
        <v>79</v>
      </c>
      <c r="AC160" s="1" t="s">
        <v>51</v>
      </c>
      <c r="AD160" s="1" t="s">
        <v>81</v>
      </c>
      <c r="AE160" s="1" t="s">
        <v>51</v>
      </c>
      <c r="AF160" s="1" t="s">
        <v>51</v>
      </c>
      <c r="AG160" s="1" t="s">
        <v>51</v>
      </c>
      <c r="AH160" s="1">
        <v>50.0</v>
      </c>
      <c r="AI160" s="1">
        <v>0.0</v>
      </c>
      <c r="AJ160" s="1">
        <v>1.0</v>
      </c>
      <c r="AK160" s="1">
        <v>0.0</v>
      </c>
      <c r="AL160" s="1">
        <v>0.0</v>
      </c>
      <c r="AP160" s="1">
        <v>4.90001163E8</v>
      </c>
      <c r="AQ160" s="1" t="s">
        <v>284</v>
      </c>
      <c r="AR160" s="1">
        <v>45808.50235</v>
      </c>
      <c r="AU160" s="1" t="s">
        <v>64</v>
      </c>
      <c r="AW160" s="1" t="s">
        <v>255</v>
      </c>
      <c r="AY160" s="1">
        <v>154.0</v>
      </c>
    </row>
    <row r="161">
      <c r="A161" s="1" t="s">
        <v>51</v>
      </c>
      <c r="C161" s="1" t="s">
        <v>131</v>
      </c>
      <c r="E161" s="1" t="s">
        <v>53</v>
      </c>
      <c r="F161" s="1" t="s">
        <v>85</v>
      </c>
      <c r="G161" s="1">
        <v>28.0</v>
      </c>
      <c r="H161" s="1" t="s">
        <v>66</v>
      </c>
      <c r="I161" s="1" t="s">
        <v>100</v>
      </c>
      <c r="J161" s="1" t="s">
        <v>86</v>
      </c>
      <c r="K161" s="1" t="s">
        <v>57</v>
      </c>
      <c r="M161" s="1" t="s">
        <v>58</v>
      </c>
      <c r="N161" s="1" t="s">
        <v>58</v>
      </c>
      <c r="O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81</v>
      </c>
      <c r="Y161" s="1" t="s">
        <v>60</v>
      </c>
      <c r="Z161" s="1" t="s">
        <v>89</v>
      </c>
      <c r="AA161" s="1">
        <v>30.0</v>
      </c>
      <c r="AB161" s="1" t="s">
        <v>62</v>
      </c>
      <c r="AC161" s="1" t="s">
        <v>51</v>
      </c>
      <c r="AF161" s="1" t="s">
        <v>51</v>
      </c>
      <c r="AG161" s="1" t="s">
        <v>51</v>
      </c>
      <c r="AI161" s="1">
        <v>0.0</v>
      </c>
      <c r="AJ161" s="1">
        <v>1.0</v>
      </c>
      <c r="AK161" s="1">
        <v>0.0</v>
      </c>
      <c r="AL161" s="1">
        <v>0.0</v>
      </c>
      <c r="AM161" s="1" t="s">
        <v>51</v>
      </c>
      <c r="AN161" s="1">
        <v>7.3408723E8</v>
      </c>
      <c r="AP161" s="1">
        <v>4.90002951E8</v>
      </c>
      <c r="AQ161" s="1" t="s">
        <v>285</v>
      </c>
      <c r="AR161" s="1">
        <v>45808.50499</v>
      </c>
      <c r="AU161" s="1" t="s">
        <v>64</v>
      </c>
      <c r="AW161" s="1" t="s">
        <v>255</v>
      </c>
      <c r="AY161" s="1">
        <v>155.0</v>
      </c>
    </row>
    <row r="162">
      <c r="A162" s="1" t="s">
        <v>51</v>
      </c>
      <c r="C162" s="1" t="s">
        <v>286</v>
      </c>
      <c r="E162" s="1" t="s">
        <v>53</v>
      </c>
      <c r="F162" s="1" t="s">
        <v>102</v>
      </c>
      <c r="G162" s="1">
        <v>35.0</v>
      </c>
      <c r="H162" s="1" t="s">
        <v>66</v>
      </c>
      <c r="I162" s="1" t="s">
        <v>76</v>
      </c>
      <c r="J162" s="1" t="s">
        <v>68</v>
      </c>
      <c r="K162" s="1" t="s">
        <v>78</v>
      </c>
      <c r="M162" s="1" t="s">
        <v>58</v>
      </c>
      <c r="N162" s="1" t="s">
        <v>70</v>
      </c>
      <c r="O162" s="1" t="s">
        <v>69</v>
      </c>
      <c r="Q162" s="1" t="s">
        <v>58</v>
      </c>
      <c r="R162" s="1" t="s">
        <v>58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81</v>
      </c>
      <c r="Y162" s="1" t="s">
        <v>172</v>
      </c>
      <c r="Z162" s="1" t="s">
        <v>89</v>
      </c>
      <c r="AA162" s="1">
        <v>10.0</v>
      </c>
      <c r="AB162" s="1" t="s">
        <v>28</v>
      </c>
      <c r="AC162" s="1" t="s">
        <v>71</v>
      </c>
      <c r="AF162" s="1" t="s">
        <v>51</v>
      </c>
      <c r="AG162" s="1" t="s">
        <v>51</v>
      </c>
      <c r="AH162" s="1">
        <v>20.0</v>
      </c>
      <c r="AI162" s="1">
        <v>0.0</v>
      </c>
      <c r="AJ162" s="1">
        <v>0.0</v>
      </c>
      <c r="AK162" s="1">
        <v>0.0</v>
      </c>
      <c r="AL162" s="1">
        <v>1.0</v>
      </c>
      <c r="AM162" s="1" t="s">
        <v>72</v>
      </c>
      <c r="AP162" s="1">
        <v>4.90003314E8</v>
      </c>
      <c r="AQ162" s="1" t="s">
        <v>287</v>
      </c>
      <c r="AR162" s="1">
        <v>45808.50549</v>
      </c>
      <c r="AU162" s="1" t="s">
        <v>64</v>
      </c>
      <c r="AW162" s="1" t="s">
        <v>255</v>
      </c>
      <c r="AY162" s="1">
        <v>156.0</v>
      </c>
    </row>
    <row r="163">
      <c r="A163" s="1" t="s">
        <v>51</v>
      </c>
      <c r="C163" s="1" t="s">
        <v>53</v>
      </c>
      <c r="E163" s="1" t="s">
        <v>131</v>
      </c>
      <c r="G163" s="1">
        <v>29.0</v>
      </c>
      <c r="H163" s="1" t="s">
        <v>55</v>
      </c>
      <c r="J163" s="1" t="s">
        <v>86</v>
      </c>
      <c r="K163" s="1" t="s">
        <v>78</v>
      </c>
      <c r="M163" s="1" t="s">
        <v>58</v>
      </c>
      <c r="N163" s="1" t="s">
        <v>58</v>
      </c>
      <c r="O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81</v>
      </c>
      <c r="Y163" s="1" t="s">
        <v>60</v>
      </c>
      <c r="Z163" s="1" t="s">
        <v>89</v>
      </c>
      <c r="AA163" s="1">
        <v>50.0</v>
      </c>
      <c r="AB163" s="1" t="s">
        <v>79</v>
      </c>
      <c r="AC163" s="1" t="s">
        <v>51</v>
      </c>
      <c r="AD163" s="1" t="s">
        <v>81</v>
      </c>
      <c r="AE163" s="1" t="s">
        <v>51</v>
      </c>
      <c r="AF163" s="1" t="s">
        <v>51</v>
      </c>
      <c r="AG163" s="1" t="s">
        <v>51</v>
      </c>
      <c r="AI163" s="1">
        <v>0.0</v>
      </c>
      <c r="AJ163" s="1">
        <v>1.0</v>
      </c>
      <c r="AK163" s="1">
        <v>0.0</v>
      </c>
      <c r="AL163" s="1">
        <v>0.0</v>
      </c>
      <c r="AP163" s="1">
        <v>4.90004742E8</v>
      </c>
      <c r="AQ163" s="1" t="s">
        <v>288</v>
      </c>
      <c r="AR163" s="1">
        <v>45808.50743</v>
      </c>
      <c r="AU163" s="1" t="s">
        <v>64</v>
      </c>
      <c r="AW163" s="1" t="s">
        <v>255</v>
      </c>
      <c r="AY163" s="1">
        <v>157.0</v>
      </c>
    </row>
    <row r="164">
      <c r="A164" s="1" t="s">
        <v>51</v>
      </c>
      <c r="C164" s="1" t="s">
        <v>131</v>
      </c>
      <c r="E164" s="1" t="s">
        <v>53</v>
      </c>
      <c r="F164" s="1" t="s">
        <v>85</v>
      </c>
      <c r="G164" s="1">
        <v>28.0</v>
      </c>
      <c r="H164" s="1" t="s">
        <v>66</v>
      </c>
      <c r="I164" s="1" t="s">
        <v>100</v>
      </c>
      <c r="J164" s="1" t="s">
        <v>86</v>
      </c>
      <c r="K164" s="1" t="s">
        <v>74</v>
      </c>
      <c r="M164" s="1" t="s">
        <v>58</v>
      </c>
      <c r="N164" s="1" t="s">
        <v>58</v>
      </c>
      <c r="O164" s="1" t="s">
        <v>58</v>
      </c>
      <c r="Q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81</v>
      </c>
      <c r="Y164" s="1" t="s">
        <v>82</v>
      </c>
      <c r="Z164" s="1" t="s">
        <v>127</v>
      </c>
      <c r="AA164" s="1">
        <v>10.0</v>
      </c>
      <c r="AB164" s="1" t="s">
        <v>79</v>
      </c>
      <c r="AC164" s="1" t="s">
        <v>51</v>
      </c>
      <c r="AF164" s="1" t="s">
        <v>51</v>
      </c>
      <c r="AG164" s="1" t="s">
        <v>51</v>
      </c>
      <c r="AI164" s="1">
        <v>1.0</v>
      </c>
      <c r="AJ164" s="1">
        <v>0.0</v>
      </c>
      <c r="AK164" s="1">
        <v>0.0</v>
      </c>
      <c r="AL164" s="1">
        <v>0.0</v>
      </c>
      <c r="AM164" s="1" t="s">
        <v>51</v>
      </c>
      <c r="AN164" s="1">
        <v>6.40004045E8</v>
      </c>
      <c r="AP164" s="1">
        <v>4.90013637E8</v>
      </c>
      <c r="AQ164" s="1" t="s">
        <v>289</v>
      </c>
      <c r="AR164" s="1">
        <v>45808.51943</v>
      </c>
      <c r="AU164" s="1" t="s">
        <v>64</v>
      </c>
      <c r="AW164" s="1" t="s">
        <v>255</v>
      </c>
      <c r="AY164" s="1">
        <v>158.0</v>
      </c>
    </row>
    <row r="165">
      <c r="A165" s="1" t="s">
        <v>51</v>
      </c>
      <c r="C165" s="1" t="s">
        <v>131</v>
      </c>
      <c r="E165" s="1" t="s">
        <v>53</v>
      </c>
      <c r="F165" s="1" t="s">
        <v>85</v>
      </c>
      <c r="G165" s="1">
        <v>22.0</v>
      </c>
      <c r="H165" s="1" t="s">
        <v>55</v>
      </c>
      <c r="I165" s="1" t="s">
        <v>100</v>
      </c>
      <c r="J165" s="1" t="s">
        <v>86</v>
      </c>
      <c r="K165" s="1" t="s">
        <v>57</v>
      </c>
      <c r="M165" s="1" t="s">
        <v>58</v>
      </c>
      <c r="N165" s="1" t="s">
        <v>58</v>
      </c>
      <c r="O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81</v>
      </c>
      <c r="Y165" s="1" t="s">
        <v>82</v>
      </c>
      <c r="Z165" s="1" t="s">
        <v>127</v>
      </c>
      <c r="AA165" s="1">
        <v>30.0</v>
      </c>
      <c r="AB165" s="1" t="s">
        <v>79</v>
      </c>
      <c r="AC165" s="1" t="s">
        <v>51</v>
      </c>
      <c r="AD165" s="1" t="s">
        <v>81</v>
      </c>
      <c r="AE165" s="1" t="s">
        <v>51</v>
      </c>
      <c r="AF165" s="1" t="s">
        <v>51</v>
      </c>
      <c r="AG165" s="1" t="s">
        <v>51</v>
      </c>
      <c r="AH165" s="1">
        <v>50.0</v>
      </c>
      <c r="AI165" s="1">
        <v>0.0</v>
      </c>
      <c r="AJ165" s="1">
        <v>1.0</v>
      </c>
      <c r="AK165" s="1">
        <v>0.0</v>
      </c>
      <c r="AL165" s="1">
        <v>0.0</v>
      </c>
      <c r="AM165" s="1" t="s">
        <v>51</v>
      </c>
      <c r="AN165" s="1">
        <v>6.73748437E8</v>
      </c>
      <c r="AP165" s="1">
        <v>4.90015156E8</v>
      </c>
      <c r="AQ165" s="1" t="s">
        <v>290</v>
      </c>
      <c r="AR165" s="1">
        <v>45808.52166</v>
      </c>
      <c r="AU165" s="1" t="s">
        <v>64</v>
      </c>
      <c r="AW165" s="1" t="s">
        <v>255</v>
      </c>
      <c r="AY165" s="1">
        <v>159.0</v>
      </c>
    </row>
    <row r="166">
      <c r="A166" s="1" t="s">
        <v>51</v>
      </c>
      <c r="C166" s="1" t="s">
        <v>131</v>
      </c>
      <c r="E166" s="1" t="s">
        <v>53</v>
      </c>
      <c r="F166" s="1" t="s">
        <v>291</v>
      </c>
      <c r="G166" s="1">
        <v>24.0</v>
      </c>
      <c r="H166" s="1" t="s">
        <v>55</v>
      </c>
      <c r="I166" s="1" t="s">
        <v>100</v>
      </c>
      <c r="J166" s="1" t="s">
        <v>86</v>
      </c>
      <c r="K166" s="1" t="s">
        <v>57</v>
      </c>
      <c r="M166" s="1" t="s">
        <v>58</v>
      </c>
      <c r="N166" s="1" t="s">
        <v>58</v>
      </c>
      <c r="O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 t="s">
        <v>58</v>
      </c>
      <c r="X166" s="1" t="s">
        <v>81</v>
      </c>
      <c r="Y166" s="1" t="s">
        <v>60</v>
      </c>
      <c r="Z166" s="1" t="s">
        <v>108</v>
      </c>
      <c r="AA166" s="1">
        <v>20.0</v>
      </c>
      <c r="AB166" s="1" t="s">
        <v>62</v>
      </c>
      <c r="AC166" s="1" t="s">
        <v>51</v>
      </c>
      <c r="AD166" s="1" t="s">
        <v>81</v>
      </c>
      <c r="AE166" s="1" t="s">
        <v>51</v>
      </c>
      <c r="AF166" s="1" t="s">
        <v>51</v>
      </c>
      <c r="AG166" s="1" t="s">
        <v>51</v>
      </c>
      <c r="AH166" s="1">
        <v>2.0</v>
      </c>
      <c r="AI166" s="1">
        <v>0.0</v>
      </c>
      <c r="AJ166" s="1">
        <v>1.0</v>
      </c>
      <c r="AK166" s="1">
        <v>0.0</v>
      </c>
      <c r="AL166" s="1">
        <v>0.0</v>
      </c>
      <c r="AM166" s="1" t="s">
        <v>51</v>
      </c>
      <c r="AN166" s="1">
        <v>6.92541294E8</v>
      </c>
      <c r="AP166" s="1">
        <v>4.90021647E8</v>
      </c>
      <c r="AQ166" s="1" t="s">
        <v>292</v>
      </c>
      <c r="AR166" s="1">
        <v>45808.52943</v>
      </c>
      <c r="AU166" s="1" t="s">
        <v>64</v>
      </c>
      <c r="AW166" s="1" t="s">
        <v>255</v>
      </c>
      <c r="AY166" s="1">
        <v>160.0</v>
      </c>
    </row>
    <row r="167">
      <c r="A167" s="1" t="s">
        <v>51</v>
      </c>
      <c r="C167" s="1" t="s">
        <v>131</v>
      </c>
      <c r="E167" s="1" t="s">
        <v>53</v>
      </c>
      <c r="F167" s="1" t="s">
        <v>291</v>
      </c>
      <c r="G167" s="1">
        <v>23.0</v>
      </c>
      <c r="H167" s="1" t="s">
        <v>66</v>
      </c>
      <c r="I167" s="1" t="s">
        <v>100</v>
      </c>
      <c r="J167" s="1" t="s">
        <v>86</v>
      </c>
      <c r="K167" s="1" t="s">
        <v>57</v>
      </c>
      <c r="M167" s="1" t="s">
        <v>58</v>
      </c>
      <c r="N167" s="1" t="s">
        <v>58</v>
      </c>
      <c r="O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59</v>
      </c>
      <c r="Y167" s="1" t="s">
        <v>60</v>
      </c>
      <c r="Z167" s="1" t="s">
        <v>108</v>
      </c>
      <c r="AA167" s="1">
        <v>20.0</v>
      </c>
      <c r="AB167" s="1" t="s">
        <v>79</v>
      </c>
      <c r="AC167" s="1" t="s">
        <v>51</v>
      </c>
      <c r="AD167" s="1" t="s">
        <v>59</v>
      </c>
      <c r="AE167" s="1" t="s">
        <v>51</v>
      </c>
      <c r="AF167" s="1" t="s">
        <v>51</v>
      </c>
      <c r="AG167" s="1" t="s">
        <v>51</v>
      </c>
      <c r="AH167" s="1">
        <v>3.0</v>
      </c>
      <c r="AI167" s="1">
        <v>0.0</v>
      </c>
      <c r="AJ167" s="1">
        <v>1.0</v>
      </c>
      <c r="AK167" s="1">
        <v>0.0</v>
      </c>
      <c r="AL167" s="1">
        <v>0.0</v>
      </c>
      <c r="AM167" s="1" t="s">
        <v>51</v>
      </c>
      <c r="AN167" s="1">
        <v>7.32109955E8</v>
      </c>
      <c r="AP167" s="1">
        <v>4.90023205E8</v>
      </c>
      <c r="AQ167" s="1" t="s">
        <v>293</v>
      </c>
      <c r="AR167" s="1">
        <v>45808.53133</v>
      </c>
      <c r="AU167" s="1" t="s">
        <v>64</v>
      </c>
      <c r="AW167" s="1" t="s">
        <v>255</v>
      </c>
      <c r="AY167" s="1">
        <v>161.0</v>
      </c>
    </row>
    <row r="168">
      <c r="A168" s="1" t="s">
        <v>51</v>
      </c>
      <c r="C168" s="1" t="s">
        <v>131</v>
      </c>
      <c r="E168" s="1" t="s">
        <v>53</v>
      </c>
      <c r="F168" s="1" t="s">
        <v>291</v>
      </c>
      <c r="G168" s="1">
        <v>20.0</v>
      </c>
      <c r="H168" s="1" t="s">
        <v>66</v>
      </c>
      <c r="I168" s="1" t="s">
        <v>76</v>
      </c>
      <c r="J168" s="1" t="s">
        <v>86</v>
      </c>
      <c r="K168" s="1" t="s">
        <v>78</v>
      </c>
      <c r="M168" s="1" t="s">
        <v>58</v>
      </c>
      <c r="N168" s="1" t="s">
        <v>58</v>
      </c>
      <c r="O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88</v>
      </c>
      <c r="Y168" s="1" t="s">
        <v>82</v>
      </c>
      <c r="Z168" s="1" t="s">
        <v>89</v>
      </c>
      <c r="AA168" s="1">
        <v>30.0</v>
      </c>
      <c r="AB168" s="1" t="s">
        <v>62</v>
      </c>
      <c r="AC168" s="1" t="s">
        <v>51</v>
      </c>
      <c r="AD168" s="1" t="s">
        <v>88</v>
      </c>
      <c r="AE168" s="1" t="s">
        <v>51</v>
      </c>
      <c r="AF168" s="1" t="s">
        <v>51</v>
      </c>
      <c r="AG168" s="1" t="s">
        <v>51</v>
      </c>
      <c r="AH168" s="1">
        <v>2.0</v>
      </c>
      <c r="AI168" s="1">
        <v>0.0</v>
      </c>
      <c r="AJ168" s="1">
        <v>1.0</v>
      </c>
      <c r="AK168" s="1">
        <v>0.0</v>
      </c>
      <c r="AL168" s="1">
        <v>0.0</v>
      </c>
      <c r="AM168" s="1" t="s">
        <v>51</v>
      </c>
      <c r="AN168" s="1">
        <v>7.3293382E7</v>
      </c>
      <c r="AP168" s="1">
        <v>4.90024645E8</v>
      </c>
      <c r="AQ168" s="1" t="s">
        <v>294</v>
      </c>
      <c r="AR168" s="1">
        <v>45808.53369</v>
      </c>
      <c r="AU168" s="1" t="s">
        <v>64</v>
      </c>
      <c r="AW168" s="1" t="s">
        <v>255</v>
      </c>
      <c r="AY168" s="1">
        <v>162.0</v>
      </c>
    </row>
    <row r="169">
      <c r="A169" s="1" t="s">
        <v>51</v>
      </c>
      <c r="C169" s="1" t="s">
        <v>131</v>
      </c>
      <c r="E169" s="1" t="s">
        <v>53</v>
      </c>
      <c r="F169" s="1" t="s">
        <v>291</v>
      </c>
      <c r="G169" s="1">
        <v>21.0</v>
      </c>
      <c r="H169" s="1" t="s">
        <v>55</v>
      </c>
      <c r="I169" s="1" t="s">
        <v>67</v>
      </c>
      <c r="J169" s="1" t="s">
        <v>86</v>
      </c>
      <c r="K169" s="1" t="s">
        <v>74</v>
      </c>
      <c r="M169" s="1" t="s">
        <v>58</v>
      </c>
      <c r="N169" s="1" t="s">
        <v>58</v>
      </c>
      <c r="O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59</v>
      </c>
      <c r="Y169" s="1" t="s">
        <v>82</v>
      </c>
      <c r="Z169" s="1" t="s">
        <v>108</v>
      </c>
      <c r="AA169" s="1">
        <v>30.0</v>
      </c>
      <c r="AB169" s="1" t="s">
        <v>62</v>
      </c>
      <c r="AC169" s="1" t="s">
        <v>51</v>
      </c>
      <c r="AD169" s="1" t="s">
        <v>59</v>
      </c>
      <c r="AE169" s="1" t="s">
        <v>51</v>
      </c>
      <c r="AF169" s="1" t="s">
        <v>51</v>
      </c>
      <c r="AG169" s="1" t="s">
        <v>51</v>
      </c>
      <c r="AH169" s="1">
        <v>3.0</v>
      </c>
      <c r="AI169" s="1">
        <v>0.0</v>
      </c>
      <c r="AJ169" s="1">
        <v>1.0</v>
      </c>
      <c r="AK169" s="1">
        <v>0.0</v>
      </c>
      <c r="AL169" s="1">
        <v>0.0</v>
      </c>
      <c r="AM169" s="1" t="s">
        <v>51</v>
      </c>
      <c r="AN169" s="1">
        <v>8.37472508E8</v>
      </c>
      <c r="AP169" s="1">
        <v>4.90025968E8</v>
      </c>
      <c r="AQ169" s="1" t="s">
        <v>295</v>
      </c>
      <c r="AR169" s="1">
        <v>45808.53591</v>
      </c>
      <c r="AU169" s="1" t="s">
        <v>64</v>
      </c>
      <c r="AW169" s="1" t="s">
        <v>255</v>
      </c>
      <c r="AY169" s="1">
        <v>163.0</v>
      </c>
    </row>
    <row r="170">
      <c r="A170" s="1" t="s">
        <v>51</v>
      </c>
      <c r="C170" s="1" t="s">
        <v>131</v>
      </c>
      <c r="E170" s="1" t="s">
        <v>53</v>
      </c>
      <c r="F170" s="1" t="s">
        <v>291</v>
      </c>
      <c r="G170" s="1">
        <v>21.0</v>
      </c>
      <c r="H170" s="1" t="s">
        <v>55</v>
      </c>
      <c r="I170" s="1" t="s">
        <v>67</v>
      </c>
      <c r="J170" s="1" t="s">
        <v>86</v>
      </c>
      <c r="K170" s="1" t="s">
        <v>74</v>
      </c>
      <c r="M170" s="1" t="s">
        <v>58</v>
      </c>
      <c r="N170" s="1" t="s">
        <v>58</v>
      </c>
      <c r="O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59</v>
      </c>
      <c r="Y170" s="1" t="s">
        <v>82</v>
      </c>
      <c r="Z170" s="1" t="s">
        <v>108</v>
      </c>
      <c r="AA170" s="1">
        <v>40.0</v>
      </c>
      <c r="AB170" s="1" t="s">
        <v>62</v>
      </c>
      <c r="AC170" s="1" t="s">
        <v>51</v>
      </c>
      <c r="AD170" s="1" t="s">
        <v>59</v>
      </c>
      <c r="AE170" s="1" t="s">
        <v>51</v>
      </c>
      <c r="AF170" s="1" t="s">
        <v>51</v>
      </c>
      <c r="AG170" s="1" t="s">
        <v>51</v>
      </c>
      <c r="AH170" s="1">
        <v>2.0</v>
      </c>
      <c r="AI170" s="1">
        <v>1.0</v>
      </c>
      <c r="AJ170" s="1">
        <v>0.0</v>
      </c>
      <c r="AK170" s="1">
        <v>0.0</v>
      </c>
      <c r="AL170" s="1">
        <v>0.0</v>
      </c>
      <c r="AM170" s="1" t="s">
        <v>51</v>
      </c>
      <c r="AN170" s="1">
        <v>6.04141344E8</v>
      </c>
      <c r="AP170" s="1">
        <v>4.90028048E8</v>
      </c>
      <c r="AQ170" s="1" t="s">
        <v>296</v>
      </c>
      <c r="AR170" s="1">
        <v>45808.53859</v>
      </c>
      <c r="AU170" s="1" t="s">
        <v>64</v>
      </c>
      <c r="AW170" s="1" t="s">
        <v>255</v>
      </c>
      <c r="AY170" s="1">
        <v>164.0</v>
      </c>
    </row>
    <row r="171">
      <c r="A171" s="1" t="s">
        <v>51</v>
      </c>
      <c r="C171" s="1" t="s">
        <v>131</v>
      </c>
      <c r="E171" s="1" t="s">
        <v>53</v>
      </c>
      <c r="F171" s="1" t="s">
        <v>85</v>
      </c>
      <c r="G171" s="1">
        <v>22.0</v>
      </c>
      <c r="H171" s="1" t="s">
        <v>55</v>
      </c>
      <c r="I171" s="1" t="s">
        <v>76</v>
      </c>
      <c r="J171" s="1" t="s">
        <v>111</v>
      </c>
      <c r="K171" s="1" t="s">
        <v>57</v>
      </c>
      <c r="M171" s="1" t="s">
        <v>58</v>
      </c>
      <c r="N171" s="1" t="s">
        <v>58</v>
      </c>
      <c r="O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59</v>
      </c>
      <c r="Y171" s="1" t="s">
        <v>82</v>
      </c>
      <c r="Z171" s="1" t="s">
        <v>108</v>
      </c>
      <c r="AA171" s="1">
        <v>20.0</v>
      </c>
      <c r="AB171" s="1" t="s">
        <v>62</v>
      </c>
      <c r="AC171" s="1" t="s">
        <v>51</v>
      </c>
      <c r="AD171" s="1" t="s">
        <v>59</v>
      </c>
      <c r="AE171" s="1" t="s">
        <v>51</v>
      </c>
      <c r="AF171" s="1" t="s">
        <v>51</v>
      </c>
      <c r="AG171" s="1" t="s">
        <v>51</v>
      </c>
      <c r="AH171" s="1">
        <v>2.0</v>
      </c>
      <c r="AI171" s="1">
        <v>0.0</v>
      </c>
      <c r="AJ171" s="1">
        <v>1.0</v>
      </c>
      <c r="AK171" s="1">
        <v>0.0</v>
      </c>
      <c r="AL171" s="1">
        <v>0.0</v>
      </c>
      <c r="AM171" s="1" t="s">
        <v>51</v>
      </c>
      <c r="AN171" s="1">
        <v>7.86258839E8</v>
      </c>
      <c r="AP171" s="1">
        <v>4.90029902E8</v>
      </c>
      <c r="AQ171" s="1" t="s">
        <v>297</v>
      </c>
      <c r="AR171" s="1">
        <v>45808.54122</v>
      </c>
      <c r="AU171" s="1" t="s">
        <v>64</v>
      </c>
      <c r="AW171" s="1" t="s">
        <v>255</v>
      </c>
      <c r="AY171" s="1">
        <v>165.0</v>
      </c>
    </row>
    <row r="172">
      <c r="A172" s="1" t="s">
        <v>51</v>
      </c>
      <c r="C172" s="1" t="s">
        <v>52</v>
      </c>
      <c r="E172" s="1" t="s">
        <v>53</v>
      </c>
      <c r="F172" s="1" t="s">
        <v>102</v>
      </c>
      <c r="G172" s="1">
        <v>40.0</v>
      </c>
      <c r="H172" s="1" t="s">
        <v>66</v>
      </c>
      <c r="I172" s="1" t="s">
        <v>100</v>
      </c>
      <c r="J172" s="1" t="s">
        <v>111</v>
      </c>
      <c r="K172" s="1" t="s">
        <v>87</v>
      </c>
      <c r="M172" s="1" t="s">
        <v>58</v>
      </c>
      <c r="N172" s="1" t="s">
        <v>58</v>
      </c>
      <c r="O172" s="1" t="s">
        <v>70</v>
      </c>
      <c r="Q172" s="1" t="s">
        <v>58</v>
      </c>
      <c r="R172" s="1" t="s">
        <v>58</v>
      </c>
      <c r="S172" s="1" t="s">
        <v>70</v>
      </c>
      <c r="T172" s="1" t="s">
        <v>70</v>
      </c>
      <c r="U172" s="1" t="s">
        <v>58</v>
      </c>
      <c r="V172" s="1" t="s">
        <v>58</v>
      </c>
      <c r="W172" s="1" t="s">
        <v>58</v>
      </c>
      <c r="Y172" s="1" t="s">
        <v>95</v>
      </c>
      <c r="Z172" s="1" t="s">
        <v>89</v>
      </c>
      <c r="AA172" s="1">
        <v>100.0</v>
      </c>
      <c r="AB172" s="1" t="s">
        <v>79</v>
      </c>
      <c r="AC172" s="1" t="s">
        <v>71</v>
      </c>
      <c r="AF172" s="1" t="s">
        <v>51</v>
      </c>
      <c r="AG172" s="1" t="s">
        <v>72</v>
      </c>
      <c r="AI172" s="1">
        <v>0.0</v>
      </c>
      <c r="AJ172" s="1">
        <v>0.0</v>
      </c>
      <c r="AK172" s="1">
        <v>0.0</v>
      </c>
      <c r="AL172" s="1">
        <v>1.0</v>
      </c>
      <c r="AM172" s="1" t="s">
        <v>51</v>
      </c>
      <c r="AN172" s="1">
        <v>6.12535762E8</v>
      </c>
      <c r="AP172" s="1">
        <v>4.90034639E8</v>
      </c>
      <c r="AQ172" s="1" t="s">
        <v>298</v>
      </c>
      <c r="AR172" s="1">
        <v>45808.54656</v>
      </c>
      <c r="AU172" s="1" t="s">
        <v>64</v>
      </c>
      <c r="AW172" s="1" t="s">
        <v>255</v>
      </c>
      <c r="AY172" s="1">
        <v>166.0</v>
      </c>
    </row>
    <row r="173">
      <c r="A173" s="1" t="s">
        <v>51</v>
      </c>
      <c r="C173" s="1" t="s">
        <v>52</v>
      </c>
      <c r="E173" s="1" t="s">
        <v>53</v>
      </c>
      <c r="F173" s="1" t="s">
        <v>102</v>
      </c>
      <c r="G173" s="1">
        <v>43.0</v>
      </c>
      <c r="H173" s="1" t="s">
        <v>66</v>
      </c>
      <c r="I173" s="1" t="s">
        <v>67</v>
      </c>
      <c r="J173" s="1" t="s">
        <v>86</v>
      </c>
      <c r="K173" s="1" t="s">
        <v>87</v>
      </c>
      <c r="M173" s="1" t="s">
        <v>58</v>
      </c>
      <c r="N173" s="1" t="s">
        <v>70</v>
      </c>
      <c r="O173" s="1" t="s">
        <v>58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70</v>
      </c>
      <c r="V173" s="1" t="s">
        <v>58</v>
      </c>
      <c r="W173" s="1" t="s">
        <v>70</v>
      </c>
      <c r="X173" s="1" t="s">
        <v>88</v>
      </c>
      <c r="Y173" s="1" t="s">
        <v>60</v>
      </c>
      <c r="Z173" s="1" t="s">
        <v>61</v>
      </c>
      <c r="AA173" s="1">
        <v>100.0</v>
      </c>
      <c r="AB173" s="1" t="s">
        <v>62</v>
      </c>
      <c r="AC173" s="1" t="s">
        <v>71</v>
      </c>
      <c r="AF173" s="1" t="s">
        <v>51</v>
      </c>
      <c r="AG173" s="1" t="s">
        <v>51</v>
      </c>
      <c r="AH173" s="1">
        <v>3000.0</v>
      </c>
      <c r="AI173" s="1">
        <v>0.0</v>
      </c>
      <c r="AJ173" s="1">
        <v>0.0</v>
      </c>
      <c r="AK173" s="1">
        <v>0.0</v>
      </c>
      <c r="AL173" s="1">
        <v>1.0</v>
      </c>
      <c r="AM173" s="1" t="s">
        <v>51</v>
      </c>
      <c r="AN173" s="1">
        <v>7.94237527E8</v>
      </c>
      <c r="AP173" s="1">
        <v>4.90035398E8</v>
      </c>
      <c r="AQ173" s="1" t="s">
        <v>299</v>
      </c>
      <c r="AR173" s="1">
        <v>45808.54729</v>
      </c>
      <c r="AU173" s="1" t="s">
        <v>64</v>
      </c>
      <c r="AW173" s="1" t="s">
        <v>255</v>
      </c>
      <c r="AY173" s="1">
        <v>167.0</v>
      </c>
    </row>
    <row r="174">
      <c r="A174" s="1" t="s">
        <v>51</v>
      </c>
      <c r="C174" s="1" t="s">
        <v>52</v>
      </c>
      <c r="E174" s="1" t="s">
        <v>53</v>
      </c>
      <c r="F174" s="1" t="s">
        <v>94</v>
      </c>
      <c r="G174" s="1">
        <v>51.0</v>
      </c>
      <c r="H174" s="1" t="s">
        <v>55</v>
      </c>
      <c r="I174" s="1" t="s">
        <v>67</v>
      </c>
      <c r="J174" s="1" t="s">
        <v>68</v>
      </c>
      <c r="K174" s="1" t="s">
        <v>92</v>
      </c>
      <c r="M174" s="1" t="s">
        <v>58</v>
      </c>
      <c r="N174" s="1" t="s">
        <v>58</v>
      </c>
      <c r="O174" s="1" t="s">
        <v>69</v>
      </c>
      <c r="Q174" s="1" t="s">
        <v>58</v>
      </c>
      <c r="R174" s="1" t="s">
        <v>58</v>
      </c>
      <c r="S174" s="1" t="s">
        <v>69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88</v>
      </c>
      <c r="Y174" s="1" t="s">
        <v>60</v>
      </c>
      <c r="Z174" s="1" t="s">
        <v>89</v>
      </c>
      <c r="AA174" s="1">
        <v>100.0</v>
      </c>
      <c r="AB174" s="1" t="s">
        <v>79</v>
      </c>
      <c r="AC174" s="1" t="s">
        <v>71</v>
      </c>
      <c r="AF174" s="1" t="s">
        <v>51</v>
      </c>
      <c r="AG174" s="1" t="s">
        <v>51</v>
      </c>
      <c r="AH174" s="1">
        <v>500.0</v>
      </c>
      <c r="AI174" s="1">
        <v>0.0</v>
      </c>
      <c r="AJ174" s="1">
        <v>1.0</v>
      </c>
      <c r="AK174" s="1">
        <v>1.0</v>
      </c>
      <c r="AL174" s="1">
        <v>1.0</v>
      </c>
      <c r="AM174" s="1" t="s">
        <v>51</v>
      </c>
      <c r="AN174" s="1">
        <v>7.61652799E8</v>
      </c>
      <c r="AP174" s="1">
        <v>4.90050303E8</v>
      </c>
      <c r="AQ174" s="1" t="s">
        <v>300</v>
      </c>
      <c r="AR174" s="1">
        <v>45808.56594</v>
      </c>
      <c r="AU174" s="1" t="s">
        <v>64</v>
      </c>
      <c r="AW174" s="1" t="s">
        <v>255</v>
      </c>
      <c r="AY174" s="1">
        <v>168.0</v>
      </c>
    </row>
    <row r="175">
      <c r="A175" s="1" t="s">
        <v>51</v>
      </c>
      <c r="C175" s="1" t="s">
        <v>52</v>
      </c>
      <c r="E175" s="1" t="s">
        <v>53</v>
      </c>
      <c r="F175" s="1" t="s">
        <v>301</v>
      </c>
      <c r="G175" s="1">
        <v>26.0</v>
      </c>
      <c r="H175" s="1" t="s">
        <v>66</v>
      </c>
      <c r="I175" s="1" t="s">
        <v>100</v>
      </c>
      <c r="J175" s="1" t="s">
        <v>56</v>
      </c>
      <c r="K175" s="1" t="s">
        <v>87</v>
      </c>
      <c r="M175" s="1" t="s">
        <v>58</v>
      </c>
      <c r="N175" s="1" t="s">
        <v>58</v>
      </c>
      <c r="O175" s="1" t="s">
        <v>58</v>
      </c>
      <c r="Q175" s="1" t="s">
        <v>69</v>
      </c>
      <c r="R175" s="1" t="s">
        <v>58</v>
      </c>
      <c r="S175" s="1" t="s">
        <v>69</v>
      </c>
      <c r="T175" s="1" t="s">
        <v>58</v>
      </c>
      <c r="U175" s="1" t="s">
        <v>58</v>
      </c>
      <c r="V175" s="1" t="s">
        <v>58</v>
      </c>
      <c r="W175" s="1" t="s">
        <v>69</v>
      </c>
      <c r="X175" s="1" t="s">
        <v>88</v>
      </c>
      <c r="Y175" s="1" t="s">
        <v>95</v>
      </c>
      <c r="Z175" s="1" t="s">
        <v>96</v>
      </c>
      <c r="AA175" s="1">
        <v>100.0</v>
      </c>
      <c r="AB175" s="1" t="s">
        <v>62</v>
      </c>
      <c r="AC175" s="1" t="s">
        <v>71</v>
      </c>
      <c r="AF175" s="1" t="s">
        <v>51</v>
      </c>
      <c r="AG175" s="1" t="s">
        <v>72</v>
      </c>
      <c r="AI175" s="1">
        <v>0.0</v>
      </c>
      <c r="AJ175" s="1">
        <v>0.0</v>
      </c>
      <c r="AK175" s="1">
        <v>1.0</v>
      </c>
      <c r="AL175" s="1">
        <v>0.0</v>
      </c>
      <c r="AM175" s="1" t="s">
        <v>51</v>
      </c>
      <c r="AP175" s="1">
        <v>4.90054197E8</v>
      </c>
      <c r="AQ175" s="1" t="s">
        <v>302</v>
      </c>
      <c r="AR175" s="1">
        <v>45808.57083</v>
      </c>
      <c r="AU175" s="1" t="s">
        <v>64</v>
      </c>
      <c r="AW175" s="1" t="s">
        <v>255</v>
      </c>
      <c r="AY175" s="1">
        <v>169.0</v>
      </c>
    </row>
    <row r="176">
      <c r="A176" s="1" t="s">
        <v>51</v>
      </c>
      <c r="C176" s="1" t="s">
        <v>131</v>
      </c>
      <c r="E176" s="1" t="s">
        <v>53</v>
      </c>
      <c r="F176" s="1" t="s">
        <v>54</v>
      </c>
      <c r="G176" s="1">
        <v>34.0</v>
      </c>
      <c r="H176" s="1" t="s">
        <v>55</v>
      </c>
      <c r="I176" s="1" t="s">
        <v>100</v>
      </c>
      <c r="J176" s="1" t="s">
        <v>56</v>
      </c>
      <c r="K176" s="1" t="s">
        <v>74</v>
      </c>
      <c r="M176" s="1" t="s">
        <v>58</v>
      </c>
      <c r="N176" s="1" t="s">
        <v>58</v>
      </c>
      <c r="O176" s="1" t="s">
        <v>69</v>
      </c>
      <c r="Q176" s="1" t="s">
        <v>58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1" t="s">
        <v>58</v>
      </c>
      <c r="X176" s="1" t="s">
        <v>81</v>
      </c>
      <c r="Y176" s="1" t="s">
        <v>82</v>
      </c>
      <c r="Z176" s="1" t="s">
        <v>108</v>
      </c>
      <c r="AA176" s="1">
        <v>50.0</v>
      </c>
      <c r="AB176" s="1" t="s">
        <v>28</v>
      </c>
      <c r="AC176" s="1" t="s">
        <v>71</v>
      </c>
      <c r="AF176" s="1" t="s">
        <v>51</v>
      </c>
      <c r="AG176" s="1" t="s">
        <v>72</v>
      </c>
      <c r="AI176" s="1">
        <v>0.0</v>
      </c>
      <c r="AJ176" s="1">
        <v>0.0</v>
      </c>
      <c r="AK176" s="1">
        <v>0.0</v>
      </c>
      <c r="AL176" s="1">
        <v>1.0</v>
      </c>
      <c r="AM176" s="1" t="s">
        <v>51</v>
      </c>
      <c r="AN176" s="1">
        <v>7.30603166E8</v>
      </c>
      <c r="AP176" s="1">
        <v>4.90058033E8</v>
      </c>
      <c r="AQ176" s="1" t="s">
        <v>303</v>
      </c>
      <c r="AR176" s="1">
        <v>45808.57516</v>
      </c>
      <c r="AU176" s="1" t="s">
        <v>64</v>
      </c>
      <c r="AW176" s="1" t="s">
        <v>255</v>
      </c>
      <c r="AY176" s="1">
        <v>170.0</v>
      </c>
    </row>
    <row r="177">
      <c r="AP177" s="1">
        <v>4.90059101E8</v>
      </c>
      <c r="AQ177" s="1" t="s">
        <v>530</v>
      </c>
      <c r="AR177" s="1">
        <v>45808.57641</v>
      </c>
      <c r="AU177" s="1" t="s">
        <v>64</v>
      </c>
      <c r="AW177" s="1" t="s">
        <v>255</v>
      </c>
      <c r="AY177" s="1">
        <v>171.0</v>
      </c>
    </row>
    <row r="178">
      <c r="A178" s="1" t="s">
        <v>51</v>
      </c>
      <c r="C178" s="1" t="s">
        <v>131</v>
      </c>
      <c r="E178" s="1" t="s">
        <v>53</v>
      </c>
      <c r="F178" s="1" t="s">
        <v>54</v>
      </c>
      <c r="G178" s="1">
        <v>20.0</v>
      </c>
      <c r="H178" s="1" t="s">
        <v>55</v>
      </c>
      <c r="I178" s="1" t="s">
        <v>100</v>
      </c>
      <c r="J178" s="1" t="s">
        <v>111</v>
      </c>
      <c r="K178" s="1" t="s">
        <v>78</v>
      </c>
      <c r="M178" s="1" t="s">
        <v>58</v>
      </c>
      <c r="N178" s="1" t="s">
        <v>58</v>
      </c>
      <c r="O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70</v>
      </c>
      <c r="W178" s="1" t="s">
        <v>58</v>
      </c>
      <c r="X178" s="1" t="s">
        <v>81</v>
      </c>
      <c r="Y178" s="1" t="s">
        <v>60</v>
      </c>
      <c r="Z178" s="1" t="s">
        <v>96</v>
      </c>
      <c r="AA178" s="1">
        <v>100.0</v>
      </c>
      <c r="AB178" s="1" t="s">
        <v>62</v>
      </c>
      <c r="AC178" s="1" t="s">
        <v>51</v>
      </c>
      <c r="AD178" s="1" t="s">
        <v>81</v>
      </c>
      <c r="AE178" s="1" t="s">
        <v>72</v>
      </c>
      <c r="AF178" s="1" t="s">
        <v>51</v>
      </c>
      <c r="AG178" s="1" t="s">
        <v>72</v>
      </c>
      <c r="AI178" s="1">
        <v>0.0</v>
      </c>
      <c r="AJ178" s="1">
        <v>1.0</v>
      </c>
      <c r="AK178" s="1">
        <v>0.0</v>
      </c>
      <c r="AL178" s="1">
        <v>0.0</v>
      </c>
      <c r="AM178" s="1" t="s">
        <v>51</v>
      </c>
      <c r="AP178" s="1">
        <v>4.90060926E8</v>
      </c>
      <c r="AQ178" s="1" t="s">
        <v>304</v>
      </c>
      <c r="AR178" s="1">
        <v>45808.5785</v>
      </c>
      <c r="AU178" s="1" t="s">
        <v>64</v>
      </c>
      <c r="AW178" s="1" t="s">
        <v>255</v>
      </c>
      <c r="AY178" s="1">
        <v>172.0</v>
      </c>
    </row>
    <row r="179">
      <c r="A179" s="1" t="s">
        <v>51</v>
      </c>
      <c r="C179" s="1" t="s">
        <v>131</v>
      </c>
      <c r="E179" s="1" t="s">
        <v>53</v>
      </c>
      <c r="F179" s="1" t="s">
        <v>54</v>
      </c>
      <c r="G179" s="1">
        <v>27.0</v>
      </c>
      <c r="H179" s="1" t="s">
        <v>55</v>
      </c>
      <c r="I179" s="1" t="s">
        <v>67</v>
      </c>
      <c r="J179" s="1" t="s">
        <v>68</v>
      </c>
      <c r="K179" s="1" t="s">
        <v>78</v>
      </c>
      <c r="M179" s="1" t="s">
        <v>58</v>
      </c>
      <c r="N179" s="1" t="s">
        <v>58</v>
      </c>
      <c r="O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81</v>
      </c>
      <c r="Y179" s="1" t="s">
        <v>82</v>
      </c>
      <c r="Z179" s="1" t="s">
        <v>89</v>
      </c>
      <c r="AA179" s="1">
        <v>50.0</v>
      </c>
      <c r="AB179" s="1" t="s">
        <v>28</v>
      </c>
      <c r="AC179" s="1" t="s">
        <v>51</v>
      </c>
      <c r="AE179" s="1" t="s">
        <v>51</v>
      </c>
      <c r="AF179" s="1" t="s">
        <v>51</v>
      </c>
      <c r="AG179" s="1" t="s">
        <v>51</v>
      </c>
      <c r="AH179" s="1">
        <v>200.0</v>
      </c>
      <c r="AI179" s="1">
        <v>0.0</v>
      </c>
      <c r="AJ179" s="1">
        <v>1.0</v>
      </c>
      <c r="AK179" s="1">
        <v>0.0</v>
      </c>
      <c r="AL179" s="1">
        <v>0.0</v>
      </c>
      <c r="AM179" s="1" t="s">
        <v>51</v>
      </c>
      <c r="AN179" s="1">
        <v>8.20589777E8</v>
      </c>
      <c r="AP179" s="1">
        <v>4.90062455E8</v>
      </c>
      <c r="AQ179" s="1" t="s">
        <v>305</v>
      </c>
      <c r="AR179" s="1">
        <v>45808.58028</v>
      </c>
      <c r="AU179" s="1" t="s">
        <v>64</v>
      </c>
      <c r="AW179" s="1" t="s">
        <v>255</v>
      </c>
      <c r="AY179" s="1">
        <v>173.0</v>
      </c>
    </row>
    <row r="180">
      <c r="AP180" s="1">
        <v>4.90062906E8</v>
      </c>
      <c r="AQ180" s="1" t="s">
        <v>531</v>
      </c>
      <c r="AR180" s="1">
        <v>45808.58065</v>
      </c>
      <c r="AU180" s="1" t="s">
        <v>64</v>
      </c>
      <c r="AW180" s="1" t="s">
        <v>255</v>
      </c>
      <c r="AY180" s="1">
        <v>174.0</v>
      </c>
    </row>
    <row r="181">
      <c r="A181" s="1" t="s">
        <v>51</v>
      </c>
      <c r="C181" s="1" t="s">
        <v>131</v>
      </c>
      <c r="E181" s="1" t="s">
        <v>53</v>
      </c>
      <c r="F181" s="1" t="s">
        <v>102</v>
      </c>
      <c r="G181" s="1">
        <v>33.0</v>
      </c>
      <c r="H181" s="1" t="s">
        <v>55</v>
      </c>
      <c r="I181" s="1" t="s">
        <v>67</v>
      </c>
      <c r="J181" s="1" t="s">
        <v>68</v>
      </c>
      <c r="K181" s="1" t="s">
        <v>78</v>
      </c>
      <c r="M181" s="1" t="s">
        <v>58</v>
      </c>
      <c r="N181" s="1" t="s">
        <v>58</v>
      </c>
      <c r="O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 t="s">
        <v>58</v>
      </c>
      <c r="X181" s="1" t="s">
        <v>81</v>
      </c>
      <c r="Y181" s="1" t="s">
        <v>227</v>
      </c>
      <c r="Z181" s="1" t="s">
        <v>96</v>
      </c>
      <c r="AA181" s="1">
        <v>100.0</v>
      </c>
      <c r="AB181" s="1" t="s">
        <v>62</v>
      </c>
      <c r="AC181" s="1" t="s">
        <v>51</v>
      </c>
      <c r="AD181" s="1" t="s">
        <v>81</v>
      </c>
      <c r="AE181" s="1" t="s">
        <v>51</v>
      </c>
      <c r="AF181" s="1" t="s">
        <v>51</v>
      </c>
      <c r="AG181" s="1" t="s">
        <v>51</v>
      </c>
      <c r="AH181" s="1">
        <v>100.0</v>
      </c>
      <c r="AI181" s="1">
        <v>0.0</v>
      </c>
      <c r="AJ181" s="1">
        <v>0.0</v>
      </c>
      <c r="AK181" s="1">
        <v>0.0</v>
      </c>
      <c r="AL181" s="1">
        <v>1.0</v>
      </c>
      <c r="AM181" s="1" t="s">
        <v>51</v>
      </c>
      <c r="AN181" s="1" t="s">
        <v>306</v>
      </c>
      <c r="AP181" s="1">
        <v>4.90063325E8</v>
      </c>
      <c r="AQ181" s="1" t="s">
        <v>307</v>
      </c>
      <c r="AR181" s="1">
        <v>45808.58095</v>
      </c>
      <c r="AU181" s="1" t="s">
        <v>64</v>
      </c>
      <c r="AW181" s="1" t="s">
        <v>255</v>
      </c>
      <c r="AY181" s="1">
        <v>175.0</v>
      </c>
    </row>
    <row r="182">
      <c r="A182" s="1" t="s">
        <v>51</v>
      </c>
      <c r="C182" s="1" t="s">
        <v>131</v>
      </c>
      <c r="E182" s="1" t="s">
        <v>53</v>
      </c>
      <c r="F182" s="1" t="s">
        <v>54</v>
      </c>
      <c r="G182" s="1">
        <v>27.0</v>
      </c>
      <c r="H182" s="1" t="s">
        <v>55</v>
      </c>
      <c r="I182" s="1" t="s">
        <v>100</v>
      </c>
      <c r="J182" s="1" t="s">
        <v>111</v>
      </c>
      <c r="K182" s="1" t="s">
        <v>57</v>
      </c>
      <c r="M182" s="1" t="s">
        <v>58</v>
      </c>
      <c r="N182" s="1" t="s">
        <v>58</v>
      </c>
      <c r="O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 t="s">
        <v>58</v>
      </c>
      <c r="X182" s="1" t="s">
        <v>81</v>
      </c>
      <c r="Y182" s="1" t="s">
        <v>172</v>
      </c>
      <c r="Z182" s="1" t="s">
        <v>89</v>
      </c>
      <c r="AA182" s="1">
        <v>30.0</v>
      </c>
      <c r="AB182" s="1" t="s">
        <v>28</v>
      </c>
      <c r="AC182" s="1" t="s">
        <v>71</v>
      </c>
      <c r="AF182" s="1" t="s">
        <v>51</v>
      </c>
      <c r="AG182" s="1" t="s">
        <v>51</v>
      </c>
      <c r="AI182" s="1">
        <v>0.0</v>
      </c>
      <c r="AJ182" s="1">
        <v>0.0</v>
      </c>
      <c r="AK182" s="1">
        <v>0.0</v>
      </c>
      <c r="AL182" s="1">
        <v>1.0</v>
      </c>
      <c r="AM182" s="1" t="s">
        <v>51</v>
      </c>
      <c r="AN182" s="1">
        <v>8.33947976E8</v>
      </c>
      <c r="AP182" s="1">
        <v>4.90064388E8</v>
      </c>
      <c r="AQ182" s="1" t="s">
        <v>308</v>
      </c>
      <c r="AR182" s="1">
        <v>45808.58214</v>
      </c>
      <c r="AU182" s="1" t="s">
        <v>64</v>
      </c>
      <c r="AW182" s="1" t="s">
        <v>255</v>
      </c>
      <c r="AY182" s="1">
        <v>176.0</v>
      </c>
    </row>
    <row r="183">
      <c r="AP183" s="1">
        <v>4.90064615E8</v>
      </c>
      <c r="AQ183" s="1" t="s">
        <v>532</v>
      </c>
      <c r="AR183" s="1">
        <v>45808.58235</v>
      </c>
      <c r="AU183" s="1" t="s">
        <v>64</v>
      </c>
      <c r="AW183" s="1" t="s">
        <v>255</v>
      </c>
      <c r="AY183" s="1">
        <v>177.0</v>
      </c>
    </row>
    <row r="184">
      <c r="A184" s="1" t="s">
        <v>51</v>
      </c>
      <c r="E184" s="1" t="s">
        <v>53</v>
      </c>
      <c r="F184" s="1" t="s">
        <v>54</v>
      </c>
      <c r="G184" s="1">
        <v>29.0</v>
      </c>
      <c r="H184" s="1" t="s">
        <v>66</v>
      </c>
      <c r="I184" s="1" t="s">
        <v>67</v>
      </c>
      <c r="J184" s="1" t="s">
        <v>56</v>
      </c>
      <c r="K184" s="1" t="s">
        <v>57</v>
      </c>
      <c r="M184" s="1" t="s">
        <v>58</v>
      </c>
      <c r="N184" s="1" t="s">
        <v>58</v>
      </c>
      <c r="O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1" t="s">
        <v>81</v>
      </c>
      <c r="Y184" s="1" t="s">
        <v>172</v>
      </c>
      <c r="Z184" s="1" t="s">
        <v>96</v>
      </c>
      <c r="AA184" s="1">
        <v>50.0</v>
      </c>
      <c r="AB184" s="1" t="s">
        <v>28</v>
      </c>
      <c r="AC184" s="1" t="s">
        <v>71</v>
      </c>
      <c r="AF184" s="1" t="s">
        <v>51</v>
      </c>
      <c r="AG184" s="1" t="s">
        <v>51</v>
      </c>
      <c r="AI184" s="1">
        <v>1.0</v>
      </c>
      <c r="AJ184" s="1">
        <v>0.0</v>
      </c>
      <c r="AK184" s="1">
        <v>0.0</v>
      </c>
      <c r="AL184" s="1">
        <v>0.0</v>
      </c>
      <c r="AM184" s="1" t="s">
        <v>51</v>
      </c>
      <c r="AN184" s="1">
        <v>7.98581807E8</v>
      </c>
      <c r="AP184" s="1">
        <v>4.90065965E8</v>
      </c>
      <c r="AQ184" s="1" t="s">
        <v>309</v>
      </c>
      <c r="AR184" s="1">
        <v>45808.5839</v>
      </c>
      <c r="AU184" s="1" t="s">
        <v>64</v>
      </c>
      <c r="AW184" s="1" t="s">
        <v>255</v>
      </c>
      <c r="AY184" s="1">
        <v>178.0</v>
      </c>
    </row>
    <row r="185">
      <c r="A185" s="1" t="s">
        <v>51</v>
      </c>
      <c r="C185" s="1" t="s">
        <v>131</v>
      </c>
      <c r="E185" s="1" t="s">
        <v>53</v>
      </c>
      <c r="F185" s="1" t="s">
        <v>54</v>
      </c>
      <c r="G185" s="1">
        <v>30.0</v>
      </c>
      <c r="H185" s="1" t="s">
        <v>55</v>
      </c>
      <c r="I185" s="1" t="s">
        <v>100</v>
      </c>
      <c r="J185" s="1" t="s">
        <v>56</v>
      </c>
      <c r="K185" s="1" t="s">
        <v>57</v>
      </c>
      <c r="M185" s="1" t="s">
        <v>58</v>
      </c>
      <c r="N185" s="1" t="s">
        <v>58</v>
      </c>
      <c r="O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1" t="s">
        <v>81</v>
      </c>
      <c r="Y185" s="1" t="s">
        <v>82</v>
      </c>
      <c r="Z185" s="1" t="s">
        <v>89</v>
      </c>
      <c r="AA185" s="1">
        <v>20.0</v>
      </c>
      <c r="AB185" s="1" t="s">
        <v>28</v>
      </c>
      <c r="AC185" s="1" t="s">
        <v>71</v>
      </c>
      <c r="AF185" s="1" t="s">
        <v>51</v>
      </c>
      <c r="AG185" s="1" t="s">
        <v>51</v>
      </c>
      <c r="AI185" s="1">
        <v>1.0</v>
      </c>
      <c r="AJ185" s="1">
        <v>0.0</v>
      </c>
      <c r="AK185" s="1">
        <v>0.0</v>
      </c>
      <c r="AL185" s="1">
        <v>0.0</v>
      </c>
      <c r="AM185" s="1" t="s">
        <v>51</v>
      </c>
      <c r="AN185" s="1">
        <v>6.81216241E8</v>
      </c>
      <c r="AP185" s="1">
        <v>4.90067473E8</v>
      </c>
      <c r="AQ185" s="1" t="s">
        <v>310</v>
      </c>
      <c r="AR185" s="1">
        <v>45808.58574</v>
      </c>
      <c r="AU185" s="1" t="s">
        <v>64</v>
      </c>
      <c r="AW185" s="1" t="s">
        <v>255</v>
      </c>
      <c r="AY185" s="1">
        <v>179.0</v>
      </c>
    </row>
    <row r="186">
      <c r="A186" s="1" t="s">
        <v>51</v>
      </c>
      <c r="C186" s="1" t="s">
        <v>131</v>
      </c>
      <c r="E186" s="1" t="s">
        <v>53</v>
      </c>
      <c r="F186" s="1" t="s">
        <v>54</v>
      </c>
      <c r="G186" s="1">
        <v>32.0</v>
      </c>
      <c r="H186" s="1" t="s">
        <v>55</v>
      </c>
      <c r="J186" s="1" t="s">
        <v>111</v>
      </c>
      <c r="K186" s="1" t="s">
        <v>74</v>
      </c>
      <c r="M186" s="1" t="s">
        <v>58</v>
      </c>
      <c r="N186" s="1" t="s">
        <v>58</v>
      </c>
      <c r="O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81</v>
      </c>
      <c r="Y186" s="1" t="s">
        <v>82</v>
      </c>
      <c r="Z186" s="1" t="s">
        <v>108</v>
      </c>
      <c r="AA186" s="1">
        <v>20.0</v>
      </c>
      <c r="AB186" s="1" t="s">
        <v>28</v>
      </c>
      <c r="AC186" s="1" t="s">
        <v>71</v>
      </c>
      <c r="AF186" s="1" t="s">
        <v>51</v>
      </c>
      <c r="AG186" s="1" t="s">
        <v>51</v>
      </c>
      <c r="AI186" s="1">
        <v>1.0</v>
      </c>
      <c r="AJ186" s="1">
        <v>0.0</v>
      </c>
      <c r="AK186" s="1">
        <v>0.0</v>
      </c>
      <c r="AL186" s="1">
        <v>0.0</v>
      </c>
      <c r="AM186" s="1" t="s">
        <v>51</v>
      </c>
      <c r="AN186" s="1">
        <v>7.84739697E8</v>
      </c>
      <c r="AP186" s="1">
        <v>4.9006882E8</v>
      </c>
      <c r="AQ186" s="1" t="s">
        <v>311</v>
      </c>
      <c r="AR186" s="1">
        <v>45808.58716</v>
      </c>
      <c r="AU186" s="1" t="s">
        <v>64</v>
      </c>
      <c r="AW186" s="1" t="s">
        <v>255</v>
      </c>
      <c r="AY186" s="1">
        <v>180.0</v>
      </c>
    </row>
    <row r="187">
      <c r="A187" s="1" t="s">
        <v>51</v>
      </c>
      <c r="C187" s="1" t="s">
        <v>131</v>
      </c>
      <c r="E187" s="1" t="s">
        <v>53</v>
      </c>
      <c r="F187" s="1" t="s">
        <v>54</v>
      </c>
      <c r="G187" s="1">
        <v>29.0</v>
      </c>
      <c r="H187" s="1" t="s">
        <v>66</v>
      </c>
      <c r="I187" s="1" t="s">
        <v>67</v>
      </c>
      <c r="J187" s="1" t="s">
        <v>68</v>
      </c>
      <c r="K187" s="1" t="s">
        <v>74</v>
      </c>
      <c r="M187" s="1" t="s">
        <v>58</v>
      </c>
      <c r="N187" s="1" t="s">
        <v>58</v>
      </c>
      <c r="O187" s="1" t="s">
        <v>58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81</v>
      </c>
      <c r="Y187" s="1" t="s">
        <v>172</v>
      </c>
      <c r="Z187" s="1" t="s">
        <v>96</v>
      </c>
      <c r="AA187" s="1">
        <v>50.0</v>
      </c>
      <c r="AB187" s="1" t="s">
        <v>62</v>
      </c>
      <c r="AC187" s="1" t="s">
        <v>51</v>
      </c>
      <c r="AD187" s="1" t="s">
        <v>81</v>
      </c>
      <c r="AE187" s="1" t="s">
        <v>51</v>
      </c>
      <c r="AF187" s="1" t="s">
        <v>51</v>
      </c>
      <c r="AG187" s="1" t="s">
        <v>51</v>
      </c>
      <c r="AI187" s="1">
        <v>1.0</v>
      </c>
      <c r="AJ187" s="1">
        <v>0.0</v>
      </c>
      <c r="AK187" s="1">
        <v>0.0</v>
      </c>
      <c r="AL187" s="1">
        <v>0.0</v>
      </c>
      <c r="AM187" s="1" t="s">
        <v>51</v>
      </c>
      <c r="AN187" s="1">
        <v>8.12338828E8</v>
      </c>
      <c r="AP187" s="1">
        <v>4.90071211E8</v>
      </c>
      <c r="AQ187" s="1" t="s">
        <v>312</v>
      </c>
      <c r="AR187" s="1">
        <v>45808.5897</v>
      </c>
      <c r="AU187" s="1" t="s">
        <v>64</v>
      </c>
      <c r="AW187" s="1" t="s">
        <v>255</v>
      </c>
      <c r="AY187" s="1">
        <v>181.0</v>
      </c>
    </row>
    <row r="188">
      <c r="A188" s="1" t="s">
        <v>51</v>
      </c>
      <c r="C188" s="1" t="s">
        <v>131</v>
      </c>
      <c r="E188" s="1" t="s">
        <v>53</v>
      </c>
      <c r="F188" s="1" t="s">
        <v>54</v>
      </c>
      <c r="G188" s="1">
        <v>31.0</v>
      </c>
      <c r="H188" s="1" t="s">
        <v>55</v>
      </c>
      <c r="I188" s="1" t="s">
        <v>100</v>
      </c>
      <c r="J188" s="1" t="s">
        <v>68</v>
      </c>
      <c r="K188" s="1" t="s">
        <v>74</v>
      </c>
      <c r="M188" s="1" t="s">
        <v>58</v>
      </c>
      <c r="N188" s="1" t="s">
        <v>58</v>
      </c>
      <c r="O188" s="1" t="s">
        <v>58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  <c r="W188" s="1" t="s">
        <v>58</v>
      </c>
      <c r="X188" s="1" t="s">
        <v>81</v>
      </c>
      <c r="Y188" s="1" t="s">
        <v>82</v>
      </c>
      <c r="Z188" s="1" t="s">
        <v>96</v>
      </c>
      <c r="AA188" s="1">
        <v>100.0</v>
      </c>
      <c r="AB188" s="1" t="s">
        <v>62</v>
      </c>
      <c r="AC188" s="1" t="s">
        <v>71</v>
      </c>
      <c r="AF188" s="1" t="s">
        <v>51</v>
      </c>
      <c r="AG188" s="1" t="s">
        <v>51</v>
      </c>
      <c r="AH188" s="1">
        <v>7.26534262E8</v>
      </c>
      <c r="AI188" s="1">
        <v>1.0</v>
      </c>
      <c r="AJ188" s="1">
        <v>0.0</v>
      </c>
      <c r="AK188" s="1">
        <v>0.0</v>
      </c>
      <c r="AL188" s="1">
        <v>0.0</v>
      </c>
      <c r="AM188" s="1" t="s">
        <v>51</v>
      </c>
      <c r="AN188" s="1">
        <v>6.82234632E8</v>
      </c>
      <c r="AP188" s="1">
        <v>4.9007346E8</v>
      </c>
      <c r="AQ188" s="1" t="s">
        <v>313</v>
      </c>
      <c r="AR188" s="1">
        <v>45808.59205</v>
      </c>
      <c r="AU188" s="1" t="s">
        <v>64</v>
      </c>
      <c r="AW188" s="1" t="s">
        <v>255</v>
      </c>
      <c r="AY188" s="1">
        <v>182.0</v>
      </c>
    </row>
    <row r="189">
      <c r="A189" s="1" t="s">
        <v>51</v>
      </c>
      <c r="C189" s="1" t="s">
        <v>131</v>
      </c>
      <c r="E189" s="1" t="s">
        <v>53</v>
      </c>
      <c r="F189" s="1" t="s">
        <v>54</v>
      </c>
      <c r="G189" s="1">
        <v>30.0</v>
      </c>
      <c r="H189" s="1" t="s">
        <v>55</v>
      </c>
      <c r="I189" s="1" t="s">
        <v>100</v>
      </c>
      <c r="K189" s="1" t="s">
        <v>74</v>
      </c>
      <c r="M189" s="1" t="s">
        <v>58</v>
      </c>
      <c r="N189" s="1" t="s">
        <v>58</v>
      </c>
      <c r="O189" s="1" t="s">
        <v>58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58</v>
      </c>
      <c r="W189" s="1" t="s">
        <v>58</v>
      </c>
      <c r="X189" s="1" t="s">
        <v>81</v>
      </c>
      <c r="Y189" s="1" t="s">
        <v>172</v>
      </c>
      <c r="Z189" s="1" t="s">
        <v>96</v>
      </c>
      <c r="AA189" s="1">
        <v>100.0</v>
      </c>
      <c r="AB189" s="1" t="s">
        <v>28</v>
      </c>
      <c r="AC189" s="1" t="s">
        <v>71</v>
      </c>
      <c r="AF189" s="1" t="s">
        <v>51</v>
      </c>
      <c r="AG189" s="1" t="s">
        <v>51</v>
      </c>
      <c r="AH189" s="1">
        <v>300.0</v>
      </c>
      <c r="AI189" s="1">
        <v>1.0</v>
      </c>
      <c r="AJ189" s="1">
        <v>0.0</v>
      </c>
      <c r="AK189" s="1">
        <v>0.0</v>
      </c>
      <c r="AL189" s="1">
        <v>0.0</v>
      </c>
      <c r="AM189" s="1" t="s">
        <v>51</v>
      </c>
      <c r="AN189" s="1">
        <v>6.71652514E8</v>
      </c>
      <c r="AP189" s="1">
        <v>4.90075045E8</v>
      </c>
      <c r="AQ189" s="1" t="s">
        <v>314</v>
      </c>
      <c r="AR189" s="1">
        <v>45808.59368</v>
      </c>
      <c r="AU189" s="1" t="s">
        <v>64</v>
      </c>
      <c r="AW189" s="1" t="s">
        <v>255</v>
      </c>
      <c r="AY189" s="1">
        <v>183.0</v>
      </c>
    </row>
    <row r="190">
      <c r="A190" s="1" t="s">
        <v>51</v>
      </c>
      <c r="C190" s="1" t="s">
        <v>53</v>
      </c>
      <c r="E190" s="1" t="s">
        <v>53</v>
      </c>
      <c r="F190" s="1" t="s">
        <v>54</v>
      </c>
      <c r="G190" s="1">
        <v>25.0</v>
      </c>
      <c r="H190" s="1" t="s">
        <v>55</v>
      </c>
      <c r="I190" s="1" t="s">
        <v>100</v>
      </c>
      <c r="J190" s="1" t="s">
        <v>68</v>
      </c>
      <c r="K190" s="1" t="s">
        <v>57</v>
      </c>
      <c r="M190" s="1" t="s">
        <v>58</v>
      </c>
      <c r="N190" s="1" t="s">
        <v>58</v>
      </c>
      <c r="O190" s="1" t="s">
        <v>70</v>
      </c>
      <c r="Q190" s="1" t="s">
        <v>58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81</v>
      </c>
      <c r="Y190" s="1" t="s">
        <v>172</v>
      </c>
      <c r="Z190" s="1" t="s">
        <v>89</v>
      </c>
      <c r="AA190" s="1">
        <v>30.0</v>
      </c>
      <c r="AB190" s="1" t="s">
        <v>62</v>
      </c>
      <c r="AC190" s="1" t="s">
        <v>71</v>
      </c>
      <c r="AM190" s="1" t="s">
        <v>51</v>
      </c>
      <c r="AN190" s="1">
        <v>6.58674749E8</v>
      </c>
      <c r="AP190" s="1">
        <v>4.90082004E8</v>
      </c>
      <c r="AQ190" s="1" t="s">
        <v>315</v>
      </c>
      <c r="AR190" s="1">
        <v>45808.60284</v>
      </c>
      <c r="AU190" s="1" t="s">
        <v>64</v>
      </c>
      <c r="AW190" s="1" t="s">
        <v>255</v>
      </c>
      <c r="AY190" s="1">
        <v>184.0</v>
      </c>
    </row>
    <row r="191">
      <c r="A191" s="1" t="s">
        <v>51</v>
      </c>
      <c r="C191" s="1" t="s">
        <v>131</v>
      </c>
      <c r="E191" s="1" t="s">
        <v>53</v>
      </c>
      <c r="F191" s="1" t="s">
        <v>54</v>
      </c>
      <c r="G191" s="1">
        <v>26.0</v>
      </c>
      <c r="H191" s="1" t="s">
        <v>55</v>
      </c>
      <c r="I191" s="1" t="s">
        <v>100</v>
      </c>
      <c r="J191" s="1" t="s">
        <v>111</v>
      </c>
      <c r="K191" s="1" t="s">
        <v>57</v>
      </c>
      <c r="M191" s="1" t="s">
        <v>58</v>
      </c>
      <c r="N191" s="1" t="s">
        <v>58</v>
      </c>
      <c r="O191" s="1" t="s">
        <v>58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81</v>
      </c>
      <c r="Y191" s="1" t="s">
        <v>172</v>
      </c>
      <c r="Z191" s="1" t="s">
        <v>108</v>
      </c>
      <c r="AA191" s="1">
        <v>40.0</v>
      </c>
      <c r="AB191" s="1" t="s">
        <v>62</v>
      </c>
      <c r="AC191" s="1" t="s">
        <v>72</v>
      </c>
      <c r="AF191" s="1" t="s">
        <v>51</v>
      </c>
      <c r="AG191" s="1" t="s">
        <v>51</v>
      </c>
      <c r="AH191" s="1">
        <v>350.0</v>
      </c>
      <c r="AI191" s="1">
        <v>1.0</v>
      </c>
      <c r="AJ191" s="1">
        <v>0.0</v>
      </c>
      <c r="AK191" s="1">
        <v>0.0</v>
      </c>
      <c r="AL191" s="1">
        <v>0.0</v>
      </c>
      <c r="AM191" s="1" t="s">
        <v>51</v>
      </c>
      <c r="AN191" s="1">
        <v>7.27923016E8</v>
      </c>
      <c r="AP191" s="1">
        <v>4.90091445E8</v>
      </c>
      <c r="AQ191" s="1" t="s">
        <v>316</v>
      </c>
      <c r="AR191" s="1">
        <v>45808.61429</v>
      </c>
      <c r="AU191" s="1" t="s">
        <v>64</v>
      </c>
      <c r="AW191" s="1" t="s">
        <v>255</v>
      </c>
      <c r="AY191" s="1">
        <v>185.0</v>
      </c>
    </row>
    <row r="192">
      <c r="A192" s="1" t="s">
        <v>51</v>
      </c>
      <c r="C192" s="1" t="s">
        <v>131</v>
      </c>
      <c r="E192" s="1" t="s">
        <v>53</v>
      </c>
      <c r="F192" s="1" t="s">
        <v>54</v>
      </c>
      <c r="G192" s="1">
        <v>36.0</v>
      </c>
      <c r="H192" s="1" t="s">
        <v>55</v>
      </c>
      <c r="I192" s="1" t="s">
        <v>100</v>
      </c>
      <c r="J192" s="1" t="s">
        <v>111</v>
      </c>
      <c r="K192" s="1" t="s">
        <v>57</v>
      </c>
      <c r="M192" s="1" t="s">
        <v>58</v>
      </c>
      <c r="N192" s="1" t="s">
        <v>58</v>
      </c>
      <c r="O192" s="1" t="s">
        <v>70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70</v>
      </c>
      <c r="W192" s="1" t="s">
        <v>58</v>
      </c>
      <c r="X192" s="1" t="s">
        <v>81</v>
      </c>
      <c r="Y192" s="1" t="s">
        <v>82</v>
      </c>
      <c r="Z192" s="1" t="s">
        <v>96</v>
      </c>
      <c r="AA192" s="1">
        <v>100.0</v>
      </c>
      <c r="AB192" s="1" t="s">
        <v>79</v>
      </c>
      <c r="AC192" s="1" t="s">
        <v>51</v>
      </c>
      <c r="AD192" s="1" t="s">
        <v>81</v>
      </c>
      <c r="AE192" s="1" t="s">
        <v>51</v>
      </c>
      <c r="AF192" s="1" t="s">
        <v>51</v>
      </c>
      <c r="AG192" s="1" t="s">
        <v>51</v>
      </c>
      <c r="AI192" s="1">
        <v>1.0</v>
      </c>
      <c r="AJ192" s="1">
        <v>0.0</v>
      </c>
      <c r="AK192" s="1">
        <v>0.0</v>
      </c>
      <c r="AL192" s="1">
        <v>0.0</v>
      </c>
      <c r="AM192" s="1" t="s">
        <v>51</v>
      </c>
      <c r="AN192" s="1">
        <v>6.99134499E8</v>
      </c>
      <c r="AP192" s="1">
        <v>4.90093111E8</v>
      </c>
      <c r="AQ192" s="1" t="s">
        <v>317</v>
      </c>
      <c r="AR192" s="1">
        <v>45808.61626</v>
      </c>
      <c r="AU192" s="1" t="s">
        <v>64</v>
      </c>
      <c r="AW192" s="1" t="s">
        <v>255</v>
      </c>
      <c r="AY192" s="1">
        <v>186.0</v>
      </c>
    </row>
    <row r="193">
      <c r="A193" s="1" t="s">
        <v>51</v>
      </c>
      <c r="C193" s="1" t="s">
        <v>131</v>
      </c>
      <c r="E193" s="1" t="s">
        <v>53</v>
      </c>
      <c r="F193" s="1" t="s">
        <v>54</v>
      </c>
      <c r="G193" s="1">
        <v>24.0</v>
      </c>
      <c r="H193" s="1" t="s">
        <v>55</v>
      </c>
      <c r="I193" s="1" t="s">
        <v>100</v>
      </c>
      <c r="J193" s="1" t="s">
        <v>68</v>
      </c>
      <c r="K193" s="1" t="s">
        <v>57</v>
      </c>
      <c r="M193" s="1" t="s">
        <v>58</v>
      </c>
      <c r="N193" s="1" t="s">
        <v>58</v>
      </c>
      <c r="O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81</v>
      </c>
      <c r="Y193" s="1" t="s">
        <v>60</v>
      </c>
      <c r="Z193" s="1" t="s">
        <v>96</v>
      </c>
      <c r="AA193" s="1">
        <v>50.0</v>
      </c>
      <c r="AB193" s="1" t="s">
        <v>62</v>
      </c>
      <c r="AC193" s="1" t="s">
        <v>71</v>
      </c>
      <c r="AF193" s="1" t="s">
        <v>51</v>
      </c>
      <c r="AG193" s="1" t="s">
        <v>51</v>
      </c>
      <c r="AH193" s="1">
        <v>400.0</v>
      </c>
      <c r="AI193" s="1">
        <v>1.0</v>
      </c>
      <c r="AJ193" s="1">
        <v>0.0</v>
      </c>
      <c r="AK193" s="1">
        <v>0.0</v>
      </c>
      <c r="AL193" s="1">
        <v>0.0</v>
      </c>
      <c r="AM193" s="1" t="s">
        <v>51</v>
      </c>
      <c r="AN193" s="1">
        <v>8.13580094E8</v>
      </c>
      <c r="AP193" s="1">
        <v>4.90094558E8</v>
      </c>
      <c r="AQ193" s="1" t="s">
        <v>318</v>
      </c>
      <c r="AR193" s="1">
        <v>45808.6181</v>
      </c>
      <c r="AU193" s="1" t="s">
        <v>64</v>
      </c>
      <c r="AW193" s="1" t="s">
        <v>255</v>
      </c>
      <c r="AY193" s="1">
        <v>187.0</v>
      </c>
    </row>
    <row r="194">
      <c r="A194" s="1" t="s">
        <v>51</v>
      </c>
      <c r="C194" s="1" t="s">
        <v>131</v>
      </c>
      <c r="E194" s="1" t="s">
        <v>53</v>
      </c>
      <c r="F194" s="1" t="s">
        <v>54</v>
      </c>
      <c r="G194" s="1">
        <v>23.0</v>
      </c>
      <c r="H194" s="1" t="s">
        <v>55</v>
      </c>
      <c r="I194" s="1" t="s">
        <v>100</v>
      </c>
      <c r="J194" s="1" t="s">
        <v>68</v>
      </c>
      <c r="K194" s="1" t="s">
        <v>74</v>
      </c>
      <c r="M194" s="1" t="s">
        <v>58</v>
      </c>
      <c r="N194" s="1" t="s">
        <v>58</v>
      </c>
      <c r="O194" s="1" t="s">
        <v>70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81</v>
      </c>
      <c r="Y194" s="1" t="s">
        <v>172</v>
      </c>
      <c r="Z194" s="1" t="s">
        <v>127</v>
      </c>
      <c r="AA194" s="1">
        <v>50.0</v>
      </c>
      <c r="AB194" s="1" t="s">
        <v>79</v>
      </c>
      <c r="AC194" s="1" t="s">
        <v>71</v>
      </c>
      <c r="AF194" s="1" t="s">
        <v>51</v>
      </c>
      <c r="AG194" s="1" t="s">
        <v>51</v>
      </c>
      <c r="AH194" s="1">
        <v>300.0</v>
      </c>
      <c r="AI194" s="1">
        <v>1.0</v>
      </c>
      <c r="AJ194" s="1">
        <v>0.0</v>
      </c>
      <c r="AK194" s="1">
        <v>0.0</v>
      </c>
      <c r="AL194" s="1">
        <v>0.0</v>
      </c>
      <c r="AM194" s="1" t="s">
        <v>51</v>
      </c>
      <c r="AN194" s="1">
        <v>8.10851251E8</v>
      </c>
      <c r="AP194" s="1">
        <v>4.90099662E8</v>
      </c>
      <c r="AQ194" s="1" t="s">
        <v>319</v>
      </c>
      <c r="AR194" s="1">
        <v>45808.62409</v>
      </c>
      <c r="AU194" s="1" t="s">
        <v>64</v>
      </c>
      <c r="AW194" s="1" t="s">
        <v>255</v>
      </c>
      <c r="AY194" s="1">
        <v>188.0</v>
      </c>
    </row>
    <row r="195">
      <c r="A195" s="1" t="s">
        <v>51</v>
      </c>
      <c r="C195" s="1" t="s">
        <v>131</v>
      </c>
      <c r="E195" s="1" t="s">
        <v>53</v>
      </c>
      <c r="F195" s="1" t="s">
        <v>54</v>
      </c>
      <c r="G195" s="1">
        <v>34.0</v>
      </c>
      <c r="H195" s="1" t="s">
        <v>55</v>
      </c>
      <c r="I195" s="1" t="s">
        <v>100</v>
      </c>
      <c r="J195" s="1" t="s">
        <v>68</v>
      </c>
      <c r="K195" s="1" t="s">
        <v>74</v>
      </c>
      <c r="M195" s="1" t="s">
        <v>58</v>
      </c>
      <c r="N195" s="1" t="s">
        <v>58</v>
      </c>
      <c r="O195" s="1" t="s">
        <v>58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 t="s">
        <v>58</v>
      </c>
      <c r="X195" s="1" t="s">
        <v>81</v>
      </c>
      <c r="Y195" s="1" t="s">
        <v>172</v>
      </c>
      <c r="Z195" s="1" t="s">
        <v>127</v>
      </c>
      <c r="AA195" s="1">
        <v>50.0</v>
      </c>
      <c r="AB195" s="1" t="s">
        <v>79</v>
      </c>
      <c r="AC195" s="1" t="s">
        <v>71</v>
      </c>
      <c r="AF195" s="1" t="s">
        <v>51</v>
      </c>
      <c r="AG195" s="1" t="s">
        <v>51</v>
      </c>
      <c r="AH195" s="1">
        <v>200.0</v>
      </c>
      <c r="AI195" s="1">
        <v>1.0</v>
      </c>
      <c r="AJ195" s="1">
        <v>0.0</v>
      </c>
      <c r="AK195" s="1">
        <v>0.0</v>
      </c>
      <c r="AL195" s="1">
        <v>0.0</v>
      </c>
      <c r="AM195" s="1" t="s">
        <v>51</v>
      </c>
      <c r="AN195" s="1">
        <v>8.10851251E8</v>
      </c>
      <c r="AP195" s="1">
        <v>4.9010102E8</v>
      </c>
      <c r="AQ195" s="1" t="s">
        <v>320</v>
      </c>
      <c r="AR195" s="1">
        <v>45808.62568</v>
      </c>
      <c r="AU195" s="1" t="s">
        <v>64</v>
      </c>
      <c r="AW195" s="1" t="s">
        <v>255</v>
      </c>
      <c r="AY195" s="1">
        <v>189.0</v>
      </c>
    </row>
    <row r="196">
      <c r="A196" s="1" t="s">
        <v>51</v>
      </c>
      <c r="C196" s="1" t="s">
        <v>52</v>
      </c>
      <c r="E196" s="1" t="s">
        <v>53</v>
      </c>
      <c r="F196" s="1" t="s">
        <v>54</v>
      </c>
      <c r="G196" s="1">
        <v>43.0</v>
      </c>
      <c r="H196" s="1" t="s">
        <v>66</v>
      </c>
      <c r="I196" s="1" t="s">
        <v>67</v>
      </c>
      <c r="J196" s="1" t="s">
        <v>111</v>
      </c>
      <c r="K196" s="1" t="s">
        <v>74</v>
      </c>
      <c r="M196" s="1" t="s">
        <v>58</v>
      </c>
      <c r="N196" s="1" t="s">
        <v>58</v>
      </c>
      <c r="O196" s="1" t="s">
        <v>69</v>
      </c>
      <c r="Q196" s="1" t="s">
        <v>58</v>
      </c>
      <c r="R196" s="1" t="s">
        <v>58</v>
      </c>
      <c r="S196" s="1" t="s">
        <v>69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88</v>
      </c>
      <c r="Y196" s="1" t="s">
        <v>60</v>
      </c>
      <c r="Z196" s="1" t="s">
        <v>89</v>
      </c>
      <c r="AA196" s="1">
        <v>30.0</v>
      </c>
      <c r="AB196" s="1" t="s">
        <v>79</v>
      </c>
      <c r="AC196" s="1" t="s">
        <v>71</v>
      </c>
      <c r="AF196" s="1" t="s">
        <v>51</v>
      </c>
      <c r="AG196" s="1" t="s">
        <v>51</v>
      </c>
      <c r="AH196" s="1">
        <v>7000.0</v>
      </c>
      <c r="AI196" s="1">
        <v>1.0</v>
      </c>
      <c r="AJ196" s="1">
        <v>1.0</v>
      </c>
      <c r="AK196" s="1">
        <v>1.0</v>
      </c>
      <c r="AL196" s="1">
        <v>0.0</v>
      </c>
      <c r="AM196" s="1" t="s">
        <v>51</v>
      </c>
      <c r="AN196" s="1">
        <v>6.18065596E8</v>
      </c>
      <c r="AP196" s="1">
        <v>4.90101083E8</v>
      </c>
      <c r="AQ196" s="1" t="s">
        <v>321</v>
      </c>
      <c r="AR196" s="1">
        <v>45808.62576</v>
      </c>
      <c r="AU196" s="1" t="s">
        <v>64</v>
      </c>
      <c r="AW196" s="1" t="s">
        <v>255</v>
      </c>
      <c r="AY196" s="1">
        <v>190.0</v>
      </c>
    </row>
    <row r="197">
      <c r="A197" s="1" t="s">
        <v>51</v>
      </c>
      <c r="C197" s="1" t="s">
        <v>131</v>
      </c>
      <c r="E197" s="1" t="s">
        <v>53</v>
      </c>
      <c r="F197" s="1" t="s">
        <v>54</v>
      </c>
      <c r="G197" s="1">
        <v>23.0</v>
      </c>
      <c r="H197" s="1" t="s">
        <v>55</v>
      </c>
      <c r="I197" s="1" t="s">
        <v>100</v>
      </c>
      <c r="J197" s="1" t="s">
        <v>68</v>
      </c>
      <c r="K197" s="1" t="s">
        <v>57</v>
      </c>
      <c r="M197" s="1" t="s">
        <v>58</v>
      </c>
      <c r="N197" s="1" t="s">
        <v>58</v>
      </c>
      <c r="O197" s="1" t="s">
        <v>58</v>
      </c>
      <c r="Q197" s="1" t="s">
        <v>58</v>
      </c>
      <c r="R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81</v>
      </c>
      <c r="Y197" s="1" t="s">
        <v>172</v>
      </c>
      <c r="Z197" s="1" t="s">
        <v>96</v>
      </c>
      <c r="AA197" s="1">
        <v>50.0</v>
      </c>
      <c r="AB197" s="1" t="s">
        <v>62</v>
      </c>
      <c r="AC197" s="1" t="s">
        <v>71</v>
      </c>
      <c r="AF197" s="1" t="s">
        <v>51</v>
      </c>
      <c r="AG197" s="1" t="s">
        <v>72</v>
      </c>
      <c r="AI197" s="1">
        <v>0.0</v>
      </c>
      <c r="AJ197" s="1">
        <v>0.0</v>
      </c>
      <c r="AK197" s="1">
        <v>1.0</v>
      </c>
      <c r="AL197" s="1">
        <v>0.0</v>
      </c>
      <c r="AP197" s="1">
        <v>4.90102926E8</v>
      </c>
      <c r="AQ197" s="1" t="s">
        <v>322</v>
      </c>
      <c r="AR197" s="1">
        <v>45808.62769</v>
      </c>
      <c r="AU197" s="1" t="s">
        <v>64</v>
      </c>
      <c r="AW197" s="1" t="s">
        <v>255</v>
      </c>
      <c r="AY197" s="1">
        <v>191.0</v>
      </c>
    </row>
    <row r="198">
      <c r="A198" s="1" t="s">
        <v>51</v>
      </c>
      <c r="C198" s="1" t="s">
        <v>131</v>
      </c>
      <c r="E198" s="1" t="s">
        <v>53</v>
      </c>
      <c r="F198" s="1" t="s">
        <v>54</v>
      </c>
      <c r="G198" s="1">
        <v>34.0</v>
      </c>
      <c r="H198" s="1" t="s">
        <v>55</v>
      </c>
      <c r="I198" s="1" t="s">
        <v>100</v>
      </c>
      <c r="J198" s="1" t="s">
        <v>68</v>
      </c>
      <c r="K198" s="1" t="s">
        <v>57</v>
      </c>
      <c r="M198" s="1" t="s">
        <v>58</v>
      </c>
      <c r="N198" s="1" t="s">
        <v>58</v>
      </c>
      <c r="O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81</v>
      </c>
      <c r="Y198" s="1" t="s">
        <v>172</v>
      </c>
      <c r="Z198" s="1" t="s">
        <v>96</v>
      </c>
      <c r="AA198" s="1">
        <v>100.0</v>
      </c>
      <c r="AB198" s="1" t="s">
        <v>62</v>
      </c>
      <c r="AC198" s="1" t="s">
        <v>71</v>
      </c>
      <c r="AF198" s="1" t="s">
        <v>51</v>
      </c>
      <c r="AG198" s="1" t="s">
        <v>51</v>
      </c>
      <c r="AH198" s="1">
        <v>300.0</v>
      </c>
      <c r="AI198" s="1">
        <v>1.0</v>
      </c>
      <c r="AJ198" s="1">
        <v>0.0</v>
      </c>
      <c r="AK198" s="1">
        <v>0.0</v>
      </c>
      <c r="AL198" s="1">
        <v>0.0</v>
      </c>
      <c r="AM198" s="1" t="s">
        <v>51</v>
      </c>
      <c r="AN198" s="1">
        <v>6.37907157E8</v>
      </c>
      <c r="AP198" s="1">
        <v>4.90106648E8</v>
      </c>
      <c r="AQ198" s="1" t="s">
        <v>323</v>
      </c>
      <c r="AR198" s="1">
        <v>45808.63198</v>
      </c>
      <c r="AU198" s="1" t="s">
        <v>64</v>
      </c>
      <c r="AW198" s="1" t="s">
        <v>255</v>
      </c>
      <c r="AY198" s="1">
        <v>192.0</v>
      </c>
    </row>
    <row r="199">
      <c r="A199" s="1" t="s">
        <v>51</v>
      </c>
      <c r="C199" s="1" t="s">
        <v>131</v>
      </c>
      <c r="E199" s="1" t="s">
        <v>53</v>
      </c>
      <c r="F199" s="1" t="s">
        <v>54</v>
      </c>
      <c r="G199" s="1">
        <v>34.0</v>
      </c>
      <c r="H199" s="1" t="s">
        <v>55</v>
      </c>
      <c r="I199" s="1" t="s">
        <v>67</v>
      </c>
      <c r="J199" s="1" t="s">
        <v>68</v>
      </c>
      <c r="K199" s="1" t="s">
        <v>57</v>
      </c>
      <c r="M199" s="1" t="s">
        <v>58</v>
      </c>
      <c r="N199" s="1" t="s">
        <v>58</v>
      </c>
      <c r="O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81</v>
      </c>
      <c r="Y199" s="1" t="s">
        <v>172</v>
      </c>
      <c r="Z199" s="1" t="s">
        <v>96</v>
      </c>
      <c r="AA199" s="1">
        <v>50.0</v>
      </c>
      <c r="AB199" s="1" t="s">
        <v>28</v>
      </c>
      <c r="AC199" s="1" t="s">
        <v>71</v>
      </c>
      <c r="AF199" s="1" t="s">
        <v>51</v>
      </c>
      <c r="AG199" s="1" t="s">
        <v>51</v>
      </c>
      <c r="AH199" s="1">
        <v>250.0</v>
      </c>
      <c r="AI199" s="1">
        <v>0.0</v>
      </c>
      <c r="AJ199" s="1">
        <v>0.0</v>
      </c>
      <c r="AK199" s="1">
        <v>0.0</v>
      </c>
      <c r="AL199" s="1">
        <v>1.0</v>
      </c>
      <c r="AM199" s="1" t="s">
        <v>51</v>
      </c>
      <c r="AN199" s="1">
        <v>6.83234535E8</v>
      </c>
      <c r="AP199" s="1">
        <v>4.90108381E8</v>
      </c>
      <c r="AQ199" s="1" t="s">
        <v>324</v>
      </c>
      <c r="AR199" s="1">
        <v>45808.63403</v>
      </c>
      <c r="AU199" s="1" t="s">
        <v>64</v>
      </c>
      <c r="AW199" s="1" t="s">
        <v>255</v>
      </c>
      <c r="AY199" s="1">
        <v>193.0</v>
      </c>
    </row>
    <row r="200">
      <c r="A200" s="1" t="s">
        <v>51</v>
      </c>
      <c r="C200" s="1" t="s">
        <v>131</v>
      </c>
      <c r="E200" s="1" t="s">
        <v>53</v>
      </c>
      <c r="F200" s="1" t="s">
        <v>54</v>
      </c>
      <c r="G200" s="1">
        <v>23.0</v>
      </c>
      <c r="H200" s="1" t="s">
        <v>66</v>
      </c>
      <c r="I200" s="1" t="s">
        <v>100</v>
      </c>
      <c r="J200" s="1" t="s">
        <v>111</v>
      </c>
      <c r="K200" s="1" t="s">
        <v>57</v>
      </c>
      <c r="M200" s="1" t="s">
        <v>58</v>
      </c>
      <c r="N200" s="1" t="s">
        <v>58</v>
      </c>
      <c r="O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81</v>
      </c>
      <c r="Y200" s="1" t="s">
        <v>60</v>
      </c>
      <c r="Z200" s="1" t="s">
        <v>96</v>
      </c>
      <c r="AA200" s="1">
        <v>100.0</v>
      </c>
      <c r="AB200" s="1" t="s">
        <v>79</v>
      </c>
      <c r="AC200" s="1" t="s">
        <v>51</v>
      </c>
      <c r="AD200" s="1" t="s">
        <v>81</v>
      </c>
      <c r="AE200" s="1" t="s">
        <v>51</v>
      </c>
      <c r="AF200" s="1" t="s">
        <v>51</v>
      </c>
      <c r="AG200" s="1" t="s">
        <v>51</v>
      </c>
      <c r="AH200" s="1">
        <v>350.0</v>
      </c>
      <c r="AI200" s="1">
        <v>1.0</v>
      </c>
      <c r="AJ200" s="1">
        <v>0.0</v>
      </c>
      <c r="AK200" s="1">
        <v>0.0</v>
      </c>
      <c r="AL200" s="1">
        <v>0.0</v>
      </c>
      <c r="AM200" s="1" t="s">
        <v>51</v>
      </c>
      <c r="AN200" s="1">
        <v>6.05896906E8</v>
      </c>
      <c r="AP200" s="1">
        <v>4.90110505E8</v>
      </c>
      <c r="AQ200" s="1" t="s">
        <v>325</v>
      </c>
      <c r="AR200" s="1">
        <v>45808.636</v>
      </c>
      <c r="AU200" s="1" t="s">
        <v>64</v>
      </c>
      <c r="AW200" s="1" t="s">
        <v>255</v>
      </c>
      <c r="AY200" s="1">
        <v>194.0</v>
      </c>
    </row>
    <row r="201">
      <c r="A201" s="1" t="s">
        <v>51</v>
      </c>
      <c r="C201" s="1" t="s">
        <v>131</v>
      </c>
      <c r="E201" s="1" t="s">
        <v>53</v>
      </c>
      <c r="F201" s="1" t="s">
        <v>54</v>
      </c>
      <c r="G201" s="1">
        <v>37.0</v>
      </c>
      <c r="H201" s="1" t="s">
        <v>55</v>
      </c>
      <c r="I201" s="1" t="s">
        <v>100</v>
      </c>
      <c r="J201" s="1" t="s">
        <v>56</v>
      </c>
      <c r="K201" s="1" t="s">
        <v>74</v>
      </c>
      <c r="M201" s="1" t="s">
        <v>58</v>
      </c>
      <c r="N201" s="1" t="s">
        <v>58</v>
      </c>
      <c r="O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81</v>
      </c>
      <c r="Y201" s="1" t="s">
        <v>172</v>
      </c>
      <c r="Z201" s="1" t="s">
        <v>96</v>
      </c>
      <c r="AA201" s="1">
        <v>100.0</v>
      </c>
      <c r="AB201" s="1" t="s">
        <v>79</v>
      </c>
      <c r="AC201" s="1" t="s">
        <v>51</v>
      </c>
      <c r="AD201" s="1" t="s">
        <v>81</v>
      </c>
      <c r="AF201" s="1" t="s">
        <v>51</v>
      </c>
      <c r="AG201" s="1" t="s">
        <v>51</v>
      </c>
      <c r="AH201" s="1">
        <v>300.0</v>
      </c>
      <c r="AI201" s="1">
        <v>1.0</v>
      </c>
      <c r="AJ201" s="1">
        <v>0.0</v>
      </c>
      <c r="AK201" s="1">
        <v>0.0</v>
      </c>
      <c r="AL201" s="1">
        <v>0.0</v>
      </c>
      <c r="AM201" s="1" t="s">
        <v>51</v>
      </c>
      <c r="AN201" s="1">
        <v>7.47761012E8</v>
      </c>
      <c r="AP201" s="1">
        <v>4.90112113E8</v>
      </c>
      <c r="AQ201" s="1" t="s">
        <v>326</v>
      </c>
      <c r="AR201" s="1">
        <v>45808.6381</v>
      </c>
      <c r="AU201" s="1" t="s">
        <v>64</v>
      </c>
      <c r="AW201" s="1" t="s">
        <v>255</v>
      </c>
      <c r="AY201" s="1">
        <v>195.0</v>
      </c>
    </row>
    <row r="202">
      <c r="A202" s="1" t="s">
        <v>51</v>
      </c>
      <c r="C202" s="1" t="s">
        <v>131</v>
      </c>
      <c r="E202" s="1" t="s">
        <v>53</v>
      </c>
      <c r="F202" s="1" t="s">
        <v>54</v>
      </c>
      <c r="G202" s="1">
        <v>43.0</v>
      </c>
      <c r="H202" s="1" t="s">
        <v>55</v>
      </c>
      <c r="I202" s="1" t="s">
        <v>67</v>
      </c>
      <c r="J202" s="1" t="s">
        <v>68</v>
      </c>
      <c r="K202" s="1" t="s">
        <v>74</v>
      </c>
      <c r="M202" s="1" t="s">
        <v>58</v>
      </c>
      <c r="N202" s="1" t="s">
        <v>58</v>
      </c>
      <c r="O202" s="1" t="s">
        <v>58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58</v>
      </c>
      <c r="W202" s="1" t="s">
        <v>58</v>
      </c>
      <c r="X202" s="1" t="s">
        <v>81</v>
      </c>
      <c r="Y202" s="1" t="s">
        <v>60</v>
      </c>
      <c r="Z202" s="1" t="s">
        <v>96</v>
      </c>
      <c r="AA202" s="1">
        <v>100.0</v>
      </c>
      <c r="AB202" s="1" t="s">
        <v>28</v>
      </c>
      <c r="AC202" s="1" t="s">
        <v>51</v>
      </c>
      <c r="AD202" s="1" t="s">
        <v>81</v>
      </c>
      <c r="AE202" s="1" t="s">
        <v>51</v>
      </c>
      <c r="AF202" s="1" t="s">
        <v>51</v>
      </c>
      <c r="AG202" s="1" t="s">
        <v>51</v>
      </c>
      <c r="AI202" s="1">
        <v>0.0</v>
      </c>
      <c r="AJ202" s="1">
        <v>0.0</v>
      </c>
      <c r="AK202" s="1">
        <v>0.0</v>
      </c>
      <c r="AL202" s="1">
        <v>1.0</v>
      </c>
      <c r="AM202" s="1" t="s">
        <v>51</v>
      </c>
      <c r="AN202" s="1">
        <v>6.56652996E8</v>
      </c>
      <c r="AP202" s="1">
        <v>4.9011343E8</v>
      </c>
      <c r="AQ202" s="1" t="s">
        <v>327</v>
      </c>
      <c r="AR202" s="1">
        <v>45808.6394</v>
      </c>
      <c r="AU202" s="1" t="s">
        <v>64</v>
      </c>
      <c r="AW202" s="1" t="s">
        <v>255</v>
      </c>
      <c r="AY202" s="1">
        <v>196.0</v>
      </c>
    </row>
    <row r="203">
      <c r="AP203" s="1">
        <v>4.90113652E8</v>
      </c>
      <c r="AQ203" s="1" t="s">
        <v>533</v>
      </c>
      <c r="AR203" s="1">
        <v>45808.63961</v>
      </c>
      <c r="AU203" s="1" t="s">
        <v>64</v>
      </c>
      <c r="AW203" s="1" t="s">
        <v>255</v>
      </c>
      <c r="AY203" s="1">
        <v>197.0</v>
      </c>
    </row>
    <row r="204">
      <c r="A204" s="1" t="s">
        <v>51</v>
      </c>
      <c r="C204" s="1" t="s">
        <v>131</v>
      </c>
      <c r="E204" s="1" t="s">
        <v>53</v>
      </c>
      <c r="F204" s="1" t="s">
        <v>54</v>
      </c>
      <c r="G204" s="1">
        <v>32.0</v>
      </c>
      <c r="H204" s="1" t="s">
        <v>55</v>
      </c>
      <c r="I204" s="1" t="s">
        <v>100</v>
      </c>
      <c r="J204" s="1" t="s">
        <v>68</v>
      </c>
      <c r="K204" s="1" t="s">
        <v>57</v>
      </c>
      <c r="M204" s="1" t="s">
        <v>58</v>
      </c>
      <c r="N204" s="1" t="s">
        <v>58</v>
      </c>
      <c r="O204" s="1" t="s">
        <v>58</v>
      </c>
      <c r="Q204" s="1" t="s">
        <v>58</v>
      </c>
      <c r="R204" s="1" t="s">
        <v>58</v>
      </c>
      <c r="S204" s="1" t="s">
        <v>58</v>
      </c>
      <c r="T204" s="1" t="s">
        <v>58</v>
      </c>
      <c r="U204" s="1" t="s">
        <v>58</v>
      </c>
      <c r="V204" s="1" t="s">
        <v>58</v>
      </c>
      <c r="W204" s="1" t="s">
        <v>58</v>
      </c>
      <c r="X204" s="1" t="s">
        <v>81</v>
      </c>
      <c r="Y204" s="1" t="s">
        <v>60</v>
      </c>
      <c r="Z204" s="1" t="s">
        <v>96</v>
      </c>
      <c r="AA204" s="1">
        <v>100.0</v>
      </c>
      <c r="AB204" s="1" t="s">
        <v>79</v>
      </c>
      <c r="AC204" s="1" t="s">
        <v>51</v>
      </c>
      <c r="AD204" s="1" t="s">
        <v>81</v>
      </c>
      <c r="AE204" s="1" t="s">
        <v>51</v>
      </c>
      <c r="AF204" s="1" t="s">
        <v>51</v>
      </c>
      <c r="AG204" s="1" t="s">
        <v>51</v>
      </c>
      <c r="AI204" s="1">
        <v>0.0</v>
      </c>
      <c r="AJ204" s="1">
        <v>1.0</v>
      </c>
      <c r="AK204" s="1">
        <v>0.0</v>
      </c>
      <c r="AL204" s="1">
        <v>0.0</v>
      </c>
      <c r="AM204" s="1" t="s">
        <v>51</v>
      </c>
      <c r="AN204" s="1">
        <v>8.37345408E8</v>
      </c>
      <c r="AP204" s="1">
        <v>4.90115535E8</v>
      </c>
      <c r="AQ204" s="1" t="s">
        <v>328</v>
      </c>
      <c r="AR204" s="1">
        <v>45808.64135</v>
      </c>
      <c r="AU204" s="1" t="s">
        <v>64</v>
      </c>
      <c r="AW204" s="1" t="s">
        <v>255</v>
      </c>
      <c r="AY204" s="1">
        <v>198.0</v>
      </c>
    </row>
    <row r="205">
      <c r="A205" s="1" t="s">
        <v>51</v>
      </c>
      <c r="C205" s="1" t="s">
        <v>131</v>
      </c>
      <c r="E205" s="1" t="s">
        <v>53</v>
      </c>
      <c r="F205" s="1" t="s">
        <v>54</v>
      </c>
      <c r="G205" s="1">
        <v>26.0</v>
      </c>
      <c r="H205" s="1" t="s">
        <v>66</v>
      </c>
      <c r="I205" s="1" t="s">
        <v>100</v>
      </c>
      <c r="J205" s="1" t="s">
        <v>56</v>
      </c>
      <c r="K205" s="1" t="s">
        <v>57</v>
      </c>
      <c r="M205" s="1" t="s">
        <v>58</v>
      </c>
      <c r="N205" s="1" t="s">
        <v>58</v>
      </c>
      <c r="O205" s="1" t="s">
        <v>58</v>
      </c>
      <c r="Q205" s="1" t="s">
        <v>58</v>
      </c>
      <c r="R205" s="1" t="s">
        <v>58</v>
      </c>
      <c r="S205" s="1" t="s">
        <v>58</v>
      </c>
      <c r="T205" s="1" t="s">
        <v>58</v>
      </c>
      <c r="U205" s="1" t="s">
        <v>58</v>
      </c>
      <c r="V205" s="1" t="s">
        <v>58</v>
      </c>
      <c r="W205" s="1" t="s">
        <v>58</v>
      </c>
      <c r="X205" s="1" t="s">
        <v>81</v>
      </c>
      <c r="Y205" s="1" t="s">
        <v>82</v>
      </c>
      <c r="Z205" s="1" t="s">
        <v>127</v>
      </c>
      <c r="AA205" s="1">
        <v>50.0</v>
      </c>
      <c r="AB205" s="1" t="s">
        <v>79</v>
      </c>
      <c r="AC205" s="1" t="s">
        <v>71</v>
      </c>
      <c r="AF205" s="1" t="s">
        <v>51</v>
      </c>
      <c r="AG205" s="1" t="s">
        <v>51</v>
      </c>
      <c r="AI205" s="1">
        <v>1.0</v>
      </c>
      <c r="AJ205" s="1">
        <v>0.0</v>
      </c>
      <c r="AK205" s="1">
        <v>0.0</v>
      </c>
      <c r="AL205" s="1">
        <v>0.0</v>
      </c>
      <c r="AM205" s="1" t="s">
        <v>51</v>
      </c>
      <c r="AN205" s="1">
        <v>8.37345408E8</v>
      </c>
      <c r="AP205" s="1">
        <v>4.90116971E8</v>
      </c>
      <c r="AQ205" s="1" t="s">
        <v>329</v>
      </c>
      <c r="AR205" s="1">
        <v>45808.64273</v>
      </c>
      <c r="AU205" s="1" t="s">
        <v>64</v>
      </c>
      <c r="AW205" s="1" t="s">
        <v>255</v>
      </c>
      <c r="AY205" s="1">
        <v>199.0</v>
      </c>
    </row>
    <row r="206">
      <c r="A206" s="1" t="s">
        <v>51</v>
      </c>
      <c r="C206" s="1" t="s">
        <v>52</v>
      </c>
      <c r="E206" s="1" t="s">
        <v>53</v>
      </c>
      <c r="F206" s="1" t="s">
        <v>54</v>
      </c>
      <c r="G206" s="1">
        <v>31.0</v>
      </c>
      <c r="H206" s="1" t="s">
        <v>55</v>
      </c>
      <c r="I206" s="1" t="s">
        <v>67</v>
      </c>
      <c r="J206" s="1" t="s">
        <v>68</v>
      </c>
      <c r="K206" s="1" t="s">
        <v>74</v>
      </c>
      <c r="M206" s="1" t="s">
        <v>58</v>
      </c>
      <c r="N206" s="1" t="s">
        <v>58</v>
      </c>
      <c r="O206" s="1" t="s">
        <v>70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70</v>
      </c>
      <c r="W206" s="1" t="s">
        <v>70</v>
      </c>
      <c r="X206" s="1" t="s">
        <v>81</v>
      </c>
      <c r="Y206" s="1" t="s">
        <v>172</v>
      </c>
      <c r="Z206" s="1" t="s">
        <v>108</v>
      </c>
      <c r="AA206" s="1">
        <v>100.0</v>
      </c>
      <c r="AB206" s="1" t="s">
        <v>62</v>
      </c>
      <c r="AC206" s="1" t="s">
        <v>51</v>
      </c>
      <c r="AD206" s="1" t="s">
        <v>81</v>
      </c>
      <c r="AE206" s="1" t="s">
        <v>51</v>
      </c>
      <c r="AF206" s="1" t="s">
        <v>51</v>
      </c>
      <c r="AG206" s="1" t="s">
        <v>51</v>
      </c>
      <c r="AH206" s="1">
        <v>350.0</v>
      </c>
      <c r="AI206" s="1">
        <v>0.0</v>
      </c>
      <c r="AJ206" s="1">
        <v>0.0</v>
      </c>
      <c r="AK206" s="1">
        <v>0.0</v>
      </c>
      <c r="AL206" s="1">
        <v>1.0</v>
      </c>
      <c r="AM206" s="1" t="s">
        <v>51</v>
      </c>
      <c r="AN206" s="1">
        <v>6.97663225E8</v>
      </c>
      <c r="AP206" s="1">
        <v>4.90118314E8</v>
      </c>
      <c r="AQ206" s="1" t="s">
        <v>330</v>
      </c>
      <c r="AR206" s="1">
        <v>45808.64428</v>
      </c>
      <c r="AU206" s="1" t="s">
        <v>64</v>
      </c>
      <c r="AW206" s="1" t="s">
        <v>255</v>
      </c>
      <c r="AY206" s="1">
        <v>200.0</v>
      </c>
    </row>
    <row r="207">
      <c r="AP207" s="1">
        <v>4.90118405E8</v>
      </c>
      <c r="AQ207" s="1" t="s">
        <v>534</v>
      </c>
      <c r="AR207" s="1">
        <v>45808.64443</v>
      </c>
      <c r="AU207" s="1" t="s">
        <v>64</v>
      </c>
      <c r="AW207" s="1" t="s">
        <v>255</v>
      </c>
      <c r="AY207" s="1">
        <v>201.0</v>
      </c>
    </row>
    <row r="208">
      <c r="A208" s="1" t="s">
        <v>51</v>
      </c>
      <c r="C208" s="1" t="s">
        <v>53</v>
      </c>
      <c r="E208" s="1" t="s">
        <v>53</v>
      </c>
      <c r="F208" s="1" t="s">
        <v>54</v>
      </c>
      <c r="G208" s="1">
        <v>45.0</v>
      </c>
      <c r="H208" s="1" t="s">
        <v>66</v>
      </c>
      <c r="I208" s="1" t="s">
        <v>121</v>
      </c>
      <c r="J208" s="1" t="s">
        <v>86</v>
      </c>
      <c r="K208" s="1" t="s">
        <v>87</v>
      </c>
      <c r="M208" s="1" t="s">
        <v>58</v>
      </c>
      <c r="N208" s="1" t="s">
        <v>58</v>
      </c>
      <c r="O208" s="1" t="s">
        <v>58</v>
      </c>
      <c r="Q208" s="1" t="s">
        <v>69</v>
      </c>
      <c r="R208" s="1" t="s">
        <v>58</v>
      </c>
      <c r="S208" s="1" t="s">
        <v>69</v>
      </c>
      <c r="T208" s="1" t="s">
        <v>58</v>
      </c>
      <c r="U208" s="1" t="s">
        <v>58</v>
      </c>
      <c r="V208" s="1" t="s">
        <v>58</v>
      </c>
      <c r="W208" s="1" t="s">
        <v>69</v>
      </c>
      <c r="X208" s="1" t="s">
        <v>59</v>
      </c>
      <c r="Y208" s="1" t="s">
        <v>95</v>
      </c>
      <c r="Z208" s="1" t="s">
        <v>96</v>
      </c>
      <c r="AA208" s="1">
        <v>40.0</v>
      </c>
      <c r="AB208" s="1" t="s">
        <v>62</v>
      </c>
      <c r="AC208" s="1" t="s">
        <v>51</v>
      </c>
      <c r="AD208" s="1" t="s">
        <v>59</v>
      </c>
      <c r="AE208" s="1" t="s">
        <v>51</v>
      </c>
      <c r="AF208" s="1" t="s">
        <v>51</v>
      </c>
      <c r="AG208" s="1" t="s">
        <v>51</v>
      </c>
      <c r="AH208" s="1">
        <v>50.0</v>
      </c>
      <c r="AI208" s="1">
        <v>0.0</v>
      </c>
      <c r="AJ208" s="1">
        <v>0.0</v>
      </c>
      <c r="AK208" s="1">
        <v>0.0</v>
      </c>
      <c r="AL208" s="1">
        <v>1.0</v>
      </c>
      <c r="AM208" s="1" t="s">
        <v>51</v>
      </c>
      <c r="AN208" s="1">
        <v>7.63237797E8</v>
      </c>
      <c r="AP208" s="1">
        <v>4.9012673E8</v>
      </c>
      <c r="AQ208" s="1" t="s">
        <v>331</v>
      </c>
      <c r="AR208" s="1">
        <v>45808.65414</v>
      </c>
      <c r="AU208" s="1" t="s">
        <v>64</v>
      </c>
      <c r="AW208" s="1" t="s">
        <v>255</v>
      </c>
      <c r="AY208" s="1">
        <v>202.0</v>
      </c>
    </row>
    <row r="209">
      <c r="A209" s="1" t="s">
        <v>51</v>
      </c>
      <c r="C209" s="1" t="s">
        <v>53</v>
      </c>
      <c r="E209" s="1" t="s">
        <v>53</v>
      </c>
      <c r="F209" s="1" t="s">
        <v>54</v>
      </c>
      <c r="G209" s="1">
        <v>23.0</v>
      </c>
      <c r="H209" s="1" t="s">
        <v>66</v>
      </c>
      <c r="I209" s="1" t="s">
        <v>121</v>
      </c>
      <c r="J209" s="1" t="s">
        <v>56</v>
      </c>
      <c r="K209" s="1" t="s">
        <v>87</v>
      </c>
      <c r="M209" s="1" t="s">
        <v>58</v>
      </c>
      <c r="N209" s="1" t="s">
        <v>58</v>
      </c>
      <c r="O209" s="1" t="s">
        <v>69</v>
      </c>
      <c r="Q209" s="1" t="s">
        <v>58</v>
      </c>
      <c r="R209" s="1" t="s">
        <v>58</v>
      </c>
      <c r="S209" s="1" t="s">
        <v>58</v>
      </c>
      <c r="T209" s="1" t="s">
        <v>69</v>
      </c>
      <c r="U209" s="1" t="s">
        <v>58</v>
      </c>
      <c r="V209" s="1" t="s">
        <v>58</v>
      </c>
      <c r="W209" s="1" t="s">
        <v>58</v>
      </c>
      <c r="X209" s="1" t="s">
        <v>59</v>
      </c>
      <c r="Y209" s="1" t="s">
        <v>82</v>
      </c>
      <c r="Z209" s="1" t="s">
        <v>127</v>
      </c>
      <c r="AA209" s="1">
        <v>20.0</v>
      </c>
      <c r="AB209" s="1" t="s">
        <v>62</v>
      </c>
      <c r="AC209" s="1" t="s">
        <v>51</v>
      </c>
      <c r="AD209" s="1" t="s">
        <v>59</v>
      </c>
      <c r="AE209" s="1" t="s">
        <v>51</v>
      </c>
      <c r="AF209" s="1" t="s">
        <v>51</v>
      </c>
      <c r="AG209" s="1" t="s">
        <v>51</v>
      </c>
      <c r="AH209" s="1">
        <v>200.0</v>
      </c>
      <c r="AI209" s="1">
        <v>0.0</v>
      </c>
      <c r="AJ209" s="1">
        <v>0.0</v>
      </c>
      <c r="AK209" s="1">
        <v>0.0</v>
      </c>
      <c r="AL209" s="1">
        <v>1.0</v>
      </c>
      <c r="AM209" s="1" t="s">
        <v>51</v>
      </c>
      <c r="AN209" s="1">
        <v>7.90141579E8</v>
      </c>
      <c r="AP209" s="1">
        <v>4.9013096E8</v>
      </c>
      <c r="AQ209" s="1" t="s">
        <v>332</v>
      </c>
      <c r="AR209" s="1">
        <v>45808.65867</v>
      </c>
      <c r="AU209" s="1" t="s">
        <v>64</v>
      </c>
      <c r="AW209" s="1" t="s">
        <v>255</v>
      </c>
      <c r="AY209" s="1">
        <v>203.0</v>
      </c>
    </row>
    <row r="210">
      <c r="A210" s="1" t="s">
        <v>51</v>
      </c>
      <c r="C210" s="1" t="s">
        <v>52</v>
      </c>
      <c r="E210" s="1" t="s">
        <v>53</v>
      </c>
      <c r="F210" s="1" t="s">
        <v>102</v>
      </c>
      <c r="G210" s="1">
        <v>38.0</v>
      </c>
      <c r="H210" s="1" t="s">
        <v>66</v>
      </c>
      <c r="I210" s="1" t="s">
        <v>67</v>
      </c>
      <c r="J210" s="1" t="s">
        <v>111</v>
      </c>
      <c r="K210" s="1" t="s">
        <v>87</v>
      </c>
      <c r="M210" s="1" t="s">
        <v>58</v>
      </c>
      <c r="N210" s="1" t="s">
        <v>58</v>
      </c>
      <c r="O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58</v>
      </c>
      <c r="V210" s="1" t="s">
        <v>58</v>
      </c>
      <c r="W210" s="1" t="s">
        <v>58</v>
      </c>
      <c r="X210" s="1" t="s">
        <v>103</v>
      </c>
      <c r="Y210" s="1" t="s">
        <v>60</v>
      </c>
      <c r="Z210" s="1" t="s">
        <v>61</v>
      </c>
      <c r="AA210" s="1">
        <v>50.0</v>
      </c>
      <c r="AB210" s="1" t="s">
        <v>28</v>
      </c>
      <c r="AC210" s="1" t="s">
        <v>51</v>
      </c>
      <c r="AD210" s="1" t="s">
        <v>81</v>
      </c>
      <c r="AE210" s="1" t="s">
        <v>51</v>
      </c>
      <c r="AF210" s="1" t="s">
        <v>51</v>
      </c>
      <c r="AG210" s="1" t="s">
        <v>72</v>
      </c>
      <c r="AI210" s="1">
        <v>0.0</v>
      </c>
      <c r="AJ210" s="1">
        <v>1.0</v>
      </c>
      <c r="AK210" s="1">
        <v>0.0</v>
      </c>
      <c r="AL210" s="1">
        <v>0.0</v>
      </c>
      <c r="AM210" s="1" t="s">
        <v>72</v>
      </c>
      <c r="AP210" s="1">
        <v>4.90134861E8</v>
      </c>
      <c r="AQ210" s="1" t="s">
        <v>333</v>
      </c>
      <c r="AR210" s="1">
        <v>45808.6637</v>
      </c>
      <c r="AU210" s="1" t="s">
        <v>64</v>
      </c>
      <c r="AW210" s="1" t="s">
        <v>255</v>
      </c>
      <c r="AY210" s="1">
        <v>204.0</v>
      </c>
    </row>
    <row r="211">
      <c r="AP211" s="1">
        <v>4.90135024E8</v>
      </c>
      <c r="AQ211" s="1" t="s">
        <v>535</v>
      </c>
      <c r="AR211" s="1">
        <v>45808.66384</v>
      </c>
      <c r="AU211" s="1" t="s">
        <v>64</v>
      </c>
      <c r="AW211" s="1" t="s">
        <v>255</v>
      </c>
      <c r="AY211" s="1">
        <v>205.0</v>
      </c>
    </row>
    <row r="212">
      <c r="A212" s="1" t="s">
        <v>51</v>
      </c>
      <c r="C212" s="1" t="s">
        <v>52</v>
      </c>
      <c r="E212" s="1" t="s">
        <v>52</v>
      </c>
      <c r="G212" s="1">
        <v>53.0</v>
      </c>
      <c r="H212" s="1" t="s">
        <v>55</v>
      </c>
      <c r="J212" s="1" t="s">
        <v>68</v>
      </c>
      <c r="K212" s="1" t="s">
        <v>74</v>
      </c>
      <c r="M212" s="1" t="s">
        <v>58</v>
      </c>
      <c r="N212" s="1" t="s">
        <v>58</v>
      </c>
      <c r="O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88</v>
      </c>
      <c r="Y212" s="1" t="s">
        <v>82</v>
      </c>
      <c r="Z212" s="1" t="s">
        <v>89</v>
      </c>
      <c r="AA212" s="1">
        <v>40.0</v>
      </c>
      <c r="AB212" s="1" t="s">
        <v>79</v>
      </c>
      <c r="AC212" s="1" t="s">
        <v>72</v>
      </c>
      <c r="AF212" s="1" t="s">
        <v>51</v>
      </c>
      <c r="AG212" s="1" t="s">
        <v>51</v>
      </c>
      <c r="AH212" s="1">
        <v>4000.0</v>
      </c>
      <c r="AI212" s="1">
        <v>0.0</v>
      </c>
      <c r="AJ212" s="1">
        <v>0.0</v>
      </c>
      <c r="AK212" s="1">
        <v>0.0</v>
      </c>
      <c r="AL212" s="1">
        <v>1.0</v>
      </c>
      <c r="AP212" s="1">
        <v>4.90144601E8</v>
      </c>
      <c r="AQ212" s="1" t="s">
        <v>334</v>
      </c>
      <c r="AR212" s="1">
        <v>45808.67372</v>
      </c>
      <c r="AU212" s="1" t="s">
        <v>64</v>
      </c>
      <c r="AW212" s="1" t="s">
        <v>255</v>
      </c>
      <c r="AY212" s="1">
        <v>206.0</v>
      </c>
    </row>
    <row r="213">
      <c r="A213" s="1" t="s">
        <v>51</v>
      </c>
      <c r="C213" s="1" t="s">
        <v>53</v>
      </c>
      <c r="E213" s="1" t="s">
        <v>53</v>
      </c>
      <c r="G213" s="1">
        <v>40.0</v>
      </c>
      <c r="H213" s="1" t="s">
        <v>55</v>
      </c>
      <c r="I213" s="1" t="s">
        <v>121</v>
      </c>
      <c r="J213" s="1" t="s">
        <v>86</v>
      </c>
      <c r="K213" s="1" t="s">
        <v>87</v>
      </c>
      <c r="M213" s="1" t="s">
        <v>58</v>
      </c>
      <c r="N213" s="1" t="s">
        <v>58</v>
      </c>
      <c r="O213" s="1" t="s">
        <v>69</v>
      </c>
      <c r="Q213" s="1" t="s">
        <v>69</v>
      </c>
      <c r="R213" s="1" t="s">
        <v>58</v>
      </c>
      <c r="S213" s="1" t="s">
        <v>69</v>
      </c>
      <c r="T213" s="1" t="s">
        <v>69</v>
      </c>
      <c r="U213" s="1" t="s">
        <v>58</v>
      </c>
      <c r="V213" s="1" t="s">
        <v>70</v>
      </c>
      <c r="W213" s="1" t="s">
        <v>69</v>
      </c>
      <c r="X213" s="1" t="s">
        <v>81</v>
      </c>
      <c r="Y213" s="1" t="s">
        <v>95</v>
      </c>
      <c r="Z213" s="1" t="s">
        <v>89</v>
      </c>
      <c r="AA213" s="1">
        <v>10.0</v>
      </c>
      <c r="AB213" s="1" t="s">
        <v>28</v>
      </c>
      <c r="AC213" s="1" t="s">
        <v>71</v>
      </c>
      <c r="AF213" s="1" t="s">
        <v>72</v>
      </c>
      <c r="AG213" s="1" t="s">
        <v>72</v>
      </c>
      <c r="AI213" s="1">
        <v>0.0</v>
      </c>
      <c r="AJ213" s="1">
        <v>0.0</v>
      </c>
      <c r="AK213" s="1">
        <v>0.0</v>
      </c>
      <c r="AL213" s="1">
        <v>1.0</v>
      </c>
      <c r="AM213" s="1" t="s">
        <v>72</v>
      </c>
      <c r="AP213" s="1">
        <v>4.90148133E8</v>
      </c>
      <c r="AQ213" s="1" t="s">
        <v>335</v>
      </c>
      <c r="AR213" s="1">
        <v>45808.67863</v>
      </c>
      <c r="AU213" s="1" t="s">
        <v>64</v>
      </c>
      <c r="AW213" s="1" t="s">
        <v>255</v>
      </c>
      <c r="AY213" s="1">
        <v>207.0</v>
      </c>
    </row>
    <row r="214">
      <c r="A214" s="1" t="s">
        <v>51</v>
      </c>
      <c r="C214" s="1" t="s">
        <v>52</v>
      </c>
      <c r="E214" s="1" t="s">
        <v>53</v>
      </c>
      <c r="F214" s="1" t="s">
        <v>149</v>
      </c>
      <c r="G214" s="1">
        <v>47.0</v>
      </c>
      <c r="H214" s="1" t="s">
        <v>66</v>
      </c>
      <c r="I214" s="1" t="s">
        <v>67</v>
      </c>
      <c r="J214" s="1" t="s">
        <v>56</v>
      </c>
      <c r="K214" s="1" t="s">
        <v>87</v>
      </c>
      <c r="M214" s="1" t="s">
        <v>58</v>
      </c>
      <c r="N214" s="1" t="s">
        <v>58</v>
      </c>
      <c r="O214" s="1" t="s">
        <v>69</v>
      </c>
      <c r="Q214" s="1" t="s">
        <v>58</v>
      </c>
      <c r="R214" s="1" t="s">
        <v>58</v>
      </c>
      <c r="S214" s="1" t="s">
        <v>58</v>
      </c>
      <c r="T214" s="1" t="s">
        <v>69</v>
      </c>
      <c r="U214" s="1" t="s">
        <v>70</v>
      </c>
      <c r="V214" s="1" t="s">
        <v>69</v>
      </c>
      <c r="W214" s="1" t="s">
        <v>69</v>
      </c>
      <c r="X214" s="1" t="s">
        <v>81</v>
      </c>
      <c r="Y214" s="1" t="s">
        <v>60</v>
      </c>
      <c r="Z214" s="1" t="s">
        <v>127</v>
      </c>
      <c r="AA214" s="1">
        <v>100.0</v>
      </c>
      <c r="AB214" s="1" t="s">
        <v>79</v>
      </c>
      <c r="AC214" s="1" t="s">
        <v>71</v>
      </c>
      <c r="AF214" s="1" t="s">
        <v>51</v>
      </c>
      <c r="AG214" s="1" t="s">
        <v>72</v>
      </c>
      <c r="AI214" s="1">
        <v>0.0</v>
      </c>
      <c r="AJ214" s="1">
        <v>0.0</v>
      </c>
      <c r="AK214" s="1">
        <v>0.0</v>
      </c>
      <c r="AL214" s="1">
        <v>1.0</v>
      </c>
      <c r="AM214" s="1" t="s">
        <v>72</v>
      </c>
      <c r="AP214" s="1">
        <v>4.90165111E8</v>
      </c>
      <c r="AQ214" s="1" t="s">
        <v>336</v>
      </c>
      <c r="AR214" s="1">
        <v>45808.69988</v>
      </c>
      <c r="AU214" s="1" t="s">
        <v>64</v>
      </c>
      <c r="AW214" s="1" t="s">
        <v>255</v>
      </c>
      <c r="AY214" s="1">
        <v>208.0</v>
      </c>
    </row>
    <row r="215">
      <c r="A215" s="1" t="s">
        <v>51</v>
      </c>
      <c r="C215" s="1" t="s">
        <v>131</v>
      </c>
      <c r="E215" s="1" t="s">
        <v>53</v>
      </c>
      <c r="F215" s="1" t="s">
        <v>291</v>
      </c>
      <c r="G215" s="1">
        <v>25.0</v>
      </c>
      <c r="H215" s="1" t="s">
        <v>55</v>
      </c>
      <c r="I215" s="1" t="s">
        <v>100</v>
      </c>
      <c r="J215" s="1" t="s">
        <v>86</v>
      </c>
      <c r="K215" s="1" t="s">
        <v>57</v>
      </c>
      <c r="M215" s="1" t="s">
        <v>58</v>
      </c>
      <c r="N215" s="1" t="s">
        <v>58</v>
      </c>
      <c r="O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59</v>
      </c>
      <c r="Y215" s="1" t="s">
        <v>82</v>
      </c>
      <c r="Z215" s="1" t="s">
        <v>89</v>
      </c>
      <c r="AA215" s="1">
        <v>20.0</v>
      </c>
      <c r="AB215" s="1" t="s">
        <v>62</v>
      </c>
      <c r="AC215" s="1" t="s">
        <v>51</v>
      </c>
      <c r="AD215" s="1" t="s">
        <v>81</v>
      </c>
      <c r="AE215" s="1" t="s">
        <v>51</v>
      </c>
      <c r="AF215" s="1" t="s">
        <v>51</v>
      </c>
      <c r="AG215" s="1" t="s">
        <v>51</v>
      </c>
      <c r="AH215" s="1">
        <v>3.0</v>
      </c>
      <c r="AI215" s="1">
        <v>1.0</v>
      </c>
      <c r="AJ215" s="1">
        <v>1.0</v>
      </c>
      <c r="AK215" s="1">
        <v>0.0</v>
      </c>
      <c r="AL215" s="1">
        <v>0.0</v>
      </c>
      <c r="AM215" s="1" t="s">
        <v>51</v>
      </c>
      <c r="AN215" s="1">
        <v>8.24731825E8</v>
      </c>
      <c r="AP215" s="1">
        <v>4.90188824E8</v>
      </c>
      <c r="AQ215" s="1" t="s">
        <v>337</v>
      </c>
      <c r="AR215" s="1">
        <v>45808.72751</v>
      </c>
      <c r="AU215" s="1" t="s">
        <v>64</v>
      </c>
      <c r="AW215" s="1" t="s">
        <v>255</v>
      </c>
      <c r="AY215" s="1">
        <v>209.0</v>
      </c>
    </row>
    <row r="216">
      <c r="A216" s="1" t="s">
        <v>51</v>
      </c>
      <c r="C216" s="1" t="s">
        <v>131</v>
      </c>
      <c r="E216" s="1" t="s">
        <v>53</v>
      </c>
      <c r="F216" s="1" t="s">
        <v>85</v>
      </c>
      <c r="G216" s="1">
        <v>20.0</v>
      </c>
      <c r="H216" s="1" t="s">
        <v>55</v>
      </c>
      <c r="I216" s="1" t="s">
        <v>67</v>
      </c>
      <c r="J216" s="1" t="s">
        <v>68</v>
      </c>
      <c r="K216" s="1" t="s">
        <v>57</v>
      </c>
      <c r="M216" s="1" t="s">
        <v>58</v>
      </c>
      <c r="N216" s="1" t="s">
        <v>58</v>
      </c>
      <c r="O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58</v>
      </c>
      <c r="V216" s="1" t="s">
        <v>58</v>
      </c>
      <c r="W216" s="1" t="s">
        <v>58</v>
      </c>
      <c r="X216" s="1" t="s">
        <v>59</v>
      </c>
      <c r="Y216" s="1" t="s">
        <v>82</v>
      </c>
      <c r="Z216" s="1" t="s">
        <v>89</v>
      </c>
      <c r="AA216" s="1">
        <v>40.0</v>
      </c>
      <c r="AB216" s="1" t="s">
        <v>79</v>
      </c>
      <c r="AC216" s="1" t="s">
        <v>51</v>
      </c>
      <c r="AD216" s="1" t="s">
        <v>59</v>
      </c>
      <c r="AE216" s="1" t="s">
        <v>51</v>
      </c>
      <c r="AF216" s="1" t="s">
        <v>51</v>
      </c>
      <c r="AG216" s="1" t="s">
        <v>51</v>
      </c>
      <c r="AH216" s="1">
        <v>2.0</v>
      </c>
      <c r="AI216" s="1">
        <v>1.0</v>
      </c>
      <c r="AJ216" s="1">
        <v>0.0</v>
      </c>
      <c r="AK216" s="1">
        <v>0.0</v>
      </c>
      <c r="AL216" s="1">
        <v>0.0</v>
      </c>
      <c r="AM216" s="1" t="s">
        <v>51</v>
      </c>
      <c r="AN216" s="1">
        <v>7.82201442E8</v>
      </c>
      <c r="AP216" s="1">
        <v>4.90190123E8</v>
      </c>
      <c r="AQ216" s="1" t="s">
        <v>338</v>
      </c>
      <c r="AR216" s="1">
        <v>45808.7291</v>
      </c>
      <c r="AU216" s="1" t="s">
        <v>64</v>
      </c>
      <c r="AW216" s="1" t="s">
        <v>255</v>
      </c>
      <c r="AY216" s="1">
        <v>210.0</v>
      </c>
    </row>
    <row r="217">
      <c r="A217" s="1" t="s">
        <v>51</v>
      </c>
      <c r="C217" s="1" t="s">
        <v>131</v>
      </c>
      <c r="E217" s="1" t="s">
        <v>53</v>
      </c>
      <c r="F217" s="1" t="s">
        <v>85</v>
      </c>
      <c r="G217" s="1">
        <v>24.0</v>
      </c>
      <c r="H217" s="1" t="s">
        <v>66</v>
      </c>
      <c r="I217" s="1" t="s">
        <v>67</v>
      </c>
      <c r="J217" s="1" t="s">
        <v>68</v>
      </c>
      <c r="K217" s="1" t="s">
        <v>74</v>
      </c>
      <c r="M217" s="1" t="s">
        <v>58</v>
      </c>
      <c r="N217" s="1" t="s">
        <v>58</v>
      </c>
      <c r="O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59</v>
      </c>
      <c r="Y217" s="1" t="s">
        <v>82</v>
      </c>
      <c r="Z217" s="1" t="s">
        <v>89</v>
      </c>
      <c r="AA217" s="1">
        <v>50.0</v>
      </c>
      <c r="AB217" s="1" t="s">
        <v>79</v>
      </c>
      <c r="AC217" s="1" t="s">
        <v>51</v>
      </c>
      <c r="AD217" s="1" t="s">
        <v>59</v>
      </c>
      <c r="AE217" s="1" t="s">
        <v>51</v>
      </c>
      <c r="AF217" s="1" t="s">
        <v>51</v>
      </c>
      <c r="AG217" s="1" t="s">
        <v>51</v>
      </c>
      <c r="AH217" s="1">
        <v>6.0</v>
      </c>
      <c r="AI217" s="1">
        <v>0.0</v>
      </c>
      <c r="AJ217" s="1">
        <v>1.0</v>
      </c>
      <c r="AK217" s="1">
        <v>0.0</v>
      </c>
      <c r="AL217" s="1">
        <v>0.0</v>
      </c>
      <c r="AM217" s="1" t="s">
        <v>51</v>
      </c>
      <c r="AN217" s="1">
        <v>8.351742E8</v>
      </c>
      <c r="AP217" s="1">
        <v>4.90191795E8</v>
      </c>
      <c r="AQ217" s="1" t="s">
        <v>339</v>
      </c>
      <c r="AR217" s="1">
        <v>45808.73111</v>
      </c>
      <c r="AU217" s="1" t="s">
        <v>64</v>
      </c>
      <c r="AW217" s="1" t="s">
        <v>255</v>
      </c>
      <c r="AY217" s="1">
        <v>211.0</v>
      </c>
    </row>
    <row r="218">
      <c r="A218" s="1" t="s">
        <v>51</v>
      </c>
      <c r="C218" s="1" t="s">
        <v>131</v>
      </c>
      <c r="E218" s="1" t="s">
        <v>53</v>
      </c>
      <c r="F218" s="1" t="s">
        <v>291</v>
      </c>
      <c r="G218" s="1">
        <v>19.0</v>
      </c>
      <c r="H218" s="1" t="s">
        <v>66</v>
      </c>
      <c r="I218" s="1" t="s">
        <v>76</v>
      </c>
      <c r="J218" s="1" t="s">
        <v>111</v>
      </c>
      <c r="K218" s="1" t="s">
        <v>74</v>
      </c>
      <c r="M218" s="1" t="s">
        <v>58</v>
      </c>
      <c r="N218" s="1" t="s">
        <v>58</v>
      </c>
      <c r="O218" s="1" t="s">
        <v>58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59</v>
      </c>
      <c r="Y218" s="1" t="s">
        <v>60</v>
      </c>
      <c r="Z218" s="1" t="s">
        <v>89</v>
      </c>
      <c r="AA218" s="1">
        <v>50.0</v>
      </c>
      <c r="AB218" s="1" t="s">
        <v>62</v>
      </c>
      <c r="AC218" s="1" t="s">
        <v>51</v>
      </c>
      <c r="AD218" s="1" t="s">
        <v>59</v>
      </c>
      <c r="AE218" s="1" t="s">
        <v>51</v>
      </c>
      <c r="AF218" s="1" t="s">
        <v>51</v>
      </c>
      <c r="AG218" s="1" t="s">
        <v>51</v>
      </c>
      <c r="AH218" s="1">
        <v>2.0</v>
      </c>
      <c r="AI218" s="1">
        <v>1.0</v>
      </c>
      <c r="AJ218" s="1">
        <v>0.0</v>
      </c>
      <c r="AK218" s="1">
        <v>0.0</v>
      </c>
      <c r="AL218" s="1">
        <v>0.0</v>
      </c>
      <c r="AM218" s="1" t="s">
        <v>51</v>
      </c>
      <c r="AN218" s="1">
        <v>7.16325173E8</v>
      </c>
      <c r="AP218" s="1">
        <v>4.90193602E8</v>
      </c>
      <c r="AQ218" s="1" t="s">
        <v>340</v>
      </c>
      <c r="AR218" s="1">
        <v>45808.7331</v>
      </c>
      <c r="AU218" s="1" t="s">
        <v>64</v>
      </c>
      <c r="AW218" s="1" t="s">
        <v>255</v>
      </c>
      <c r="AY218" s="1">
        <v>212.0</v>
      </c>
    </row>
    <row r="219">
      <c r="A219" s="1" t="s">
        <v>51</v>
      </c>
      <c r="C219" s="1" t="s">
        <v>131</v>
      </c>
      <c r="E219" s="1" t="s">
        <v>53</v>
      </c>
      <c r="F219" s="1" t="s">
        <v>291</v>
      </c>
      <c r="G219" s="1">
        <v>24.0</v>
      </c>
      <c r="H219" s="1" t="s">
        <v>55</v>
      </c>
      <c r="I219" s="1" t="s">
        <v>100</v>
      </c>
      <c r="J219" s="1" t="s">
        <v>111</v>
      </c>
      <c r="K219" s="1" t="s">
        <v>57</v>
      </c>
      <c r="M219" s="1" t="s">
        <v>58</v>
      </c>
      <c r="N219" s="1" t="s">
        <v>58</v>
      </c>
      <c r="O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59</v>
      </c>
      <c r="Y219" s="1" t="s">
        <v>60</v>
      </c>
      <c r="Z219" s="1" t="s">
        <v>127</v>
      </c>
      <c r="AA219" s="1">
        <v>20.0</v>
      </c>
      <c r="AB219" s="1" t="s">
        <v>79</v>
      </c>
      <c r="AC219" s="1" t="s">
        <v>51</v>
      </c>
      <c r="AD219" s="1" t="s">
        <v>59</v>
      </c>
      <c r="AE219" s="1" t="s">
        <v>51</v>
      </c>
      <c r="AF219" s="1" t="s">
        <v>51</v>
      </c>
      <c r="AG219" s="1" t="s">
        <v>51</v>
      </c>
      <c r="AH219" s="1">
        <v>3.0</v>
      </c>
      <c r="AI219" s="1">
        <v>1.0</v>
      </c>
      <c r="AJ219" s="1">
        <v>0.0</v>
      </c>
      <c r="AK219" s="1">
        <v>0.0</v>
      </c>
      <c r="AL219" s="1">
        <v>0.0</v>
      </c>
      <c r="AM219" s="1" t="s">
        <v>51</v>
      </c>
      <c r="AN219" s="1">
        <v>8.44112654E8</v>
      </c>
      <c r="AP219" s="1">
        <v>4.90194764E8</v>
      </c>
      <c r="AQ219" s="1" t="s">
        <v>341</v>
      </c>
      <c r="AR219" s="1">
        <v>45808.7347</v>
      </c>
      <c r="AU219" s="1" t="s">
        <v>64</v>
      </c>
      <c r="AW219" s="1" t="s">
        <v>255</v>
      </c>
      <c r="AY219" s="1">
        <v>213.0</v>
      </c>
    </row>
    <row r="220">
      <c r="A220" s="1" t="s">
        <v>51</v>
      </c>
      <c r="C220" s="1" t="s">
        <v>131</v>
      </c>
      <c r="E220" s="1" t="s">
        <v>53</v>
      </c>
      <c r="F220" s="1" t="s">
        <v>85</v>
      </c>
      <c r="G220" s="1">
        <v>22.0</v>
      </c>
      <c r="H220" s="1" t="s">
        <v>55</v>
      </c>
      <c r="I220" s="1" t="s">
        <v>67</v>
      </c>
      <c r="J220" s="1" t="s">
        <v>86</v>
      </c>
      <c r="K220" s="1" t="s">
        <v>74</v>
      </c>
      <c r="M220" s="1" t="s">
        <v>58</v>
      </c>
      <c r="N220" s="1" t="s">
        <v>58</v>
      </c>
      <c r="O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59</v>
      </c>
      <c r="Y220" s="1" t="s">
        <v>82</v>
      </c>
      <c r="Z220" s="1" t="s">
        <v>108</v>
      </c>
      <c r="AA220" s="1">
        <v>20.0</v>
      </c>
      <c r="AB220" s="1" t="s">
        <v>79</v>
      </c>
      <c r="AC220" s="1" t="s">
        <v>51</v>
      </c>
      <c r="AD220" s="1" t="s">
        <v>59</v>
      </c>
      <c r="AE220" s="1" t="s">
        <v>51</v>
      </c>
      <c r="AF220" s="1" t="s">
        <v>51</v>
      </c>
      <c r="AG220" s="1" t="s">
        <v>51</v>
      </c>
      <c r="AH220" s="1">
        <v>4.0</v>
      </c>
      <c r="AI220" s="1">
        <v>1.0</v>
      </c>
      <c r="AJ220" s="1">
        <v>0.0</v>
      </c>
      <c r="AK220" s="1">
        <v>0.0</v>
      </c>
      <c r="AL220" s="1">
        <v>0.0</v>
      </c>
      <c r="AM220" s="1" t="s">
        <v>51</v>
      </c>
      <c r="AN220" s="1">
        <v>8.3324428E7</v>
      </c>
      <c r="AP220" s="1">
        <v>4.90195712E8</v>
      </c>
      <c r="AQ220" s="1" t="s">
        <v>342</v>
      </c>
      <c r="AR220" s="1">
        <v>45808.73625</v>
      </c>
      <c r="AU220" s="1" t="s">
        <v>64</v>
      </c>
      <c r="AW220" s="1" t="s">
        <v>255</v>
      </c>
      <c r="AY220" s="1">
        <v>214.0</v>
      </c>
    </row>
    <row r="221">
      <c r="A221" s="1" t="s">
        <v>51</v>
      </c>
      <c r="C221" s="1" t="s">
        <v>131</v>
      </c>
      <c r="E221" s="1" t="s">
        <v>53</v>
      </c>
      <c r="F221" s="1" t="s">
        <v>85</v>
      </c>
      <c r="G221" s="1">
        <v>23.0</v>
      </c>
      <c r="H221" s="1" t="s">
        <v>55</v>
      </c>
      <c r="I221" s="1" t="s">
        <v>76</v>
      </c>
      <c r="J221" s="1" t="s">
        <v>111</v>
      </c>
      <c r="K221" s="1" t="s">
        <v>78</v>
      </c>
      <c r="M221" s="1" t="s">
        <v>58</v>
      </c>
      <c r="N221" s="1" t="s">
        <v>58</v>
      </c>
      <c r="O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88</v>
      </c>
      <c r="Y221" s="1" t="s">
        <v>82</v>
      </c>
      <c r="Z221" s="1" t="s">
        <v>127</v>
      </c>
      <c r="AA221" s="1">
        <v>20.0</v>
      </c>
      <c r="AB221" s="1" t="s">
        <v>79</v>
      </c>
      <c r="AC221" s="1" t="s">
        <v>51</v>
      </c>
      <c r="AD221" s="1" t="s">
        <v>88</v>
      </c>
      <c r="AE221" s="1" t="s">
        <v>51</v>
      </c>
      <c r="AF221" s="1" t="s">
        <v>51</v>
      </c>
      <c r="AG221" s="1" t="s">
        <v>51</v>
      </c>
      <c r="AH221" s="1">
        <v>6.0</v>
      </c>
      <c r="AI221" s="1">
        <v>1.0</v>
      </c>
      <c r="AJ221" s="1">
        <v>0.0</v>
      </c>
      <c r="AK221" s="1">
        <v>0.0</v>
      </c>
      <c r="AL221" s="1">
        <v>0.0</v>
      </c>
      <c r="AM221" s="1" t="s">
        <v>51</v>
      </c>
      <c r="AN221" s="1">
        <v>6.39293953E8</v>
      </c>
      <c r="AP221" s="1">
        <v>4.90196718E8</v>
      </c>
      <c r="AQ221" s="1" t="s">
        <v>343</v>
      </c>
      <c r="AR221" s="1">
        <v>45808.73804</v>
      </c>
      <c r="AU221" s="1" t="s">
        <v>64</v>
      </c>
      <c r="AW221" s="1" t="s">
        <v>255</v>
      </c>
      <c r="AY221" s="1">
        <v>215.0</v>
      </c>
    </row>
    <row r="222">
      <c r="A222" s="1" t="s">
        <v>51</v>
      </c>
      <c r="C222" s="1" t="s">
        <v>52</v>
      </c>
      <c r="E222" s="1" t="s">
        <v>52</v>
      </c>
      <c r="G222" s="1">
        <v>44.0</v>
      </c>
      <c r="K222" s="1" t="s">
        <v>87</v>
      </c>
      <c r="N222" s="1" t="s">
        <v>58</v>
      </c>
      <c r="O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70</v>
      </c>
      <c r="V222" s="1" t="s">
        <v>58</v>
      </c>
      <c r="W222" s="1" t="s">
        <v>58</v>
      </c>
      <c r="X222" s="1" t="s">
        <v>81</v>
      </c>
      <c r="Y222" s="1" t="s">
        <v>60</v>
      </c>
      <c r="Z222" s="1" t="s">
        <v>89</v>
      </c>
      <c r="AA222" s="1">
        <v>100.0</v>
      </c>
      <c r="AB222" s="1" t="s">
        <v>62</v>
      </c>
      <c r="AC222" s="1" t="s">
        <v>71</v>
      </c>
      <c r="AF222" s="1" t="s">
        <v>51</v>
      </c>
      <c r="AG222" s="1" t="s">
        <v>72</v>
      </c>
      <c r="AI222" s="1">
        <v>1.0</v>
      </c>
      <c r="AJ222" s="1">
        <v>1.0</v>
      </c>
      <c r="AK222" s="1">
        <v>1.0</v>
      </c>
      <c r="AL222" s="1">
        <v>0.0</v>
      </c>
      <c r="AP222" s="1">
        <v>4.90197763E8</v>
      </c>
      <c r="AQ222" s="1" t="s">
        <v>344</v>
      </c>
      <c r="AR222" s="1">
        <v>45808.73958</v>
      </c>
      <c r="AU222" s="1" t="s">
        <v>64</v>
      </c>
      <c r="AW222" s="1" t="s">
        <v>255</v>
      </c>
      <c r="AY222" s="1">
        <v>216.0</v>
      </c>
    </row>
    <row r="223">
      <c r="A223" s="1" t="s">
        <v>51</v>
      </c>
      <c r="C223" s="1" t="s">
        <v>131</v>
      </c>
      <c r="E223" s="1" t="s">
        <v>53</v>
      </c>
      <c r="F223" s="1" t="s">
        <v>345</v>
      </c>
      <c r="G223" s="1">
        <v>25.0</v>
      </c>
      <c r="H223" s="1" t="s">
        <v>66</v>
      </c>
      <c r="I223" s="1" t="s">
        <v>100</v>
      </c>
      <c r="J223" s="1" t="s">
        <v>111</v>
      </c>
      <c r="K223" s="1" t="s">
        <v>78</v>
      </c>
      <c r="M223" s="1" t="s">
        <v>58</v>
      </c>
      <c r="N223" s="1" t="s">
        <v>58</v>
      </c>
      <c r="O223" s="1" t="s">
        <v>58</v>
      </c>
      <c r="Q223" s="1" t="s">
        <v>58</v>
      </c>
      <c r="R223" s="1" t="s">
        <v>58</v>
      </c>
      <c r="S223" s="1" t="s">
        <v>58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88</v>
      </c>
      <c r="Y223" s="1" t="s">
        <v>95</v>
      </c>
      <c r="Z223" s="1" t="s">
        <v>89</v>
      </c>
      <c r="AA223" s="1">
        <v>10.0</v>
      </c>
      <c r="AB223" s="1" t="s">
        <v>62</v>
      </c>
      <c r="AC223" s="1" t="s">
        <v>51</v>
      </c>
      <c r="AD223" s="1" t="s">
        <v>59</v>
      </c>
      <c r="AE223" s="1" t="s">
        <v>51</v>
      </c>
      <c r="AF223" s="1" t="s">
        <v>51</v>
      </c>
      <c r="AG223" s="1" t="s">
        <v>51</v>
      </c>
      <c r="AH223" s="1">
        <v>2.0</v>
      </c>
      <c r="AI223" s="1">
        <v>1.0</v>
      </c>
      <c r="AJ223" s="1">
        <v>0.0</v>
      </c>
      <c r="AK223" s="1">
        <v>0.0</v>
      </c>
      <c r="AL223" s="1">
        <v>0.0</v>
      </c>
      <c r="AM223" s="1" t="s">
        <v>51</v>
      </c>
      <c r="AN223" s="1">
        <v>7.35090851E8</v>
      </c>
      <c r="AP223" s="1">
        <v>4.90197869E8</v>
      </c>
      <c r="AQ223" s="1" t="s">
        <v>346</v>
      </c>
      <c r="AR223" s="1">
        <v>45808.73975</v>
      </c>
      <c r="AU223" s="1" t="s">
        <v>64</v>
      </c>
      <c r="AW223" s="1" t="s">
        <v>255</v>
      </c>
      <c r="AY223" s="1">
        <v>217.0</v>
      </c>
    </row>
    <row r="224">
      <c r="A224" s="1" t="s">
        <v>51</v>
      </c>
      <c r="C224" s="1" t="s">
        <v>347</v>
      </c>
      <c r="E224" s="1" t="s">
        <v>154</v>
      </c>
      <c r="G224" s="1">
        <v>38.0</v>
      </c>
      <c r="H224" s="1" t="s">
        <v>55</v>
      </c>
      <c r="J224" s="1" t="s">
        <v>86</v>
      </c>
      <c r="K224" s="1" t="s">
        <v>87</v>
      </c>
      <c r="M224" s="1" t="s">
        <v>58</v>
      </c>
      <c r="N224" s="1" t="s">
        <v>58</v>
      </c>
      <c r="O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59</v>
      </c>
      <c r="Y224" s="1" t="s">
        <v>227</v>
      </c>
      <c r="Z224" s="1" t="s">
        <v>89</v>
      </c>
      <c r="AA224" s="1">
        <v>100.0</v>
      </c>
      <c r="AB224" s="1" t="s">
        <v>62</v>
      </c>
      <c r="AC224" s="1" t="s">
        <v>51</v>
      </c>
      <c r="AD224" s="1" t="s">
        <v>81</v>
      </c>
      <c r="AE224" s="1" t="s">
        <v>51</v>
      </c>
      <c r="AF224" s="1" t="s">
        <v>51</v>
      </c>
      <c r="AG224" s="1" t="s">
        <v>51</v>
      </c>
      <c r="AH224" s="1">
        <v>100.0</v>
      </c>
      <c r="AI224" s="1">
        <v>0.0</v>
      </c>
      <c r="AJ224" s="1">
        <v>0.0</v>
      </c>
      <c r="AK224" s="1">
        <v>0.0</v>
      </c>
      <c r="AL224" s="1">
        <v>1.0</v>
      </c>
      <c r="AP224" s="1">
        <v>4.90198157E8</v>
      </c>
      <c r="AQ224" s="1" t="s">
        <v>348</v>
      </c>
      <c r="AR224" s="1">
        <v>45808.7402</v>
      </c>
      <c r="AU224" s="1" t="s">
        <v>64</v>
      </c>
      <c r="AW224" s="1" t="s">
        <v>255</v>
      </c>
      <c r="AY224" s="1">
        <v>218.0</v>
      </c>
    </row>
    <row r="225">
      <c r="A225" s="1" t="s">
        <v>51</v>
      </c>
      <c r="C225" s="1" t="s">
        <v>131</v>
      </c>
      <c r="E225" s="1" t="s">
        <v>53</v>
      </c>
      <c r="F225" s="1" t="s">
        <v>291</v>
      </c>
      <c r="G225" s="1">
        <v>27.0</v>
      </c>
      <c r="H225" s="1" t="s">
        <v>55</v>
      </c>
      <c r="I225" s="1" t="s">
        <v>67</v>
      </c>
      <c r="J225" s="1" t="s">
        <v>111</v>
      </c>
      <c r="K225" s="1" t="s">
        <v>78</v>
      </c>
      <c r="M225" s="1" t="s">
        <v>58</v>
      </c>
      <c r="N225" s="1" t="s">
        <v>58</v>
      </c>
      <c r="O225" s="1" t="s">
        <v>58</v>
      </c>
      <c r="Q225" s="1" t="s">
        <v>58</v>
      </c>
      <c r="R225" s="1" t="s">
        <v>58</v>
      </c>
      <c r="S225" s="1" t="s">
        <v>58</v>
      </c>
      <c r="T225" s="1" t="s">
        <v>58</v>
      </c>
      <c r="U225" s="1" t="s">
        <v>58</v>
      </c>
      <c r="V225" s="1" t="s">
        <v>58</v>
      </c>
      <c r="W225" s="1" t="s">
        <v>58</v>
      </c>
      <c r="X225" s="1" t="s">
        <v>59</v>
      </c>
      <c r="Y225" s="1" t="s">
        <v>172</v>
      </c>
      <c r="Z225" s="1" t="s">
        <v>127</v>
      </c>
      <c r="AA225" s="1">
        <v>30.0</v>
      </c>
      <c r="AB225" s="1" t="s">
        <v>62</v>
      </c>
      <c r="AC225" s="1" t="s">
        <v>51</v>
      </c>
      <c r="AD225" s="1" t="s">
        <v>59</v>
      </c>
      <c r="AE225" s="1" t="s">
        <v>51</v>
      </c>
      <c r="AF225" s="1" t="s">
        <v>51</v>
      </c>
      <c r="AI225" s="1">
        <v>1.0</v>
      </c>
      <c r="AJ225" s="1">
        <v>0.0</v>
      </c>
      <c r="AK225" s="1">
        <v>0.0</v>
      </c>
      <c r="AL225" s="1">
        <v>0.0</v>
      </c>
      <c r="AM225" s="1" t="s">
        <v>51</v>
      </c>
      <c r="AN225" s="1">
        <v>6.9329315E8</v>
      </c>
      <c r="AP225" s="1">
        <v>4.90199022E8</v>
      </c>
      <c r="AQ225" s="1" t="s">
        <v>349</v>
      </c>
      <c r="AR225" s="1">
        <v>45808.74153</v>
      </c>
      <c r="AU225" s="1" t="s">
        <v>64</v>
      </c>
      <c r="AW225" s="1" t="s">
        <v>255</v>
      </c>
      <c r="AY225" s="1">
        <v>219.0</v>
      </c>
    </row>
    <row r="226">
      <c r="A226" s="1" t="s">
        <v>51</v>
      </c>
      <c r="C226" s="1" t="s">
        <v>131</v>
      </c>
      <c r="E226" s="1" t="s">
        <v>53</v>
      </c>
      <c r="F226" s="1" t="s">
        <v>350</v>
      </c>
      <c r="G226" s="1">
        <v>29.0</v>
      </c>
      <c r="H226" s="1" t="s">
        <v>66</v>
      </c>
      <c r="I226" s="1" t="s">
        <v>67</v>
      </c>
      <c r="J226" s="1" t="s">
        <v>111</v>
      </c>
      <c r="K226" s="1" t="s">
        <v>57</v>
      </c>
      <c r="M226" s="1" t="s">
        <v>58</v>
      </c>
      <c r="N226" s="1" t="s">
        <v>70</v>
      </c>
      <c r="O226" s="1" t="s">
        <v>58</v>
      </c>
      <c r="Q226" s="1" t="s">
        <v>58</v>
      </c>
      <c r="R226" s="1" t="s">
        <v>58</v>
      </c>
      <c r="S226" s="1" t="s">
        <v>58</v>
      </c>
      <c r="T226" s="1" t="s">
        <v>58</v>
      </c>
      <c r="U226" s="1" t="s">
        <v>58</v>
      </c>
      <c r="V226" s="1" t="s">
        <v>58</v>
      </c>
      <c r="W226" s="1" t="s">
        <v>58</v>
      </c>
      <c r="X226" s="1" t="s">
        <v>88</v>
      </c>
      <c r="Y226" s="1" t="s">
        <v>82</v>
      </c>
      <c r="Z226" s="1" t="s">
        <v>89</v>
      </c>
      <c r="AA226" s="1">
        <v>10.0</v>
      </c>
      <c r="AB226" s="1" t="s">
        <v>79</v>
      </c>
      <c r="AC226" s="1" t="s">
        <v>51</v>
      </c>
      <c r="AD226" s="1" t="s">
        <v>88</v>
      </c>
      <c r="AF226" s="1" t="s">
        <v>51</v>
      </c>
      <c r="AG226" s="1" t="s">
        <v>51</v>
      </c>
      <c r="AI226" s="1">
        <v>1.0</v>
      </c>
      <c r="AJ226" s="1">
        <v>0.0</v>
      </c>
      <c r="AK226" s="1">
        <v>0.0</v>
      </c>
      <c r="AL226" s="1">
        <v>0.0</v>
      </c>
      <c r="AM226" s="1" t="s">
        <v>51</v>
      </c>
      <c r="AN226" s="1">
        <v>7.69616023E8</v>
      </c>
      <c r="AP226" s="1">
        <v>4.90201666E8</v>
      </c>
      <c r="AQ226" s="1" t="s">
        <v>351</v>
      </c>
      <c r="AR226" s="1">
        <v>45808.74565</v>
      </c>
      <c r="AU226" s="1" t="s">
        <v>64</v>
      </c>
      <c r="AW226" s="1" t="s">
        <v>255</v>
      </c>
      <c r="AY226" s="1">
        <v>220.0</v>
      </c>
    </row>
    <row r="227">
      <c r="A227" s="1" t="s">
        <v>51</v>
      </c>
      <c r="C227" s="1" t="s">
        <v>131</v>
      </c>
      <c r="E227" s="1" t="s">
        <v>53</v>
      </c>
      <c r="F227" s="1" t="s">
        <v>85</v>
      </c>
      <c r="G227" s="1">
        <v>21.0</v>
      </c>
      <c r="H227" s="1" t="s">
        <v>55</v>
      </c>
      <c r="I227" s="1" t="s">
        <v>100</v>
      </c>
      <c r="K227" s="1" t="s">
        <v>57</v>
      </c>
      <c r="M227" s="1" t="s">
        <v>70</v>
      </c>
      <c r="N227" s="1" t="s">
        <v>58</v>
      </c>
      <c r="O227" s="1" t="s">
        <v>58</v>
      </c>
      <c r="Q227" s="1" t="s">
        <v>58</v>
      </c>
      <c r="R227" s="1" t="s">
        <v>58</v>
      </c>
      <c r="S227" s="1" t="s">
        <v>58</v>
      </c>
      <c r="T227" s="1" t="s">
        <v>58</v>
      </c>
      <c r="U227" s="1" t="s">
        <v>70</v>
      </c>
      <c r="V227" s="1" t="s">
        <v>58</v>
      </c>
      <c r="X227" s="1" t="s">
        <v>88</v>
      </c>
      <c r="Y227" s="1" t="s">
        <v>82</v>
      </c>
      <c r="Z227" s="1" t="s">
        <v>89</v>
      </c>
      <c r="AA227" s="1">
        <v>20.0</v>
      </c>
      <c r="AB227" s="1" t="s">
        <v>62</v>
      </c>
      <c r="AC227" s="1" t="s">
        <v>51</v>
      </c>
      <c r="AD227" s="1" t="s">
        <v>59</v>
      </c>
      <c r="AE227" s="1" t="s">
        <v>51</v>
      </c>
      <c r="AF227" s="1" t="s">
        <v>51</v>
      </c>
      <c r="AG227" s="1" t="s">
        <v>51</v>
      </c>
      <c r="AH227" s="1">
        <v>4.0</v>
      </c>
      <c r="AI227" s="1">
        <v>1.0</v>
      </c>
      <c r="AJ227" s="1">
        <v>0.0</v>
      </c>
      <c r="AK227" s="1">
        <v>0.0</v>
      </c>
      <c r="AL227" s="1">
        <v>0.0</v>
      </c>
      <c r="AM227" s="1" t="s">
        <v>51</v>
      </c>
      <c r="AN227" s="1">
        <v>6.58208359E8</v>
      </c>
      <c r="AP227" s="1">
        <v>4.90202815E8</v>
      </c>
      <c r="AQ227" s="1" t="s">
        <v>352</v>
      </c>
      <c r="AR227" s="1">
        <v>45808.74745</v>
      </c>
      <c r="AU227" s="1" t="s">
        <v>64</v>
      </c>
      <c r="AW227" s="1" t="s">
        <v>255</v>
      </c>
      <c r="AY227" s="1">
        <v>221.0</v>
      </c>
    </row>
    <row r="228">
      <c r="A228" s="1" t="s">
        <v>51</v>
      </c>
      <c r="C228" s="1" t="s">
        <v>131</v>
      </c>
      <c r="E228" s="1" t="s">
        <v>53</v>
      </c>
      <c r="F228" s="1" t="s">
        <v>85</v>
      </c>
      <c r="G228" s="1">
        <v>26.0</v>
      </c>
      <c r="H228" s="1" t="s">
        <v>55</v>
      </c>
      <c r="I228" s="1" t="s">
        <v>100</v>
      </c>
      <c r="J228" s="1" t="s">
        <v>68</v>
      </c>
      <c r="K228" s="1" t="s">
        <v>57</v>
      </c>
      <c r="M228" s="1" t="s">
        <v>58</v>
      </c>
      <c r="N228" s="1" t="s">
        <v>58</v>
      </c>
      <c r="O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81</v>
      </c>
      <c r="Y228" s="1" t="s">
        <v>82</v>
      </c>
      <c r="Z228" s="1" t="s">
        <v>89</v>
      </c>
      <c r="AA228" s="1">
        <v>40.0</v>
      </c>
      <c r="AB228" s="1" t="s">
        <v>62</v>
      </c>
      <c r="AC228" s="1" t="s">
        <v>51</v>
      </c>
      <c r="AD228" s="1" t="s">
        <v>81</v>
      </c>
      <c r="AE228" s="1" t="s">
        <v>51</v>
      </c>
      <c r="AF228" s="1" t="s">
        <v>51</v>
      </c>
      <c r="AG228" s="1" t="s">
        <v>51</v>
      </c>
      <c r="AH228" s="1">
        <v>3.0</v>
      </c>
      <c r="AI228" s="1">
        <v>1.0</v>
      </c>
      <c r="AJ228" s="1">
        <v>0.0</v>
      </c>
      <c r="AK228" s="1">
        <v>0.0</v>
      </c>
      <c r="AL228" s="1">
        <v>0.0</v>
      </c>
      <c r="AM228" s="1" t="s">
        <v>51</v>
      </c>
      <c r="AN228" s="1">
        <v>7.33428072E8</v>
      </c>
      <c r="AP228" s="1">
        <v>4.9020474E8</v>
      </c>
      <c r="AQ228" s="1" t="s">
        <v>353</v>
      </c>
      <c r="AR228" s="1">
        <v>45808.75047</v>
      </c>
      <c r="AU228" s="1" t="s">
        <v>64</v>
      </c>
      <c r="AW228" s="1" t="s">
        <v>255</v>
      </c>
      <c r="AY228" s="1">
        <v>222.0</v>
      </c>
    </row>
    <row r="229">
      <c r="A229" s="1" t="s">
        <v>51</v>
      </c>
      <c r="C229" s="1" t="s">
        <v>131</v>
      </c>
      <c r="E229" s="1" t="s">
        <v>53</v>
      </c>
      <c r="F229" s="1" t="s">
        <v>85</v>
      </c>
      <c r="G229" s="1">
        <v>25.0</v>
      </c>
      <c r="H229" s="1" t="s">
        <v>55</v>
      </c>
      <c r="I229" s="1" t="s">
        <v>67</v>
      </c>
      <c r="J229" s="1" t="s">
        <v>111</v>
      </c>
      <c r="K229" s="1" t="s">
        <v>57</v>
      </c>
      <c r="M229" s="1" t="s">
        <v>58</v>
      </c>
      <c r="N229" s="1" t="s">
        <v>58</v>
      </c>
      <c r="O229" s="1" t="s">
        <v>58</v>
      </c>
      <c r="Q229" s="1" t="s">
        <v>58</v>
      </c>
      <c r="R229" s="1" t="s">
        <v>70</v>
      </c>
      <c r="T229" s="1" t="s">
        <v>58</v>
      </c>
      <c r="U229" s="1" t="s">
        <v>58</v>
      </c>
      <c r="V229" s="1" t="s">
        <v>58</v>
      </c>
      <c r="W229" s="1" t="s">
        <v>58</v>
      </c>
      <c r="X229" s="1" t="s">
        <v>88</v>
      </c>
      <c r="Y229" s="1" t="s">
        <v>82</v>
      </c>
      <c r="Z229" s="1" t="s">
        <v>89</v>
      </c>
      <c r="AA229" s="1">
        <v>20.0</v>
      </c>
      <c r="AB229" s="1" t="s">
        <v>79</v>
      </c>
      <c r="AC229" s="1" t="s">
        <v>51</v>
      </c>
      <c r="AD229" s="1" t="s">
        <v>59</v>
      </c>
      <c r="AE229" s="1" t="s">
        <v>51</v>
      </c>
      <c r="AF229" s="1" t="s">
        <v>51</v>
      </c>
      <c r="AG229" s="1" t="s">
        <v>51</v>
      </c>
      <c r="AH229" s="1">
        <v>20.0</v>
      </c>
      <c r="AI229" s="1">
        <v>1.0</v>
      </c>
      <c r="AJ229" s="1">
        <v>0.0</v>
      </c>
      <c r="AK229" s="1">
        <v>0.0</v>
      </c>
      <c r="AL229" s="1">
        <v>0.0</v>
      </c>
      <c r="AM229" s="1" t="s">
        <v>51</v>
      </c>
      <c r="AN229" s="1">
        <v>7.10434171E8</v>
      </c>
      <c r="AP229" s="1">
        <v>4.90206995E8</v>
      </c>
      <c r="AQ229" s="1" t="s">
        <v>354</v>
      </c>
      <c r="AR229" s="1">
        <v>45808.75424</v>
      </c>
      <c r="AU229" s="1" t="s">
        <v>64</v>
      </c>
      <c r="AW229" s="1" t="s">
        <v>255</v>
      </c>
      <c r="AY229" s="1">
        <v>223.0</v>
      </c>
    </row>
    <row r="230">
      <c r="A230" s="1" t="s">
        <v>51</v>
      </c>
      <c r="C230" s="1" t="s">
        <v>131</v>
      </c>
      <c r="E230" s="1" t="s">
        <v>53</v>
      </c>
      <c r="F230" s="1" t="s">
        <v>85</v>
      </c>
      <c r="G230" s="1">
        <v>21.0</v>
      </c>
      <c r="H230" s="1" t="s">
        <v>66</v>
      </c>
      <c r="I230" s="1" t="s">
        <v>100</v>
      </c>
      <c r="J230" s="1" t="s">
        <v>111</v>
      </c>
      <c r="K230" s="1" t="s">
        <v>57</v>
      </c>
      <c r="M230" s="1" t="s">
        <v>58</v>
      </c>
      <c r="N230" s="1" t="s">
        <v>58</v>
      </c>
      <c r="O230" s="1" t="s">
        <v>58</v>
      </c>
      <c r="Q230" s="1" t="s">
        <v>58</v>
      </c>
      <c r="R230" s="1" t="s">
        <v>58</v>
      </c>
      <c r="S230" s="1" t="s">
        <v>58</v>
      </c>
      <c r="T230" s="1" t="s">
        <v>58</v>
      </c>
      <c r="U230" s="1" t="s">
        <v>58</v>
      </c>
      <c r="V230" s="1" t="s">
        <v>58</v>
      </c>
      <c r="W230" s="1" t="s">
        <v>58</v>
      </c>
      <c r="X230" s="1" t="s">
        <v>59</v>
      </c>
      <c r="Y230" s="1" t="s">
        <v>60</v>
      </c>
      <c r="AA230" s="1">
        <v>20.0</v>
      </c>
      <c r="AB230" s="1" t="s">
        <v>62</v>
      </c>
      <c r="AC230" s="1" t="s">
        <v>51</v>
      </c>
      <c r="AD230" s="1" t="s">
        <v>88</v>
      </c>
      <c r="AE230" s="1" t="s">
        <v>51</v>
      </c>
      <c r="AF230" s="1" t="s">
        <v>51</v>
      </c>
      <c r="AG230" s="1" t="s">
        <v>51</v>
      </c>
      <c r="AH230" s="1">
        <v>20.0</v>
      </c>
      <c r="AI230" s="1">
        <v>1.0</v>
      </c>
      <c r="AJ230" s="1">
        <v>0.0</v>
      </c>
      <c r="AK230" s="1">
        <v>0.0</v>
      </c>
      <c r="AL230" s="1">
        <v>0.0</v>
      </c>
      <c r="AM230" s="1" t="s">
        <v>51</v>
      </c>
      <c r="AN230" s="1">
        <v>6.311026E8</v>
      </c>
      <c r="AP230" s="1">
        <v>4.90208705E8</v>
      </c>
      <c r="AQ230" s="1" t="s">
        <v>355</v>
      </c>
      <c r="AR230" s="1">
        <v>45808.75725</v>
      </c>
      <c r="AU230" s="1" t="s">
        <v>64</v>
      </c>
      <c r="AW230" s="1" t="s">
        <v>255</v>
      </c>
      <c r="AY230" s="1">
        <v>224.0</v>
      </c>
    </row>
    <row r="231">
      <c r="AP231" s="1">
        <v>4.90208874E8</v>
      </c>
      <c r="AQ231" s="1" t="s">
        <v>536</v>
      </c>
      <c r="AR231" s="1">
        <v>45808.75747</v>
      </c>
      <c r="AU231" s="1" t="s">
        <v>64</v>
      </c>
      <c r="AW231" s="1" t="s">
        <v>255</v>
      </c>
      <c r="AY231" s="1">
        <v>225.0</v>
      </c>
    </row>
    <row r="232">
      <c r="A232" s="1" t="s">
        <v>51</v>
      </c>
      <c r="C232" s="1" t="s">
        <v>52</v>
      </c>
      <c r="E232" s="1" t="s">
        <v>52</v>
      </c>
      <c r="G232" s="1">
        <v>29.0</v>
      </c>
      <c r="H232" s="1" t="s">
        <v>66</v>
      </c>
      <c r="J232" s="1" t="s">
        <v>56</v>
      </c>
      <c r="K232" s="1" t="s">
        <v>87</v>
      </c>
      <c r="M232" s="1" t="s">
        <v>58</v>
      </c>
      <c r="N232" s="1" t="s">
        <v>58</v>
      </c>
      <c r="O232" s="1" t="s">
        <v>58</v>
      </c>
      <c r="Q232" s="1" t="s">
        <v>58</v>
      </c>
      <c r="R232" s="1" t="s">
        <v>58</v>
      </c>
      <c r="S232" s="1" t="s">
        <v>69</v>
      </c>
      <c r="T232" s="1" t="s">
        <v>69</v>
      </c>
      <c r="U232" s="1" t="s">
        <v>58</v>
      </c>
      <c r="V232" s="1" t="s">
        <v>69</v>
      </c>
      <c r="W232" s="1" t="s">
        <v>69</v>
      </c>
      <c r="X232" s="1" t="s">
        <v>88</v>
      </c>
      <c r="Y232" s="1" t="s">
        <v>95</v>
      </c>
      <c r="Z232" s="1" t="s">
        <v>89</v>
      </c>
      <c r="AA232" s="1">
        <v>30.0</v>
      </c>
      <c r="AB232" s="1" t="s">
        <v>62</v>
      </c>
      <c r="AC232" s="1" t="s">
        <v>51</v>
      </c>
      <c r="AD232" s="1" t="s">
        <v>81</v>
      </c>
      <c r="AE232" s="1" t="s">
        <v>72</v>
      </c>
      <c r="AF232" s="1" t="s">
        <v>51</v>
      </c>
      <c r="AG232" s="1" t="s">
        <v>51</v>
      </c>
      <c r="AH232" s="1">
        <v>5000.0</v>
      </c>
      <c r="AI232" s="1">
        <v>0.0</v>
      </c>
      <c r="AJ232" s="1">
        <v>0.0</v>
      </c>
      <c r="AK232" s="1">
        <v>1.0</v>
      </c>
      <c r="AL232" s="1">
        <v>0.0</v>
      </c>
      <c r="AP232" s="1">
        <v>4.9022804E8</v>
      </c>
      <c r="AQ232" s="1" t="s">
        <v>356</v>
      </c>
      <c r="AR232" s="1">
        <v>45808.79471</v>
      </c>
      <c r="AU232" s="1" t="s">
        <v>64</v>
      </c>
      <c r="AW232" s="1" t="s">
        <v>255</v>
      </c>
      <c r="AY232" s="1">
        <v>226.0</v>
      </c>
    </row>
    <row r="233">
      <c r="A233" s="1" t="s">
        <v>51</v>
      </c>
      <c r="C233" s="1" t="s">
        <v>53</v>
      </c>
      <c r="E233" s="1" t="s">
        <v>53</v>
      </c>
      <c r="F233" s="1" t="s">
        <v>54</v>
      </c>
      <c r="G233" s="1">
        <v>29.0</v>
      </c>
      <c r="H233" s="1" t="s">
        <v>55</v>
      </c>
      <c r="I233" s="1" t="s">
        <v>121</v>
      </c>
      <c r="J233" s="1" t="s">
        <v>86</v>
      </c>
      <c r="K233" s="1" t="s">
        <v>87</v>
      </c>
      <c r="M233" s="1" t="s">
        <v>58</v>
      </c>
      <c r="N233" s="1" t="s">
        <v>58</v>
      </c>
      <c r="O233" s="1" t="s">
        <v>58</v>
      </c>
      <c r="Q233" s="1" t="s">
        <v>58</v>
      </c>
      <c r="R233" s="1" t="s">
        <v>58</v>
      </c>
      <c r="S233" s="1" t="s">
        <v>69</v>
      </c>
      <c r="T233" s="1" t="s">
        <v>58</v>
      </c>
      <c r="U233" s="1" t="s">
        <v>58</v>
      </c>
      <c r="V233" s="1" t="s">
        <v>58</v>
      </c>
      <c r="W233" s="1" t="s">
        <v>69</v>
      </c>
      <c r="X233" s="1" t="s">
        <v>81</v>
      </c>
      <c r="Y233" s="1" t="s">
        <v>227</v>
      </c>
      <c r="Z233" s="1" t="s">
        <v>89</v>
      </c>
      <c r="AA233" s="1">
        <v>100.0</v>
      </c>
      <c r="AB233" s="1" t="s">
        <v>79</v>
      </c>
      <c r="AC233" s="1" t="s">
        <v>71</v>
      </c>
      <c r="AF233" s="1" t="s">
        <v>51</v>
      </c>
      <c r="AG233" s="1" t="s">
        <v>51</v>
      </c>
      <c r="AH233" s="1">
        <v>2000.0</v>
      </c>
      <c r="AI233" s="1">
        <v>1.0</v>
      </c>
      <c r="AJ233" s="1">
        <v>1.0</v>
      </c>
      <c r="AK233" s="1">
        <v>1.0</v>
      </c>
      <c r="AL233" s="1">
        <v>1.0</v>
      </c>
      <c r="AM233" s="1" t="s">
        <v>51</v>
      </c>
      <c r="AN233" s="1">
        <v>7.11949267E8</v>
      </c>
      <c r="AP233" s="1">
        <v>4.90254059E8</v>
      </c>
      <c r="AQ233" s="1" t="s">
        <v>357</v>
      </c>
      <c r="AR233" s="1">
        <v>45808.86594</v>
      </c>
      <c r="AU233" s="1" t="s">
        <v>64</v>
      </c>
      <c r="AW233" s="1" t="s">
        <v>255</v>
      </c>
      <c r="AY233" s="1">
        <v>227.0</v>
      </c>
    </row>
    <row r="234">
      <c r="A234" s="1" t="s">
        <v>51</v>
      </c>
      <c r="C234" s="1" t="s">
        <v>52</v>
      </c>
      <c r="E234" s="1" t="s">
        <v>53</v>
      </c>
      <c r="F234" s="1" t="s">
        <v>54</v>
      </c>
      <c r="G234" s="1">
        <v>48.0</v>
      </c>
      <c r="H234" s="1" t="s">
        <v>66</v>
      </c>
      <c r="I234" s="1" t="s">
        <v>67</v>
      </c>
      <c r="J234" s="1" t="s">
        <v>86</v>
      </c>
      <c r="K234" s="1" t="s">
        <v>87</v>
      </c>
      <c r="M234" s="1" t="s">
        <v>58</v>
      </c>
      <c r="N234" s="1" t="s">
        <v>58</v>
      </c>
      <c r="O234" s="1" t="s">
        <v>58</v>
      </c>
      <c r="Q234" s="1" t="s">
        <v>69</v>
      </c>
      <c r="R234" s="1" t="s">
        <v>58</v>
      </c>
      <c r="S234" s="1" t="s">
        <v>69</v>
      </c>
      <c r="T234" s="1" t="s">
        <v>58</v>
      </c>
      <c r="U234" s="1" t="s">
        <v>69</v>
      </c>
      <c r="V234" s="1" t="s">
        <v>58</v>
      </c>
      <c r="W234" s="1" t="s">
        <v>69</v>
      </c>
      <c r="X234" s="1" t="s">
        <v>88</v>
      </c>
      <c r="Y234" s="1" t="s">
        <v>95</v>
      </c>
      <c r="AC234" s="1" t="s">
        <v>71</v>
      </c>
      <c r="AF234" s="1" t="s">
        <v>51</v>
      </c>
      <c r="AI234" s="1">
        <v>0.0</v>
      </c>
      <c r="AJ234" s="1">
        <v>0.0</v>
      </c>
      <c r="AK234" s="1">
        <v>0.0</v>
      </c>
      <c r="AL234" s="1">
        <v>1.0</v>
      </c>
      <c r="AM234" s="1" t="s">
        <v>51</v>
      </c>
      <c r="AN234" s="1">
        <v>7.35260674E8</v>
      </c>
      <c r="AP234" s="1">
        <v>4.90347458E8</v>
      </c>
      <c r="AQ234" s="1" t="s">
        <v>358</v>
      </c>
      <c r="AR234" s="1">
        <v>45809.29672</v>
      </c>
      <c r="AU234" s="1" t="s">
        <v>64</v>
      </c>
      <c r="AW234" s="1" t="s">
        <v>255</v>
      </c>
      <c r="AY234" s="1">
        <v>228.0</v>
      </c>
    </row>
    <row r="235">
      <c r="A235" s="1" t="s">
        <v>51</v>
      </c>
      <c r="C235" s="1" t="s">
        <v>52</v>
      </c>
      <c r="E235" s="1" t="s">
        <v>53</v>
      </c>
      <c r="F235" s="1" t="s">
        <v>94</v>
      </c>
      <c r="G235" s="1">
        <v>32.0</v>
      </c>
      <c r="H235" s="1" t="s">
        <v>55</v>
      </c>
      <c r="I235" s="1" t="s">
        <v>67</v>
      </c>
      <c r="J235" s="1" t="s">
        <v>111</v>
      </c>
      <c r="K235" s="1" t="s">
        <v>87</v>
      </c>
      <c r="M235" s="1" t="s">
        <v>58</v>
      </c>
      <c r="N235" s="1" t="s">
        <v>58</v>
      </c>
      <c r="O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  <c r="W235" s="1" t="s">
        <v>58</v>
      </c>
      <c r="X235" s="1" t="s">
        <v>103</v>
      </c>
      <c r="Y235" s="1" t="s">
        <v>60</v>
      </c>
      <c r="Z235" s="1" t="s">
        <v>61</v>
      </c>
      <c r="AA235" s="1">
        <v>100.0</v>
      </c>
      <c r="AB235" s="1" t="s">
        <v>79</v>
      </c>
      <c r="AC235" s="1" t="s">
        <v>72</v>
      </c>
      <c r="AF235" s="1" t="s">
        <v>51</v>
      </c>
      <c r="AG235" s="1" t="s">
        <v>72</v>
      </c>
      <c r="AI235" s="1">
        <v>0.0</v>
      </c>
      <c r="AJ235" s="1">
        <v>0.0</v>
      </c>
      <c r="AK235" s="1">
        <v>0.0</v>
      </c>
      <c r="AL235" s="1">
        <v>1.0</v>
      </c>
      <c r="AM235" s="1" t="s">
        <v>51</v>
      </c>
      <c r="AN235" s="1" t="s">
        <v>359</v>
      </c>
      <c r="AP235" s="1">
        <v>4.90355534E8</v>
      </c>
      <c r="AQ235" s="1" t="s">
        <v>360</v>
      </c>
      <c r="AR235" s="1">
        <v>45809.31793</v>
      </c>
      <c r="AU235" s="1" t="s">
        <v>64</v>
      </c>
      <c r="AW235" s="1" t="s">
        <v>255</v>
      </c>
      <c r="AY235" s="1">
        <v>229.0</v>
      </c>
    </row>
    <row r="236">
      <c r="A236" s="1" t="s">
        <v>51</v>
      </c>
      <c r="C236" s="1" t="s">
        <v>151</v>
      </c>
      <c r="E236" s="1" t="s">
        <v>151</v>
      </c>
      <c r="G236" s="1">
        <v>36.0</v>
      </c>
      <c r="H236" s="1" t="s">
        <v>66</v>
      </c>
      <c r="J236" s="1" t="s">
        <v>86</v>
      </c>
      <c r="K236" s="1" t="s">
        <v>87</v>
      </c>
      <c r="M236" s="1" t="s">
        <v>58</v>
      </c>
      <c r="N236" s="1" t="s">
        <v>58</v>
      </c>
      <c r="O236" s="1" t="s">
        <v>58</v>
      </c>
      <c r="Q236" s="1" t="s">
        <v>58</v>
      </c>
      <c r="R236" s="1" t="s">
        <v>58</v>
      </c>
      <c r="S236" s="1" t="s">
        <v>69</v>
      </c>
      <c r="T236" s="1" t="s">
        <v>69</v>
      </c>
      <c r="U236" s="1" t="s">
        <v>58</v>
      </c>
      <c r="V236" s="1" t="s">
        <v>58</v>
      </c>
      <c r="W236" s="1" t="s">
        <v>69</v>
      </c>
      <c r="X236" s="1" t="s">
        <v>81</v>
      </c>
      <c r="Y236" s="1" t="s">
        <v>60</v>
      </c>
      <c r="Z236" s="1" t="s">
        <v>89</v>
      </c>
      <c r="AA236" s="1">
        <v>50.0</v>
      </c>
      <c r="AB236" s="1" t="s">
        <v>79</v>
      </c>
      <c r="AC236" s="1" t="s">
        <v>71</v>
      </c>
      <c r="AF236" s="1" t="s">
        <v>51</v>
      </c>
      <c r="AG236" s="1" t="s">
        <v>72</v>
      </c>
      <c r="AI236" s="1">
        <v>1.0</v>
      </c>
      <c r="AJ236" s="1">
        <v>0.0</v>
      </c>
      <c r="AK236" s="1">
        <v>0.0</v>
      </c>
      <c r="AL236" s="1">
        <v>0.0</v>
      </c>
      <c r="AP236" s="1">
        <v>4.90371203E8</v>
      </c>
      <c r="AQ236" s="1" t="s">
        <v>361</v>
      </c>
      <c r="AR236" s="1">
        <v>45809.35847</v>
      </c>
      <c r="AU236" s="1" t="s">
        <v>64</v>
      </c>
      <c r="AW236" s="1" t="s">
        <v>255</v>
      </c>
      <c r="AY236" s="1">
        <v>230.0</v>
      </c>
    </row>
    <row r="237">
      <c r="A237" s="1" t="s">
        <v>51</v>
      </c>
      <c r="C237" s="1" t="s">
        <v>151</v>
      </c>
      <c r="E237" s="1" t="s">
        <v>53</v>
      </c>
      <c r="F237" s="1" t="s">
        <v>232</v>
      </c>
      <c r="G237" s="1">
        <v>37.0</v>
      </c>
      <c r="H237" s="1" t="s">
        <v>55</v>
      </c>
      <c r="I237" s="1" t="s">
        <v>67</v>
      </c>
      <c r="J237" s="1" t="s">
        <v>111</v>
      </c>
      <c r="K237" s="1" t="s">
        <v>74</v>
      </c>
      <c r="M237" s="1" t="s">
        <v>58</v>
      </c>
      <c r="N237" s="1" t="s">
        <v>58</v>
      </c>
      <c r="O237" s="1" t="s">
        <v>69</v>
      </c>
      <c r="Q237" s="1" t="s">
        <v>69</v>
      </c>
      <c r="R237" s="1" t="s">
        <v>58</v>
      </c>
      <c r="S237" s="1" t="s">
        <v>58</v>
      </c>
      <c r="T237" s="1" t="s">
        <v>69</v>
      </c>
      <c r="U237" s="1" t="s">
        <v>70</v>
      </c>
      <c r="V237" s="1" t="s">
        <v>58</v>
      </c>
      <c r="W237" s="1" t="s">
        <v>69</v>
      </c>
      <c r="X237" s="1" t="s">
        <v>81</v>
      </c>
      <c r="Y237" s="1" t="s">
        <v>82</v>
      </c>
      <c r="Z237" s="1" t="s">
        <v>89</v>
      </c>
      <c r="AA237" s="1">
        <v>100.0</v>
      </c>
      <c r="AB237" s="1" t="s">
        <v>62</v>
      </c>
      <c r="AC237" s="1" t="s">
        <v>51</v>
      </c>
      <c r="AD237" s="1" t="s">
        <v>81</v>
      </c>
      <c r="AE237" s="1" t="s">
        <v>51</v>
      </c>
      <c r="AF237" s="1" t="s">
        <v>51</v>
      </c>
      <c r="AG237" s="1" t="s">
        <v>72</v>
      </c>
      <c r="AI237" s="1">
        <v>1.0</v>
      </c>
      <c r="AJ237" s="1">
        <v>1.0</v>
      </c>
      <c r="AK237" s="1">
        <v>1.0</v>
      </c>
      <c r="AL237" s="1">
        <v>0.0</v>
      </c>
      <c r="AM237" s="1" t="s">
        <v>51</v>
      </c>
      <c r="AN237" s="1">
        <v>7.83579949E8</v>
      </c>
      <c r="AP237" s="1">
        <v>4.90398613E8</v>
      </c>
      <c r="AQ237" s="1" t="s">
        <v>362</v>
      </c>
      <c r="AR237" s="1">
        <v>45809.41785</v>
      </c>
      <c r="AU237" s="1" t="s">
        <v>64</v>
      </c>
      <c r="AW237" s="1" t="s">
        <v>191</v>
      </c>
      <c r="AY237" s="1">
        <v>231.0</v>
      </c>
    </row>
    <row r="238">
      <c r="A238" s="1" t="s">
        <v>51</v>
      </c>
      <c r="C238" s="1" t="s">
        <v>131</v>
      </c>
      <c r="E238" s="1" t="s">
        <v>53</v>
      </c>
      <c r="F238" s="1" t="s">
        <v>54</v>
      </c>
      <c r="G238" s="1">
        <v>34.0</v>
      </c>
      <c r="H238" s="1" t="s">
        <v>66</v>
      </c>
      <c r="I238" s="1" t="s">
        <v>67</v>
      </c>
      <c r="J238" s="1" t="s">
        <v>56</v>
      </c>
      <c r="K238" s="1" t="s">
        <v>74</v>
      </c>
      <c r="M238" s="1" t="s">
        <v>58</v>
      </c>
      <c r="N238" s="1" t="s">
        <v>58</v>
      </c>
      <c r="O238" s="1" t="s">
        <v>69</v>
      </c>
      <c r="Q238" s="1" t="s">
        <v>58</v>
      </c>
      <c r="R238" s="1" t="s">
        <v>58</v>
      </c>
      <c r="S238" s="1" t="s">
        <v>70</v>
      </c>
      <c r="T238" s="1" t="s">
        <v>70</v>
      </c>
      <c r="U238" s="1" t="s">
        <v>58</v>
      </c>
      <c r="V238" s="1" t="s">
        <v>58</v>
      </c>
      <c r="W238" s="1" t="s">
        <v>69</v>
      </c>
      <c r="X238" s="1" t="s">
        <v>81</v>
      </c>
      <c r="Y238" s="1" t="s">
        <v>172</v>
      </c>
      <c r="Z238" s="1" t="s">
        <v>108</v>
      </c>
      <c r="AA238" s="1">
        <v>50.0</v>
      </c>
      <c r="AB238" s="1" t="s">
        <v>79</v>
      </c>
      <c r="AC238" s="1" t="s">
        <v>71</v>
      </c>
      <c r="AF238" s="1" t="s">
        <v>51</v>
      </c>
      <c r="AG238" s="1" t="s">
        <v>51</v>
      </c>
      <c r="AH238" s="1">
        <v>300.0</v>
      </c>
      <c r="AI238" s="1">
        <v>0.0</v>
      </c>
      <c r="AJ238" s="1">
        <v>0.0</v>
      </c>
      <c r="AK238" s="1">
        <v>1.0</v>
      </c>
      <c r="AL238" s="1">
        <v>0.0</v>
      </c>
      <c r="AM238" s="1" t="s">
        <v>51</v>
      </c>
      <c r="AN238" s="1">
        <v>7.87607612E8</v>
      </c>
      <c r="AP238" s="1">
        <v>4.90400697E8</v>
      </c>
      <c r="AQ238" s="1" t="s">
        <v>363</v>
      </c>
      <c r="AR238" s="1">
        <v>45809.42101</v>
      </c>
      <c r="AU238" s="1" t="s">
        <v>64</v>
      </c>
      <c r="AW238" s="1" t="s">
        <v>255</v>
      </c>
      <c r="AY238" s="1">
        <v>232.0</v>
      </c>
    </row>
    <row r="239">
      <c r="A239" s="1" t="s">
        <v>51</v>
      </c>
      <c r="C239" s="1" t="s">
        <v>151</v>
      </c>
      <c r="E239" s="1" t="s">
        <v>53</v>
      </c>
      <c r="F239" s="1" t="s">
        <v>102</v>
      </c>
      <c r="G239" s="1">
        <v>24.0</v>
      </c>
      <c r="H239" s="1" t="s">
        <v>66</v>
      </c>
      <c r="I239" s="1" t="s">
        <v>100</v>
      </c>
      <c r="J239" s="1" t="s">
        <v>68</v>
      </c>
      <c r="K239" s="1" t="s">
        <v>74</v>
      </c>
      <c r="M239" s="1" t="s">
        <v>58</v>
      </c>
      <c r="N239" s="1" t="s">
        <v>58</v>
      </c>
      <c r="O239" s="1" t="s">
        <v>69</v>
      </c>
      <c r="Q239" s="1" t="s">
        <v>69</v>
      </c>
      <c r="R239" s="1" t="s">
        <v>69</v>
      </c>
      <c r="S239" s="1" t="s">
        <v>69</v>
      </c>
      <c r="T239" s="1" t="s">
        <v>69</v>
      </c>
      <c r="U239" s="1" t="s">
        <v>70</v>
      </c>
      <c r="V239" s="1" t="s">
        <v>58</v>
      </c>
      <c r="W239" s="1" t="s">
        <v>69</v>
      </c>
      <c r="X239" s="1" t="s">
        <v>81</v>
      </c>
      <c r="Y239" s="1" t="s">
        <v>60</v>
      </c>
      <c r="Z239" s="1" t="s">
        <v>61</v>
      </c>
      <c r="AA239" s="1">
        <v>10.0</v>
      </c>
      <c r="AB239" s="1" t="s">
        <v>79</v>
      </c>
      <c r="AC239" s="1" t="s">
        <v>71</v>
      </c>
      <c r="AF239" s="1" t="s">
        <v>51</v>
      </c>
      <c r="AG239" s="1" t="s">
        <v>51</v>
      </c>
      <c r="AH239" s="1">
        <v>1000.0</v>
      </c>
      <c r="AI239" s="1">
        <v>0.0</v>
      </c>
      <c r="AJ239" s="1">
        <v>0.0</v>
      </c>
      <c r="AK239" s="1">
        <v>0.0</v>
      </c>
      <c r="AL239" s="1">
        <v>1.0</v>
      </c>
      <c r="AM239" s="1" t="s">
        <v>51</v>
      </c>
      <c r="AN239" s="1">
        <v>6.05632909E8</v>
      </c>
      <c r="AP239" s="1">
        <v>4.9040118E8</v>
      </c>
      <c r="AQ239" s="1" t="s">
        <v>364</v>
      </c>
      <c r="AR239" s="1">
        <v>45809.42184</v>
      </c>
      <c r="AU239" s="1" t="s">
        <v>64</v>
      </c>
      <c r="AW239" s="1" t="s">
        <v>255</v>
      </c>
      <c r="AY239" s="1">
        <v>233.0</v>
      </c>
    </row>
    <row r="240">
      <c r="A240" s="1" t="s">
        <v>51</v>
      </c>
      <c r="C240" s="1" t="s">
        <v>131</v>
      </c>
      <c r="E240" s="1" t="s">
        <v>53</v>
      </c>
      <c r="F240" s="1" t="s">
        <v>54</v>
      </c>
      <c r="G240" s="1">
        <v>25.0</v>
      </c>
      <c r="H240" s="1" t="s">
        <v>55</v>
      </c>
      <c r="I240" s="1" t="s">
        <v>100</v>
      </c>
      <c r="J240" s="1" t="s">
        <v>56</v>
      </c>
      <c r="K240" s="1" t="s">
        <v>74</v>
      </c>
      <c r="M240" s="1" t="s">
        <v>58</v>
      </c>
      <c r="N240" s="1" t="s">
        <v>58</v>
      </c>
      <c r="O240" s="1" t="s">
        <v>58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X240" s="1" t="s">
        <v>81</v>
      </c>
      <c r="Y240" s="1" t="s">
        <v>60</v>
      </c>
      <c r="Z240" s="1" t="s">
        <v>108</v>
      </c>
      <c r="AA240" s="1">
        <v>50.0</v>
      </c>
      <c r="AB240" s="1" t="s">
        <v>28</v>
      </c>
      <c r="AC240" s="1" t="s">
        <v>71</v>
      </c>
      <c r="AF240" s="1" t="s">
        <v>51</v>
      </c>
      <c r="AG240" s="1" t="s">
        <v>51</v>
      </c>
      <c r="AH240" s="1">
        <v>250.0</v>
      </c>
      <c r="AI240" s="1">
        <v>0.0</v>
      </c>
      <c r="AJ240" s="1">
        <v>0.0</v>
      </c>
      <c r="AK240" s="1">
        <v>0.0</v>
      </c>
      <c r="AL240" s="1">
        <v>1.0</v>
      </c>
      <c r="AM240" s="1" t="s">
        <v>51</v>
      </c>
      <c r="AN240" s="1">
        <v>6.74566012E8</v>
      </c>
      <c r="AP240" s="1">
        <v>4.90402922E8</v>
      </c>
      <c r="AQ240" s="1" t="s">
        <v>365</v>
      </c>
      <c r="AR240" s="1">
        <v>45809.42527</v>
      </c>
      <c r="AU240" s="1" t="s">
        <v>64</v>
      </c>
      <c r="AW240" s="1" t="s">
        <v>255</v>
      </c>
      <c r="AY240" s="1">
        <v>234.0</v>
      </c>
    </row>
    <row r="241">
      <c r="A241" s="1" t="s">
        <v>51</v>
      </c>
      <c r="C241" s="1" t="s">
        <v>131</v>
      </c>
      <c r="E241" s="1" t="s">
        <v>53</v>
      </c>
      <c r="F241" s="1" t="s">
        <v>54</v>
      </c>
      <c r="G241" s="1">
        <v>39.0</v>
      </c>
      <c r="H241" s="1" t="s">
        <v>55</v>
      </c>
      <c r="I241" s="1" t="s">
        <v>67</v>
      </c>
      <c r="J241" s="1" t="s">
        <v>68</v>
      </c>
      <c r="K241" s="1" t="s">
        <v>74</v>
      </c>
      <c r="M241" s="1" t="s">
        <v>58</v>
      </c>
      <c r="N241" s="1" t="s">
        <v>58</v>
      </c>
      <c r="O241" s="1" t="s">
        <v>69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81</v>
      </c>
      <c r="Y241" s="1" t="s">
        <v>172</v>
      </c>
      <c r="Z241" s="1" t="s">
        <v>127</v>
      </c>
      <c r="AA241" s="1">
        <v>100.0</v>
      </c>
      <c r="AB241" s="1" t="s">
        <v>79</v>
      </c>
      <c r="AC241" s="1" t="s">
        <v>71</v>
      </c>
      <c r="AF241" s="1" t="s">
        <v>51</v>
      </c>
      <c r="AG241" s="1" t="s">
        <v>51</v>
      </c>
      <c r="AH241" s="1">
        <v>200.0</v>
      </c>
      <c r="AI241" s="1">
        <v>0.0</v>
      </c>
      <c r="AJ241" s="1">
        <v>0.0</v>
      </c>
      <c r="AK241" s="1">
        <v>0.0</v>
      </c>
      <c r="AL241" s="1">
        <v>1.0</v>
      </c>
      <c r="AM241" s="1" t="s">
        <v>51</v>
      </c>
      <c r="AN241" s="1">
        <v>7.86258839E8</v>
      </c>
      <c r="AP241" s="1">
        <v>4.90403501E8</v>
      </c>
      <c r="AQ241" s="1" t="s">
        <v>366</v>
      </c>
      <c r="AR241" s="1">
        <v>45809.42669</v>
      </c>
      <c r="AU241" s="1" t="s">
        <v>64</v>
      </c>
      <c r="AW241" s="1" t="s">
        <v>255</v>
      </c>
      <c r="AY241" s="1">
        <v>235.0</v>
      </c>
    </row>
    <row r="242">
      <c r="A242" s="1" t="s">
        <v>51</v>
      </c>
      <c r="C242" s="1" t="s">
        <v>151</v>
      </c>
      <c r="E242" s="1" t="s">
        <v>53</v>
      </c>
      <c r="F242" s="1" t="s">
        <v>102</v>
      </c>
      <c r="G242" s="1">
        <v>27.0</v>
      </c>
      <c r="H242" s="1" t="s">
        <v>55</v>
      </c>
      <c r="I242" s="1" t="s">
        <v>100</v>
      </c>
      <c r="J242" s="1" t="s">
        <v>56</v>
      </c>
      <c r="M242" s="1" t="s">
        <v>58</v>
      </c>
      <c r="N242" s="1" t="s">
        <v>58</v>
      </c>
      <c r="O242" s="1" t="s">
        <v>69</v>
      </c>
      <c r="Q242" s="1" t="s">
        <v>69</v>
      </c>
      <c r="R242" s="1" t="s">
        <v>69</v>
      </c>
      <c r="S242" s="1" t="s">
        <v>69</v>
      </c>
      <c r="T242" s="1" t="s">
        <v>69</v>
      </c>
      <c r="U242" s="1" t="s">
        <v>70</v>
      </c>
      <c r="V242" s="1" t="s">
        <v>58</v>
      </c>
      <c r="W242" s="1" t="s">
        <v>69</v>
      </c>
      <c r="X242" s="1" t="s">
        <v>81</v>
      </c>
      <c r="Y242" s="1" t="s">
        <v>82</v>
      </c>
      <c r="Z242" s="1" t="s">
        <v>61</v>
      </c>
      <c r="AA242" s="1">
        <v>50.0</v>
      </c>
      <c r="AB242" s="1" t="s">
        <v>79</v>
      </c>
      <c r="AC242" s="1" t="s">
        <v>71</v>
      </c>
      <c r="AF242" s="1" t="s">
        <v>51</v>
      </c>
      <c r="AG242" s="1" t="s">
        <v>51</v>
      </c>
      <c r="AH242" s="1">
        <v>500.0</v>
      </c>
      <c r="AI242" s="1">
        <v>1.0</v>
      </c>
      <c r="AJ242" s="1">
        <v>1.0</v>
      </c>
      <c r="AK242" s="1">
        <v>1.0</v>
      </c>
      <c r="AL242" s="1">
        <v>1.0</v>
      </c>
      <c r="AM242" s="1" t="s">
        <v>51</v>
      </c>
      <c r="AN242" s="1">
        <v>7.52289743E8</v>
      </c>
      <c r="AP242" s="1">
        <v>4.9040369E8</v>
      </c>
      <c r="AQ242" s="1" t="s">
        <v>367</v>
      </c>
      <c r="AR242" s="1">
        <v>45809.42712</v>
      </c>
      <c r="AU242" s="1" t="s">
        <v>64</v>
      </c>
      <c r="AW242" s="1" t="s">
        <v>255</v>
      </c>
      <c r="AY242" s="1">
        <v>236.0</v>
      </c>
    </row>
    <row r="243">
      <c r="A243" s="1" t="s">
        <v>51</v>
      </c>
      <c r="C243" s="1" t="s">
        <v>131</v>
      </c>
      <c r="E243" s="1" t="s">
        <v>53</v>
      </c>
      <c r="F243" s="1" t="s">
        <v>54</v>
      </c>
      <c r="G243" s="1">
        <v>31.0</v>
      </c>
      <c r="H243" s="1" t="s">
        <v>55</v>
      </c>
      <c r="I243" s="1" t="s">
        <v>100</v>
      </c>
      <c r="J243" s="1" t="s">
        <v>111</v>
      </c>
      <c r="K243" s="1" t="s">
        <v>74</v>
      </c>
      <c r="M243" s="1" t="s">
        <v>58</v>
      </c>
      <c r="N243" s="1" t="s">
        <v>58</v>
      </c>
      <c r="O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81</v>
      </c>
      <c r="Y243" s="1" t="s">
        <v>172</v>
      </c>
      <c r="Z243" s="1" t="s">
        <v>89</v>
      </c>
      <c r="AA243" s="1">
        <v>30.0</v>
      </c>
      <c r="AB243" s="1" t="s">
        <v>79</v>
      </c>
      <c r="AC243" s="1" t="s">
        <v>71</v>
      </c>
      <c r="AF243" s="1" t="s">
        <v>51</v>
      </c>
      <c r="AG243" s="1" t="s">
        <v>51</v>
      </c>
      <c r="AH243" s="1">
        <v>300.0</v>
      </c>
      <c r="AI243" s="1">
        <v>0.0</v>
      </c>
      <c r="AJ243" s="1">
        <v>0.0</v>
      </c>
      <c r="AK243" s="1">
        <v>0.0</v>
      </c>
      <c r="AL243" s="1">
        <v>1.0</v>
      </c>
      <c r="AM243" s="1" t="s">
        <v>51</v>
      </c>
      <c r="AN243" s="1">
        <v>6.99109406E8</v>
      </c>
      <c r="AP243" s="1">
        <v>4.90404323E8</v>
      </c>
      <c r="AQ243" s="1" t="s">
        <v>368</v>
      </c>
      <c r="AR243" s="1">
        <v>45809.42837</v>
      </c>
      <c r="AU243" s="1" t="s">
        <v>64</v>
      </c>
      <c r="AW243" s="1" t="s">
        <v>255</v>
      </c>
      <c r="AY243" s="1">
        <v>237.0</v>
      </c>
    </row>
    <row r="244">
      <c r="A244" s="1" t="s">
        <v>51</v>
      </c>
      <c r="C244" s="1" t="s">
        <v>131</v>
      </c>
      <c r="E244" s="1" t="s">
        <v>53</v>
      </c>
      <c r="F244" s="1" t="s">
        <v>54</v>
      </c>
      <c r="G244" s="1">
        <v>29.0</v>
      </c>
      <c r="H244" s="1" t="s">
        <v>66</v>
      </c>
      <c r="I244" s="1" t="s">
        <v>100</v>
      </c>
      <c r="J244" s="1" t="s">
        <v>111</v>
      </c>
      <c r="K244" s="1" t="s">
        <v>74</v>
      </c>
      <c r="M244" s="1" t="s">
        <v>58</v>
      </c>
      <c r="N244" s="1" t="s">
        <v>58</v>
      </c>
      <c r="O244" s="1" t="s">
        <v>58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58</v>
      </c>
      <c r="V244" s="1" t="s">
        <v>58</v>
      </c>
      <c r="W244" s="1" t="s">
        <v>58</v>
      </c>
      <c r="X244" s="1" t="s">
        <v>81</v>
      </c>
      <c r="Y244" s="1" t="s">
        <v>172</v>
      </c>
      <c r="Z244" s="1" t="s">
        <v>108</v>
      </c>
      <c r="AA244" s="1">
        <v>50.0</v>
      </c>
      <c r="AB244" s="1" t="s">
        <v>79</v>
      </c>
      <c r="AC244" s="1" t="s">
        <v>71</v>
      </c>
      <c r="AF244" s="1" t="s">
        <v>51</v>
      </c>
      <c r="AG244" s="1" t="s">
        <v>51</v>
      </c>
      <c r="AH244" s="1">
        <v>400.0</v>
      </c>
      <c r="AI244" s="1">
        <v>0.0</v>
      </c>
      <c r="AJ244" s="1">
        <v>1.0</v>
      </c>
      <c r="AK244" s="1">
        <v>0.0</v>
      </c>
      <c r="AL244" s="1">
        <v>0.0</v>
      </c>
      <c r="AM244" s="1" t="s">
        <v>51</v>
      </c>
      <c r="AN244" s="1">
        <v>7.16268779E8</v>
      </c>
      <c r="AP244" s="1">
        <v>4.90404925E8</v>
      </c>
      <c r="AQ244" s="1" t="s">
        <v>369</v>
      </c>
      <c r="AR244" s="1">
        <v>45809.42962</v>
      </c>
      <c r="AU244" s="1" t="s">
        <v>64</v>
      </c>
      <c r="AW244" s="1" t="s">
        <v>255</v>
      </c>
      <c r="AY244" s="1">
        <v>238.0</v>
      </c>
    </row>
    <row r="245">
      <c r="A245" s="1" t="s">
        <v>51</v>
      </c>
      <c r="C245" s="1" t="s">
        <v>131</v>
      </c>
      <c r="E245" s="1" t="s">
        <v>53</v>
      </c>
      <c r="F245" s="1" t="s">
        <v>54</v>
      </c>
      <c r="G245" s="1">
        <v>36.0</v>
      </c>
      <c r="H245" s="1" t="s">
        <v>55</v>
      </c>
      <c r="I245" s="1" t="s">
        <v>100</v>
      </c>
      <c r="J245" s="1" t="s">
        <v>111</v>
      </c>
      <c r="K245" s="1" t="s">
        <v>74</v>
      </c>
      <c r="M245" s="1" t="s">
        <v>58</v>
      </c>
      <c r="N245" s="1" t="s">
        <v>58</v>
      </c>
      <c r="O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81</v>
      </c>
      <c r="Y245" s="1" t="s">
        <v>60</v>
      </c>
      <c r="Z245" s="1" t="s">
        <v>89</v>
      </c>
      <c r="AA245" s="1">
        <v>50.0</v>
      </c>
      <c r="AB245" s="1" t="s">
        <v>79</v>
      </c>
      <c r="AC245" s="1" t="s">
        <v>51</v>
      </c>
      <c r="AD245" s="1" t="s">
        <v>81</v>
      </c>
      <c r="AE245" s="1" t="s">
        <v>51</v>
      </c>
      <c r="AF245" s="1" t="s">
        <v>51</v>
      </c>
      <c r="AG245" s="1" t="s">
        <v>51</v>
      </c>
      <c r="AH245" s="1">
        <v>500.0</v>
      </c>
      <c r="AI245" s="1">
        <v>1.0</v>
      </c>
      <c r="AJ245" s="1">
        <v>0.0</v>
      </c>
      <c r="AK245" s="1">
        <v>0.0</v>
      </c>
      <c r="AL245" s="1">
        <v>0.0</v>
      </c>
      <c r="AM245" s="1" t="s">
        <v>51</v>
      </c>
      <c r="AN245" s="1">
        <v>6.93327725E8</v>
      </c>
      <c r="AP245" s="1">
        <v>4.90405777E8</v>
      </c>
      <c r="AQ245" s="1" t="s">
        <v>370</v>
      </c>
      <c r="AR245" s="1">
        <v>45809.43125</v>
      </c>
      <c r="AU245" s="1" t="s">
        <v>64</v>
      </c>
      <c r="AW245" s="1" t="s">
        <v>255</v>
      </c>
      <c r="AY245" s="1">
        <v>239.0</v>
      </c>
    </row>
    <row r="246">
      <c r="A246" s="1" t="s">
        <v>51</v>
      </c>
      <c r="C246" s="1" t="s">
        <v>131</v>
      </c>
      <c r="E246" s="1" t="s">
        <v>53</v>
      </c>
      <c r="F246" s="1" t="s">
        <v>54</v>
      </c>
      <c r="G246" s="1">
        <v>23.0</v>
      </c>
      <c r="H246" s="1" t="s">
        <v>55</v>
      </c>
      <c r="I246" s="1" t="s">
        <v>100</v>
      </c>
      <c r="J246" s="1" t="s">
        <v>68</v>
      </c>
      <c r="K246" s="1" t="s">
        <v>57</v>
      </c>
      <c r="M246" s="1" t="s">
        <v>58</v>
      </c>
      <c r="N246" s="1" t="s">
        <v>58</v>
      </c>
      <c r="O246" s="1" t="s">
        <v>70</v>
      </c>
      <c r="Q246" s="1" t="s">
        <v>58</v>
      </c>
      <c r="R246" s="1" t="s">
        <v>58</v>
      </c>
      <c r="S246" s="1" t="s">
        <v>70</v>
      </c>
      <c r="T246" s="1" t="s">
        <v>70</v>
      </c>
      <c r="U246" s="1" t="s">
        <v>58</v>
      </c>
      <c r="V246" s="1" t="s">
        <v>58</v>
      </c>
      <c r="W246" s="1" t="s">
        <v>58</v>
      </c>
      <c r="X246" s="1" t="s">
        <v>81</v>
      </c>
      <c r="Y246" s="1" t="s">
        <v>60</v>
      </c>
      <c r="Z246" s="1" t="s">
        <v>96</v>
      </c>
      <c r="AA246" s="1">
        <v>100.0</v>
      </c>
      <c r="AB246" s="1" t="s">
        <v>79</v>
      </c>
      <c r="AC246" s="1" t="s">
        <v>71</v>
      </c>
      <c r="AF246" s="1" t="s">
        <v>51</v>
      </c>
      <c r="AG246" s="1" t="s">
        <v>51</v>
      </c>
      <c r="AH246" s="1">
        <v>400.0</v>
      </c>
      <c r="AI246" s="1">
        <v>0.0</v>
      </c>
      <c r="AJ246" s="1">
        <v>0.0</v>
      </c>
      <c r="AK246" s="1">
        <v>0.0</v>
      </c>
      <c r="AL246" s="1">
        <v>1.0</v>
      </c>
      <c r="AM246" s="1" t="s">
        <v>51</v>
      </c>
      <c r="AN246" s="1">
        <v>8.33399373E8</v>
      </c>
      <c r="AP246" s="1">
        <v>4.90406456E8</v>
      </c>
      <c r="AQ246" s="1" t="s">
        <v>371</v>
      </c>
      <c r="AR246" s="1">
        <v>45809.4326</v>
      </c>
      <c r="AU246" s="1" t="s">
        <v>64</v>
      </c>
      <c r="AW246" s="1" t="s">
        <v>255</v>
      </c>
      <c r="AY246" s="1">
        <v>240.0</v>
      </c>
    </row>
    <row r="247">
      <c r="A247" s="1" t="s">
        <v>51</v>
      </c>
      <c r="C247" s="1" t="s">
        <v>131</v>
      </c>
      <c r="E247" s="1" t="s">
        <v>53</v>
      </c>
      <c r="F247" s="1" t="s">
        <v>54</v>
      </c>
      <c r="G247" s="1">
        <v>32.0</v>
      </c>
      <c r="H247" s="1" t="s">
        <v>55</v>
      </c>
      <c r="I247" s="1" t="s">
        <v>100</v>
      </c>
      <c r="J247" s="1" t="s">
        <v>68</v>
      </c>
      <c r="K247" s="1" t="s">
        <v>74</v>
      </c>
      <c r="M247" s="1" t="s">
        <v>58</v>
      </c>
      <c r="N247" s="1" t="s">
        <v>58</v>
      </c>
      <c r="O247" s="1" t="s">
        <v>69</v>
      </c>
      <c r="Q247" s="1" t="s">
        <v>58</v>
      </c>
      <c r="R247" s="1" t="s">
        <v>58</v>
      </c>
      <c r="S247" s="1" t="s">
        <v>58</v>
      </c>
      <c r="T247" s="1" t="s">
        <v>58</v>
      </c>
      <c r="U247" s="1" t="s">
        <v>58</v>
      </c>
      <c r="V247" s="1" t="s">
        <v>58</v>
      </c>
      <c r="W247" s="1" t="s">
        <v>58</v>
      </c>
      <c r="X247" s="1" t="s">
        <v>81</v>
      </c>
      <c r="Y247" s="1" t="s">
        <v>172</v>
      </c>
      <c r="Z247" s="1" t="s">
        <v>96</v>
      </c>
      <c r="AA247" s="1">
        <v>50.0</v>
      </c>
      <c r="AB247" s="1" t="s">
        <v>79</v>
      </c>
      <c r="AC247" s="1" t="s">
        <v>71</v>
      </c>
      <c r="AF247" s="1" t="s">
        <v>51</v>
      </c>
      <c r="AG247" s="1" t="s">
        <v>51</v>
      </c>
      <c r="AH247" s="1">
        <v>300.0</v>
      </c>
      <c r="AI247" s="1">
        <v>1.0</v>
      </c>
      <c r="AJ247" s="1">
        <v>0.0</v>
      </c>
      <c r="AK247" s="1">
        <v>0.0</v>
      </c>
      <c r="AL247" s="1">
        <v>0.0</v>
      </c>
      <c r="AM247" s="1" t="s">
        <v>51</v>
      </c>
      <c r="AN247" s="1">
        <v>6.65478753E8</v>
      </c>
      <c r="AP247" s="1">
        <v>4.90407148E8</v>
      </c>
      <c r="AQ247" s="1" t="s">
        <v>372</v>
      </c>
      <c r="AR247" s="1">
        <v>45809.43403</v>
      </c>
      <c r="AU247" s="1" t="s">
        <v>64</v>
      </c>
      <c r="AW247" s="1" t="s">
        <v>255</v>
      </c>
      <c r="AY247" s="1">
        <v>241.0</v>
      </c>
    </row>
    <row r="248">
      <c r="A248" s="1" t="s">
        <v>51</v>
      </c>
      <c r="C248" s="1" t="s">
        <v>131</v>
      </c>
      <c r="E248" s="1" t="s">
        <v>53</v>
      </c>
      <c r="F248" s="1" t="s">
        <v>54</v>
      </c>
      <c r="G248" s="1">
        <v>33.0</v>
      </c>
      <c r="H248" s="1" t="s">
        <v>66</v>
      </c>
      <c r="I248" s="1" t="s">
        <v>100</v>
      </c>
      <c r="J248" s="1" t="s">
        <v>111</v>
      </c>
      <c r="K248" s="1" t="s">
        <v>74</v>
      </c>
      <c r="M248" s="1" t="s">
        <v>58</v>
      </c>
      <c r="N248" s="1" t="s">
        <v>58</v>
      </c>
      <c r="O248" s="1" t="s">
        <v>70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  <c r="W248" s="1" t="s">
        <v>58</v>
      </c>
      <c r="X248" s="1" t="s">
        <v>81</v>
      </c>
      <c r="Y248" s="1" t="s">
        <v>172</v>
      </c>
      <c r="Z248" s="1" t="s">
        <v>108</v>
      </c>
      <c r="AA248" s="1">
        <v>50.0</v>
      </c>
      <c r="AB248" s="1" t="s">
        <v>28</v>
      </c>
      <c r="AC248" s="1" t="s">
        <v>71</v>
      </c>
      <c r="AF248" s="1" t="s">
        <v>51</v>
      </c>
      <c r="AG248" s="1" t="s">
        <v>72</v>
      </c>
      <c r="AI248" s="1">
        <v>0.0</v>
      </c>
      <c r="AJ248" s="1">
        <v>0.0</v>
      </c>
      <c r="AK248" s="1">
        <v>0.0</v>
      </c>
      <c r="AL248" s="1">
        <v>1.0</v>
      </c>
      <c r="AM248" s="1" t="s">
        <v>51</v>
      </c>
      <c r="AN248" s="1">
        <v>7.96732437E8</v>
      </c>
      <c r="AP248" s="1">
        <v>4.90407718E8</v>
      </c>
      <c r="AQ248" s="1" t="s">
        <v>373</v>
      </c>
      <c r="AR248" s="1">
        <v>45809.43522</v>
      </c>
      <c r="AU248" s="1" t="s">
        <v>64</v>
      </c>
      <c r="AW248" s="1" t="s">
        <v>255</v>
      </c>
      <c r="AY248" s="1">
        <v>242.0</v>
      </c>
    </row>
    <row r="249">
      <c r="A249" s="1" t="s">
        <v>51</v>
      </c>
      <c r="C249" s="1" t="s">
        <v>131</v>
      </c>
      <c r="E249" s="1" t="s">
        <v>53</v>
      </c>
      <c r="F249" s="1" t="s">
        <v>54</v>
      </c>
      <c r="G249" s="1">
        <v>32.0</v>
      </c>
      <c r="H249" s="1" t="s">
        <v>55</v>
      </c>
      <c r="I249" s="1" t="s">
        <v>100</v>
      </c>
      <c r="J249" s="1" t="s">
        <v>68</v>
      </c>
      <c r="K249" s="1" t="s">
        <v>57</v>
      </c>
      <c r="M249" s="1" t="s">
        <v>58</v>
      </c>
      <c r="N249" s="1" t="s">
        <v>58</v>
      </c>
      <c r="O249" s="1" t="s">
        <v>70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81</v>
      </c>
      <c r="Y249" s="1" t="s">
        <v>172</v>
      </c>
      <c r="Z249" s="1" t="s">
        <v>108</v>
      </c>
      <c r="AA249" s="1">
        <v>30.0</v>
      </c>
      <c r="AB249" s="1" t="s">
        <v>28</v>
      </c>
      <c r="AC249" s="1" t="s">
        <v>71</v>
      </c>
      <c r="AF249" s="1" t="s">
        <v>51</v>
      </c>
      <c r="AG249" s="1" t="s">
        <v>72</v>
      </c>
      <c r="AI249" s="1">
        <v>0.0</v>
      </c>
      <c r="AJ249" s="1">
        <v>0.0</v>
      </c>
      <c r="AK249" s="1">
        <v>0.0</v>
      </c>
      <c r="AL249" s="1">
        <v>1.0</v>
      </c>
      <c r="AM249" s="1" t="s">
        <v>51</v>
      </c>
      <c r="AN249" s="1">
        <v>7.12023238E8</v>
      </c>
      <c r="AP249" s="1">
        <v>4.90409053E8</v>
      </c>
      <c r="AQ249" s="1" t="s">
        <v>374</v>
      </c>
      <c r="AR249" s="1">
        <v>45809.43814</v>
      </c>
      <c r="AU249" s="1" t="s">
        <v>64</v>
      </c>
      <c r="AW249" s="1" t="s">
        <v>255</v>
      </c>
      <c r="AY249" s="1">
        <v>243.0</v>
      </c>
    </row>
    <row r="250">
      <c r="A250" s="1" t="s">
        <v>51</v>
      </c>
      <c r="C250" s="1" t="s">
        <v>131</v>
      </c>
      <c r="E250" s="1" t="s">
        <v>53</v>
      </c>
      <c r="F250" s="1" t="s">
        <v>54</v>
      </c>
      <c r="G250" s="1">
        <v>29.0</v>
      </c>
      <c r="H250" s="1" t="s">
        <v>55</v>
      </c>
      <c r="I250" s="1" t="s">
        <v>100</v>
      </c>
      <c r="J250" s="1" t="s">
        <v>68</v>
      </c>
      <c r="K250" s="1" t="s">
        <v>74</v>
      </c>
      <c r="M250" s="1" t="s">
        <v>58</v>
      </c>
      <c r="N250" s="1" t="s">
        <v>58</v>
      </c>
      <c r="O250" s="1" t="s">
        <v>58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81</v>
      </c>
      <c r="Y250" s="1" t="s">
        <v>172</v>
      </c>
      <c r="Z250" s="1" t="s">
        <v>108</v>
      </c>
      <c r="AA250" s="1">
        <v>100.0</v>
      </c>
      <c r="AB250" s="1" t="s">
        <v>28</v>
      </c>
      <c r="AC250" s="1" t="s">
        <v>71</v>
      </c>
      <c r="AF250" s="1" t="s">
        <v>51</v>
      </c>
      <c r="AG250" s="1" t="s">
        <v>51</v>
      </c>
      <c r="AI250" s="1">
        <v>0.0</v>
      </c>
      <c r="AJ250" s="1">
        <v>0.0</v>
      </c>
      <c r="AK250" s="1">
        <v>0.0</v>
      </c>
      <c r="AL250" s="1">
        <v>1.0</v>
      </c>
      <c r="AM250" s="1" t="s">
        <v>51</v>
      </c>
      <c r="AN250" s="1">
        <v>6.55254617E8</v>
      </c>
      <c r="AP250" s="1">
        <v>4.90409857E8</v>
      </c>
      <c r="AQ250" s="1" t="s">
        <v>375</v>
      </c>
      <c r="AR250" s="1">
        <v>45809.4399</v>
      </c>
      <c r="AU250" s="1" t="s">
        <v>64</v>
      </c>
      <c r="AW250" s="1" t="s">
        <v>255</v>
      </c>
      <c r="AY250" s="1">
        <v>244.0</v>
      </c>
    </row>
    <row r="251">
      <c r="A251" s="1" t="s">
        <v>51</v>
      </c>
      <c r="C251" s="1" t="s">
        <v>131</v>
      </c>
      <c r="E251" s="1" t="s">
        <v>53</v>
      </c>
      <c r="F251" s="1" t="s">
        <v>54</v>
      </c>
      <c r="G251" s="1">
        <v>32.0</v>
      </c>
      <c r="H251" s="1" t="s">
        <v>55</v>
      </c>
      <c r="I251" s="1" t="s">
        <v>67</v>
      </c>
      <c r="J251" s="1" t="s">
        <v>68</v>
      </c>
      <c r="K251" s="1" t="s">
        <v>74</v>
      </c>
      <c r="M251" s="1" t="s">
        <v>58</v>
      </c>
      <c r="N251" s="1" t="s">
        <v>58</v>
      </c>
      <c r="O251" s="1" t="s">
        <v>58</v>
      </c>
      <c r="Q251" s="1" t="s">
        <v>58</v>
      </c>
      <c r="R251" s="1" t="s">
        <v>58</v>
      </c>
      <c r="S251" s="1" t="s">
        <v>58</v>
      </c>
      <c r="T251" s="1" t="s">
        <v>58</v>
      </c>
      <c r="U251" s="1" t="s">
        <v>58</v>
      </c>
      <c r="V251" s="1" t="s">
        <v>58</v>
      </c>
      <c r="W251" s="1" t="s">
        <v>58</v>
      </c>
      <c r="X251" s="1" t="s">
        <v>81</v>
      </c>
      <c r="Y251" s="1" t="s">
        <v>60</v>
      </c>
      <c r="Z251" s="1" t="s">
        <v>89</v>
      </c>
      <c r="AA251" s="1">
        <v>50.0</v>
      </c>
      <c r="AB251" s="1" t="s">
        <v>28</v>
      </c>
      <c r="AC251" s="1" t="s">
        <v>71</v>
      </c>
      <c r="AF251" s="1" t="s">
        <v>51</v>
      </c>
      <c r="AG251" s="1" t="s">
        <v>51</v>
      </c>
      <c r="AI251" s="1">
        <v>0.0</v>
      </c>
      <c r="AJ251" s="1">
        <v>0.0</v>
      </c>
      <c r="AK251" s="1">
        <v>0.0</v>
      </c>
      <c r="AL251" s="1">
        <v>1.0</v>
      </c>
      <c r="AM251" s="1" t="s">
        <v>51</v>
      </c>
      <c r="AN251" s="1">
        <v>6.01406742E8</v>
      </c>
      <c r="AP251" s="1">
        <v>4.90410637E8</v>
      </c>
      <c r="AQ251" s="1" t="s">
        <v>376</v>
      </c>
      <c r="AR251" s="1">
        <v>45809.44167</v>
      </c>
      <c r="AU251" s="1" t="s">
        <v>64</v>
      </c>
      <c r="AW251" s="1" t="s">
        <v>255</v>
      </c>
      <c r="AY251" s="1">
        <v>245.0</v>
      </c>
    </row>
    <row r="252">
      <c r="A252" s="1" t="s">
        <v>51</v>
      </c>
      <c r="C252" s="1" t="s">
        <v>131</v>
      </c>
      <c r="E252" s="1" t="s">
        <v>53</v>
      </c>
      <c r="F252" s="1" t="s">
        <v>54</v>
      </c>
      <c r="G252" s="1">
        <v>43.0</v>
      </c>
      <c r="H252" s="1" t="s">
        <v>55</v>
      </c>
      <c r="J252" s="1" t="s">
        <v>111</v>
      </c>
      <c r="K252" s="1" t="s">
        <v>57</v>
      </c>
      <c r="M252" s="1" t="s">
        <v>58</v>
      </c>
      <c r="N252" s="1" t="s">
        <v>58</v>
      </c>
      <c r="O252" s="1" t="s">
        <v>70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81</v>
      </c>
      <c r="Y252" s="1" t="s">
        <v>172</v>
      </c>
      <c r="Z252" s="1" t="s">
        <v>96</v>
      </c>
      <c r="AA252" s="1">
        <v>50.0</v>
      </c>
      <c r="AB252" s="1" t="s">
        <v>28</v>
      </c>
      <c r="AC252" s="1" t="s">
        <v>71</v>
      </c>
      <c r="AF252" s="1" t="s">
        <v>51</v>
      </c>
      <c r="AG252" s="1" t="s">
        <v>51</v>
      </c>
      <c r="AH252" s="1">
        <v>400.0</v>
      </c>
      <c r="AI252" s="1">
        <v>0.0</v>
      </c>
      <c r="AJ252" s="1">
        <v>0.0</v>
      </c>
      <c r="AK252" s="1">
        <v>0.0</v>
      </c>
      <c r="AL252" s="1">
        <v>1.0</v>
      </c>
      <c r="AP252" s="1">
        <v>4.9041142E8</v>
      </c>
      <c r="AQ252" s="1" t="s">
        <v>377</v>
      </c>
      <c r="AR252" s="1">
        <v>45809.44303</v>
      </c>
      <c r="AU252" s="1" t="s">
        <v>64</v>
      </c>
      <c r="AW252" s="1" t="s">
        <v>255</v>
      </c>
      <c r="AY252" s="1">
        <v>246.0</v>
      </c>
    </row>
    <row r="253">
      <c r="AP253" s="1">
        <v>4.90411487E8</v>
      </c>
      <c r="AQ253" s="1" t="s">
        <v>537</v>
      </c>
      <c r="AR253" s="1">
        <v>45809.44324</v>
      </c>
      <c r="AU253" s="1" t="s">
        <v>64</v>
      </c>
      <c r="AW253" s="1" t="s">
        <v>255</v>
      </c>
      <c r="AY253" s="1">
        <v>247.0</v>
      </c>
    </row>
    <row r="254">
      <c r="A254" s="1" t="s">
        <v>51</v>
      </c>
      <c r="C254" s="1" t="s">
        <v>131</v>
      </c>
      <c r="E254" s="1" t="s">
        <v>53</v>
      </c>
      <c r="F254" s="1" t="s">
        <v>54</v>
      </c>
      <c r="G254" s="1">
        <v>26.0</v>
      </c>
      <c r="H254" s="1" t="s">
        <v>55</v>
      </c>
      <c r="I254" s="1" t="s">
        <v>100</v>
      </c>
      <c r="J254" s="1" t="s">
        <v>111</v>
      </c>
      <c r="K254" s="1" t="s">
        <v>74</v>
      </c>
      <c r="M254" s="1" t="s">
        <v>58</v>
      </c>
      <c r="N254" s="1" t="s">
        <v>58</v>
      </c>
      <c r="O254" s="1" t="s">
        <v>69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81</v>
      </c>
      <c r="Y254" s="1" t="s">
        <v>60</v>
      </c>
      <c r="Z254" s="1" t="s">
        <v>108</v>
      </c>
      <c r="AA254" s="1">
        <v>100.0</v>
      </c>
      <c r="AB254" s="1" t="s">
        <v>28</v>
      </c>
      <c r="AC254" s="1" t="s">
        <v>71</v>
      </c>
      <c r="AG254" s="1" t="s">
        <v>51</v>
      </c>
      <c r="AH254" s="1">
        <v>500.0</v>
      </c>
      <c r="AI254" s="1">
        <v>0.0</v>
      </c>
      <c r="AJ254" s="1">
        <v>0.0</v>
      </c>
      <c r="AK254" s="1">
        <v>0.0</v>
      </c>
      <c r="AL254" s="1">
        <v>1.0</v>
      </c>
      <c r="AM254" s="1" t="s">
        <v>51</v>
      </c>
      <c r="AN254" s="1">
        <v>6.99134499E8</v>
      </c>
      <c r="AP254" s="1">
        <v>4.90412359E8</v>
      </c>
      <c r="AQ254" s="1" t="s">
        <v>378</v>
      </c>
      <c r="AR254" s="1">
        <v>45809.44534</v>
      </c>
      <c r="AU254" s="1" t="s">
        <v>64</v>
      </c>
      <c r="AW254" s="1" t="s">
        <v>255</v>
      </c>
      <c r="AY254" s="1">
        <v>248.0</v>
      </c>
    </row>
    <row r="255">
      <c r="A255" s="1" t="s">
        <v>51</v>
      </c>
      <c r="C255" s="1" t="s">
        <v>53</v>
      </c>
      <c r="E255" s="1" t="s">
        <v>53</v>
      </c>
      <c r="F255" s="1" t="s">
        <v>54</v>
      </c>
      <c r="G255" s="1">
        <v>41.0</v>
      </c>
      <c r="H255" s="1" t="s">
        <v>55</v>
      </c>
      <c r="I255" s="1" t="s">
        <v>121</v>
      </c>
      <c r="J255" s="1" t="s">
        <v>56</v>
      </c>
      <c r="K255" s="1" t="s">
        <v>87</v>
      </c>
      <c r="M255" s="1" t="s">
        <v>58</v>
      </c>
      <c r="N255" s="1" t="s">
        <v>58</v>
      </c>
      <c r="O255" s="1" t="s">
        <v>58</v>
      </c>
      <c r="Q255" s="1" t="s">
        <v>69</v>
      </c>
      <c r="R255" s="1" t="s">
        <v>69</v>
      </c>
      <c r="S255" s="1" t="s">
        <v>69</v>
      </c>
      <c r="T255" s="1" t="s">
        <v>69</v>
      </c>
      <c r="U255" s="1" t="s">
        <v>58</v>
      </c>
      <c r="V255" s="1" t="s">
        <v>58</v>
      </c>
      <c r="W255" s="1" t="s">
        <v>69</v>
      </c>
      <c r="X255" s="1" t="s">
        <v>81</v>
      </c>
      <c r="Y255" s="1" t="s">
        <v>227</v>
      </c>
      <c r="Z255" s="1" t="s">
        <v>89</v>
      </c>
      <c r="AA255" s="1">
        <v>100.0</v>
      </c>
      <c r="AB255" s="1" t="s">
        <v>62</v>
      </c>
      <c r="AC255" s="1" t="s">
        <v>71</v>
      </c>
      <c r="AF255" s="1" t="s">
        <v>51</v>
      </c>
      <c r="AG255" s="1" t="s">
        <v>51</v>
      </c>
      <c r="AH255" s="1">
        <v>50.0</v>
      </c>
      <c r="AI255" s="1">
        <v>0.0</v>
      </c>
      <c r="AJ255" s="1">
        <v>0.0</v>
      </c>
      <c r="AK255" s="1">
        <v>0.0</v>
      </c>
      <c r="AL255" s="1">
        <v>1.0</v>
      </c>
      <c r="AM255" s="1" t="s">
        <v>51</v>
      </c>
      <c r="AP255" s="1">
        <v>4.90413733E8</v>
      </c>
      <c r="AQ255" s="1" t="s">
        <v>379</v>
      </c>
      <c r="AR255" s="1">
        <v>45809.4483</v>
      </c>
      <c r="AU255" s="1" t="s">
        <v>64</v>
      </c>
      <c r="AW255" s="1" t="s">
        <v>255</v>
      </c>
      <c r="AY255" s="1">
        <v>249.0</v>
      </c>
    </row>
    <row r="256">
      <c r="A256" s="1" t="s">
        <v>51</v>
      </c>
      <c r="C256" s="1" t="s">
        <v>151</v>
      </c>
      <c r="E256" s="1" t="s">
        <v>53</v>
      </c>
      <c r="F256" s="1" t="s">
        <v>232</v>
      </c>
      <c r="G256" s="1">
        <v>31.0</v>
      </c>
      <c r="H256" s="1" t="s">
        <v>66</v>
      </c>
      <c r="I256" s="1" t="s">
        <v>100</v>
      </c>
      <c r="J256" s="1" t="s">
        <v>68</v>
      </c>
      <c r="K256" s="1" t="s">
        <v>74</v>
      </c>
      <c r="M256" s="1" t="s">
        <v>58</v>
      </c>
      <c r="N256" s="1" t="s">
        <v>58</v>
      </c>
      <c r="O256" s="1" t="s">
        <v>69</v>
      </c>
      <c r="Q256" s="1" t="s">
        <v>69</v>
      </c>
      <c r="R256" s="1" t="s">
        <v>69</v>
      </c>
      <c r="S256" s="1" t="s">
        <v>58</v>
      </c>
      <c r="T256" s="1" t="s">
        <v>58</v>
      </c>
      <c r="U256" s="1" t="s">
        <v>70</v>
      </c>
      <c r="V256" s="1" t="s">
        <v>58</v>
      </c>
      <c r="W256" s="1" t="s">
        <v>69</v>
      </c>
      <c r="X256" s="1" t="s">
        <v>81</v>
      </c>
      <c r="Y256" s="1" t="s">
        <v>82</v>
      </c>
      <c r="Z256" s="1" t="s">
        <v>61</v>
      </c>
      <c r="AA256" s="1">
        <v>10.0</v>
      </c>
      <c r="AB256" s="1" t="s">
        <v>79</v>
      </c>
      <c r="AC256" s="1" t="s">
        <v>71</v>
      </c>
      <c r="AF256" s="1" t="s">
        <v>51</v>
      </c>
      <c r="AG256" s="1" t="s">
        <v>72</v>
      </c>
      <c r="AI256" s="1">
        <v>1.0</v>
      </c>
      <c r="AJ256" s="1">
        <v>1.0</v>
      </c>
      <c r="AK256" s="1">
        <v>1.0</v>
      </c>
      <c r="AL256" s="1">
        <v>1.0</v>
      </c>
      <c r="AM256" s="1" t="s">
        <v>72</v>
      </c>
      <c r="AP256" s="1">
        <v>4.90413758E8</v>
      </c>
      <c r="AQ256" s="1" t="s">
        <v>380</v>
      </c>
      <c r="AR256" s="1">
        <v>45809.44838</v>
      </c>
      <c r="AU256" s="1" t="s">
        <v>64</v>
      </c>
      <c r="AW256" s="1" t="s">
        <v>255</v>
      </c>
      <c r="AY256" s="1">
        <v>250.0</v>
      </c>
    </row>
    <row r="257">
      <c r="A257" s="1" t="s">
        <v>51</v>
      </c>
      <c r="C257" s="1" t="s">
        <v>131</v>
      </c>
      <c r="E257" s="1" t="s">
        <v>53</v>
      </c>
      <c r="F257" s="1" t="s">
        <v>54</v>
      </c>
      <c r="G257" s="1">
        <v>33.0</v>
      </c>
      <c r="H257" s="1" t="s">
        <v>66</v>
      </c>
      <c r="I257" s="1" t="s">
        <v>67</v>
      </c>
      <c r="J257" s="1" t="s">
        <v>111</v>
      </c>
      <c r="K257" s="1" t="s">
        <v>74</v>
      </c>
      <c r="M257" s="1" t="s">
        <v>58</v>
      </c>
      <c r="N257" s="1" t="s">
        <v>58</v>
      </c>
      <c r="O257" s="1" t="s">
        <v>69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81</v>
      </c>
      <c r="Y257" s="1" t="s">
        <v>172</v>
      </c>
      <c r="Z257" s="1" t="s">
        <v>96</v>
      </c>
      <c r="AA257" s="1">
        <v>100.0</v>
      </c>
      <c r="AB257" s="1" t="s">
        <v>79</v>
      </c>
      <c r="AC257" s="1" t="s">
        <v>71</v>
      </c>
      <c r="AF257" s="1" t="s">
        <v>51</v>
      </c>
      <c r="AG257" s="1" t="s">
        <v>51</v>
      </c>
      <c r="AH257" s="1">
        <v>500.0</v>
      </c>
      <c r="AI257" s="1">
        <v>0.0</v>
      </c>
      <c r="AJ257" s="1">
        <v>0.0</v>
      </c>
      <c r="AK257" s="1">
        <v>0.0</v>
      </c>
      <c r="AL257" s="1">
        <v>1.0</v>
      </c>
      <c r="AM257" s="1" t="s">
        <v>51</v>
      </c>
      <c r="AN257" s="1">
        <v>7.27923016E8</v>
      </c>
      <c r="AP257" s="1">
        <v>4.90414212E8</v>
      </c>
      <c r="AQ257" s="1" t="s">
        <v>381</v>
      </c>
      <c r="AR257" s="1">
        <v>45809.4495</v>
      </c>
      <c r="AU257" s="1" t="s">
        <v>64</v>
      </c>
      <c r="AW257" s="1" t="s">
        <v>255</v>
      </c>
      <c r="AY257" s="1">
        <v>251.0</v>
      </c>
    </row>
    <row r="258">
      <c r="A258" s="1" t="s">
        <v>51</v>
      </c>
      <c r="C258" s="1" t="s">
        <v>131</v>
      </c>
      <c r="E258" s="1" t="s">
        <v>53</v>
      </c>
      <c r="F258" s="1" t="s">
        <v>54</v>
      </c>
      <c r="G258" s="1">
        <v>29.0</v>
      </c>
      <c r="H258" s="1" t="s">
        <v>55</v>
      </c>
      <c r="I258" s="1" t="s">
        <v>100</v>
      </c>
      <c r="J258" s="1" t="s">
        <v>68</v>
      </c>
      <c r="K258" s="1" t="s">
        <v>57</v>
      </c>
      <c r="M258" s="1" t="s">
        <v>58</v>
      </c>
      <c r="N258" s="1" t="s">
        <v>58</v>
      </c>
      <c r="O258" s="1" t="s">
        <v>70</v>
      </c>
      <c r="Q258" s="1" t="s">
        <v>58</v>
      </c>
      <c r="R258" s="1" t="s">
        <v>58</v>
      </c>
      <c r="S258" s="1" t="s">
        <v>58</v>
      </c>
      <c r="T258" s="1" t="s">
        <v>58</v>
      </c>
      <c r="U258" s="1" t="s">
        <v>58</v>
      </c>
      <c r="V258" s="1" t="s">
        <v>58</v>
      </c>
      <c r="W258" s="1" t="s">
        <v>58</v>
      </c>
      <c r="X258" s="1" t="s">
        <v>81</v>
      </c>
      <c r="Y258" s="1" t="s">
        <v>172</v>
      </c>
      <c r="Z258" s="1" t="s">
        <v>127</v>
      </c>
      <c r="AA258" s="1">
        <v>50.0</v>
      </c>
      <c r="AB258" s="1" t="s">
        <v>28</v>
      </c>
      <c r="AF258" s="1" t="s">
        <v>51</v>
      </c>
      <c r="AG258" s="1" t="s">
        <v>72</v>
      </c>
      <c r="AI258" s="1">
        <v>0.0</v>
      </c>
      <c r="AJ258" s="1">
        <v>0.0</v>
      </c>
      <c r="AK258" s="1">
        <v>0.0</v>
      </c>
      <c r="AL258" s="1">
        <v>1.0</v>
      </c>
      <c r="AM258" s="1" t="s">
        <v>51</v>
      </c>
      <c r="AN258" s="1">
        <v>7.38978684E8</v>
      </c>
      <c r="AP258" s="1">
        <v>4.9041502E8</v>
      </c>
      <c r="AQ258" s="1" t="s">
        <v>382</v>
      </c>
      <c r="AR258" s="1">
        <v>45809.45145</v>
      </c>
      <c r="AU258" s="1" t="s">
        <v>64</v>
      </c>
      <c r="AW258" s="1" t="s">
        <v>255</v>
      </c>
      <c r="AY258" s="1">
        <v>252.0</v>
      </c>
    </row>
    <row r="259">
      <c r="A259" s="1" t="s">
        <v>51</v>
      </c>
      <c r="C259" s="1" t="s">
        <v>131</v>
      </c>
      <c r="E259" s="1" t="s">
        <v>53</v>
      </c>
      <c r="F259" s="1" t="s">
        <v>54</v>
      </c>
      <c r="G259" s="1">
        <v>38.0</v>
      </c>
      <c r="H259" s="1" t="s">
        <v>55</v>
      </c>
      <c r="I259" s="1" t="s">
        <v>67</v>
      </c>
      <c r="J259" s="1" t="s">
        <v>111</v>
      </c>
      <c r="K259" s="1" t="s">
        <v>74</v>
      </c>
      <c r="M259" s="1" t="s">
        <v>58</v>
      </c>
      <c r="N259" s="1" t="s">
        <v>58</v>
      </c>
      <c r="O259" s="1" t="s">
        <v>69</v>
      </c>
      <c r="Q259" s="1" t="s">
        <v>69</v>
      </c>
      <c r="R259" s="1" t="s">
        <v>69</v>
      </c>
      <c r="S259" s="1" t="s">
        <v>58</v>
      </c>
      <c r="T259" s="1" t="s">
        <v>69</v>
      </c>
      <c r="U259" s="1" t="s">
        <v>69</v>
      </c>
      <c r="V259" s="1" t="s">
        <v>69</v>
      </c>
      <c r="W259" s="1" t="s">
        <v>69</v>
      </c>
      <c r="X259" s="1" t="s">
        <v>59</v>
      </c>
      <c r="Y259" s="1" t="s">
        <v>82</v>
      </c>
      <c r="Z259" s="1" t="s">
        <v>96</v>
      </c>
      <c r="AA259" s="1">
        <v>100.0</v>
      </c>
      <c r="AB259" s="1" t="s">
        <v>62</v>
      </c>
      <c r="AC259" s="1" t="s">
        <v>51</v>
      </c>
      <c r="AD259" s="1" t="s">
        <v>81</v>
      </c>
      <c r="AE259" s="1" t="s">
        <v>51</v>
      </c>
      <c r="AF259" s="1" t="s">
        <v>51</v>
      </c>
      <c r="AG259" s="1" t="s">
        <v>51</v>
      </c>
      <c r="AH259" s="1">
        <v>10.0</v>
      </c>
      <c r="AI259" s="1">
        <v>1.0</v>
      </c>
      <c r="AJ259" s="1">
        <v>0.0</v>
      </c>
      <c r="AK259" s="1">
        <v>0.0</v>
      </c>
      <c r="AL259" s="1">
        <v>0.0</v>
      </c>
      <c r="AM259" s="1" t="s">
        <v>51</v>
      </c>
      <c r="AN259" s="1">
        <v>6.04436785E8</v>
      </c>
      <c r="AP259" s="1">
        <v>4.90415423E8</v>
      </c>
      <c r="AQ259" s="1" t="s">
        <v>383</v>
      </c>
      <c r="AR259" s="1">
        <v>45809.45205</v>
      </c>
      <c r="AU259" s="1" t="s">
        <v>64</v>
      </c>
      <c r="AW259" s="1" t="s">
        <v>255</v>
      </c>
      <c r="AY259" s="1">
        <v>253.0</v>
      </c>
    </row>
    <row r="260">
      <c r="A260" s="1" t="s">
        <v>51</v>
      </c>
      <c r="C260" s="1" t="s">
        <v>52</v>
      </c>
      <c r="E260" s="1" t="s">
        <v>53</v>
      </c>
      <c r="F260" s="1" t="s">
        <v>54</v>
      </c>
      <c r="G260" s="1">
        <v>43.0</v>
      </c>
      <c r="H260" s="1" t="s">
        <v>55</v>
      </c>
      <c r="I260" s="1" t="s">
        <v>67</v>
      </c>
      <c r="J260" s="1" t="s">
        <v>56</v>
      </c>
      <c r="K260" s="1" t="s">
        <v>57</v>
      </c>
      <c r="M260" s="1" t="s">
        <v>58</v>
      </c>
      <c r="N260" s="1" t="s">
        <v>58</v>
      </c>
      <c r="O260" s="1" t="s">
        <v>69</v>
      </c>
      <c r="Q260" s="1" t="s">
        <v>58</v>
      </c>
      <c r="R260" s="1" t="s">
        <v>58</v>
      </c>
      <c r="S260" s="1" t="s">
        <v>70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81</v>
      </c>
      <c r="Y260" s="1" t="s">
        <v>172</v>
      </c>
      <c r="Z260" s="1" t="s">
        <v>96</v>
      </c>
      <c r="AA260" s="1">
        <v>50.0</v>
      </c>
      <c r="AB260" s="1" t="s">
        <v>28</v>
      </c>
      <c r="AC260" s="1" t="s">
        <v>71</v>
      </c>
      <c r="AF260" s="1" t="s">
        <v>51</v>
      </c>
      <c r="AG260" s="1" t="s">
        <v>51</v>
      </c>
      <c r="AH260" s="1">
        <v>500.0</v>
      </c>
      <c r="AI260" s="1">
        <v>0.0</v>
      </c>
      <c r="AJ260" s="1">
        <v>0.0</v>
      </c>
      <c r="AK260" s="1">
        <v>0.0</v>
      </c>
      <c r="AL260" s="1">
        <v>1.0</v>
      </c>
      <c r="AM260" s="1" t="s">
        <v>51</v>
      </c>
      <c r="AN260" s="1">
        <v>7.12667257E8</v>
      </c>
      <c r="AP260" s="1">
        <v>4.90415882E8</v>
      </c>
      <c r="AQ260" s="1" t="s">
        <v>384</v>
      </c>
      <c r="AR260" s="1">
        <v>45809.45297</v>
      </c>
      <c r="AU260" s="1" t="s">
        <v>64</v>
      </c>
      <c r="AW260" s="1" t="s">
        <v>255</v>
      </c>
      <c r="AY260" s="1">
        <v>254.0</v>
      </c>
    </row>
    <row r="261">
      <c r="A261" s="1" t="s">
        <v>51</v>
      </c>
      <c r="C261" s="1" t="s">
        <v>52</v>
      </c>
      <c r="E261" s="1" t="s">
        <v>53</v>
      </c>
      <c r="F261" s="1" t="s">
        <v>54</v>
      </c>
      <c r="G261" s="1">
        <v>36.0</v>
      </c>
      <c r="H261" s="1" t="s">
        <v>66</v>
      </c>
      <c r="I261" s="1" t="s">
        <v>67</v>
      </c>
      <c r="J261" s="1" t="s">
        <v>111</v>
      </c>
      <c r="K261" s="1" t="s">
        <v>57</v>
      </c>
      <c r="M261" s="1" t="s">
        <v>58</v>
      </c>
      <c r="N261" s="1" t="s">
        <v>58</v>
      </c>
      <c r="O261" s="1" t="s">
        <v>69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81</v>
      </c>
      <c r="Y261" s="1" t="s">
        <v>82</v>
      </c>
      <c r="Z261" s="1" t="s">
        <v>127</v>
      </c>
      <c r="AA261" s="1">
        <v>100.0</v>
      </c>
      <c r="AB261" s="1" t="s">
        <v>28</v>
      </c>
      <c r="AC261" s="1" t="s">
        <v>71</v>
      </c>
      <c r="AF261" s="1" t="s">
        <v>51</v>
      </c>
      <c r="AG261" s="1" t="s">
        <v>72</v>
      </c>
      <c r="AI261" s="1">
        <v>1.0</v>
      </c>
      <c r="AJ261" s="1">
        <v>0.0</v>
      </c>
      <c r="AK261" s="1">
        <v>0.0</v>
      </c>
      <c r="AL261" s="1">
        <v>0.0</v>
      </c>
      <c r="AM261" s="1" t="s">
        <v>51</v>
      </c>
      <c r="AN261" s="1">
        <v>8.37472508E8</v>
      </c>
      <c r="AP261" s="1">
        <v>4.90416674E8</v>
      </c>
      <c r="AQ261" s="1" t="s">
        <v>385</v>
      </c>
      <c r="AR261" s="1">
        <v>45809.45446</v>
      </c>
      <c r="AU261" s="1" t="s">
        <v>64</v>
      </c>
      <c r="AW261" s="1" t="s">
        <v>255</v>
      </c>
      <c r="AY261" s="1">
        <v>255.0</v>
      </c>
    </row>
    <row r="262">
      <c r="A262" s="1" t="s">
        <v>51</v>
      </c>
      <c r="C262" s="1" t="s">
        <v>52</v>
      </c>
      <c r="E262" s="1" t="s">
        <v>53</v>
      </c>
      <c r="F262" s="1" t="s">
        <v>54</v>
      </c>
      <c r="G262" s="1">
        <v>33.0</v>
      </c>
      <c r="H262" s="1" t="s">
        <v>55</v>
      </c>
      <c r="I262" s="1" t="s">
        <v>100</v>
      </c>
      <c r="J262" s="1" t="s">
        <v>111</v>
      </c>
      <c r="K262" s="1" t="s">
        <v>57</v>
      </c>
      <c r="M262" s="1" t="s">
        <v>58</v>
      </c>
      <c r="N262" s="1" t="s">
        <v>58</v>
      </c>
      <c r="O262" s="1" t="s">
        <v>70</v>
      </c>
      <c r="Q262" s="1" t="s">
        <v>58</v>
      </c>
      <c r="R262" s="1" t="s">
        <v>58</v>
      </c>
      <c r="S262" s="1" t="s">
        <v>58</v>
      </c>
      <c r="T262" s="1" t="s">
        <v>58</v>
      </c>
      <c r="U262" s="1" t="s">
        <v>58</v>
      </c>
      <c r="V262" s="1" t="s">
        <v>58</v>
      </c>
      <c r="W262" s="1" t="s">
        <v>58</v>
      </c>
      <c r="X262" s="1" t="s">
        <v>81</v>
      </c>
      <c r="Y262" s="1" t="s">
        <v>172</v>
      </c>
      <c r="AA262" s="1">
        <v>50.0</v>
      </c>
      <c r="AB262" s="1" t="s">
        <v>28</v>
      </c>
      <c r="AC262" s="1" t="s">
        <v>71</v>
      </c>
      <c r="AF262" s="1" t="s">
        <v>51</v>
      </c>
      <c r="AG262" s="1" t="s">
        <v>72</v>
      </c>
      <c r="AI262" s="1">
        <v>0.0</v>
      </c>
      <c r="AJ262" s="1">
        <v>0.0</v>
      </c>
      <c r="AK262" s="1">
        <v>0.0</v>
      </c>
      <c r="AL262" s="1">
        <v>1.0</v>
      </c>
      <c r="AM262" s="1" t="s">
        <v>51</v>
      </c>
      <c r="AN262" s="1">
        <v>7.87472508E8</v>
      </c>
      <c r="AP262" s="1">
        <v>4.90417179E8</v>
      </c>
      <c r="AQ262" s="1" t="s">
        <v>386</v>
      </c>
      <c r="AR262" s="1">
        <v>45809.45556</v>
      </c>
      <c r="AU262" s="1" t="s">
        <v>64</v>
      </c>
      <c r="AW262" s="1" t="s">
        <v>255</v>
      </c>
      <c r="AY262" s="1">
        <v>256.0</v>
      </c>
    </row>
    <row r="263">
      <c r="A263" s="1" t="s">
        <v>51</v>
      </c>
      <c r="C263" s="1" t="s">
        <v>52</v>
      </c>
      <c r="E263" s="1" t="s">
        <v>53</v>
      </c>
      <c r="F263" s="1" t="s">
        <v>54</v>
      </c>
      <c r="G263" s="1">
        <v>45.0</v>
      </c>
      <c r="H263" s="1" t="s">
        <v>66</v>
      </c>
      <c r="I263" s="1" t="s">
        <v>100</v>
      </c>
      <c r="J263" s="1" t="s">
        <v>111</v>
      </c>
      <c r="K263" s="1" t="s">
        <v>74</v>
      </c>
      <c r="M263" s="1" t="s">
        <v>58</v>
      </c>
      <c r="N263" s="1" t="s">
        <v>58</v>
      </c>
      <c r="O263" s="1" t="s">
        <v>69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58</v>
      </c>
      <c r="V263" s="1" t="s">
        <v>58</v>
      </c>
      <c r="W263" s="1" t="s">
        <v>58</v>
      </c>
      <c r="X263" s="1" t="s">
        <v>81</v>
      </c>
      <c r="Y263" s="1" t="s">
        <v>60</v>
      </c>
      <c r="Z263" s="1" t="s">
        <v>96</v>
      </c>
      <c r="AA263" s="1">
        <v>100.0</v>
      </c>
      <c r="AB263" s="1" t="s">
        <v>79</v>
      </c>
      <c r="AC263" s="1" t="s">
        <v>71</v>
      </c>
      <c r="AF263" s="1" t="s">
        <v>51</v>
      </c>
      <c r="AG263" s="1" t="s">
        <v>72</v>
      </c>
      <c r="AI263" s="1">
        <v>0.0</v>
      </c>
      <c r="AJ263" s="1">
        <v>0.0</v>
      </c>
      <c r="AK263" s="1">
        <v>0.0</v>
      </c>
      <c r="AL263" s="1">
        <v>1.0</v>
      </c>
      <c r="AM263" s="1" t="s">
        <v>51</v>
      </c>
      <c r="AN263" s="1">
        <v>7.19438817E8</v>
      </c>
      <c r="AP263" s="1">
        <v>4.90417778E8</v>
      </c>
      <c r="AQ263" s="1" t="s">
        <v>387</v>
      </c>
      <c r="AR263" s="1">
        <v>45809.45709</v>
      </c>
      <c r="AU263" s="1" t="s">
        <v>64</v>
      </c>
      <c r="AW263" s="1" t="s">
        <v>255</v>
      </c>
      <c r="AY263" s="1">
        <v>257.0</v>
      </c>
    </row>
    <row r="264">
      <c r="A264" s="1" t="s">
        <v>51</v>
      </c>
      <c r="C264" s="1" t="s">
        <v>52</v>
      </c>
      <c r="E264" s="1" t="s">
        <v>53</v>
      </c>
      <c r="F264" s="1" t="s">
        <v>54</v>
      </c>
      <c r="G264" s="1">
        <v>44.0</v>
      </c>
      <c r="H264" s="1" t="s">
        <v>66</v>
      </c>
      <c r="I264" s="1" t="s">
        <v>67</v>
      </c>
      <c r="J264" s="1" t="s">
        <v>68</v>
      </c>
      <c r="K264" s="1" t="s">
        <v>74</v>
      </c>
      <c r="M264" s="1" t="s">
        <v>58</v>
      </c>
      <c r="N264" s="1" t="s">
        <v>58</v>
      </c>
      <c r="O264" s="1" t="s">
        <v>69</v>
      </c>
      <c r="Q264" s="1" t="s">
        <v>58</v>
      </c>
      <c r="R264" s="1" t="s">
        <v>58</v>
      </c>
      <c r="S264" s="1" t="s">
        <v>69</v>
      </c>
      <c r="T264" s="1" t="s">
        <v>69</v>
      </c>
      <c r="U264" s="1" t="s">
        <v>58</v>
      </c>
      <c r="V264" s="1" t="s">
        <v>58</v>
      </c>
      <c r="W264" s="1" t="s">
        <v>69</v>
      </c>
      <c r="Y264" s="1" t="s">
        <v>82</v>
      </c>
      <c r="Z264" s="1" t="s">
        <v>96</v>
      </c>
      <c r="AA264" s="1">
        <v>100.0</v>
      </c>
      <c r="AB264" s="1" t="s">
        <v>28</v>
      </c>
      <c r="AC264" s="1" t="s">
        <v>71</v>
      </c>
      <c r="AF264" s="1" t="s">
        <v>51</v>
      </c>
      <c r="AG264" s="1" t="s">
        <v>72</v>
      </c>
      <c r="AI264" s="1">
        <v>0.0</v>
      </c>
      <c r="AJ264" s="1">
        <v>0.0</v>
      </c>
      <c r="AK264" s="1">
        <v>0.0</v>
      </c>
      <c r="AL264" s="1">
        <v>1.0</v>
      </c>
      <c r="AM264" s="1" t="s">
        <v>51</v>
      </c>
      <c r="AN264" s="1">
        <v>6.56267166E8</v>
      </c>
      <c r="AP264" s="1">
        <v>4.90418598E8</v>
      </c>
      <c r="AQ264" s="1" t="s">
        <v>388</v>
      </c>
      <c r="AR264" s="1">
        <v>45809.4589</v>
      </c>
      <c r="AU264" s="1" t="s">
        <v>64</v>
      </c>
      <c r="AW264" s="1" t="s">
        <v>255</v>
      </c>
      <c r="AY264" s="1">
        <v>258.0</v>
      </c>
    </row>
    <row r="265">
      <c r="A265" s="1" t="s">
        <v>51</v>
      </c>
      <c r="C265" s="1" t="s">
        <v>52</v>
      </c>
      <c r="E265" s="1" t="s">
        <v>53</v>
      </c>
      <c r="F265" s="1" t="s">
        <v>54</v>
      </c>
      <c r="G265" s="1">
        <v>29.0</v>
      </c>
      <c r="H265" s="1" t="s">
        <v>66</v>
      </c>
      <c r="I265" s="1" t="s">
        <v>67</v>
      </c>
      <c r="J265" s="1" t="s">
        <v>111</v>
      </c>
      <c r="K265" s="1" t="s">
        <v>74</v>
      </c>
      <c r="M265" s="1" t="s">
        <v>58</v>
      </c>
      <c r="N265" s="1" t="s">
        <v>58</v>
      </c>
      <c r="O265" s="1" t="s">
        <v>58</v>
      </c>
      <c r="Q265" s="1" t="s">
        <v>58</v>
      </c>
      <c r="R265" s="1" t="s">
        <v>58</v>
      </c>
      <c r="S265" s="1" t="s">
        <v>58</v>
      </c>
      <c r="T265" s="1" t="s">
        <v>58</v>
      </c>
      <c r="U265" s="1" t="s">
        <v>58</v>
      </c>
      <c r="V265" s="1" t="s">
        <v>58</v>
      </c>
      <c r="W265" s="1" t="s">
        <v>58</v>
      </c>
      <c r="X265" s="1" t="s">
        <v>81</v>
      </c>
      <c r="Y265" s="1" t="s">
        <v>172</v>
      </c>
      <c r="Z265" s="1" t="s">
        <v>127</v>
      </c>
      <c r="AA265" s="1">
        <v>100.0</v>
      </c>
      <c r="AB265" s="1" t="s">
        <v>28</v>
      </c>
      <c r="AC265" s="1" t="s">
        <v>71</v>
      </c>
      <c r="AF265" s="1" t="s">
        <v>51</v>
      </c>
      <c r="AI265" s="1">
        <v>0.0</v>
      </c>
      <c r="AJ265" s="1">
        <v>0.0</v>
      </c>
      <c r="AK265" s="1">
        <v>0.0</v>
      </c>
      <c r="AL265" s="1">
        <v>1.0</v>
      </c>
      <c r="AM265" s="1" t="s">
        <v>51</v>
      </c>
      <c r="AN265" s="1">
        <v>7.38839923E8</v>
      </c>
      <c r="AP265" s="1">
        <v>4.904193E8</v>
      </c>
      <c r="AQ265" s="1" t="s">
        <v>389</v>
      </c>
      <c r="AR265" s="1">
        <v>45809.46008</v>
      </c>
      <c r="AU265" s="1" t="s">
        <v>64</v>
      </c>
      <c r="AW265" s="1" t="s">
        <v>255</v>
      </c>
      <c r="AY265" s="1">
        <v>259.0</v>
      </c>
    </row>
    <row r="266">
      <c r="A266" s="1" t="s">
        <v>51</v>
      </c>
      <c r="C266" s="1" t="s">
        <v>52</v>
      </c>
      <c r="E266" s="1" t="s">
        <v>53</v>
      </c>
      <c r="F266" s="1" t="s">
        <v>54</v>
      </c>
      <c r="G266" s="1">
        <v>40.0</v>
      </c>
      <c r="H266" s="1" t="s">
        <v>55</v>
      </c>
      <c r="I266" s="1" t="s">
        <v>67</v>
      </c>
      <c r="J266" s="1" t="s">
        <v>111</v>
      </c>
      <c r="K266" s="1" t="s">
        <v>74</v>
      </c>
      <c r="M266" s="1" t="s">
        <v>58</v>
      </c>
      <c r="N266" s="1" t="s">
        <v>58</v>
      </c>
      <c r="O266" s="1" t="s">
        <v>69</v>
      </c>
      <c r="Q266" s="1" t="s">
        <v>58</v>
      </c>
      <c r="R266" s="1" t="s">
        <v>58</v>
      </c>
      <c r="S266" s="1" t="s">
        <v>69</v>
      </c>
      <c r="T266" s="1" t="s">
        <v>58</v>
      </c>
      <c r="U266" s="1" t="s">
        <v>70</v>
      </c>
      <c r="V266" s="1" t="s">
        <v>58</v>
      </c>
      <c r="W266" s="1" t="s">
        <v>69</v>
      </c>
      <c r="X266" s="1" t="s">
        <v>59</v>
      </c>
      <c r="Z266" s="1" t="s">
        <v>89</v>
      </c>
      <c r="AA266" s="1">
        <v>50.0</v>
      </c>
      <c r="AB266" s="1" t="s">
        <v>62</v>
      </c>
      <c r="AC266" s="1" t="s">
        <v>51</v>
      </c>
      <c r="AD266" s="1" t="s">
        <v>81</v>
      </c>
      <c r="AE266" s="1" t="s">
        <v>51</v>
      </c>
      <c r="AF266" s="1" t="s">
        <v>51</v>
      </c>
      <c r="AG266" s="1" t="s">
        <v>51</v>
      </c>
      <c r="AH266" s="1">
        <v>20.0</v>
      </c>
      <c r="AI266" s="1">
        <v>1.0</v>
      </c>
      <c r="AJ266" s="1">
        <v>0.0</v>
      </c>
      <c r="AK266" s="1">
        <v>0.0</v>
      </c>
      <c r="AL266" s="1">
        <v>0.0</v>
      </c>
      <c r="AM266" s="1" t="s">
        <v>51</v>
      </c>
      <c r="AN266" s="1">
        <v>6.2639941E8</v>
      </c>
      <c r="AP266" s="1">
        <v>4.90422919E8</v>
      </c>
      <c r="AQ266" s="1" t="s">
        <v>390</v>
      </c>
      <c r="AR266" s="1">
        <v>45809.46801</v>
      </c>
      <c r="AU266" s="1" t="s">
        <v>64</v>
      </c>
      <c r="AW266" s="1" t="s">
        <v>255</v>
      </c>
      <c r="AY266" s="1">
        <v>260.0</v>
      </c>
    </row>
    <row r="267">
      <c r="A267" s="1" t="s">
        <v>51</v>
      </c>
      <c r="C267" s="1" t="s">
        <v>52</v>
      </c>
      <c r="E267" s="1" t="s">
        <v>53</v>
      </c>
      <c r="F267" s="1" t="s">
        <v>54</v>
      </c>
      <c r="G267" s="1">
        <v>29.0</v>
      </c>
      <c r="H267" s="1" t="s">
        <v>55</v>
      </c>
      <c r="I267" s="1" t="s">
        <v>100</v>
      </c>
      <c r="J267" s="1" t="s">
        <v>68</v>
      </c>
      <c r="K267" s="1" t="s">
        <v>57</v>
      </c>
      <c r="M267" s="1" t="s">
        <v>58</v>
      </c>
      <c r="N267" s="1" t="s">
        <v>58</v>
      </c>
      <c r="O267" s="1" t="s">
        <v>69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81</v>
      </c>
      <c r="Y267" s="1" t="s">
        <v>172</v>
      </c>
      <c r="Z267" s="1" t="s">
        <v>96</v>
      </c>
      <c r="AA267" s="1">
        <v>100.0</v>
      </c>
      <c r="AB267" s="1" t="s">
        <v>28</v>
      </c>
      <c r="AC267" s="1" t="s">
        <v>71</v>
      </c>
      <c r="AF267" s="1" t="s">
        <v>51</v>
      </c>
      <c r="AG267" s="1" t="s">
        <v>72</v>
      </c>
      <c r="AI267" s="1">
        <v>0.0</v>
      </c>
      <c r="AJ267" s="1">
        <v>0.0</v>
      </c>
      <c r="AK267" s="1">
        <v>0.0</v>
      </c>
      <c r="AL267" s="1">
        <v>1.0</v>
      </c>
      <c r="AM267" s="1" t="s">
        <v>51</v>
      </c>
      <c r="AN267" s="1">
        <v>6.7069764E8</v>
      </c>
      <c r="AP267" s="1">
        <v>4.90424099E8</v>
      </c>
      <c r="AQ267" s="1" t="s">
        <v>391</v>
      </c>
      <c r="AR267" s="1">
        <v>45809.47068</v>
      </c>
      <c r="AU267" s="1" t="s">
        <v>64</v>
      </c>
      <c r="AW267" s="1" t="s">
        <v>255</v>
      </c>
      <c r="AY267" s="1">
        <v>261.0</v>
      </c>
    </row>
    <row r="268">
      <c r="A268" s="1" t="s">
        <v>51</v>
      </c>
      <c r="C268" s="1" t="s">
        <v>52</v>
      </c>
      <c r="E268" s="1" t="s">
        <v>53</v>
      </c>
      <c r="F268" s="1" t="s">
        <v>54</v>
      </c>
      <c r="G268" s="1">
        <v>30.0</v>
      </c>
      <c r="H268" s="1" t="s">
        <v>55</v>
      </c>
      <c r="I268" s="1" t="s">
        <v>100</v>
      </c>
      <c r="J268" s="1" t="s">
        <v>68</v>
      </c>
      <c r="K268" s="1" t="s">
        <v>74</v>
      </c>
      <c r="M268" s="1" t="s">
        <v>58</v>
      </c>
      <c r="N268" s="1" t="s">
        <v>58</v>
      </c>
      <c r="O268" s="1" t="s">
        <v>69</v>
      </c>
      <c r="Q268" s="1" t="s">
        <v>69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81</v>
      </c>
      <c r="Y268" s="1" t="s">
        <v>172</v>
      </c>
      <c r="Z268" s="1" t="s">
        <v>96</v>
      </c>
      <c r="AA268" s="1">
        <v>100.0</v>
      </c>
      <c r="AB268" s="1" t="s">
        <v>79</v>
      </c>
      <c r="AC268" s="1" t="s">
        <v>71</v>
      </c>
      <c r="AF268" s="1" t="s">
        <v>51</v>
      </c>
      <c r="AI268" s="1">
        <v>0.0</v>
      </c>
      <c r="AJ268" s="1">
        <v>0.0</v>
      </c>
      <c r="AK268" s="1">
        <v>0.0</v>
      </c>
      <c r="AL268" s="1">
        <v>1.0</v>
      </c>
      <c r="AM268" s="1" t="s">
        <v>51</v>
      </c>
      <c r="AN268" s="1">
        <v>8.18158267E8</v>
      </c>
      <c r="AP268" s="1">
        <v>4.90424695E8</v>
      </c>
      <c r="AQ268" s="1" t="s">
        <v>392</v>
      </c>
      <c r="AR268" s="1">
        <v>45809.47249</v>
      </c>
      <c r="AU268" s="1" t="s">
        <v>64</v>
      </c>
      <c r="AW268" s="1" t="s">
        <v>255</v>
      </c>
      <c r="AY268" s="1">
        <v>262.0</v>
      </c>
    </row>
    <row r="269">
      <c r="A269" s="1" t="s">
        <v>51</v>
      </c>
      <c r="C269" s="1" t="s">
        <v>52</v>
      </c>
      <c r="E269" s="1" t="s">
        <v>53</v>
      </c>
      <c r="F269" s="1" t="s">
        <v>54</v>
      </c>
      <c r="G269" s="1">
        <v>27.0</v>
      </c>
      <c r="H269" s="1" t="s">
        <v>55</v>
      </c>
      <c r="I269" s="1" t="s">
        <v>100</v>
      </c>
      <c r="J269" s="1" t="s">
        <v>68</v>
      </c>
      <c r="K269" s="1" t="s">
        <v>74</v>
      </c>
      <c r="M269" s="1" t="s">
        <v>58</v>
      </c>
      <c r="N269" s="1" t="s">
        <v>58</v>
      </c>
      <c r="O269" s="1" t="s">
        <v>69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81</v>
      </c>
      <c r="Y269" s="1" t="s">
        <v>172</v>
      </c>
      <c r="Z269" s="1" t="s">
        <v>96</v>
      </c>
      <c r="AA269" s="1">
        <v>50.0</v>
      </c>
      <c r="AB269" s="1" t="s">
        <v>79</v>
      </c>
      <c r="AC269" s="1" t="s">
        <v>71</v>
      </c>
      <c r="AF269" s="1" t="s">
        <v>51</v>
      </c>
      <c r="AG269" s="1" t="s">
        <v>51</v>
      </c>
      <c r="AH269" s="1">
        <v>300.0</v>
      </c>
      <c r="AI269" s="1">
        <v>0.0</v>
      </c>
      <c r="AJ269" s="1">
        <v>0.0</v>
      </c>
      <c r="AK269" s="1">
        <v>0.0</v>
      </c>
      <c r="AL269" s="1">
        <v>1.0</v>
      </c>
      <c r="AM269" s="1" t="s">
        <v>51</v>
      </c>
      <c r="AN269" s="1">
        <v>7.29861635E8</v>
      </c>
      <c r="AP269" s="1">
        <v>4.90425587E8</v>
      </c>
      <c r="AQ269" s="1" t="s">
        <v>393</v>
      </c>
      <c r="AR269" s="1">
        <v>45809.47427</v>
      </c>
      <c r="AU269" s="1" t="s">
        <v>64</v>
      </c>
      <c r="AW269" s="1" t="s">
        <v>255</v>
      </c>
      <c r="AY269" s="1">
        <v>263.0</v>
      </c>
    </row>
    <row r="270">
      <c r="A270" s="1" t="s">
        <v>51</v>
      </c>
      <c r="C270" s="1" t="s">
        <v>170</v>
      </c>
      <c r="E270" s="1" t="s">
        <v>53</v>
      </c>
      <c r="F270" s="1" t="s">
        <v>102</v>
      </c>
      <c r="G270" s="1">
        <v>37.0</v>
      </c>
      <c r="H270" s="1" t="s">
        <v>55</v>
      </c>
      <c r="I270" s="1" t="s">
        <v>100</v>
      </c>
      <c r="J270" s="1" t="s">
        <v>68</v>
      </c>
      <c r="K270" s="1" t="s">
        <v>78</v>
      </c>
      <c r="M270" s="1" t="s">
        <v>70</v>
      </c>
      <c r="N270" s="1" t="s">
        <v>70</v>
      </c>
      <c r="O270" s="1" t="s">
        <v>69</v>
      </c>
      <c r="Q270" s="1" t="s">
        <v>58</v>
      </c>
      <c r="R270" s="1" t="s">
        <v>58</v>
      </c>
      <c r="S270" s="1" t="s">
        <v>58</v>
      </c>
      <c r="T270" s="1" t="s">
        <v>69</v>
      </c>
      <c r="U270" s="1" t="s">
        <v>69</v>
      </c>
      <c r="V270" s="1" t="s">
        <v>69</v>
      </c>
      <c r="W270" s="1" t="s">
        <v>69</v>
      </c>
      <c r="X270" s="1" t="s">
        <v>81</v>
      </c>
      <c r="Y270" s="1" t="s">
        <v>60</v>
      </c>
      <c r="Z270" s="1" t="s">
        <v>61</v>
      </c>
      <c r="AA270" s="1">
        <v>10.0</v>
      </c>
      <c r="AB270" s="1" t="s">
        <v>79</v>
      </c>
      <c r="AC270" s="1" t="s">
        <v>71</v>
      </c>
      <c r="AF270" s="1" t="s">
        <v>51</v>
      </c>
      <c r="AG270" s="1" t="s">
        <v>72</v>
      </c>
      <c r="AI270" s="1">
        <v>0.0</v>
      </c>
      <c r="AJ270" s="1">
        <v>0.0</v>
      </c>
      <c r="AK270" s="1">
        <v>0.0</v>
      </c>
      <c r="AL270" s="1">
        <v>1.0</v>
      </c>
      <c r="AM270" s="1" t="s">
        <v>72</v>
      </c>
      <c r="AP270" s="1">
        <v>4.90425591E8</v>
      </c>
      <c r="AQ270" s="1" t="s">
        <v>394</v>
      </c>
      <c r="AR270" s="1">
        <v>45809.47427</v>
      </c>
      <c r="AU270" s="1" t="s">
        <v>64</v>
      </c>
      <c r="AW270" s="1" t="s">
        <v>255</v>
      </c>
      <c r="AY270" s="1">
        <v>264.0</v>
      </c>
    </row>
    <row r="271">
      <c r="A271" s="1" t="s">
        <v>51</v>
      </c>
      <c r="C271" s="1" t="s">
        <v>52</v>
      </c>
      <c r="E271" s="1" t="s">
        <v>53</v>
      </c>
      <c r="F271" s="1" t="s">
        <v>54</v>
      </c>
      <c r="G271" s="1">
        <v>36.0</v>
      </c>
      <c r="H271" s="1" t="s">
        <v>55</v>
      </c>
      <c r="I271" s="1" t="s">
        <v>100</v>
      </c>
      <c r="J271" s="1" t="s">
        <v>111</v>
      </c>
      <c r="K271" s="1" t="s">
        <v>74</v>
      </c>
      <c r="M271" s="1" t="s">
        <v>58</v>
      </c>
      <c r="N271" s="1" t="s">
        <v>58</v>
      </c>
      <c r="O271" s="1" t="s">
        <v>69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69</v>
      </c>
      <c r="V271" s="1" t="s">
        <v>69</v>
      </c>
      <c r="W271" s="1" t="s">
        <v>69</v>
      </c>
      <c r="X271" s="1" t="s">
        <v>59</v>
      </c>
      <c r="Y271" s="1" t="s">
        <v>172</v>
      </c>
      <c r="Z271" s="1" t="s">
        <v>96</v>
      </c>
      <c r="AA271" s="1">
        <v>50.0</v>
      </c>
      <c r="AB271" s="1" t="s">
        <v>28</v>
      </c>
      <c r="AC271" s="1" t="s">
        <v>71</v>
      </c>
      <c r="AF271" s="1" t="s">
        <v>51</v>
      </c>
      <c r="AG271" s="1" t="s">
        <v>51</v>
      </c>
      <c r="AH271" s="1">
        <v>400.0</v>
      </c>
      <c r="AI271" s="1">
        <v>0.0</v>
      </c>
      <c r="AJ271" s="1">
        <v>0.0</v>
      </c>
      <c r="AK271" s="1">
        <v>0.0</v>
      </c>
      <c r="AL271" s="1">
        <v>1.0</v>
      </c>
      <c r="AM271" s="1" t="s">
        <v>51</v>
      </c>
      <c r="AN271" s="1">
        <v>8.43748237E8</v>
      </c>
      <c r="AP271" s="1">
        <v>4.9042629E8</v>
      </c>
      <c r="AQ271" s="1" t="s">
        <v>395</v>
      </c>
      <c r="AR271" s="1">
        <v>45809.47557</v>
      </c>
      <c r="AU271" s="1" t="s">
        <v>64</v>
      </c>
      <c r="AW271" s="1" t="s">
        <v>255</v>
      </c>
      <c r="AY271" s="1">
        <v>265.0</v>
      </c>
    </row>
    <row r="272">
      <c r="A272" s="1" t="s">
        <v>51</v>
      </c>
      <c r="C272" s="1" t="s">
        <v>52</v>
      </c>
      <c r="E272" s="1" t="s">
        <v>53</v>
      </c>
      <c r="F272" s="1" t="s">
        <v>54</v>
      </c>
      <c r="G272" s="1">
        <v>33.0</v>
      </c>
      <c r="H272" s="1" t="s">
        <v>55</v>
      </c>
      <c r="I272" s="1" t="s">
        <v>67</v>
      </c>
      <c r="J272" s="1" t="s">
        <v>56</v>
      </c>
      <c r="K272" s="1" t="s">
        <v>74</v>
      </c>
      <c r="M272" s="1" t="s">
        <v>58</v>
      </c>
      <c r="N272" s="1" t="s">
        <v>58</v>
      </c>
      <c r="O272" s="1" t="s">
        <v>58</v>
      </c>
      <c r="Q272" s="1" t="s">
        <v>58</v>
      </c>
      <c r="R272" s="1" t="s">
        <v>58</v>
      </c>
      <c r="S272" s="1" t="s">
        <v>58</v>
      </c>
      <c r="T272" s="1" t="s">
        <v>58</v>
      </c>
      <c r="U272" s="1" t="s">
        <v>58</v>
      </c>
      <c r="V272" s="1" t="s">
        <v>58</v>
      </c>
      <c r="W272" s="1" t="s">
        <v>58</v>
      </c>
      <c r="X272" s="1" t="s">
        <v>81</v>
      </c>
      <c r="Y272" s="1" t="s">
        <v>82</v>
      </c>
      <c r="Z272" s="1" t="s">
        <v>96</v>
      </c>
      <c r="AA272" s="1">
        <v>50.0</v>
      </c>
      <c r="AB272" s="1" t="s">
        <v>79</v>
      </c>
      <c r="AC272" s="1" t="s">
        <v>71</v>
      </c>
      <c r="AF272" s="1" t="s">
        <v>51</v>
      </c>
      <c r="AI272" s="1">
        <v>0.0</v>
      </c>
      <c r="AJ272" s="1">
        <v>1.0</v>
      </c>
      <c r="AK272" s="1">
        <v>0.0</v>
      </c>
      <c r="AL272" s="1">
        <v>0.0</v>
      </c>
      <c r="AM272" s="1" t="s">
        <v>51</v>
      </c>
      <c r="AN272" s="1">
        <v>7.42414746E8</v>
      </c>
      <c r="AP272" s="1">
        <v>4.90426878E8</v>
      </c>
      <c r="AQ272" s="1" t="s">
        <v>396</v>
      </c>
      <c r="AR272" s="1">
        <v>45809.47669</v>
      </c>
      <c r="AU272" s="1" t="s">
        <v>64</v>
      </c>
      <c r="AW272" s="1" t="s">
        <v>255</v>
      </c>
      <c r="AY272" s="1">
        <v>266.0</v>
      </c>
    </row>
    <row r="273">
      <c r="A273" s="1" t="s">
        <v>51</v>
      </c>
      <c r="C273" s="1" t="s">
        <v>52</v>
      </c>
      <c r="E273" s="1" t="s">
        <v>53</v>
      </c>
      <c r="G273" s="1">
        <v>26.0</v>
      </c>
      <c r="H273" s="1" t="s">
        <v>66</v>
      </c>
      <c r="I273" s="1" t="s">
        <v>67</v>
      </c>
      <c r="J273" s="1" t="s">
        <v>56</v>
      </c>
      <c r="K273" s="1" t="s">
        <v>74</v>
      </c>
      <c r="M273" s="1" t="s">
        <v>58</v>
      </c>
      <c r="N273" s="1" t="s">
        <v>58</v>
      </c>
      <c r="O273" s="1" t="s">
        <v>58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81</v>
      </c>
      <c r="Y273" s="1" t="s">
        <v>172</v>
      </c>
      <c r="Z273" s="1" t="s">
        <v>96</v>
      </c>
      <c r="AA273" s="1">
        <v>50.0</v>
      </c>
      <c r="AB273" s="1" t="s">
        <v>79</v>
      </c>
      <c r="AC273" s="1" t="s">
        <v>71</v>
      </c>
      <c r="AF273" s="1" t="s">
        <v>51</v>
      </c>
      <c r="AI273" s="1">
        <v>0.0</v>
      </c>
      <c r="AJ273" s="1">
        <v>0.0</v>
      </c>
      <c r="AK273" s="1">
        <v>0.0</v>
      </c>
      <c r="AL273" s="1">
        <v>1.0</v>
      </c>
      <c r="AM273" s="1" t="s">
        <v>51</v>
      </c>
      <c r="AN273" s="1">
        <v>7.43074844E8</v>
      </c>
      <c r="AP273" s="1">
        <v>4.90427639E8</v>
      </c>
      <c r="AQ273" s="1" t="s">
        <v>397</v>
      </c>
      <c r="AR273" s="1">
        <v>45809.47786</v>
      </c>
      <c r="AU273" s="1" t="s">
        <v>64</v>
      </c>
      <c r="AW273" s="1" t="s">
        <v>255</v>
      </c>
      <c r="AY273" s="1">
        <v>267.0</v>
      </c>
    </row>
    <row r="274">
      <c r="A274" s="1" t="s">
        <v>51</v>
      </c>
      <c r="C274" s="1" t="s">
        <v>52</v>
      </c>
      <c r="E274" s="1" t="s">
        <v>53</v>
      </c>
      <c r="F274" s="1" t="s">
        <v>54</v>
      </c>
      <c r="G274" s="1">
        <v>30.0</v>
      </c>
      <c r="H274" s="1" t="s">
        <v>66</v>
      </c>
      <c r="I274" s="1" t="s">
        <v>67</v>
      </c>
      <c r="J274" s="1" t="s">
        <v>56</v>
      </c>
      <c r="K274" s="1" t="s">
        <v>74</v>
      </c>
      <c r="M274" s="1" t="s">
        <v>58</v>
      </c>
      <c r="N274" s="1" t="s">
        <v>58</v>
      </c>
      <c r="O274" s="1" t="s">
        <v>58</v>
      </c>
      <c r="Q274" s="1" t="s">
        <v>58</v>
      </c>
      <c r="R274" s="1" t="s">
        <v>58</v>
      </c>
      <c r="S274" s="1" t="s">
        <v>58</v>
      </c>
      <c r="T274" s="1" t="s">
        <v>58</v>
      </c>
      <c r="U274" s="1" t="s">
        <v>58</v>
      </c>
      <c r="V274" s="1" t="s">
        <v>58</v>
      </c>
      <c r="W274" s="1" t="s">
        <v>58</v>
      </c>
      <c r="X274" s="1" t="s">
        <v>81</v>
      </c>
      <c r="Y274" s="1" t="s">
        <v>60</v>
      </c>
      <c r="Z274" s="1" t="s">
        <v>96</v>
      </c>
      <c r="AA274" s="1">
        <v>50.0</v>
      </c>
      <c r="AB274" s="1" t="s">
        <v>79</v>
      </c>
      <c r="AC274" s="1" t="s">
        <v>71</v>
      </c>
      <c r="AF274" s="1" t="s">
        <v>51</v>
      </c>
      <c r="AI274" s="1">
        <v>0.0</v>
      </c>
      <c r="AJ274" s="1">
        <v>0.0</v>
      </c>
      <c r="AK274" s="1">
        <v>0.0</v>
      </c>
      <c r="AL274" s="1">
        <v>1.0</v>
      </c>
      <c r="AM274" s="1" t="s">
        <v>51</v>
      </c>
      <c r="AN274" s="1">
        <v>6.44607283E8</v>
      </c>
      <c r="AP274" s="1">
        <v>4.90428229E8</v>
      </c>
      <c r="AQ274" s="1" t="s">
        <v>398</v>
      </c>
      <c r="AR274" s="1">
        <v>45809.47894</v>
      </c>
      <c r="AU274" s="1" t="s">
        <v>64</v>
      </c>
      <c r="AW274" s="1" t="s">
        <v>255</v>
      </c>
      <c r="AY274" s="1">
        <v>268.0</v>
      </c>
    </row>
    <row r="275">
      <c r="A275" s="1" t="s">
        <v>51</v>
      </c>
      <c r="C275" s="1" t="s">
        <v>52</v>
      </c>
      <c r="E275" s="1" t="s">
        <v>53</v>
      </c>
      <c r="F275" s="1" t="s">
        <v>54</v>
      </c>
      <c r="G275" s="1">
        <v>39.0</v>
      </c>
      <c r="H275" s="1" t="s">
        <v>55</v>
      </c>
      <c r="I275" s="1" t="s">
        <v>67</v>
      </c>
      <c r="J275" s="1" t="s">
        <v>68</v>
      </c>
      <c r="K275" s="1" t="s">
        <v>74</v>
      </c>
      <c r="M275" s="1" t="s">
        <v>58</v>
      </c>
      <c r="N275" s="1" t="s">
        <v>58</v>
      </c>
      <c r="O275" s="1" t="s">
        <v>58</v>
      </c>
      <c r="Q275" s="1" t="s">
        <v>58</v>
      </c>
      <c r="R275" s="1" t="s">
        <v>58</v>
      </c>
      <c r="S275" s="1" t="s">
        <v>58</v>
      </c>
      <c r="T275" s="1" t="s">
        <v>58</v>
      </c>
      <c r="U275" s="1" t="s">
        <v>58</v>
      </c>
      <c r="V275" s="1" t="s">
        <v>58</v>
      </c>
      <c r="W275" s="1" t="s">
        <v>58</v>
      </c>
      <c r="X275" s="1" t="s">
        <v>81</v>
      </c>
      <c r="Y275" s="1" t="s">
        <v>172</v>
      </c>
      <c r="Z275" s="1" t="s">
        <v>96</v>
      </c>
      <c r="AA275" s="1">
        <v>50.0</v>
      </c>
      <c r="AB275" s="1" t="s">
        <v>28</v>
      </c>
      <c r="AC275" s="1" t="s">
        <v>71</v>
      </c>
      <c r="AF275" s="1" t="s">
        <v>51</v>
      </c>
      <c r="AI275" s="1">
        <v>0.0</v>
      </c>
      <c r="AJ275" s="1">
        <v>0.0</v>
      </c>
      <c r="AK275" s="1">
        <v>0.0</v>
      </c>
      <c r="AL275" s="1">
        <v>1.0</v>
      </c>
      <c r="AM275" s="1" t="s">
        <v>51</v>
      </c>
      <c r="AN275" s="1">
        <v>6.1803172E8</v>
      </c>
      <c r="AP275" s="1">
        <v>4.9042889E8</v>
      </c>
      <c r="AQ275" s="1" t="s">
        <v>399</v>
      </c>
      <c r="AR275" s="1">
        <v>45809.48024</v>
      </c>
      <c r="AU275" s="1" t="s">
        <v>64</v>
      </c>
      <c r="AW275" s="1" t="s">
        <v>255</v>
      </c>
      <c r="AY275" s="1">
        <v>269.0</v>
      </c>
    </row>
    <row r="276">
      <c r="A276" s="1" t="s">
        <v>51</v>
      </c>
      <c r="C276" s="1" t="s">
        <v>52</v>
      </c>
      <c r="E276" s="1" t="s">
        <v>53</v>
      </c>
      <c r="F276" s="1" t="s">
        <v>54</v>
      </c>
      <c r="G276" s="1">
        <v>32.0</v>
      </c>
      <c r="H276" s="1" t="s">
        <v>66</v>
      </c>
      <c r="I276" s="1" t="s">
        <v>67</v>
      </c>
      <c r="J276" s="1" t="s">
        <v>68</v>
      </c>
      <c r="K276" s="1" t="s">
        <v>74</v>
      </c>
      <c r="M276" s="1" t="s">
        <v>58</v>
      </c>
      <c r="N276" s="1" t="s">
        <v>58</v>
      </c>
      <c r="O276" s="1" t="s">
        <v>58</v>
      </c>
      <c r="Q276" s="1" t="s">
        <v>58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81</v>
      </c>
      <c r="Y276" s="1" t="s">
        <v>60</v>
      </c>
      <c r="Z276" s="1" t="s">
        <v>108</v>
      </c>
      <c r="AA276" s="1">
        <v>100.0</v>
      </c>
      <c r="AB276" s="1" t="s">
        <v>62</v>
      </c>
      <c r="AC276" s="1" t="s">
        <v>71</v>
      </c>
      <c r="AF276" s="1" t="s">
        <v>51</v>
      </c>
      <c r="AI276" s="1">
        <v>0.0</v>
      </c>
      <c r="AJ276" s="1">
        <v>0.0</v>
      </c>
      <c r="AK276" s="1">
        <v>0.0</v>
      </c>
      <c r="AL276" s="1">
        <v>1.0</v>
      </c>
      <c r="AM276" s="1" t="s">
        <v>51</v>
      </c>
      <c r="AN276" s="1">
        <v>6.56507643E8</v>
      </c>
      <c r="AP276" s="1">
        <v>4.90429346E8</v>
      </c>
      <c r="AQ276" s="1" t="s">
        <v>400</v>
      </c>
      <c r="AR276" s="1">
        <v>45809.48139</v>
      </c>
      <c r="AU276" s="1" t="s">
        <v>64</v>
      </c>
      <c r="AW276" s="1" t="s">
        <v>255</v>
      </c>
      <c r="AY276" s="1">
        <v>270.0</v>
      </c>
    </row>
    <row r="277">
      <c r="A277" s="1" t="s">
        <v>51</v>
      </c>
      <c r="C277" s="1" t="s">
        <v>52</v>
      </c>
      <c r="E277" s="1" t="s">
        <v>53</v>
      </c>
      <c r="F277" s="1" t="s">
        <v>54</v>
      </c>
      <c r="G277" s="1">
        <v>38.0</v>
      </c>
      <c r="H277" s="1" t="s">
        <v>55</v>
      </c>
      <c r="I277" s="1" t="s">
        <v>67</v>
      </c>
      <c r="J277" s="1" t="s">
        <v>111</v>
      </c>
      <c r="K277" s="1" t="s">
        <v>74</v>
      </c>
      <c r="M277" s="1" t="s">
        <v>58</v>
      </c>
      <c r="N277" s="1" t="s">
        <v>58</v>
      </c>
      <c r="O277" s="1" t="s">
        <v>69</v>
      </c>
      <c r="Q277" s="1" t="s">
        <v>58</v>
      </c>
      <c r="R277" s="1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  <c r="W277" s="1" t="s">
        <v>58</v>
      </c>
      <c r="X277" s="1" t="s">
        <v>81</v>
      </c>
      <c r="Y277" s="1" t="s">
        <v>60</v>
      </c>
      <c r="Z277" s="1" t="s">
        <v>127</v>
      </c>
      <c r="AA277" s="1">
        <v>100.0</v>
      </c>
      <c r="AB277" s="1" t="s">
        <v>62</v>
      </c>
      <c r="AC277" s="1" t="s">
        <v>71</v>
      </c>
      <c r="AF277" s="1" t="s">
        <v>51</v>
      </c>
      <c r="AI277" s="1">
        <v>0.0</v>
      </c>
      <c r="AJ277" s="1">
        <v>0.0</v>
      </c>
      <c r="AK277" s="1">
        <v>0.0</v>
      </c>
      <c r="AL277" s="1">
        <v>1.0</v>
      </c>
      <c r="AM277" s="1" t="s">
        <v>51</v>
      </c>
      <c r="AN277" s="1">
        <v>6.56507643E8</v>
      </c>
      <c r="AP277" s="1">
        <v>4.90429896E8</v>
      </c>
      <c r="AQ277" s="1" t="s">
        <v>401</v>
      </c>
      <c r="AR277" s="1">
        <v>45809.48266</v>
      </c>
      <c r="AU277" s="1" t="s">
        <v>64</v>
      </c>
      <c r="AW277" s="1" t="s">
        <v>255</v>
      </c>
      <c r="AY277" s="1">
        <v>271.0</v>
      </c>
    </row>
    <row r="278">
      <c r="A278" s="1" t="s">
        <v>51</v>
      </c>
      <c r="C278" s="1" t="s">
        <v>52</v>
      </c>
      <c r="E278" s="1" t="s">
        <v>53</v>
      </c>
      <c r="F278" s="1" t="s">
        <v>54</v>
      </c>
      <c r="G278" s="1">
        <v>26.0</v>
      </c>
      <c r="H278" s="1" t="s">
        <v>55</v>
      </c>
      <c r="I278" s="1" t="s">
        <v>100</v>
      </c>
      <c r="J278" s="1" t="s">
        <v>68</v>
      </c>
      <c r="K278" s="1" t="s">
        <v>74</v>
      </c>
      <c r="M278" s="1" t="s">
        <v>58</v>
      </c>
      <c r="N278" s="1" t="s">
        <v>58</v>
      </c>
      <c r="O278" s="1" t="s">
        <v>58</v>
      </c>
      <c r="Q278" s="1" t="s">
        <v>58</v>
      </c>
      <c r="R278" s="1" t="s">
        <v>58</v>
      </c>
      <c r="S278" s="1" t="s">
        <v>58</v>
      </c>
      <c r="T278" s="1" t="s">
        <v>58</v>
      </c>
      <c r="U278" s="1" t="s">
        <v>58</v>
      </c>
      <c r="V278" s="1" t="s">
        <v>58</v>
      </c>
      <c r="W278" s="1" t="s">
        <v>58</v>
      </c>
      <c r="X278" s="1" t="s">
        <v>81</v>
      </c>
      <c r="Y278" s="1" t="s">
        <v>60</v>
      </c>
      <c r="Z278" s="1" t="s">
        <v>127</v>
      </c>
      <c r="AA278" s="1">
        <v>50.0</v>
      </c>
      <c r="AB278" s="1" t="s">
        <v>62</v>
      </c>
      <c r="AC278" s="1" t="s">
        <v>71</v>
      </c>
      <c r="AF278" s="1" t="s">
        <v>51</v>
      </c>
      <c r="AI278" s="1">
        <v>0.0</v>
      </c>
      <c r="AJ278" s="1">
        <v>0.0</v>
      </c>
      <c r="AK278" s="1">
        <v>0.0</v>
      </c>
      <c r="AL278" s="1">
        <v>1.0</v>
      </c>
      <c r="AM278" s="1" t="s">
        <v>51</v>
      </c>
      <c r="AN278" s="1">
        <v>8.45540475E8</v>
      </c>
      <c r="AP278" s="1">
        <v>4.90430332E8</v>
      </c>
      <c r="AQ278" s="1" t="s">
        <v>402</v>
      </c>
      <c r="AR278" s="1">
        <v>45809.48391</v>
      </c>
      <c r="AU278" s="1" t="s">
        <v>64</v>
      </c>
      <c r="AW278" s="1" t="s">
        <v>255</v>
      </c>
      <c r="AY278" s="1">
        <v>272.0</v>
      </c>
    </row>
    <row r="279">
      <c r="A279" s="1" t="s">
        <v>51</v>
      </c>
      <c r="C279" s="1" t="s">
        <v>52</v>
      </c>
      <c r="E279" s="1" t="s">
        <v>53</v>
      </c>
      <c r="F279" s="1" t="s">
        <v>54</v>
      </c>
      <c r="G279" s="1">
        <v>35.0</v>
      </c>
      <c r="H279" s="1" t="s">
        <v>55</v>
      </c>
      <c r="I279" s="1" t="s">
        <v>67</v>
      </c>
      <c r="J279" s="1" t="s">
        <v>68</v>
      </c>
      <c r="K279" s="1" t="s">
        <v>74</v>
      </c>
      <c r="M279" s="1" t="s">
        <v>58</v>
      </c>
      <c r="N279" s="1" t="s">
        <v>58</v>
      </c>
      <c r="O279" s="1" t="s">
        <v>58</v>
      </c>
      <c r="Q279" s="1" t="s">
        <v>58</v>
      </c>
      <c r="R279" s="1" t="s">
        <v>58</v>
      </c>
      <c r="S279" s="1" t="s">
        <v>58</v>
      </c>
      <c r="T279" s="1" t="s">
        <v>58</v>
      </c>
      <c r="U279" s="1" t="s">
        <v>58</v>
      </c>
      <c r="V279" s="1" t="s">
        <v>58</v>
      </c>
      <c r="W279" s="1" t="s">
        <v>58</v>
      </c>
      <c r="Y279" s="1" t="s">
        <v>82</v>
      </c>
      <c r="Z279" s="1" t="s">
        <v>61</v>
      </c>
      <c r="AA279" s="1">
        <v>20.0</v>
      </c>
      <c r="AB279" s="1" t="s">
        <v>79</v>
      </c>
      <c r="AC279" s="1" t="s">
        <v>51</v>
      </c>
      <c r="AD279" s="1" t="s">
        <v>59</v>
      </c>
      <c r="AF279" s="1" t="s">
        <v>51</v>
      </c>
      <c r="AG279" s="1" t="s">
        <v>51</v>
      </c>
      <c r="AI279" s="1">
        <v>0.0</v>
      </c>
      <c r="AJ279" s="1">
        <v>1.0</v>
      </c>
      <c r="AK279" s="1">
        <v>0.0</v>
      </c>
      <c r="AL279" s="1">
        <v>0.0</v>
      </c>
      <c r="AM279" s="1" t="s">
        <v>51</v>
      </c>
      <c r="AP279" s="1">
        <v>4.90430818E8</v>
      </c>
      <c r="AQ279" s="1" t="s">
        <v>403</v>
      </c>
      <c r="AR279" s="1">
        <v>45809.48487</v>
      </c>
      <c r="AU279" s="1" t="s">
        <v>64</v>
      </c>
      <c r="AW279" s="1" t="s">
        <v>255</v>
      </c>
      <c r="AY279" s="1">
        <v>273.0</v>
      </c>
    </row>
    <row r="280">
      <c r="A280" s="1" t="s">
        <v>51</v>
      </c>
      <c r="C280" s="1" t="s">
        <v>52</v>
      </c>
      <c r="E280" s="1" t="s">
        <v>53</v>
      </c>
      <c r="F280" s="1" t="s">
        <v>54</v>
      </c>
      <c r="G280" s="1">
        <v>30.0</v>
      </c>
      <c r="H280" s="1" t="s">
        <v>55</v>
      </c>
      <c r="I280" s="1" t="s">
        <v>100</v>
      </c>
      <c r="J280" s="1" t="s">
        <v>68</v>
      </c>
      <c r="K280" s="1" t="s">
        <v>74</v>
      </c>
      <c r="M280" s="1" t="s">
        <v>58</v>
      </c>
      <c r="N280" s="1" t="s">
        <v>58</v>
      </c>
      <c r="O280" s="1" t="s">
        <v>69</v>
      </c>
      <c r="Q280" s="1" t="s">
        <v>58</v>
      </c>
      <c r="R280" s="1" t="s">
        <v>58</v>
      </c>
      <c r="S280" s="1" t="s">
        <v>69</v>
      </c>
      <c r="T280" s="1" t="s">
        <v>69</v>
      </c>
      <c r="U280" s="1" t="s">
        <v>69</v>
      </c>
      <c r="V280" s="1" t="s">
        <v>58</v>
      </c>
      <c r="W280" s="1" t="s">
        <v>58</v>
      </c>
      <c r="X280" s="1" t="s">
        <v>81</v>
      </c>
      <c r="Y280" s="1" t="s">
        <v>172</v>
      </c>
      <c r="Z280" s="1" t="s">
        <v>96</v>
      </c>
      <c r="AA280" s="1">
        <v>100.0</v>
      </c>
      <c r="AB280" s="1" t="s">
        <v>62</v>
      </c>
      <c r="AC280" s="1" t="s">
        <v>71</v>
      </c>
      <c r="AF280" s="1" t="s">
        <v>51</v>
      </c>
      <c r="AG280" s="1" t="s">
        <v>72</v>
      </c>
      <c r="AI280" s="1">
        <v>0.0</v>
      </c>
      <c r="AJ280" s="1">
        <v>0.0</v>
      </c>
      <c r="AK280" s="1">
        <v>0.0</v>
      </c>
      <c r="AL280" s="1">
        <v>1.0</v>
      </c>
      <c r="AP280" s="1">
        <v>4.90431866E8</v>
      </c>
      <c r="AQ280" s="1" t="s">
        <v>404</v>
      </c>
      <c r="AR280" s="1">
        <v>45809.48755</v>
      </c>
      <c r="AU280" s="1" t="s">
        <v>64</v>
      </c>
      <c r="AW280" s="1" t="s">
        <v>255</v>
      </c>
      <c r="AY280" s="1">
        <v>274.0</v>
      </c>
    </row>
    <row r="281">
      <c r="A281" s="1" t="s">
        <v>51</v>
      </c>
      <c r="C281" s="1" t="s">
        <v>52</v>
      </c>
      <c r="E281" s="1" t="s">
        <v>53</v>
      </c>
      <c r="F281" s="1" t="s">
        <v>54</v>
      </c>
      <c r="G281" s="1">
        <v>34.0</v>
      </c>
      <c r="H281" s="1" t="s">
        <v>55</v>
      </c>
      <c r="I281" s="1" t="s">
        <v>67</v>
      </c>
      <c r="J281" s="1" t="s">
        <v>68</v>
      </c>
      <c r="K281" s="1" t="s">
        <v>74</v>
      </c>
      <c r="M281" s="1" t="s">
        <v>58</v>
      </c>
      <c r="N281" s="1" t="s">
        <v>58</v>
      </c>
      <c r="O281" s="1" t="s">
        <v>69</v>
      </c>
      <c r="Q281" s="1" t="s">
        <v>58</v>
      </c>
      <c r="R281" s="1" t="s">
        <v>58</v>
      </c>
      <c r="S281" s="1" t="s">
        <v>69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81</v>
      </c>
      <c r="Y281" s="1" t="s">
        <v>60</v>
      </c>
      <c r="Z281" s="1" t="s">
        <v>96</v>
      </c>
      <c r="AA281" s="1">
        <v>100.0</v>
      </c>
      <c r="AB281" s="1" t="s">
        <v>62</v>
      </c>
      <c r="AC281" s="1" t="s">
        <v>71</v>
      </c>
      <c r="AF281" s="1" t="s">
        <v>51</v>
      </c>
      <c r="AI281" s="1">
        <v>0.0</v>
      </c>
      <c r="AJ281" s="1">
        <v>0.0</v>
      </c>
      <c r="AK281" s="1">
        <v>0.0</v>
      </c>
      <c r="AL281" s="1">
        <v>1.0</v>
      </c>
      <c r="AM281" s="1" t="s">
        <v>51</v>
      </c>
      <c r="AN281" s="1">
        <v>8.43131062E8</v>
      </c>
      <c r="AP281" s="1">
        <v>4.904325E8</v>
      </c>
      <c r="AQ281" s="1" t="s">
        <v>405</v>
      </c>
      <c r="AR281" s="1">
        <v>45809.48904</v>
      </c>
      <c r="AU281" s="1" t="s">
        <v>64</v>
      </c>
      <c r="AW281" s="1" t="s">
        <v>255</v>
      </c>
      <c r="AY281" s="1">
        <v>275.0</v>
      </c>
    </row>
    <row r="282">
      <c r="A282" s="1" t="s">
        <v>51</v>
      </c>
      <c r="C282" s="1" t="s">
        <v>52</v>
      </c>
      <c r="E282" s="1" t="s">
        <v>53</v>
      </c>
      <c r="F282" s="1" t="s">
        <v>54</v>
      </c>
      <c r="G282" s="1">
        <v>29.0</v>
      </c>
      <c r="H282" s="1" t="s">
        <v>55</v>
      </c>
      <c r="I282" s="1" t="s">
        <v>67</v>
      </c>
      <c r="J282" s="1" t="s">
        <v>56</v>
      </c>
      <c r="K282" s="1" t="s">
        <v>74</v>
      </c>
      <c r="M282" s="1" t="s">
        <v>58</v>
      </c>
      <c r="N282" s="1" t="s">
        <v>58</v>
      </c>
      <c r="O282" s="1" t="s">
        <v>58</v>
      </c>
      <c r="Q282" s="1" t="s">
        <v>58</v>
      </c>
      <c r="R282" s="1" t="s">
        <v>58</v>
      </c>
      <c r="S282" s="1" t="s">
        <v>58</v>
      </c>
      <c r="T282" s="1" t="s">
        <v>58</v>
      </c>
      <c r="U282" s="1" t="s">
        <v>70</v>
      </c>
      <c r="V282" s="1" t="s">
        <v>58</v>
      </c>
      <c r="W282" s="1" t="s">
        <v>58</v>
      </c>
      <c r="X282" s="1" t="s">
        <v>59</v>
      </c>
      <c r="Y282" s="1" t="s">
        <v>60</v>
      </c>
      <c r="Z282" s="1" t="s">
        <v>108</v>
      </c>
      <c r="AA282" s="1">
        <v>100.0</v>
      </c>
      <c r="AB282" s="1" t="s">
        <v>62</v>
      </c>
      <c r="AC282" s="1" t="s">
        <v>71</v>
      </c>
      <c r="AF282" s="1" t="s">
        <v>51</v>
      </c>
      <c r="AG282" s="1" t="s">
        <v>51</v>
      </c>
      <c r="AH282" s="1">
        <v>200.0</v>
      </c>
      <c r="AI282" s="1">
        <v>0.0</v>
      </c>
      <c r="AJ282" s="1">
        <v>0.0</v>
      </c>
      <c r="AK282" s="1">
        <v>1.0</v>
      </c>
      <c r="AL282" s="1">
        <v>0.0</v>
      </c>
      <c r="AM282" s="1" t="s">
        <v>51</v>
      </c>
      <c r="AN282" s="1">
        <v>6.38118772E8</v>
      </c>
      <c r="AP282" s="1">
        <v>4.9043351E8</v>
      </c>
      <c r="AQ282" s="1" t="s">
        <v>406</v>
      </c>
      <c r="AR282" s="1">
        <v>45809.49069</v>
      </c>
      <c r="AU282" s="1" t="s">
        <v>64</v>
      </c>
      <c r="AW282" s="1" t="s">
        <v>255</v>
      </c>
      <c r="AY282" s="1">
        <v>276.0</v>
      </c>
    </row>
    <row r="283">
      <c r="A283" s="1" t="s">
        <v>51</v>
      </c>
      <c r="C283" s="1" t="s">
        <v>52</v>
      </c>
      <c r="E283" s="1" t="s">
        <v>53</v>
      </c>
      <c r="F283" s="1" t="s">
        <v>54</v>
      </c>
      <c r="G283" s="1">
        <v>32.0</v>
      </c>
      <c r="H283" s="1" t="s">
        <v>55</v>
      </c>
      <c r="I283" s="1" t="s">
        <v>67</v>
      </c>
      <c r="J283" s="1" t="s">
        <v>111</v>
      </c>
      <c r="K283" s="1" t="s">
        <v>74</v>
      </c>
      <c r="M283" s="1" t="s">
        <v>58</v>
      </c>
      <c r="N283" s="1" t="s">
        <v>58</v>
      </c>
      <c r="O283" s="1" t="s">
        <v>70</v>
      </c>
      <c r="Q283" s="1" t="s">
        <v>58</v>
      </c>
      <c r="R283" s="1" t="s">
        <v>58</v>
      </c>
      <c r="S283" s="1" t="s">
        <v>58</v>
      </c>
      <c r="T283" s="1" t="s">
        <v>69</v>
      </c>
      <c r="U283" s="1" t="s">
        <v>58</v>
      </c>
      <c r="V283" s="1" t="s">
        <v>58</v>
      </c>
      <c r="W283" s="1" t="s">
        <v>69</v>
      </c>
      <c r="X283" s="1" t="s">
        <v>59</v>
      </c>
      <c r="Y283" s="1" t="s">
        <v>60</v>
      </c>
      <c r="Z283" s="1" t="s">
        <v>127</v>
      </c>
      <c r="AA283" s="1">
        <v>50.0</v>
      </c>
      <c r="AB283" s="1" t="s">
        <v>62</v>
      </c>
      <c r="AC283" s="1" t="s">
        <v>71</v>
      </c>
      <c r="AF283" s="1" t="s">
        <v>51</v>
      </c>
      <c r="AG283" s="1" t="s">
        <v>51</v>
      </c>
      <c r="AH283" s="1">
        <v>350.0</v>
      </c>
      <c r="AI283" s="1">
        <v>0.0</v>
      </c>
      <c r="AJ283" s="1">
        <v>1.0</v>
      </c>
      <c r="AK283" s="1">
        <v>0.0</v>
      </c>
      <c r="AL283" s="1">
        <v>0.0</v>
      </c>
      <c r="AM283" s="1" t="s">
        <v>51</v>
      </c>
      <c r="AN283" s="1">
        <v>6.9334195E8</v>
      </c>
      <c r="AP283" s="1">
        <v>4.90434382E8</v>
      </c>
      <c r="AQ283" s="1" t="s">
        <v>407</v>
      </c>
      <c r="AR283" s="1">
        <v>45809.49219</v>
      </c>
      <c r="AU283" s="1" t="s">
        <v>64</v>
      </c>
      <c r="AW283" s="1" t="s">
        <v>255</v>
      </c>
      <c r="AY283" s="1">
        <v>277.0</v>
      </c>
    </row>
    <row r="284">
      <c r="A284" s="1" t="s">
        <v>51</v>
      </c>
      <c r="C284" s="1" t="s">
        <v>52</v>
      </c>
      <c r="E284" s="1" t="s">
        <v>53</v>
      </c>
      <c r="F284" s="1" t="s">
        <v>54</v>
      </c>
      <c r="G284" s="1">
        <v>28.0</v>
      </c>
      <c r="H284" s="1" t="s">
        <v>55</v>
      </c>
      <c r="I284" s="1" t="s">
        <v>100</v>
      </c>
      <c r="J284" s="1" t="s">
        <v>68</v>
      </c>
      <c r="K284" s="1" t="s">
        <v>74</v>
      </c>
      <c r="M284" s="1" t="s">
        <v>58</v>
      </c>
      <c r="N284" s="1" t="s">
        <v>58</v>
      </c>
      <c r="O284" s="1" t="s">
        <v>69</v>
      </c>
      <c r="Q284" s="1" t="s">
        <v>69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69</v>
      </c>
      <c r="X284" s="1" t="s">
        <v>59</v>
      </c>
      <c r="Y284" s="1" t="s">
        <v>60</v>
      </c>
      <c r="Z284" s="1" t="s">
        <v>108</v>
      </c>
      <c r="AA284" s="1">
        <v>100.0</v>
      </c>
      <c r="AB284" s="1" t="s">
        <v>62</v>
      </c>
      <c r="AC284" s="1" t="s">
        <v>71</v>
      </c>
      <c r="AG284" s="1" t="s">
        <v>51</v>
      </c>
      <c r="AH284" s="1">
        <v>400.0</v>
      </c>
      <c r="AI284" s="1">
        <v>0.0</v>
      </c>
      <c r="AJ284" s="1">
        <v>0.0</v>
      </c>
      <c r="AK284" s="1">
        <v>0.0</v>
      </c>
      <c r="AL284" s="1">
        <v>1.0</v>
      </c>
      <c r="AM284" s="1" t="s">
        <v>51</v>
      </c>
      <c r="AN284" s="1">
        <v>6.93913293E8</v>
      </c>
      <c r="AP284" s="1">
        <v>4.90434959E8</v>
      </c>
      <c r="AQ284" s="1" t="s">
        <v>408</v>
      </c>
      <c r="AR284" s="1">
        <v>45809.4935</v>
      </c>
      <c r="AU284" s="1" t="s">
        <v>64</v>
      </c>
      <c r="AW284" s="1" t="s">
        <v>255</v>
      </c>
      <c r="AY284" s="1">
        <v>278.0</v>
      </c>
    </row>
    <row r="285">
      <c r="A285" s="1" t="s">
        <v>51</v>
      </c>
      <c r="C285" s="1" t="s">
        <v>131</v>
      </c>
      <c r="E285" s="1" t="s">
        <v>53</v>
      </c>
      <c r="F285" s="1" t="s">
        <v>54</v>
      </c>
      <c r="G285" s="1">
        <v>32.0</v>
      </c>
      <c r="H285" s="1" t="s">
        <v>55</v>
      </c>
      <c r="I285" s="1" t="s">
        <v>67</v>
      </c>
      <c r="J285" s="1" t="s">
        <v>68</v>
      </c>
      <c r="K285" s="1" t="s">
        <v>57</v>
      </c>
      <c r="M285" s="1" t="s">
        <v>58</v>
      </c>
      <c r="N285" s="1" t="s">
        <v>58</v>
      </c>
      <c r="O285" s="1" t="s">
        <v>70</v>
      </c>
      <c r="Q285" s="1" t="s">
        <v>69</v>
      </c>
      <c r="R285" s="1" t="s">
        <v>58</v>
      </c>
      <c r="S285" s="1" t="s">
        <v>69</v>
      </c>
      <c r="T285" s="1" t="s">
        <v>69</v>
      </c>
      <c r="U285" s="1" t="s">
        <v>70</v>
      </c>
      <c r="V285" s="1" t="s">
        <v>69</v>
      </c>
      <c r="W285" s="1" t="s">
        <v>69</v>
      </c>
      <c r="X285" s="1" t="s">
        <v>81</v>
      </c>
      <c r="Y285" s="1" t="s">
        <v>82</v>
      </c>
      <c r="Z285" s="1" t="s">
        <v>96</v>
      </c>
      <c r="AA285" s="1">
        <v>100.0</v>
      </c>
      <c r="AB285" s="1" t="s">
        <v>79</v>
      </c>
      <c r="AC285" s="1" t="s">
        <v>72</v>
      </c>
      <c r="AF285" s="1" t="s">
        <v>51</v>
      </c>
      <c r="AG285" s="1" t="s">
        <v>51</v>
      </c>
      <c r="AH285" s="1">
        <v>10.0</v>
      </c>
      <c r="AI285" s="1">
        <v>0.0</v>
      </c>
      <c r="AJ285" s="1">
        <v>0.0</v>
      </c>
      <c r="AK285" s="1">
        <v>0.0</v>
      </c>
      <c r="AL285" s="1">
        <v>1.0</v>
      </c>
      <c r="AM285" s="1" t="s">
        <v>51</v>
      </c>
      <c r="AN285" s="1">
        <v>6.37219103E8</v>
      </c>
      <c r="AP285" s="1">
        <v>4.90437016E8</v>
      </c>
      <c r="AQ285" s="1" t="s">
        <v>409</v>
      </c>
      <c r="AR285" s="1">
        <v>45809.49846</v>
      </c>
      <c r="AU285" s="1" t="s">
        <v>64</v>
      </c>
      <c r="AW285" s="1" t="s">
        <v>255</v>
      </c>
      <c r="AY285" s="1">
        <v>279.0</v>
      </c>
    </row>
    <row r="286">
      <c r="A286" s="1" t="s">
        <v>51</v>
      </c>
      <c r="C286" s="1" t="s">
        <v>151</v>
      </c>
      <c r="E286" s="1" t="s">
        <v>151</v>
      </c>
      <c r="G286" s="1">
        <v>33.0</v>
      </c>
      <c r="H286" s="1" t="s">
        <v>55</v>
      </c>
      <c r="J286" s="1" t="s">
        <v>86</v>
      </c>
      <c r="K286" s="1" t="s">
        <v>74</v>
      </c>
      <c r="M286" s="1" t="s">
        <v>58</v>
      </c>
      <c r="N286" s="1" t="s">
        <v>58</v>
      </c>
      <c r="O286" s="1" t="s">
        <v>69</v>
      </c>
      <c r="Q286" s="1" t="s">
        <v>69</v>
      </c>
      <c r="R286" s="1" t="s">
        <v>58</v>
      </c>
      <c r="S286" s="1" t="s">
        <v>69</v>
      </c>
      <c r="T286" s="1" t="s">
        <v>69</v>
      </c>
      <c r="U286" s="1" t="s">
        <v>58</v>
      </c>
      <c r="V286" s="1" t="s">
        <v>58</v>
      </c>
      <c r="W286" s="1" t="s">
        <v>69</v>
      </c>
      <c r="X286" s="1" t="s">
        <v>81</v>
      </c>
      <c r="Y286" s="1" t="s">
        <v>82</v>
      </c>
      <c r="Z286" s="1" t="s">
        <v>89</v>
      </c>
      <c r="AA286" s="1">
        <v>20.0</v>
      </c>
      <c r="AB286" s="1" t="s">
        <v>62</v>
      </c>
      <c r="AC286" s="1" t="s">
        <v>71</v>
      </c>
      <c r="AF286" s="1" t="s">
        <v>51</v>
      </c>
      <c r="AG286" s="1" t="s">
        <v>72</v>
      </c>
      <c r="AI286" s="1">
        <v>1.0</v>
      </c>
      <c r="AJ286" s="1">
        <v>1.0</v>
      </c>
      <c r="AK286" s="1">
        <v>1.0</v>
      </c>
      <c r="AL286" s="1">
        <v>0.0</v>
      </c>
      <c r="AP286" s="1">
        <v>4.90437613E8</v>
      </c>
      <c r="AQ286" s="1" t="s">
        <v>410</v>
      </c>
      <c r="AR286" s="1">
        <v>45809.50008</v>
      </c>
      <c r="AU286" s="1" t="s">
        <v>64</v>
      </c>
      <c r="AW286" s="1" t="s">
        <v>255</v>
      </c>
      <c r="AY286" s="1">
        <v>280.0</v>
      </c>
    </row>
    <row r="287">
      <c r="A287" s="1" t="s">
        <v>51</v>
      </c>
      <c r="C287" s="1" t="s">
        <v>151</v>
      </c>
      <c r="E287" s="1" t="s">
        <v>53</v>
      </c>
      <c r="F287" s="1" t="s">
        <v>102</v>
      </c>
      <c r="G287" s="1">
        <v>19.0</v>
      </c>
      <c r="H287" s="1" t="s">
        <v>55</v>
      </c>
      <c r="I287" s="1" t="s">
        <v>100</v>
      </c>
      <c r="J287" s="1" t="s">
        <v>56</v>
      </c>
      <c r="K287" s="1" t="s">
        <v>57</v>
      </c>
      <c r="M287" s="1" t="s">
        <v>70</v>
      </c>
      <c r="N287" s="1" t="s">
        <v>70</v>
      </c>
      <c r="O287" s="1" t="s">
        <v>69</v>
      </c>
      <c r="Q287" s="1" t="s">
        <v>70</v>
      </c>
      <c r="R287" s="1" t="s">
        <v>70</v>
      </c>
      <c r="S287" s="1" t="s">
        <v>58</v>
      </c>
      <c r="T287" s="1" t="s">
        <v>58</v>
      </c>
      <c r="U287" s="1" t="s">
        <v>70</v>
      </c>
      <c r="V287" s="1" t="s">
        <v>58</v>
      </c>
      <c r="W287" s="1" t="s">
        <v>58</v>
      </c>
      <c r="X287" s="1" t="s">
        <v>59</v>
      </c>
      <c r="Y287" s="1" t="s">
        <v>60</v>
      </c>
      <c r="Z287" s="1" t="s">
        <v>89</v>
      </c>
      <c r="AA287" s="1">
        <v>50.0</v>
      </c>
      <c r="AB287" s="1" t="s">
        <v>79</v>
      </c>
      <c r="AC287" s="1" t="s">
        <v>72</v>
      </c>
      <c r="AF287" s="1" t="s">
        <v>51</v>
      </c>
      <c r="AG287" s="1" t="s">
        <v>51</v>
      </c>
      <c r="AH287" s="1">
        <v>100.0</v>
      </c>
      <c r="AI287" s="1">
        <v>0.0</v>
      </c>
      <c r="AJ287" s="1">
        <v>1.0</v>
      </c>
      <c r="AK287" s="1">
        <v>0.0</v>
      </c>
      <c r="AL287" s="1">
        <v>0.0</v>
      </c>
      <c r="AM287" s="1" t="s">
        <v>72</v>
      </c>
      <c r="AP287" s="1">
        <v>4.90438774E8</v>
      </c>
      <c r="AQ287" s="1" t="s">
        <v>411</v>
      </c>
      <c r="AR287" s="1">
        <v>45809.50295</v>
      </c>
      <c r="AU287" s="1" t="s">
        <v>64</v>
      </c>
      <c r="AW287" s="1" t="s">
        <v>255</v>
      </c>
      <c r="AY287" s="1">
        <v>281.0</v>
      </c>
    </row>
    <row r="288">
      <c r="A288" s="1" t="s">
        <v>51</v>
      </c>
      <c r="C288" s="1" t="s">
        <v>151</v>
      </c>
      <c r="E288" s="1" t="s">
        <v>53</v>
      </c>
      <c r="F288" s="1" t="s">
        <v>232</v>
      </c>
      <c r="G288" s="1">
        <v>29.0</v>
      </c>
      <c r="H288" s="1" t="s">
        <v>66</v>
      </c>
      <c r="I288" s="1" t="s">
        <v>67</v>
      </c>
      <c r="J288" s="1" t="s">
        <v>68</v>
      </c>
      <c r="K288" s="1" t="s">
        <v>92</v>
      </c>
      <c r="M288" s="1" t="s">
        <v>58</v>
      </c>
      <c r="N288" s="1" t="s">
        <v>58</v>
      </c>
      <c r="O288" s="1" t="s">
        <v>69</v>
      </c>
      <c r="Q288" s="1" t="s">
        <v>58</v>
      </c>
      <c r="R288" s="1" t="s">
        <v>58</v>
      </c>
      <c r="S288" s="1" t="s">
        <v>69</v>
      </c>
      <c r="T288" s="1" t="s">
        <v>69</v>
      </c>
      <c r="U288" s="1" t="s">
        <v>70</v>
      </c>
      <c r="V288" s="1" t="s">
        <v>58</v>
      </c>
      <c r="W288" s="1" t="s">
        <v>69</v>
      </c>
      <c r="X288" s="1" t="s">
        <v>81</v>
      </c>
      <c r="Y288" s="1" t="s">
        <v>82</v>
      </c>
      <c r="Z288" s="1" t="s">
        <v>61</v>
      </c>
      <c r="AA288" s="1">
        <v>20.0</v>
      </c>
      <c r="AB288" s="1" t="s">
        <v>79</v>
      </c>
      <c r="AC288" s="1" t="s">
        <v>71</v>
      </c>
      <c r="AF288" s="1" t="s">
        <v>51</v>
      </c>
      <c r="AG288" s="1" t="s">
        <v>51</v>
      </c>
      <c r="AH288" s="1">
        <v>250.0</v>
      </c>
      <c r="AI288" s="1">
        <v>1.0</v>
      </c>
      <c r="AJ288" s="1">
        <v>1.0</v>
      </c>
      <c r="AK288" s="1">
        <v>1.0</v>
      </c>
      <c r="AL288" s="1">
        <v>1.0</v>
      </c>
      <c r="AM288" s="1" t="s">
        <v>72</v>
      </c>
      <c r="AP288" s="1">
        <v>4.90440004E8</v>
      </c>
      <c r="AQ288" s="1" t="s">
        <v>412</v>
      </c>
      <c r="AR288" s="1">
        <v>45809.50516</v>
      </c>
      <c r="AU288" s="1" t="s">
        <v>64</v>
      </c>
      <c r="AW288" s="1" t="s">
        <v>255</v>
      </c>
      <c r="AY288" s="1">
        <v>282.0</v>
      </c>
    </row>
    <row r="289">
      <c r="A289" s="1" t="s">
        <v>51</v>
      </c>
      <c r="C289" s="1" t="s">
        <v>151</v>
      </c>
      <c r="E289" s="1" t="s">
        <v>53</v>
      </c>
      <c r="F289" s="1" t="s">
        <v>102</v>
      </c>
      <c r="G289" s="1">
        <v>25.0</v>
      </c>
      <c r="H289" s="1" t="s">
        <v>55</v>
      </c>
      <c r="I289" s="1" t="s">
        <v>76</v>
      </c>
      <c r="J289" s="1" t="s">
        <v>68</v>
      </c>
      <c r="K289" s="1" t="s">
        <v>74</v>
      </c>
      <c r="M289" s="1" t="s">
        <v>58</v>
      </c>
      <c r="N289" s="1" t="s">
        <v>58</v>
      </c>
      <c r="O289" s="1" t="s">
        <v>69</v>
      </c>
      <c r="Q289" s="1" t="s">
        <v>69</v>
      </c>
      <c r="R289" s="1" t="s">
        <v>58</v>
      </c>
      <c r="S289" s="1" t="s">
        <v>58</v>
      </c>
      <c r="T289" s="1" t="s">
        <v>58</v>
      </c>
      <c r="U289" s="1" t="s">
        <v>70</v>
      </c>
      <c r="V289" s="1" t="s">
        <v>58</v>
      </c>
      <c r="W289" s="1" t="s">
        <v>58</v>
      </c>
      <c r="X289" s="1" t="s">
        <v>81</v>
      </c>
      <c r="Y289" s="1" t="s">
        <v>82</v>
      </c>
      <c r="Z289" s="1" t="s">
        <v>61</v>
      </c>
      <c r="AA289" s="1">
        <v>10.0</v>
      </c>
      <c r="AB289" s="1" t="s">
        <v>62</v>
      </c>
      <c r="AC289" s="1" t="s">
        <v>71</v>
      </c>
      <c r="AF289" s="1" t="s">
        <v>51</v>
      </c>
      <c r="AG289" s="1" t="s">
        <v>72</v>
      </c>
      <c r="AI289" s="1">
        <v>0.0</v>
      </c>
      <c r="AJ289" s="1">
        <v>0.0</v>
      </c>
      <c r="AK289" s="1">
        <v>0.0</v>
      </c>
      <c r="AL289" s="1">
        <v>1.0</v>
      </c>
      <c r="AM289" s="1" t="s">
        <v>72</v>
      </c>
      <c r="AP289" s="1">
        <v>4.90442696E8</v>
      </c>
      <c r="AQ289" s="1" t="s">
        <v>413</v>
      </c>
      <c r="AR289" s="1">
        <v>45809.51083</v>
      </c>
      <c r="AU289" s="1" t="s">
        <v>64</v>
      </c>
      <c r="AW289" s="1" t="s">
        <v>255</v>
      </c>
      <c r="AY289" s="1">
        <v>283.0</v>
      </c>
    </row>
    <row r="290">
      <c r="A290" s="1" t="s">
        <v>51</v>
      </c>
      <c r="C290" s="1" t="s">
        <v>151</v>
      </c>
      <c r="E290" s="1" t="s">
        <v>151</v>
      </c>
      <c r="G290" s="1">
        <v>46.0</v>
      </c>
      <c r="H290" s="1" t="s">
        <v>66</v>
      </c>
      <c r="J290" s="1" t="s">
        <v>111</v>
      </c>
      <c r="K290" s="1" t="s">
        <v>87</v>
      </c>
      <c r="M290" s="1" t="s">
        <v>58</v>
      </c>
      <c r="N290" s="1" t="s">
        <v>58</v>
      </c>
      <c r="O290" s="1" t="s">
        <v>69</v>
      </c>
      <c r="Q290" s="1" t="s">
        <v>69</v>
      </c>
      <c r="R290" s="1" t="s">
        <v>69</v>
      </c>
      <c r="S290" s="1" t="s">
        <v>69</v>
      </c>
      <c r="T290" s="1" t="s">
        <v>58</v>
      </c>
      <c r="U290" s="1" t="s">
        <v>69</v>
      </c>
      <c r="V290" s="1" t="s">
        <v>58</v>
      </c>
      <c r="W290" s="1" t="s">
        <v>69</v>
      </c>
      <c r="X290" s="1" t="s">
        <v>81</v>
      </c>
      <c r="Y290" s="1" t="s">
        <v>82</v>
      </c>
      <c r="Z290" s="1" t="s">
        <v>61</v>
      </c>
      <c r="AA290" s="1">
        <v>10.0</v>
      </c>
      <c r="AB290" s="1" t="s">
        <v>79</v>
      </c>
      <c r="AC290" s="1" t="s">
        <v>71</v>
      </c>
      <c r="AF290" s="1" t="s">
        <v>51</v>
      </c>
      <c r="AG290" s="1" t="s">
        <v>72</v>
      </c>
      <c r="AI290" s="1">
        <v>1.0</v>
      </c>
      <c r="AJ290" s="1">
        <v>1.0</v>
      </c>
      <c r="AK290" s="1">
        <v>0.0</v>
      </c>
      <c r="AL290" s="1">
        <v>0.0</v>
      </c>
      <c r="AP290" s="1">
        <v>4.90445028E8</v>
      </c>
      <c r="AQ290" s="1" t="s">
        <v>414</v>
      </c>
      <c r="AR290" s="1">
        <v>45809.51612</v>
      </c>
      <c r="AU290" s="1" t="s">
        <v>64</v>
      </c>
      <c r="AW290" s="1" t="s">
        <v>255</v>
      </c>
      <c r="AY290" s="1">
        <v>284.0</v>
      </c>
    </row>
    <row r="291">
      <c r="A291" s="1" t="s">
        <v>51</v>
      </c>
      <c r="C291" s="1" t="s">
        <v>151</v>
      </c>
      <c r="E291" s="1" t="s">
        <v>151</v>
      </c>
      <c r="G291" s="1">
        <v>20.0</v>
      </c>
      <c r="H291" s="1" t="s">
        <v>55</v>
      </c>
      <c r="J291" s="1" t="s">
        <v>68</v>
      </c>
      <c r="K291" s="1" t="s">
        <v>74</v>
      </c>
      <c r="M291" s="1" t="s">
        <v>58</v>
      </c>
      <c r="N291" s="1" t="s">
        <v>58</v>
      </c>
      <c r="O291" s="1" t="s">
        <v>69</v>
      </c>
      <c r="Q291" s="1" t="s">
        <v>69</v>
      </c>
      <c r="R291" s="1" t="s">
        <v>58</v>
      </c>
      <c r="S291" s="1" t="s">
        <v>69</v>
      </c>
      <c r="T291" s="1" t="s">
        <v>69</v>
      </c>
      <c r="U291" s="1" t="s">
        <v>70</v>
      </c>
      <c r="V291" s="1" t="s">
        <v>58</v>
      </c>
      <c r="W291" s="1" t="s">
        <v>69</v>
      </c>
      <c r="X291" s="1" t="s">
        <v>81</v>
      </c>
      <c r="Y291" s="1" t="s">
        <v>60</v>
      </c>
      <c r="Z291" s="1" t="s">
        <v>61</v>
      </c>
      <c r="AA291" s="1">
        <v>10.0</v>
      </c>
      <c r="AB291" s="1" t="s">
        <v>79</v>
      </c>
      <c r="AC291" s="1" t="s">
        <v>71</v>
      </c>
      <c r="AF291" s="1" t="s">
        <v>51</v>
      </c>
      <c r="AG291" s="1" t="s">
        <v>72</v>
      </c>
      <c r="AI291" s="1">
        <v>1.0</v>
      </c>
      <c r="AJ291" s="1">
        <v>1.0</v>
      </c>
      <c r="AK291" s="1">
        <v>1.0</v>
      </c>
      <c r="AL291" s="1">
        <v>1.0</v>
      </c>
      <c r="AP291" s="1">
        <v>4.9044811E8</v>
      </c>
      <c r="AQ291" s="1" t="s">
        <v>415</v>
      </c>
      <c r="AR291" s="1">
        <v>45809.52318</v>
      </c>
      <c r="AU291" s="1" t="s">
        <v>64</v>
      </c>
      <c r="AW291" s="1" t="s">
        <v>255</v>
      </c>
      <c r="AY291" s="1">
        <v>285.0</v>
      </c>
    </row>
    <row r="292">
      <c r="AP292" s="1">
        <v>4.90493239E8</v>
      </c>
      <c r="AQ292" s="1" t="s">
        <v>538</v>
      </c>
      <c r="AR292" s="1">
        <v>45809.60697</v>
      </c>
      <c r="AU292" s="1" t="s">
        <v>64</v>
      </c>
      <c r="AW292" s="1" t="s">
        <v>255</v>
      </c>
      <c r="AY292" s="1">
        <v>286.0</v>
      </c>
    </row>
    <row r="293">
      <c r="AP293" s="1">
        <v>4.90494441E8</v>
      </c>
      <c r="AQ293" s="1" t="s">
        <v>539</v>
      </c>
      <c r="AR293" s="1">
        <v>45809.60904</v>
      </c>
      <c r="AU293" s="1" t="s">
        <v>64</v>
      </c>
      <c r="AW293" s="1" t="s">
        <v>255</v>
      </c>
      <c r="AY293" s="1">
        <v>287.0</v>
      </c>
    </row>
    <row r="294">
      <c r="AP294" s="1">
        <v>4.90496329E8</v>
      </c>
      <c r="AQ294" s="1" t="s">
        <v>540</v>
      </c>
      <c r="AR294" s="1">
        <v>45809.61179</v>
      </c>
      <c r="AU294" s="1" t="s">
        <v>64</v>
      </c>
      <c r="AW294" s="1" t="s">
        <v>255</v>
      </c>
      <c r="AY294" s="1">
        <v>288.0</v>
      </c>
    </row>
    <row r="295">
      <c r="AP295" s="1">
        <v>4.90497886E8</v>
      </c>
      <c r="AQ295" s="1" t="s">
        <v>541</v>
      </c>
      <c r="AR295" s="1">
        <v>45809.61461</v>
      </c>
      <c r="AU295" s="1" t="s">
        <v>64</v>
      </c>
      <c r="AW295" s="1" t="s">
        <v>255</v>
      </c>
      <c r="AY295" s="1">
        <v>289.0</v>
      </c>
    </row>
    <row r="296">
      <c r="A296" s="1" t="s">
        <v>51</v>
      </c>
      <c r="C296" s="1" t="s">
        <v>151</v>
      </c>
      <c r="E296" s="1" t="s">
        <v>53</v>
      </c>
      <c r="G296" s="1">
        <v>25.0</v>
      </c>
      <c r="H296" s="1" t="s">
        <v>55</v>
      </c>
      <c r="J296" s="1" t="s">
        <v>56</v>
      </c>
      <c r="K296" s="1" t="s">
        <v>87</v>
      </c>
      <c r="M296" s="1" t="s">
        <v>58</v>
      </c>
      <c r="N296" s="1" t="s">
        <v>58</v>
      </c>
      <c r="O296" s="1" t="s">
        <v>58</v>
      </c>
      <c r="Q296" s="1" t="s">
        <v>58</v>
      </c>
      <c r="R296" s="1" t="s">
        <v>58</v>
      </c>
      <c r="S296" s="1" t="s">
        <v>58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81</v>
      </c>
      <c r="Y296" s="1" t="s">
        <v>95</v>
      </c>
      <c r="Z296" s="1" t="s">
        <v>89</v>
      </c>
      <c r="AA296" s="1">
        <v>10.0</v>
      </c>
      <c r="AB296" s="1" t="s">
        <v>79</v>
      </c>
      <c r="AC296" s="1" t="s">
        <v>51</v>
      </c>
      <c r="AD296" s="1" t="s">
        <v>81</v>
      </c>
      <c r="AE296" s="1" t="s">
        <v>51</v>
      </c>
      <c r="AF296" s="1" t="s">
        <v>51</v>
      </c>
      <c r="AG296" s="1" t="s">
        <v>72</v>
      </c>
      <c r="AI296" s="1">
        <v>1.0</v>
      </c>
      <c r="AJ296" s="1">
        <v>0.0</v>
      </c>
      <c r="AK296" s="1">
        <v>0.0</v>
      </c>
      <c r="AL296" s="1">
        <v>0.0</v>
      </c>
      <c r="AM296" s="1" t="s">
        <v>51</v>
      </c>
      <c r="AN296" s="1">
        <v>6.32773846E8</v>
      </c>
      <c r="AP296" s="1">
        <v>4.90506285E8</v>
      </c>
      <c r="AQ296" s="1" t="s">
        <v>416</v>
      </c>
      <c r="AR296" s="1">
        <v>45809.63079</v>
      </c>
      <c r="AU296" s="1" t="s">
        <v>64</v>
      </c>
      <c r="AW296" s="1" t="s">
        <v>255</v>
      </c>
      <c r="AY296" s="1">
        <v>290.0</v>
      </c>
    </row>
    <row r="297">
      <c r="A297" s="1" t="s">
        <v>51</v>
      </c>
      <c r="C297" s="1" t="s">
        <v>131</v>
      </c>
      <c r="E297" s="1" t="s">
        <v>53</v>
      </c>
      <c r="F297" s="1" t="s">
        <v>85</v>
      </c>
      <c r="G297" s="1">
        <v>20.0</v>
      </c>
      <c r="H297" s="1" t="s">
        <v>55</v>
      </c>
      <c r="I297" s="1" t="s">
        <v>100</v>
      </c>
      <c r="J297" s="1" t="s">
        <v>111</v>
      </c>
      <c r="K297" s="1" t="s">
        <v>57</v>
      </c>
      <c r="M297" s="1" t="s">
        <v>58</v>
      </c>
      <c r="N297" s="1" t="s">
        <v>58</v>
      </c>
      <c r="O297" s="1" t="s">
        <v>58</v>
      </c>
      <c r="Q297" s="1" t="s">
        <v>58</v>
      </c>
      <c r="R297" s="1" t="s">
        <v>58</v>
      </c>
      <c r="S297" s="1" t="s">
        <v>58</v>
      </c>
      <c r="T297" s="1" t="s">
        <v>58</v>
      </c>
      <c r="U297" s="1" t="s">
        <v>58</v>
      </c>
      <c r="V297" s="1" t="s">
        <v>58</v>
      </c>
      <c r="W297" s="1" t="s">
        <v>58</v>
      </c>
      <c r="X297" s="1" t="s">
        <v>59</v>
      </c>
      <c r="Y297" s="1" t="s">
        <v>60</v>
      </c>
      <c r="Z297" s="1" t="s">
        <v>89</v>
      </c>
      <c r="AA297" s="1">
        <v>30.0</v>
      </c>
      <c r="AB297" s="1" t="s">
        <v>62</v>
      </c>
      <c r="AC297" s="1" t="s">
        <v>51</v>
      </c>
      <c r="AD297" s="1" t="s">
        <v>59</v>
      </c>
      <c r="AE297" s="1" t="s">
        <v>51</v>
      </c>
      <c r="AF297" s="1" t="s">
        <v>51</v>
      </c>
      <c r="AG297" s="1" t="s">
        <v>51</v>
      </c>
      <c r="AH297" s="1">
        <v>5.0</v>
      </c>
      <c r="AI297" s="1">
        <v>0.0</v>
      </c>
      <c r="AJ297" s="1">
        <v>1.0</v>
      </c>
      <c r="AK297" s="1">
        <v>0.0</v>
      </c>
      <c r="AL297" s="1">
        <v>0.0</v>
      </c>
      <c r="AM297" s="1" t="s">
        <v>51</v>
      </c>
      <c r="AN297" s="1">
        <v>6.5515584E8</v>
      </c>
      <c r="AP297" s="1">
        <v>4.90507921E8</v>
      </c>
      <c r="AQ297" s="1" t="s">
        <v>417</v>
      </c>
      <c r="AR297" s="1">
        <v>45809.63337</v>
      </c>
      <c r="AU297" s="1" t="s">
        <v>64</v>
      </c>
      <c r="AW297" s="1" t="s">
        <v>255</v>
      </c>
      <c r="AY297" s="1">
        <v>291.0</v>
      </c>
    </row>
    <row r="298">
      <c r="A298" s="1" t="s">
        <v>51</v>
      </c>
      <c r="C298" s="1" t="s">
        <v>131</v>
      </c>
      <c r="E298" s="1" t="s">
        <v>53</v>
      </c>
      <c r="F298" s="1" t="s">
        <v>291</v>
      </c>
      <c r="G298" s="1">
        <v>22.0</v>
      </c>
      <c r="H298" s="1" t="s">
        <v>66</v>
      </c>
      <c r="I298" s="1" t="s">
        <v>76</v>
      </c>
      <c r="J298" s="1" t="s">
        <v>68</v>
      </c>
      <c r="K298" s="1" t="s">
        <v>74</v>
      </c>
      <c r="M298" s="1" t="s">
        <v>58</v>
      </c>
      <c r="N298" s="1" t="s">
        <v>58</v>
      </c>
      <c r="O298" s="1" t="s">
        <v>58</v>
      </c>
      <c r="Q298" s="1" t="s">
        <v>58</v>
      </c>
      <c r="R298" s="1" t="s">
        <v>58</v>
      </c>
      <c r="S298" s="1" t="s">
        <v>58</v>
      </c>
      <c r="T298" s="1" t="s">
        <v>58</v>
      </c>
      <c r="U298" s="1" t="s">
        <v>58</v>
      </c>
      <c r="V298" s="1" t="s">
        <v>58</v>
      </c>
      <c r="W298" s="1" t="s">
        <v>58</v>
      </c>
      <c r="X298" s="1" t="s">
        <v>81</v>
      </c>
      <c r="Y298" s="1" t="s">
        <v>82</v>
      </c>
      <c r="Z298" s="1" t="s">
        <v>108</v>
      </c>
      <c r="AA298" s="1">
        <v>50.0</v>
      </c>
      <c r="AB298" s="1" t="s">
        <v>79</v>
      </c>
      <c r="AC298" s="1" t="s">
        <v>51</v>
      </c>
      <c r="AD298" s="1" t="s">
        <v>59</v>
      </c>
      <c r="AE298" s="1" t="s">
        <v>51</v>
      </c>
      <c r="AF298" s="1" t="s">
        <v>51</v>
      </c>
      <c r="AG298" s="1" t="s">
        <v>51</v>
      </c>
      <c r="AH298" s="1">
        <v>3.0</v>
      </c>
      <c r="AI298" s="1">
        <v>1.0</v>
      </c>
      <c r="AJ298" s="1">
        <v>0.0</v>
      </c>
      <c r="AK298" s="1">
        <v>0.0</v>
      </c>
      <c r="AL298" s="1">
        <v>0.0</v>
      </c>
      <c r="AM298" s="1" t="s">
        <v>51</v>
      </c>
      <c r="AN298" s="1">
        <v>6.311026E8</v>
      </c>
      <c r="AP298" s="1">
        <v>4.90509604E8</v>
      </c>
      <c r="AQ298" s="1" t="s">
        <v>418</v>
      </c>
      <c r="AR298" s="1">
        <v>45809.63671</v>
      </c>
      <c r="AU298" s="1" t="s">
        <v>64</v>
      </c>
      <c r="AW298" s="1" t="s">
        <v>255</v>
      </c>
      <c r="AY298" s="1">
        <v>292.0</v>
      </c>
    </row>
    <row r="299">
      <c r="A299" s="1" t="s">
        <v>51</v>
      </c>
      <c r="C299" s="1" t="s">
        <v>131</v>
      </c>
      <c r="E299" s="1" t="s">
        <v>53</v>
      </c>
      <c r="F299" s="1" t="s">
        <v>291</v>
      </c>
      <c r="G299" s="1">
        <v>25.0</v>
      </c>
      <c r="H299" s="1" t="s">
        <v>55</v>
      </c>
      <c r="I299" s="1" t="s">
        <v>419</v>
      </c>
      <c r="J299" s="1" t="s">
        <v>86</v>
      </c>
      <c r="K299" s="1" t="s">
        <v>78</v>
      </c>
      <c r="M299" s="1" t="s">
        <v>70</v>
      </c>
      <c r="N299" s="1" t="s">
        <v>58</v>
      </c>
      <c r="O299" s="1" t="s">
        <v>58</v>
      </c>
      <c r="Q299" s="1" t="s">
        <v>58</v>
      </c>
      <c r="R299" s="1" t="s">
        <v>58</v>
      </c>
      <c r="S299" s="1" t="s">
        <v>58</v>
      </c>
      <c r="T299" s="1" t="s">
        <v>58</v>
      </c>
      <c r="U299" s="1" t="s">
        <v>58</v>
      </c>
      <c r="V299" s="1" t="s">
        <v>58</v>
      </c>
      <c r="W299" s="1" t="s">
        <v>58</v>
      </c>
      <c r="X299" s="1" t="s">
        <v>88</v>
      </c>
      <c r="Y299" s="1" t="s">
        <v>60</v>
      </c>
      <c r="Z299" s="1" t="s">
        <v>127</v>
      </c>
      <c r="AA299" s="1">
        <v>20.0</v>
      </c>
      <c r="AB299" s="1" t="s">
        <v>79</v>
      </c>
      <c r="AC299" s="1" t="s">
        <v>51</v>
      </c>
      <c r="AD299" s="1" t="s">
        <v>59</v>
      </c>
      <c r="AE299" s="1" t="s">
        <v>51</v>
      </c>
      <c r="AF299" s="1" t="s">
        <v>51</v>
      </c>
      <c r="AG299" s="1" t="s">
        <v>51</v>
      </c>
      <c r="AH299" s="1">
        <v>2.0</v>
      </c>
      <c r="AI299" s="1">
        <v>1.0</v>
      </c>
      <c r="AJ299" s="1">
        <v>0.0</v>
      </c>
      <c r="AK299" s="1">
        <v>0.0</v>
      </c>
      <c r="AL299" s="1">
        <v>0.0</v>
      </c>
      <c r="AM299" s="1" t="s">
        <v>51</v>
      </c>
      <c r="AN299" s="1">
        <v>8.15732989E8</v>
      </c>
      <c r="AP299" s="1">
        <v>4.90509749E8</v>
      </c>
      <c r="AQ299" s="1" t="s">
        <v>420</v>
      </c>
      <c r="AR299" s="1">
        <v>45809.63701</v>
      </c>
      <c r="AU299" s="1" t="s">
        <v>64</v>
      </c>
      <c r="AW299" s="1" t="s">
        <v>255</v>
      </c>
      <c r="AY299" s="1">
        <v>293.0</v>
      </c>
    </row>
    <row r="300">
      <c r="A300" s="1" t="s">
        <v>51</v>
      </c>
      <c r="C300" s="1" t="s">
        <v>131</v>
      </c>
      <c r="E300" s="1" t="s">
        <v>53</v>
      </c>
      <c r="F300" s="1" t="s">
        <v>85</v>
      </c>
      <c r="G300" s="1">
        <v>23.0</v>
      </c>
      <c r="H300" s="1" t="s">
        <v>55</v>
      </c>
      <c r="I300" s="1" t="s">
        <v>67</v>
      </c>
      <c r="J300" s="1" t="s">
        <v>111</v>
      </c>
      <c r="K300" s="1" t="s">
        <v>78</v>
      </c>
      <c r="M300" s="1" t="s">
        <v>58</v>
      </c>
      <c r="N300" s="1" t="s">
        <v>58</v>
      </c>
      <c r="O300" s="1" t="s">
        <v>58</v>
      </c>
      <c r="Q300" s="1" t="s">
        <v>58</v>
      </c>
      <c r="R300" s="1" t="s">
        <v>70</v>
      </c>
      <c r="T300" s="1" t="s">
        <v>58</v>
      </c>
      <c r="U300" s="1" t="s">
        <v>70</v>
      </c>
      <c r="V300" s="1" t="s">
        <v>58</v>
      </c>
      <c r="W300" s="1" t="s">
        <v>58</v>
      </c>
      <c r="X300" s="1" t="s">
        <v>81</v>
      </c>
      <c r="Y300" s="1" t="s">
        <v>172</v>
      </c>
      <c r="Z300" s="1" t="s">
        <v>127</v>
      </c>
      <c r="AA300" s="1">
        <v>10.0</v>
      </c>
      <c r="AB300" s="1" t="s">
        <v>79</v>
      </c>
      <c r="AC300" s="1" t="s">
        <v>51</v>
      </c>
      <c r="AD300" s="1" t="s">
        <v>81</v>
      </c>
      <c r="AE300" s="1" t="s">
        <v>51</v>
      </c>
      <c r="AF300" s="1" t="s">
        <v>51</v>
      </c>
      <c r="AG300" s="1" t="s">
        <v>51</v>
      </c>
      <c r="AH300" s="1">
        <v>6.0</v>
      </c>
      <c r="AI300" s="1">
        <v>0.0</v>
      </c>
      <c r="AJ300" s="1">
        <v>1.0</v>
      </c>
      <c r="AK300" s="1">
        <v>0.0</v>
      </c>
      <c r="AL300" s="1">
        <v>0.0</v>
      </c>
      <c r="AM300" s="1" t="s">
        <v>51</v>
      </c>
      <c r="AN300" s="1">
        <v>6.1713361E8</v>
      </c>
      <c r="AP300" s="1">
        <v>4.90511459E8</v>
      </c>
      <c r="AQ300" s="1" t="s">
        <v>421</v>
      </c>
      <c r="AR300" s="1">
        <v>45809.63978</v>
      </c>
      <c r="AU300" s="1" t="s">
        <v>64</v>
      </c>
      <c r="AW300" s="1" t="s">
        <v>255</v>
      </c>
      <c r="AY300" s="1">
        <v>294.0</v>
      </c>
    </row>
    <row r="301">
      <c r="A301" s="1" t="s">
        <v>51</v>
      </c>
      <c r="C301" s="1" t="s">
        <v>131</v>
      </c>
      <c r="E301" s="1" t="s">
        <v>53</v>
      </c>
      <c r="F301" s="1" t="s">
        <v>85</v>
      </c>
      <c r="G301" s="1">
        <v>29.0</v>
      </c>
      <c r="H301" s="1" t="s">
        <v>66</v>
      </c>
      <c r="I301" s="1" t="s">
        <v>67</v>
      </c>
      <c r="J301" s="1" t="s">
        <v>111</v>
      </c>
      <c r="K301" s="1" t="s">
        <v>78</v>
      </c>
      <c r="M301" s="1" t="s">
        <v>70</v>
      </c>
      <c r="N301" s="1" t="s">
        <v>58</v>
      </c>
      <c r="O301" s="1" t="s">
        <v>58</v>
      </c>
      <c r="Q301" s="1" t="s">
        <v>70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59</v>
      </c>
      <c r="Y301" s="1" t="s">
        <v>82</v>
      </c>
      <c r="Z301" s="1" t="s">
        <v>89</v>
      </c>
      <c r="AA301" s="1">
        <v>30.0</v>
      </c>
      <c r="AB301" s="1" t="s">
        <v>62</v>
      </c>
      <c r="AC301" s="1" t="s">
        <v>51</v>
      </c>
      <c r="AD301" s="1" t="s">
        <v>59</v>
      </c>
      <c r="AE301" s="1" t="s">
        <v>51</v>
      </c>
      <c r="AF301" s="1" t="s">
        <v>51</v>
      </c>
      <c r="AG301" s="1" t="s">
        <v>51</v>
      </c>
      <c r="AH301" s="1">
        <v>4.0</v>
      </c>
      <c r="AI301" s="1">
        <v>0.0</v>
      </c>
      <c r="AJ301" s="1">
        <v>1.0</v>
      </c>
      <c r="AK301" s="1">
        <v>0.0</v>
      </c>
      <c r="AL301" s="1">
        <v>0.0</v>
      </c>
      <c r="AM301" s="1" t="s">
        <v>51</v>
      </c>
      <c r="AN301" s="1">
        <v>7.83879656E8</v>
      </c>
      <c r="AP301" s="1">
        <v>4.90511932E8</v>
      </c>
      <c r="AQ301" s="1" t="s">
        <v>422</v>
      </c>
      <c r="AR301" s="1">
        <v>45809.64065</v>
      </c>
      <c r="AU301" s="1" t="s">
        <v>64</v>
      </c>
      <c r="AW301" s="1" t="s">
        <v>255</v>
      </c>
      <c r="AY301" s="1">
        <v>295.0</v>
      </c>
    </row>
    <row r="302">
      <c r="A302" s="1" t="s">
        <v>51</v>
      </c>
      <c r="C302" s="1" t="s">
        <v>131</v>
      </c>
      <c r="E302" s="1" t="s">
        <v>53</v>
      </c>
      <c r="F302" s="1" t="s">
        <v>350</v>
      </c>
      <c r="G302" s="1">
        <v>27.0</v>
      </c>
      <c r="H302" s="1" t="s">
        <v>55</v>
      </c>
      <c r="I302" s="1" t="s">
        <v>67</v>
      </c>
      <c r="J302" s="1" t="s">
        <v>111</v>
      </c>
      <c r="K302" s="1" t="s">
        <v>57</v>
      </c>
      <c r="M302" s="1" t="s">
        <v>58</v>
      </c>
      <c r="N302" s="1" t="s">
        <v>58</v>
      </c>
      <c r="O302" s="1" t="s">
        <v>58</v>
      </c>
      <c r="Q302" s="1" t="s">
        <v>70</v>
      </c>
      <c r="R302" s="1" t="s">
        <v>58</v>
      </c>
      <c r="S302" s="1" t="s">
        <v>58</v>
      </c>
      <c r="T302" s="1" t="s">
        <v>58</v>
      </c>
      <c r="U302" s="1" t="s">
        <v>58</v>
      </c>
      <c r="V302" s="1" t="s">
        <v>58</v>
      </c>
      <c r="W302" s="1" t="s">
        <v>58</v>
      </c>
      <c r="X302" s="1" t="s">
        <v>59</v>
      </c>
      <c r="Y302" s="1" t="s">
        <v>82</v>
      </c>
      <c r="Z302" s="1" t="s">
        <v>89</v>
      </c>
      <c r="AA302" s="1">
        <v>10.0</v>
      </c>
      <c r="AB302" s="1" t="s">
        <v>79</v>
      </c>
      <c r="AC302" s="1" t="s">
        <v>51</v>
      </c>
      <c r="AD302" s="1" t="s">
        <v>59</v>
      </c>
      <c r="AE302" s="1" t="s">
        <v>51</v>
      </c>
      <c r="AF302" s="1" t="s">
        <v>51</v>
      </c>
      <c r="AG302" s="1" t="s">
        <v>51</v>
      </c>
      <c r="AH302" s="1">
        <v>8.0</v>
      </c>
      <c r="AI302" s="1">
        <v>0.0</v>
      </c>
      <c r="AJ302" s="1">
        <v>1.0</v>
      </c>
      <c r="AK302" s="1">
        <v>0.0</v>
      </c>
      <c r="AL302" s="1">
        <v>0.0</v>
      </c>
      <c r="AM302" s="1" t="s">
        <v>51</v>
      </c>
      <c r="AN302" s="1">
        <v>7.83106168E8</v>
      </c>
      <c r="AP302" s="1">
        <v>4.90512955E8</v>
      </c>
      <c r="AQ302" s="1" t="s">
        <v>423</v>
      </c>
      <c r="AR302" s="1">
        <v>45809.64241</v>
      </c>
      <c r="AU302" s="1" t="s">
        <v>64</v>
      </c>
      <c r="AW302" s="1" t="s">
        <v>255</v>
      </c>
      <c r="AY302" s="1">
        <v>296.0</v>
      </c>
    </row>
    <row r="303">
      <c r="A303" s="1" t="s">
        <v>51</v>
      </c>
      <c r="C303" s="1" t="s">
        <v>131</v>
      </c>
      <c r="E303" s="1" t="s">
        <v>53</v>
      </c>
      <c r="F303" s="1" t="s">
        <v>85</v>
      </c>
      <c r="G303" s="1">
        <v>21.0</v>
      </c>
      <c r="H303" s="1" t="s">
        <v>55</v>
      </c>
      <c r="I303" s="1" t="s">
        <v>419</v>
      </c>
      <c r="J303" s="1" t="s">
        <v>111</v>
      </c>
      <c r="K303" s="1" t="s">
        <v>78</v>
      </c>
      <c r="M303" s="1" t="s">
        <v>58</v>
      </c>
      <c r="N303" s="1" t="s">
        <v>58</v>
      </c>
      <c r="O303" s="1" t="s">
        <v>58</v>
      </c>
      <c r="Q303" s="1" t="s">
        <v>58</v>
      </c>
      <c r="R303" s="1" t="s">
        <v>58</v>
      </c>
      <c r="S303" s="1" t="s">
        <v>58</v>
      </c>
      <c r="T303" s="1" t="s">
        <v>58</v>
      </c>
      <c r="U303" s="1" t="s">
        <v>58</v>
      </c>
      <c r="V303" s="1" t="s">
        <v>58</v>
      </c>
      <c r="W303" s="1" t="s">
        <v>58</v>
      </c>
      <c r="X303" s="1" t="s">
        <v>59</v>
      </c>
      <c r="Y303" s="1" t="s">
        <v>60</v>
      </c>
      <c r="Z303" s="1" t="s">
        <v>89</v>
      </c>
      <c r="AA303" s="1">
        <v>10.0</v>
      </c>
      <c r="AB303" s="1" t="s">
        <v>79</v>
      </c>
      <c r="AC303" s="1" t="s">
        <v>51</v>
      </c>
      <c r="AD303" s="1" t="s">
        <v>81</v>
      </c>
      <c r="AE303" s="1" t="s">
        <v>51</v>
      </c>
      <c r="AF303" s="1" t="s">
        <v>51</v>
      </c>
      <c r="AG303" s="1" t="s">
        <v>51</v>
      </c>
      <c r="AH303" s="1">
        <v>2.0</v>
      </c>
      <c r="AI303" s="1">
        <v>1.0</v>
      </c>
      <c r="AJ303" s="1">
        <v>0.0</v>
      </c>
      <c r="AK303" s="1">
        <v>0.0</v>
      </c>
      <c r="AL303" s="1">
        <v>0.0</v>
      </c>
      <c r="AM303" s="1" t="s">
        <v>51</v>
      </c>
      <c r="AN303" s="1">
        <v>6.33869547E8</v>
      </c>
      <c r="AP303" s="1">
        <v>4.90513881E8</v>
      </c>
      <c r="AQ303" s="1" t="s">
        <v>424</v>
      </c>
      <c r="AR303" s="1">
        <v>45809.64403</v>
      </c>
      <c r="AU303" s="1" t="s">
        <v>64</v>
      </c>
      <c r="AW303" s="1" t="s">
        <v>255</v>
      </c>
      <c r="AY303" s="1">
        <v>297.0</v>
      </c>
    </row>
    <row r="304">
      <c r="A304" s="1" t="s">
        <v>51</v>
      </c>
      <c r="C304" s="1" t="s">
        <v>131</v>
      </c>
      <c r="E304" s="1" t="s">
        <v>53</v>
      </c>
      <c r="F304" s="1" t="s">
        <v>291</v>
      </c>
      <c r="G304" s="1">
        <v>23.0</v>
      </c>
      <c r="H304" s="1" t="s">
        <v>66</v>
      </c>
      <c r="I304" s="1" t="s">
        <v>67</v>
      </c>
      <c r="J304" s="1" t="s">
        <v>111</v>
      </c>
      <c r="K304" s="1" t="s">
        <v>57</v>
      </c>
      <c r="M304" s="1" t="s">
        <v>58</v>
      </c>
      <c r="N304" s="1" t="s">
        <v>58</v>
      </c>
      <c r="O304" s="1" t="s">
        <v>58</v>
      </c>
      <c r="Q304" s="1" t="s">
        <v>58</v>
      </c>
      <c r="R304" s="1" t="s">
        <v>58</v>
      </c>
      <c r="S304" s="1" t="s">
        <v>58</v>
      </c>
      <c r="T304" s="1" t="s">
        <v>58</v>
      </c>
      <c r="U304" s="1" t="s">
        <v>58</v>
      </c>
      <c r="V304" s="1" t="s">
        <v>58</v>
      </c>
      <c r="W304" s="1" t="s">
        <v>58</v>
      </c>
      <c r="X304" s="1" t="s">
        <v>81</v>
      </c>
      <c r="Y304" s="1" t="s">
        <v>82</v>
      </c>
      <c r="Z304" s="1" t="s">
        <v>89</v>
      </c>
      <c r="AA304" s="1">
        <v>20.0</v>
      </c>
      <c r="AB304" s="1" t="s">
        <v>62</v>
      </c>
      <c r="AC304" s="1" t="s">
        <v>51</v>
      </c>
      <c r="AD304" s="1" t="s">
        <v>81</v>
      </c>
      <c r="AE304" s="1" t="s">
        <v>51</v>
      </c>
      <c r="AF304" s="1" t="s">
        <v>51</v>
      </c>
      <c r="AG304" s="1" t="s">
        <v>51</v>
      </c>
      <c r="AH304" s="1">
        <v>4.0</v>
      </c>
      <c r="AI304" s="1">
        <v>1.0</v>
      </c>
      <c r="AJ304" s="1">
        <v>0.0</v>
      </c>
      <c r="AK304" s="1">
        <v>0.0</v>
      </c>
      <c r="AL304" s="1">
        <v>0.0</v>
      </c>
      <c r="AM304" s="1" t="s">
        <v>51</v>
      </c>
      <c r="AN304" s="1">
        <v>6.04141344E8</v>
      </c>
      <c r="AP304" s="1">
        <v>4.90516923E8</v>
      </c>
      <c r="AQ304" s="1" t="s">
        <v>425</v>
      </c>
      <c r="AR304" s="1">
        <v>45809.64917</v>
      </c>
      <c r="AU304" s="1" t="s">
        <v>64</v>
      </c>
      <c r="AW304" s="1" t="s">
        <v>255</v>
      </c>
      <c r="AY304" s="1">
        <v>298.0</v>
      </c>
    </row>
    <row r="305">
      <c r="A305" s="1" t="s">
        <v>51</v>
      </c>
      <c r="C305" s="1" t="s">
        <v>151</v>
      </c>
      <c r="E305" s="1" t="s">
        <v>53</v>
      </c>
      <c r="F305" s="1" t="s">
        <v>54</v>
      </c>
      <c r="G305" s="1">
        <v>51.0</v>
      </c>
      <c r="H305" s="1" t="s">
        <v>66</v>
      </c>
      <c r="I305" s="1" t="s">
        <v>67</v>
      </c>
      <c r="J305" s="1" t="s">
        <v>68</v>
      </c>
      <c r="K305" s="1" t="s">
        <v>57</v>
      </c>
      <c r="M305" s="1" t="s">
        <v>58</v>
      </c>
      <c r="N305" s="1" t="s">
        <v>58</v>
      </c>
      <c r="O305" s="1" t="s">
        <v>58</v>
      </c>
      <c r="Q305" s="1" t="s">
        <v>69</v>
      </c>
      <c r="R305" s="1" t="s">
        <v>58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81</v>
      </c>
      <c r="Y305" s="1" t="s">
        <v>82</v>
      </c>
      <c r="Z305" s="1" t="s">
        <v>89</v>
      </c>
      <c r="AA305" s="1">
        <v>30.0</v>
      </c>
      <c r="AB305" s="1" t="s">
        <v>79</v>
      </c>
      <c r="AC305" s="1" t="s">
        <v>71</v>
      </c>
      <c r="AF305" s="1" t="s">
        <v>51</v>
      </c>
      <c r="AG305" s="1" t="s">
        <v>51</v>
      </c>
      <c r="AH305" s="1">
        <v>200.0</v>
      </c>
      <c r="AI305" s="1">
        <v>0.0</v>
      </c>
      <c r="AJ305" s="1">
        <v>0.0</v>
      </c>
      <c r="AK305" s="1">
        <v>0.0</v>
      </c>
      <c r="AL305" s="1">
        <v>1.0</v>
      </c>
      <c r="AM305" s="1" t="s">
        <v>51</v>
      </c>
      <c r="AN305" s="1">
        <v>6.49779116E8</v>
      </c>
      <c r="AP305" s="1">
        <v>4.90386915E8</v>
      </c>
      <c r="AQ305" s="1" t="s">
        <v>512</v>
      </c>
      <c r="AR305" s="1">
        <v>45809.39319</v>
      </c>
      <c r="AU305" s="1" t="s">
        <v>64</v>
      </c>
      <c r="AW305" s="1" t="s">
        <v>513</v>
      </c>
      <c r="AY305" s="1">
        <v>1.0</v>
      </c>
    </row>
    <row r="306">
      <c r="A306" s="1" t="s">
        <v>51</v>
      </c>
      <c r="C306" s="1" t="s">
        <v>53</v>
      </c>
      <c r="E306" s="1" t="s">
        <v>53</v>
      </c>
      <c r="F306" s="1" t="s">
        <v>54</v>
      </c>
      <c r="G306" s="1">
        <v>42.0</v>
      </c>
      <c r="H306" s="1" t="s">
        <v>55</v>
      </c>
      <c r="I306" s="1" t="s">
        <v>121</v>
      </c>
      <c r="J306" s="1" t="s">
        <v>68</v>
      </c>
      <c r="K306" s="1" t="s">
        <v>57</v>
      </c>
      <c r="M306" s="1" t="s">
        <v>58</v>
      </c>
      <c r="N306" s="1" t="s">
        <v>58</v>
      </c>
      <c r="O306" s="1" t="s">
        <v>58</v>
      </c>
      <c r="Q306" s="1" t="s">
        <v>58</v>
      </c>
      <c r="R306" s="1" t="s">
        <v>69</v>
      </c>
      <c r="S306" s="1" t="s">
        <v>69</v>
      </c>
      <c r="T306" s="1" t="s">
        <v>69</v>
      </c>
      <c r="U306" s="1" t="s">
        <v>69</v>
      </c>
      <c r="V306" s="1" t="s">
        <v>69</v>
      </c>
      <c r="W306" s="1" t="s">
        <v>69</v>
      </c>
      <c r="X306" s="1" t="s">
        <v>59</v>
      </c>
      <c r="Y306" s="1" t="s">
        <v>227</v>
      </c>
      <c r="Z306" s="1" t="s">
        <v>61</v>
      </c>
      <c r="AA306" s="1">
        <v>100.0</v>
      </c>
      <c r="AB306" s="1" t="s">
        <v>79</v>
      </c>
      <c r="AC306" s="1" t="s">
        <v>71</v>
      </c>
      <c r="AF306" s="1" t="s">
        <v>51</v>
      </c>
      <c r="AG306" s="1" t="s">
        <v>51</v>
      </c>
      <c r="AH306" s="1">
        <v>50.0</v>
      </c>
      <c r="AI306" s="1">
        <v>0.0</v>
      </c>
      <c r="AJ306" s="1">
        <v>0.0</v>
      </c>
      <c r="AK306" s="1">
        <v>0.0</v>
      </c>
      <c r="AL306" s="1">
        <v>1.0</v>
      </c>
      <c r="AM306" s="1" t="s">
        <v>51</v>
      </c>
      <c r="AN306" s="1">
        <v>6.73003512E8</v>
      </c>
      <c r="AP306" s="1">
        <v>4.90394724E8</v>
      </c>
      <c r="AQ306" s="1" t="s">
        <v>514</v>
      </c>
      <c r="AR306" s="1">
        <v>45809.40868</v>
      </c>
      <c r="AU306" s="1" t="s">
        <v>64</v>
      </c>
      <c r="AW306" s="1" t="s">
        <v>513</v>
      </c>
      <c r="AY306" s="1">
        <v>2.0</v>
      </c>
    </row>
    <row r="307">
      <c r="A307" s="1" t="s">
        <v>51</v>
      </c>
      <c r="C307" s="1" t="s">
        <v>53</v>
      </c>
      <c r="E307" s="1" t="s">
        <v>53</v>
      </c>
      <c r="F307" s="1" t="s">
        <v>54</v>
      </c>
      <c r="G307" s="1">
        <v>30.0</v>
      </c>
      <c r="H307" s="1" t="s">
        <v>55</v>
      </c>
      <c r="I307" s="1" t="s">
        <v>121</v>
      </c>
      <c r="J307" s="1" t="s">
        <v>56</v>
      </c>
      <c r="K307" s="1" t="s">
        <v>57</v>
      </c>
      <c r="M307" s="1" t="s">
        <v>58</v>
      </c>
      <c r="N307" s="1" t="s">
        <v>58</v>
      </c>
      <c r="O307" s="1" t="s">
        <v>58</v>
      </c>
      <c r="Q307" s="1" t="s">
        <v>58</v>
      </c>
      <c r="R307" s="1" t="s">
        <v>69</v>
      </c>
      <c r="S307" s="1" t="s">
        <v>69</v>
      </c>
      <c r="T307" s="1" t="s">
        <v>58</v>
      </c>
      <c r="U307" s="1" t="s">
        <v>58</v>
      </c>
      <c r="V307" s="1" t="s">
        <v>69</v>
      </c>
      <c r="W307" s="1" t="s">
        <v>69</v>
      </c>
      <c r="X307" s="1" t="s">
        <v>81</v>
      </c>
      <c r="Y307" s="1" t="s">
        <v>82</v>
      </c>
      <c r="Z307" s="1" t="s">
        <v>89</v>
      </c>
      <c r="AA307" s="1">
        <v>40.0</v>
      </c>
      <c r="AB307" s="1" t="s">
        <v>79</v>
      </c>
      <c r="AC307" s="1" t="s">
        <v>71</v>
      </c>
      <c r="AF307" s="1" t="s">
        <v>51</v>
      </c>
      <c r="AG307" s="1" t="s">
        <v>51</v>
      </c>
      <c r="AH307" s="1">
        <v>300.0</v>
      </c>
      <c r="AI307" s="1">
        <v>1.0</v>
      </c>
      <c r="AJ307" s="1">
        <v>0.0</v>
      </c>
      <c r="AK307" s="1">
        <v>0.0</v>
      </c>
      <c r="AL307" s="1">
        <v>0.0</v>
      </c>
      <c r="AM307" s="1" t="s">
        <v>51</v>
      </c>
      <c r="AN307" s="1">
        <v>6.73583337E8</v>
      </c>
      <c r="AP307" s="1">
        <v>4.90394919E8</v>
      </c>
      <c r="AQ307" s="1" t="s">
        <v>515</v>
      </c>
      <c r="AR307" s="1">
        <v>45809.40925</v>
      </c>
      <c r="AU307" s="1" t="s">
        <v>64</v>
      </c>
      <c r="AW307" s="1" t="s">
        <v>513</v>
      </c>
      <c r="AY307" s="1">
        <v>3.0</v>
      </c>
    </row>
    <row r="308">
      <c r="A308" s="1" t="s">
        <v>51</v>
      </c>
      <c r="C308" s="1" t="s">
        <v>151</v>
      </c>
      <c r="E308" s="1" t="s">
        <v>53</v>
      </c>
      <c r="F308" s="1" t="s">
        <v>54</v>
      </c>
      <c r="G308" s="1">
        <v>27.0</v>
      </c>
      <c r="H308" s="1" t="s">
        <v>55</v>
      </c>
      <c r="I308" s="1" t="s">
        <v>76</v>
      </c>
      <c r="J308" s="1" t="s">
        <v>56</v>
      </c>
      <c r="K308" s="1" t="s">
        <v>74</v>
      </c>
      <c r="M308" s="1" t="s">
        <v>58</v>
      </c>
      <c r="N308" s="1" t="s">
        <v>58</v>
      </c>
      <c r="O308" s="1" t="s">
        <v>58</v>
      </c>
      <c r="Q308" s="1" t="s">
        <v>58</v>
      </c>
      <c r="R308" s="1" t="s">
        <v>58</v>
      </c>
      <c r="S308" s="1" t="s">
        <v>58</v>
      </c>
      <c r="T308" s="1" t="s">
        <v>58</v>
      </c>
      <c r="U308" s="1" t="s">
        <v>58</v>
      </c>
      <c r="V308" s="1" t="s">
        <v>58</v>
      </c>
      <c r="W308" s="1" t="s">
        <v>58</v>
      </c>
      <c r="X308" s="1" t="s">
        <v>81</v>
      </c>
      <c r="Y308" s="1" t="s">
        <v>60</v>
      </c>
      <c r="Z308" s="1" t="s">
        <v>89</v>
      </c>
      <c r="AA308" s="1">
        <v>50.0</v>
      </c>
      <c r="AB308" s="1" t="s">
        <v>62</v>
      </c>
      <c r="AC308" s="1" t="s">
        <v>51</v>
      </c>
      <c r="AD308" s="1" t="s">
        <v>81</v>
      </c>
      <c r="AE308" s="1" t="s">
        <v>51</v>
      </c>
      <c r="AF308" s="1" t="s">
        <v>51</v>
      </c>
      <c r="AG308" s="1" t="s">
        <v>51</v>
      </c>
      <c r="AI308" s="1">
        <v>0.0</v>
      </c>
      <c r="AJ308" s="1">
        <v>0.0</v>
      </c>
      <c r="AK308" s="1">
        <v>0.0</v>
      </c>
      <c r="AL308" s="1">
        <v>1.0</v>
      </c>
      <c r="AM308" s="1" t="s">
        <v>51</v>
      </c>
      <c r="AN308" s="1">
        <v>6.888317704E9</v>
      </c>
      <c r="AP308" s="1">
        <v>4.90397468E8</v>
      </c>
      <c r="AQ308" s="1" t="s">
        <v>516</v>
      </c>
      <c r="AR308" s="1">
        <v>45809.4153</v>
      </c>
      <c r="AU308" s="1" t="s">
        <v>64</v>
      </c>
      <c r="AW308" s="1" t="s">
        <v>513</v>
      </c>
      <c r="AY308" s="1">
        <v>4.0</v>
      </c>
    </row>
    <row r="309">
      <c r="A309" s="1" t="s">
        <v>51</v>
      </c>
      <c r="C309" s="1" t="s">
        <v>53</v>
      </c>
      <c r="E309" s="1" t="s">
        <v>53</v>
      </c>
      <c r="F309" s="1" t="s">
        <v>54</v>
      </c>
      <c r="G309" s="1">
        <v>36.0</v>
      </c>
      <c r="H309" s="1" t="s">
        <v>55</v>
      </c>
      <c r="I309" s="1" t="s">
        <v>121</v>
      </c>
      <c r="J309" s="1" t="s">
        <v>86</v>
      </c>
      <c r="K309" s="1" t="s">
        <v>74</v>
      </c>
      <c r="M309" s="1" t="s">
        <v>58</v>
      </c>
      <c r="N309" s="1" t="s">
        <v>58</v>
      </c>
      <c r="O309" s="1" t="s">
        <v>58</v>
      </c>
      <c r="Q309" s="1" t="s">
        <v>58</v>
      </c>
      <c r="R309" s="1" t="s">
        <v>58</v>
      </c>
      <c r="S309" s="1" t="s">
        <v>58</v>
      </c>
      <c r="T309" s="1" t="s">
        <v>58</v>
      </c>
      <c r="U309" s="1" t="s">
        <v>58</v>
      </c>
      <c r="V309" s="1" t="s">
        <v>58</v>
      </c>
      <c r="W309" s="1" t="s">
        <v>58</v>
      </c>
      <c r="X309" s="1" t="s">
        <v>59</v>
      </c>
      <c r="Y309" s="1" t="s">
        <v>60</v>
      </c>
      <c r="Z309" s="1" t="s">
        <v>61</v>
      </c>
      <c r="AA309" s="1">
        <v>20.0</v>
      </c>
      <c r="AB309" s="1" t="s">
        <v>62</v>
      </c>
      <c r="AC309" s="1" t="s">
        <v>51</v>
      </c>
      <c r="AD309" s="1" t="s">
        <v>59</v>
      </c>
      <c r="AE309" s="1" t="s">
        <v>51</v>
      </c>
      <c r="AF309" s="1" t="s">
        <v>51</v>
      </c>
      <c r="AG309" s="1" t="s">
        <v>51</v>
      </c>
      <c r="AI309" s="1">
        <v>1.0</v>
      </c>
      <c r="AJ309" s="1">
        <v>0.0</v>
      </c>
      <c r="AK309" s="1">
        <v>0.0</v>
      </c>
      <c r="AL309" s="1">
        <v>0.0</v>
      </c>
      <c r="AM309" s="1" t="s">
        <v>51</v>
      </c>
      <c r="AP309" s="1">
        <v>4.90400535E8</v>
      </c>
      <c r="AQ309" s="1" t="s">
        <v>517</v>
      </c>
      <c r="AR309" s="1">
        <v>45809.42064</v>
      </c>
      <c r="AU309" s="1" t="s">
        <v>64</v>
      </c>
      <c r="AW309" s="1" t="s">
        <v>513</v>
      </c>
      <c r="AY309" s="1">
        <v>5.0</v>
      </c>
    </row>
    <row r="310">
      <c r="A310" s="1" t="s">
        <v>51</v>
      </c>
      <c r="C310" s="1" t="s">
        <v>151</v>
      </c>
      <c r="E310" s="1" t="s">
        <v>53</v>
      </c>
      <c r="F310" s="1" t="s">
        <v>54</v>
      </c>
      <c r="G310" s="1">
        <v>35.0</v>
      </c>
      <c r="H310" s="1" t="s">
        <v>55</v>
      </c>
      <c r="I310" s="1" t="s">
        <v>67</v>
      </c>
      <c r="J310" s="1" t="s">
        <v>68</v>
      </c>
      <c r="K310" s="1" t="s">
        <v>74</v>
      </c>
      <c r="M310" s="1" t="s">
        <v>58</v>
      </c>
      <c r="N310" s="1" t="s">
        <v>58</v>
      </c>
      <c r="O310" s="1" t="s">
        <v>69</v>
      </c>
      <c r="Q310" s="1" t="s">
        <v>58</v>
      </c>
      <c r="R310" s="1" t="s">
        <v>69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59</v>
      </c>
      <c r="Y310" s="1" t="s">
        <v>82</v>
      </c>
      <c r="Z310" s="1" t="s">
        <v>89</v>
      </c>
      <c r="AA310" s="1">
        <v>50.0</v>
      </c>
      <c r="AB310" s="1" t="s">
        <v>79</v>
      </c>
      <c r="AC310" s="1" t="s">
        <v>71</v>
      </c>
      <c r="AF310" s="1" t="s">
        <v>51</v>
      </c>
      <c r="AG310" s="1" t="s">
        <v>51</v>
      </c>
      <c r="AH310" s="1">
        <v>10.0</v>
      </c>
      <c r="AI310" s="1">
        <v>1.0</v>
      </c>
      <c r="AJ310" s="1">
        <v>0.0</v>
      </c>
      <c r="AK310" s="1">
        <v>0.0</v>
      </c>
      <c r="AL310" s="1">
        <v>1.0</v>
      </c>
      <c r="AM310" s="1" t="s">
        <v>51</v>
      </c>
      <c r="AN310" s="1">
        <v>6.86703189E8</v>
      </c>
      <c r="AP310" s="1">
        <v>4.90400705E8</v>
      </c>
      <c r="AQ310" s="1" t="s">
        <v>518</v>
      </c>
      <c r="AR310" s="1">
        <v>45809.42102</v>
      </c>
      <c r="AU310" s="1" t="s">
        <v>64</v>
      </c>
      <c r="AW310" s="1" t="s">
        <v>513</v>
      </c>
      <c r="AY310" s="1">
        <v>6.0</v>
      </c>
    </row>
    <row r="311">
      <c r="A311" s="1" t="s">
        <v>51</v>
      </c>
      <c r="C311" s="1" t="s">
        <v>151</v>
      </c>
      <c r="E311" s="1" t="s">
        <v>53</v>
      </c>
      <c r="F311" s="1" t="s">
        <v>54</v>
      </c>
      <c r="G311" s="1">
        <v>28.0</v>
      </c>
      <c r="H311" s="1" t="s">
        <v>66</v>
      </c>
      <c r="I311" s="1" t="s">
        <v>100</v>
      </c>
      <c r="J311" s="1" t="s">
        <v>56</v>
      </c>
      <c r="K311" s="1" t="s">
        <v>74</v>
      </c>
      <c r="M311" s="1" t="s">
        <v>58</v>
      </c>
      <c r="N311" s="1" t="s">
        <v>58</v>
      </c>
      <c r="O311" s="1" t="s">
        <v>58</v>
      </c>
      <c r="Q311" s="1" t="s">
        <v>69</v>
      </c>
      <c r="R311" s="1" t="s">
        <v>69</v>
      </c>
      <c r="S311" s="1" t="s">
        <v>69</v>
      </c>
      <c r="T311" s="1" t="s">
        <v>69</v>
      </c>
      <c r="V311" s="1" t="s">
        <v>69</v>
      </c>
      <c r="W311" s="1" t="s">
        <v>69</v>
      </c>
      <c r="X311" s="1" t="s">
        <v>59</v>
      </c>
      <c r="Y311" s="1" t="s">
        <v>82</v>
      </c>
      <c r="Z311" s="1" t="s">
        <v>61</v>
      </c>
      <c r="AA311" s="1">
        <v>50.0</v>
      </c>
      <c r="AB311" s="1" t="s">
        <v>79</v>
      </c>
      <c r="AC311" s="1" t="s">
        <v>71</v>
      </c>
      <c r="AF311" s="1" t="s">
        <v>51</v>
      </c>
      <c r="AG311" s="1" t="s">
        <v>51</v>
      </c>
      <c r="AH311" s="1">
        <v>59.0</v>
      </c>
      <c r="AI311" s="1">
        <v>0.0</v>
      </c>
      <c r="AJ311" s="1">
        <v>0.0</v>
      </c>
      <c r="AK311" s="1">
        <v>0.0</v>
      </c>
      <c r="AL311" s="1">
        <v>1.0</v>
      </c>
      <c r="AM311" s="1" t="s">
        <v>51</v>
      </c>
      <c r="AN311" s="1">
        <v>6.05023987E8</v>
      </c>
      <c r="AP311" s="1">
        <v>4.90403176E8</v>
      </c>
      <c r="AQ311" s="1" t="s">
        <v>519</v>
      </c>
      <c r="AR311" s="1">
        <v>45809.42591</v>
      </c>
      <c r="AU311" s="1" t="s">
        <v>64</v>
      </c>
      <c r="AW311" s="1" t="s">
        <v>513</v>
      </c>
      <c r="AY311" s="1">
        <v>7.0</v>
      </c>
    </row>
    <row r="312">
      <c r="A312" s="1" t="s">
        <v>51</v>
      </c>
      <c r="C312" s="1" t="s">
        <v>151</v>
      </c>
      <c r="E312" s="1" t="s">
        <v>53</v>
      </c>
      <c r="F312" s="1" t="s">
        <v>54</v>
      </c>
      <c r="G312" s="1">
        <v>28.0</v>
      </c>
      <c r="H312" s="1" t="s">
        <v>55</v>
      </c>
      <c r="I312" s="1" t="s">
        <v>67</v>
      </c>
      <c r="J312" s="1" t="s">
        <v>111</v>
      </c>
      <c r="K312" s="1" t="s">
        <v>74</v>
      </c>
      <c r="M312" s="1" t="s">
        <v>58</v>
      </c>
      <c r="N312" s="1" t="s">
        <v>58</v>
      </c>
      <c r="O312" s="1" t="s">
        <v>58</v>
      </c>
      <c r="Q312" s="1" t="s">
        <v>58</v>
      </c>
      <c r="R312" s="1" t="s">
        <v>58</v>
      </c>
      <c r="S312" s="1" t="s">
        <v>58</v>
      </c>
      <c r="T312" s="1" t="s">
        <v>58</v>
      </c>
      <c r="U312" s="1" t="s">
        <v>58</v>
      </c>
      <c r="V312" s="1" t="s">
        <v>58</v>
      </c>
      <c r="W312" s="1" t="s">
        <v>58</v>
      </c>
      <c r="X312" s="1" t="s">
        <v>103</v>
      </c>
      <c r="Y312" s="1" t="s">
        <v>82</v>
      </c>
      <c r="Z312" s="1" t="s">
        <v>61</v>
      </c>
      <c r="AA312" s="1">
        <v>50.0</v>
      </c>
      <c r="AB312" s="1" t="s">
        <v>79</v>
      </c>
      <c r="AC312" s="1" t="s">
        <v>51</v>
      </c>
      <c r="AD312" s="1" t="s">
        <v>81</v>
      </c>
      <c r="AE312" s="1" t="s">
        <v>51</v>
      </c>
      <c r="AF312" s="1" t="s">
        <v>51</v>
      </c>
      <c r="AG312" s="1" t="s">
        <v>51</v>
      </c>
      <c r="AH312" s="1">
        <v>300.0</v>
      </c>
      <c r="AI312" s="1">
        <v>0.0</v>
      </c>
      <c r="AJ312" s="1">
        <v>1.0</v>
      </c>
      <c r="AK312" s="1">
        <v>0.0</v>
      </c>
      <c r="AL312" s="1">
        <v>0.0</v>
      </c>
      <c r="AM312" s="1" t="s">
        <v>51</v>
      </c>
      <c r="AN312" s="1">
        <v>6.05023987E8</v>
      </c>
      <c r="AP312" s="1">
        <v>4.90406325E8</v>
      </c>
      <c r="AQ312" s="1" t="s">
        <v>520</v>
      </c>
      <c r="AR312" s="1">
        <v>45809.4324</v>
      </c>
      <c r="AU312" s="1" t="s">
        <v>64</v>
      </c>
      <c r="AW312" s="1" t="s">
        <v>513</v>
      </c>
      <c r="AY312" s="1">
        <v>8.0</v>
      </c>
    </row>
    <row r="313">
      <c r="A313" s="1" t="s">
        <v>51</v>
      </c>
      <c r="C313" s="1" t="s">
        <v>151</v>
      </c>
      <c r="E313" s="1" t="s">
        <v>53</v>
      </c>
      <c r="F313" s="1" t="s">
        <v>54</v>
      </c>
      <c r="G313" s="1">
        <v>30.0</v>
      </c>
      <c r="H313" s="1" t="s">
        <v>55</v>
      </c>
      <c r="I313" s="1" t="s">
        <v>76</v>
      </c>
      <c r="J313" s="1" t="s">
        <v>56</v>
      </c>
      <c r="K313" s="1" t="s">
        <v>57</v>
      </c>
      <c r="M313" s="1" t="s">
        <v>58</v>
      </c>
      <c r="N313" s="1" t="s">
        <v>58</v>
      </c>
      <c r="O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58</v>
      </c>
      <c r="X313" s="1" t="s">
        <v>81</v>
      </c>
      <c r="Y313" s="1" t="s">
        <v>82</v>
      </c>
      <c r="Z313" s="1" t="s">
        <v>61</v>
      </c>
      <c r="AA313" s="1">
        <v>40.0</v>
      </c>
      <c r="AB313" s="1" t="s">
        <v>79</v>
      </c>
      <c r="AC313" s="1" t="s">
        <v>51</v>
      </c>
      <c r="AD313" s="1" t="s">
        <v>81</v>
      </c>
      <c r="AE313" s="1" t="s">
        <v>51</v>
      </c>
      <c r="AF313" s="1" t="s">
        <v>51</v>
      </c>
      <c r="AG313" s="1" t="s">
        <v>51</v>
      </c>
      <c r="AH313" s="1">
        <v>700.0</v>
      </c>
      <c r="AI313" s="1">
        <v>1.0</v>
      </c>
      <c r="AJ313" s="1">
        <v>0.0</v>
      </c>
      <c r="AK313" s="1">
        <v>0.0</v>
      </c>
      <c r="AL313" s="1">
        <v>0.0</v>
      </c>
      <c r="AM313" s="1" t="s">
        <v>51</v>
      </c>
      <c r="AN313" s="1">
        <v>5.932364E7</v>
      </c>
      <c r="AP313" s="1">
        <v>4.90410469E8</v>
      </c>
      <c r="AQ313" s="1" t="s">
        <v>521</v>
      </c>
      <c r="AR313" s="1">
        <v>45809.44119</v>
      </c>
      <c r="AU313" s="1" t="s">
        <v>64</v>
      </c>
      <c r="AW313" s="1" t="s">
        <v>513</v>
      </c>
      <c r="AY313" s="1">
        <v>9.0</v>
      </c>
    </row>
    <row r="314">
      <c r="A314" s="1" t="s">
        <v>51</v>
      </c>
      <c r="C314" s="1" t="s">
        <v>53</v>
      </c>
      <c r="E314" s="1" t="s">
        <v>53</v>
      </c>
      <c r="F314" s="1" t="s">
        <v>54</v>
      </c>
      <c r="G314" s="1">
        <v>33.0</v>
      </c>
      <c r="H314" s="1" t="s">
        <v>55</v>
      </c>
      <c r="I314" s="1" t="s">
        <v>121</v>
      </c>
      <c r="J314" s="1" t="s">
        <v>68</v>
      </c>
      <c r="K314" s="1" t="s">
        <v>74</v>
      </c>
      <c r="M314" s="1" t="s">
        <v>58</v>
      </c>
      <c r="N314" s="1" t="s">
        <v>58</v>
      </c>
      <c r="O314" s="1" t="s">
        <v>58</v>
      </c>
      <c r="Q314" s="1" t="s">
        <v>58</v>
      </c>
      <c r="R314" s="1" t="s">
        <v>70</v>
      </c>
      <c r="S314" s="1" t="s">
        <v>70</v>
      </c>
      <c r="T314" s="1" t="s">
        <v>58</v>
      </c>
      <c r="U314" s="1" t="s">
        <v>70</v>
      </c>
      <c r="V314" s="1" t="s">
        <v>58</v>
      </c>
      <c r="W314" s="1" t="s">
        <v>58</v>
      </c>
      <c r="X314" s="1" t="s">
        <v>81</v>
      </c>
      <c r="Y314" s="1" t="s">
        <v>82</v>
      </c>
      <c r="Z314" s="1" t="s">
        <v>89</v>
      </c>
      <c r="AA314" s="1">
        <v>30.0</v>
      </c>
      <c r="AB314" s="1" t="s">
        <v>62</v>
      </c>
      <c r="AC314" s="1" t="s">
        <v>51</v>
      </c>
      <c r="AD314" s="1" t="s">
        <v>81</v>
      </c>
      <c r="AE314" s="1" t="s">
        <v>51</v>
      </c>
      <c r="AF314" s="1" t="s">
        <v>51</v>
      </c>
      <c r="AG314" s="1" t="s">
        <v>51</v>
      </c>
      <c r="AH314" s="1">
        <v>500.0</v>
      </c>
      <c r="AI314" s="1">
        <v>1.0</v>
      </c>
      <c r="AJ314" s="1">
        <v>0.0</v>
      </c>
      <c r="AK314" s="1">
        <v>0.0</v>
      </c>
      <c r="AL314" s="1">
        <v>0.0</v>
      </c>
      <c r="AM314" s="1" t="s">
        <v>51</v>
      </c>
      <c r="AN314" s="1">
        <v>7.2234359E8</v>
      </c>
      <c r="AP314" s="1">
        <v>4.90415914E8</v>
      </c>
      <c r="AQ314" s="1" t="s">
        <v>522</v>
      </c>
      <c r="AR314" s="1">
        <v>45809.45304</v>
      </c>
      <c r="AU314" s="1" t="s">
        <v>64</v>
      </c>
      <c r="AW314" s="1" t="s">
        <v>513</v>
      </c>
      <c r="AY314" s="1">
        <v>10.0</v>
      </c>
    </row>
    <row r="315">
      <c r="A315" s="1" t="s">
        <v>51</v>
      </c>
      <c r="C315" s="1" t="s">
        <v>151</v>
      </c>
      <c r="E315" s="1" t="s">
        <v>53</v>
      </c>
      <c r="F315" s="1" t="s">
        <v>54</v>
      </c>
      <c r="G315" s="1">
        <v>38.0</v>
      </c>
      <c r="H315" s="1" t="s">
        <v>66</v>
      </c>
      <c r="I315" s="1" t="s">
        <v>67</v>
      </c>
      <c r="J315" s="1" t="s">
        <v>56</v>
      </c>
      <c r="K315" s="1" t="s">
        <v>78</v>
      </c>
      <c r="M315" s="1" t="s">
        <v>58</v>
      </c>
      <c r="N315" s="1" t="s">
        <v>58</v>
      </c>
      <c r="O315" s="1" t="s">
        <v>58</v>
      </c>
      <c r="Q315" s="1" t="s">
        <v>58</v>
      </c>
      <c r="R315" s="1" t="s">
        <v>70</v>
      </c>
      <c r="S315" s="1" t="s">
        <v>70</v>
      </c>
      <c r="T315" s="1" t="s">
        <v>58</v>
      </c>
      <c r="U315" s="1" t="s">
        <v>70</v>
      </c>
      <c r="V315" s="1" t="s">
        <v>70</v>
      </c>
      <c r="W315" s="1" t="s">
        <v>70</v>
      </c>
      <c r="X315" s="1" t="s">
        <v>88</v>
      </c>
      <c r="Y315" s="1" t="s">
        <v>82</v>
      </c>
      <c r="Z315" s="1" t="s">
        <v>89</v>
      </c>
      <c r="AA315" s="1">
        <v>10.0</v>
      </c>
      <c r="AB315" s="1" t="s">
        <v>79</v>
      </c>
      <c r="AC315" s="1" t="s">
        <v>51</v>
      </c>
      <c r="AD315" s="1" t="s">
        <v>81</v>
      </c>
      <c r="AE315" s="1" t="s">
        <v>51</v>
      </c>
      <c r="AF315" s="1" t="s">
        <v>51</v>
      </c>
      <c r="AG315" s="1" t="s">
        <v>51</v>
      </c>
      <c r="AH315" s="1">
        <v>150000.0</v>
      </c>
      <c r="AI315" s="1">
        <v>1.0</v>
      </c>
      <c r="AJ315" s="1">
        <v>0.0</v>
      </c>
      <c r="AK315" s="1">
        <v>0.0</v>
      </c>
      <c r="AL315" s="1">
        <v>0.0</v>
      </c>
      <c r="AM315" s="1" t="s">
        <v>51</v>
      </c>
      <c r="AN315" s="1">
        <v>7.81882812E8</v>
      </c>
      <c r="AP315" s="1">
        <v>4.90438105E8</v>
      </c>
      <c r="AQ315" s="1" t="s">
        <v>523</v>
      </c>
      <c r="AR315" s="1">
        <v>45809.50147</v>
      </c>
      <c r="AU315" s="1" t="s">
        <v>64</v>
      </c>
      <c r="AW315" s="1" t="s">
        <v>513</v>
      </c>
      <c r="AY315" s="1">
        <v>11.0</v>
      </c>
    </row>
    <row r="316">
      <c r="A316" s="1" t="s">
        <v>51</v>
      </c>
      <c r="C316" s="1" t="s">
        <v>151</v>
      </c>
      <c r="E316" s="1" t="s">
        <v>53</v>
      </c>
      <c r="F316" s="1" t="s">
        <v>54</v>
      </c>
      <c r="G316" s="1">
        <v>39.0</v>
      </c>
      <c r="H316" s="1" t="s">
        <v>66</v>
      </c>
      <c r="I316" s="1" t="s">
        <v>100</v>
      </c>
      <c r="J316" s="1" t="s">
        <v>68</v>
      </c>
      <c r="K316" s="1" t="s">
        <v>78</v>
      </c>
      <c r="M316" s="1" t="s">
        <v>58</v>
      </c>
      <c r="N316" s="1" t="s">
        <v>58</v>
      </c>
      <c r="O316" s="1" t="s">
        <v>58</v>
      </c>
      <c r="Q316" s="1" t="s">
        <v>58</v>
      </c>
      <c r="R316" s="1" t="s">
        <v>58</v>
      </c>
      <c r="S316" s="1" t="s">
        <v>58</v>
      </c>
      <c r="T316" s="1" t="s">
        <v>58</v>
      </c>
      <c r="U316" s="1" t="s">
        <v>58</v>
      </c>
      <c r="V316" s="1" t="s">
        <v>58</v>
      </c>
      <c r="W316" s="1" t="s">
        <v>58</v>
      </c>
      <c r="X316" s="1" t="s">
        <v>81</v>
      </c>
      <c r="Y316" s="1" t="s">
        <v>82</v>
      </c>
      <c r="Z316" s="1" t="s">
        <v>89</v>
      </c>
      <c r="AA316" s="1">
        <v>20.0</v>
      </c>
      <c r="AB316" s="1" t="s">
        <v>79</v>
      </c>
      <c r="AC316" s="1" t="s">
        <v>51</v>
      </c>
      <c r="AD316" s="1" t="s">
        <v>81</v>
      </c>
      <c r="AE316" s="1" t="s">
        <v>51</v>
      </c>
      <c r="AF316" s="1" t="s">
        <v>51</v>
      </c>
      <c r="AG316" s="1" t="s">
        <v>51</v>
      </c>
      <c r="AH316" s="1">
        <v>400.0</v>
      </c>
      <c r="AI316" s="1">
        <v>1.0</v>
      </c>
      <c r="AJ316" s="1">
        <v>0.0</v>
      </c>
      <c r="AK316" s="1">
        <v>0.0</v>
      </c>
      <c r="AL316" s="1">
        <v>0.0</v>
      </c>
      <c r="AM316" s="1" t="s">
        <v>51</v>
      </c>
      <c r="AN316" s="1">
        <v>6.34482526E8</v>
      </c>
      <c r="AP316" s="1">
        <v>4.9044075E8</v>
      </c>
      <c r="AQ316" s="1" t="s">
        <v>524</v>
      </c>
      <c r="AR316" s="1">
        <v>45809.50674</v>
      </c>
      <c r="AU316" s="1" t="s">
        <v>64</v>
      </c>
      <c r="AW316" s="1" t="s">
        <v>513</v>
      </c>
      <c r="AY316" s="1">
        <v>12.0</v>
      </c>
    </row>
    <row r="317">
      <c r="A317" s="1" t="s">
        <v>51</v>
      </c>
      <c r="C317" s="1" t="s">
        <v>151</v>
      </c>
      <c r="E317" s="1" t="s">
        <v>53</v>
      </c>
      <c r="F317" s="1" t="s">
        <v>54</v>
      </c>
      <c r="G317" s="1">
        <v>33.0</v>
      </c>
      <c r="H317" s="1" t="s">
        <v>66</v>
      </c>
      <c r="I317" s="1" t="s">
        <v>419</v>
      </c>
      <c r="J317" s="1" t="s">
        <v>56</v>
      </c>
      <c r="K317" s="1" t="s">
        <v>57</v>
      </c>
      <c r="M317" s="1" t="s">
        <v>58</v>
      </c>
      <c r="N317" s="1" t="s">
        <v>58</v>
      </c>
      <c r="O317" s="1" t="s">
        <v>69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59</v>
      </c>
      <c r="Y317" s="1" t="s">
        <v>82</v>
      </c>
      <c r="Z317" s="1" t="s">
        <v>61</v>
      </c>
      <c r="AA317" s="1">
        <v>10.0</v>
      </c>
      <c r="AB317" s="1" t="s">
        <v>62</v>
      </c>
      <c r="AC317" s="1" t="s">
        <v>51</v>
      </c>
      <c r="AD317" s="1" t="s">
        <v>59</v>
      </c>
      <c r="AE317" s="1" t="s">
        <v>51</v>
      </c>
      <c r="AF317" s="1" t="s">
        <v>51</v>
      </c>
      <c r="AG317" s="1" t="s">
        <v>51</v>
      </c>
      <c r="AH317" s="1">
        <v>300.0</v>
      </c>
      <c r="AI317" s="1">
        <v>0.0</v>
      </c>
      <c r="AJ317" s="1">
        <v>1.0</v>
      </c>
      <c r="AK317" s="1">
        <v>0.0</v>
      </c>
      <c r="AL317" s="1">
        <v>0.0</v>
      </c>
      <c r="AM317" s="1" t="s">
        <v>51</v>
      </c>
      <c r="AN317" s="1">
        <v>6.14698223E8</v>
      </c>
      <c r="AP317" s="1">
        <v>4.90444316E8</v>
      </c>
      <c r="AQ317" s="1" t="s">
        <v>525</v>
      </c>
      <c r="AR317" s="1">
        <v>45809.51458</v>
      </c>
      <c r="AU317" s="1" t="s">
        <v>64</v>
      </c>
      <c r="AW317" s="1" t="s">
        <v>513</v>
      </c>
      <c r="AY317" s="1">
        <v>13.0</v>
      </c>
    </row>
    <row r="318">
      <c r="A318" s="1" t="s">
        <v>51</v>
      </c>
      <c r="C318" s="1" t="s">
        <v>151</v>
      </c>
      <c r="E318" s="1" t="s">
        <v>53</v>
      </c>
      <c r="F318" s="1" t="s">
        <v>54</v>
      </c>
      <c r="G318" s="1">
        <v>39.0</v>
      </c>
      <c r="H318" s="1" t="s">
        <v>55</v>
      </c>
      <c r="I318" s="1" t="s">
        <v>100</v>
      </c>
      <c r="J318" s="1" t="s">
        <v>56</v>
      </c>
      <c r="K318" s="1" t="s">
        <v>57</v>
      </c>
      <c r="M318" s="1" t="s">
        <v>58</v>
      </c>
      <c r="N318" s="1" t="s">
        <v>58</v>
      </c>
      <c r="O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59</v>
      </c>
      <c r="Y318" s="1" t="s">
        <v>82</v>
      </c>
      <c r="Z318" s="1" t="s">
        <v>89</v>
      </c>
      <c r="AA318" s="1">
        <v>10.0</v>
      </c>
      <c r="AB318" s="1" t="s">
        <v>28</v>
      </c>
      <c r="AC318" s="1" t="s">
        <v>51</v>
      </c>
      <c r="AD318" s="1" t="s">
        <v>59</v>
      </c>
      <c r="AE318" s="1" t="s">
        <v>51</v>
      </c>
      <c r="AF318" s="1" t="s">
        <v>51</v>
      </c>
      <c r="AG318" s="1" t="s">
        <v>51</v>
      </c>
      <c r="AH318" s="1">
        <v>200.0</v>
      </c>
      <c r="AI318" s="1">
        <v>1.0</v>
      </c>
      <c r="AJ318" s="1">
        <v>0.0</v>
      </c>
      <c r="AK318" s="1">
        <v>0.0</v>
      </c>
      <c r="AL318" s="1">
        <v>0.0</v>
      </c>
      <c r="AM318" s="1" t="s">
        <v>51</v>
      </c>
      <c r="AN318" s="1">
        <v>7.99866781E8</v>
      </c>
      <c r="AP318" s="1">
        <v>4.90451443E8</v>
      </c>
      <c r="AQ318" s="1" t="s">
        <v>526</v>
      </c>
      <c r="AR318" s="1">
        <v>45809.52955</v>
      </c>
      <c r="AU318" s="1" t="s">
        <v>64</v>
      </c>
      <c r="AW318" s="1" t="s">
        <v>513</v>
      </c>
      <c r="AY318" s="1">
        <v>14.0</v>
      </c>
    </row>
    <row r="319">
      <c r="A319" s="1" t="s">
        <v>51</v>
      </c>
      <c r="C319" s="1" t="s">
        <v>151</v>
      </c>
      <c r="E319" s="1" t="s">
        <v>53</v>
      </c>
      <c r="F319" s="1" t="s">
        <v>54</v>
      </c>
      <c r="G319" s="1">
        <v>40.0</v>
      </c>
      <c r="H319" s="1" t="s">
        <v>55</v>
      </c>
      <c r="I319" s="1" t="s">
        <v>100</v>
      </c>
      <c r="J319" s="1" t="s">
        <v>86</v>
      </c>
      <c r="K319" s="1" t="s">
        <v>57</v>
      </c>
      <c r="M319" s="1" t="s">
        <v>58</v>
      </c>
      <c r="N319" s="1" t="s">
        <v>58</v>
      </c>
      <c r="O319" s="1" t="s">
        <v>69</v>
      </c>
      <c r="Q319" s="1" t="s">
        <v>58</v>
      </c>
      <c r="R319" s="1" t="s">
        <v>58</v>
      </c>
      <c r="S319" s="1" t="s">
        <v>69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88</v>
      </c>
      <c r="Y319" s="1" t="s">
        <v>60</v>
      </c>
      <c r="Z319" s="1" t="s">
        <v>61</v>
      </c>
      <c r="AA319" s="1">
        <v>10.0</v>
      </c>
      <c r="AB319" s="1" t="s">
        <v>79</v>
      </c>
      <c r="AC319" s="1" t="s">
        <v>72</v>
      </c>
      <c r="AF319" s="1" t="s">
        <v>51</v>
      </c>
      <c r="AG319" s="1" t="s">
        <v>51</v>
      </c>
      <c r="AH319" s="1">
        <v>200.0</v>
      </c>
      <c r="AI319" s="1">
        <v>1.0</v>
      </c>
      <c r="AJ319" s="1">
        <v>0.0</v>
      </c>
      <c r="AK319" s="1">
        <v>0.0</v>
      </c>
      <c r="AL319" s="1">
        <v>0.0</v>
      </c>
      <c r="AM319" s="1" t="s">
        <v>51</v>
      </c>
      <c r="AN319" s="1">
        <v>7.11230687E8</v>
      </c>
      <c r="AP319" s="1">
        <v>4.90455501E8</v>
      </c>
      <c r="AQ319" s="1" t="s">
        <v>527</v>
      </c>
      <c r="AR319" s="1">
        <v>45809.53716</v>
      </c>
      <c r="AU319" s="1" t="s">
        <v>64</v>
      </c>
      <c r="AW319" s="1" t="s">
        <v>513</v>
      </c>
      <c r="AY319" s="1">
        <v>15.0</v>
      </c>
    </row>
    <row r="320">
      <c r="A320" s="1" t="s">
        <v>51</v>
      </c>
      <c r="C320" s="1" t="s">
        <v>151</v>
      </c>
      <c r="E320" s="1" t="s">
        <v>53</v>
      </c>
      <c r="F320" s="1" t="s">
        <v>54</v>
      </c>
      <c r="G320" s="1">
        <v>39.0</v>
      </c>
      <c r="H320" s="1" t="s">
        <v>55</v>
      </c>
      <c r="I320" s="1" t="s">
        <v>100</v>
      </c>
      <c r="J320" s="1" t="s">
        <v>68</v>
      </c>
      <c r="K320" s="1" t="s">
        <v>57</v>
      </c>
      <c r="M320" s="1" t="s">
        <v>58</v>
      </c>
      <c r="N320" s="1" t="s">
        <v>58</v>
      </c>
      <c r="O320" s="1" t="s">
        <v>58</v>
      </c>
      <c r="Q320" s="1" t="s">
        <v>58</v>
      </c>
      <c r="R320" s="1" t="s">
        <v>58</v>
      </c>
      <c r="T320" s="1" t="s">
        <v>58</v>
      </c>
      <c r="U320" s="1" t="s">
        <v>58</v>
      </c>
      <c r="W320" s="1" t="s">
        <v>58</v>
      </c>
      <c r="X320" s="1" t="s">
        <v>81</v>
      </c>
      <c r="Y320" s="1" t="s">
        <v>227</v>
      </c>
      <c r="Z320" s="1" t="s">
        <v>89</v>
      </c>
      <c r="AA320" s="1">
        <v>10.0</v>
      </c>
      <c r="AB320" s="1" t="s">
        <v>62</v>
      </c>
      <c r="AC320" s="1" t="s">
        <v>51</v>
      </c>
      <c r="AD320" s="1" t="s">
        <v>81</v>
      </c>
      <c r="AE320" s="1" t="s">
        <v>51</v>
      </c>
      <c r="AF320" s="1" t="s">
        <v>72</v>
      </c>
      <c r="AG320" s="1" t="s">
        <v>72</v>
      </c>
      <c r="AI320" s="1">
        <v>0.0</v>
      </c>
      <c r="AJ320" s="1">
        <v>0.0</v>
      </c>
      <c r="AK320" s="1">
        <v>0.0</v>
      </c>
      <c r="AL320" s="1">
        <v>1.0</v>
      </c>
      <c r="AM320" s="1" t="s">
        <v>51</v>
      </c>
      <c r="AN320" s="1">
        <v>7.93682104E8</v>
      </c>
      <c r="AP320" s="1">
        <v>4.90459871E8</v>
      </c>
      <c r="AQ320" s="1" t="s">
        <v>528</v>
      </c>
      <c r="AR320" s="1">
        <v>45809.54628</v>
      </c>
      <c r="AU320" s="1" t="s">
        <v>64</v>
      </c>
      <c r="AW320" s="1" t="s">
        <v>513</v>
      </c>
      <c r="AY320" s="1">
        <v>16.0</v>
      </c>
    </row>
    <row r="321">
      <c r="A321" s="1" t="s">
        <v>51</v>
      </c>
      <c r="C321" s="1" t="s">
        <v>151</v>
      </c>
      <c r="E321" s="1" t="s">
        <v>53</v>
      </c>
      <c r="F321" s="1" t="s">
        <v>54</v>
      </c>
      <c r="G321" s="1">
        <v>35.0</v>
      </c>
      <c r="H321" s="1" t="s">
        <v>55</v>
      </c>
      <c r="I321" s="1" t="s">
        <v>67</v>
      </c>
      <c r="J321" s="1" t="s">
        <v>86</v>
      </c>
      <c r="K321" s="1" t="s">
        <v>74</v>
      </c>
      <c r="M321" s="1" t="s">
        <v>58</v>
      </c>
      <c r="N321" s="1" t="s">
        <v>58</v>
      </c>
      <c r="O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59</v>
      </c>
      <c r="Y321" s="1" t="s">
        <v>60</v>
      </c>
      <c r="Z321" s="1" t="s">
        <v>61</v>
      </c>
      <c r="AA321" s="1">
        <v>10.0</v>
      </c>
      <c r="AB321" s="1" t="s">
        <v>79</v>
      </c>
      <c r="AC321" s="1" t="s">
        <v>51</v>
      </c>
      <c r="AD321" s="1" t="s">
        <v>59</v>
      </c>
      <c r="AE321" s="1" t="s">
        <v>51</v>
      </c>
      <c r="AF321" s="1" t="s">
        <v>51</v>
      </c>
      <c r="AG321" s="1" t="s">
        <v>51</v>
      </c>
      <c r="AH321" s="1">
        <v>500.0</v>
      </c>
      <c r="AI321" s="1">
        <v>1.0</v>
      </c>
      <c r="AJ321" s="1">
        <v>0.0</v>
      </c>
      <c r="AK321" s="1">
        <v>0.0</v>
      </c>
      <c r="AL321" s="1">
        <v>0.0</v>
      </c>
      <c r="AM321" s="1" t="s">
        <v>51</v>
      </c>
      <c r="AN321" s="1">
        <v>6.47722465E8</v>
      </c>
      <c r="AP321" s="1">
        <v>4.90464896E8</v>
      </c>
      <c r="AQ321" s="1" t="s">
        <v>529</v>
      </c>
      <c r="AR321" s="1">
        <v>45809.55693</v>
      </c>
      <c r="AU321" s="1" t="s">
        <v>64</v>
      </c>
      <c r="AW321" s="1" t="s">
        <v>513</v>
      </c>
      <c r="AY321" s="1">
        <v>17.0</v>
      </c>
    </row>
    <row r="322">
      <c r="A322" s="1"/>
      <c r="C322" s="1"/>
      <c r="E322" s="1"/>
      <c r="F322" s="1"/>
      <c r="G322" s="1"/>
      <c r="H322" s="1"/>
      <c r="I322" s="1"/>
      <c r="J322" s="1"/>
      <c r="K322" s="1"/>
      <c r="M322" s="1"/>
      <c r="N322" s="1"/>
      <c r="O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U322" s="1"/>
      <c r="AW322" s="1"/>
      <c r="AY322" s="1"/>
    </row>
    <row r="323">
      <c r="A323" s="1"/>
      <c r="C323" s="1"/>
      <c r="E323" s="1"/>
      <c r="F323" s="1"/>
      <c r="G323" s="1"/>
      <c r="H323" s="1"/>
      <c r="I323" s="1"/>
      <c r="J323" s="1"/>
      <c r="K323" s="1"/>
      <c r="M323" s="1"/>
      <c r="N323" s="1"/>
      <c r="O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U323" s="1"/>
      <c r="AW323" s="1"/>
      <c r="AY323" s="1"/>
    </row>
    <row r="324">
      <c r="A324" s="1"/>
      <c r="C324" s="1"/>
      <c r="E324" s="1"/>
      <c r="F324" s="1"/>
      <c r="G324" s="1"/>
      <c r="H324" s="1"/>
      <c r="I324" s="1"/>
      <c r="J324" s="1"/>
      <c r="K324" s="1"/>
      <c r="M324" s="1"/>
      <c r="N324" s="1"/>
      <c r="O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U324" s="1"/>
      <c r="AW324" s="1"/>
      <c r="AY324" s="1"/>
    </row>
    <row r="325">
      <c r="A325" s="1"/>
      <c r="C325" s="1"/>
      <c r="E325" s="1"/>
      <c r="F325" s="1"/>
      <c r="G325" s="1"/>
      <c r="H325" s="1"/>
      <c r="I325" s="1"/>
      <c r="J325" s="1"/>
      <c r="K325" s="1"/>
      <c r="M325" s="1"/>
      <c r="N325" s="1"/>
      <c r="O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U325" s="1"/>
      <c r="AW325" s="1"/>
      <c r="AY325" s="1"/>
    </row>
    <row r="326">
      <c r="A326" s="1"/>
      <c r="C326" s="1"/>
      <c r="E326" s="1"/>
      <c r="F326" s="1"/>
      <c r="G326" s="1"/>
      <c r="H326" s="1"/>
      <c r="I326" s="1"/>
      <c r="J326" s="1"/>
      <c r="K326" s="1"/>
      <c r="M326" s="1"/>
      <c r="N326" s="1"/>
      <c r="O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U326" s="1"/>
      <c r="AW326" s="1"/>
      <c r="AY326" s="1"/>
    </row>
    <row r="327">
      <c r="A327" s="1"/>
      <c r="C327" s="1"/>
      <c r="E327" s="1"/>
      <c r="F327" s="1"/>
      <c r="G327" s="1"/>
      <c r="H327" s="1"/>
      <c r="I327" s="1"/>
      <c r="J327" s="1"/>
      <c r="K327" s="1"/>
      <c r="M327" s="1"/>
      <c r="N327" s="1"/>
      <c r="O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U327" s="1"/>
      <c r="AW327" s="1"/>
      <c r="AY327" s="1"/>
    </row>
    <row r="328">
      <c r="A328" s="1"/>
      <c r="C328" s="1"/>
      <c r="E328" s="1"/>
      <c r="F328" s="1"/>
      <c r="G328" s="1"/>
      <c r="H328" s="1"/>
      <c r="I328" s="1"/>
      <c r="J328" s="1"/>
      <c r="K328" s="1"/>
      <c r="M328" s="1"/>
      <c r="N328" s="1"/>
      <c r="O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U328" s="1"/>
      <c r="AW328" s="1"/>
      <c r="AY328" s="1"/>
    </row>
    <row r="329">
      <c r="A329" s="1"/>
      <c r="C329" s="1"/>
      <c r="E329" s="1"/>
      <c r="F329" s="1"/>
      <c r="G329" s="1"/>
      <c r="H329" s="1"/>
      <c r="I329" s="1"/>
      <c r="J329" s="1"/>
      <c r="K329" s="1"/>
      <c r="M329" s="1"/>
      <c r="N329" s="1"/>
      <c r="O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U329" s="1"/>
      <c r="AW329" s="1"/>
      <c r="AY329" s="1"/>
    </row>
    <row r="330">
      <c r="A330" s="1"/>
      <c r="C330" s="1"/>
      <c r="E330" s="1"/>
      <c r="F330" s="1"/>
      <c r="G330" s="1"/>
      <c r="H330" s="1"/>
      <c r="I330" s="1"/>
      <c r="J330" s="1"/>
      <c r="K330" s="1"/>
      <c r="M330" s="1"/>
      <c r="N330" s="1"/>
      <c r="O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U330" s="1"/>
      <c r="AW330" s="1"/>
      <c r="AY330" s="1"/>
    </row>
    <row r="331">
      <c r="A331" s="1"/>
      <c r="C331" s="1"/>
      <c r="E331" s="1"/>
      <c r="F331" s="1"/>
      <c r="G331" s="1"/>
      <c r="H331" s="1"/>
      <c r="I331" s="1"/>
      <c r="J331" s="1"/>
      <c r="K331" s="1"/>
      <c r="M331" s="1"/>
      <c r="N331" s="1"/>
      <c r="O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U331" s="1"/>
      <c r="AW331" s="1"/>
      <c r="AY331" s="1"/>
    </row>
    <row r="332">
      <c r="A332" s="1"/>
      <c r="C332" s="1"/>
      <c r="E332" s="1"/>
      <c r="F332" s="1"/>
      <c r="G332" s="1"/>
      <c r="H332" s="1"/>
      <c r="I332" s="1"/>
      <c r="J332" s="1"/>
      <c r="K332" s="1"/>
      <c r="M332" s="1"/>
      <c r="N332" s="1"/>
      <c r="O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U332" s="1"/>
      <c r="AW332" s="1"/>
      <c r="AY332" s="1"/>
    </row>
    <row r="333">
      <c r="A333" s="1"/>
      <c r="C333" s="1"/>
      <c r="E333" s="1"/>
      <c r="F333" s="1"/>
      <c r="G333" s="1"/>
      <c r="H333" s="1"/>
      <c r="I333" s="1"/>
      <c r="J333" s="1"/>
      <c r="K333" s="1"/>
      <c r="M333" s="1"/>
      <c r="N333" s="1"/>
      <c r="O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U333" s="1"/>
      <c r="AW333" s="1"/>
      <c r="AY333" s="1"/>
    </row>
    <row r="334">
      <c r="A334" s="1"/>
      <c r="C334" s="1"/>
      <c r="E334" s="1"/>
      <c r="F334" s="1"/>
      <c r="G334" s="1"/>
      <c r="H334" s="1"/>
      <c r="I334" s="1"/>
      <c r="J334" s="1"/>
      <c r="K334" s="1"/>
      <c r="M334" s="1"/>
      <c r="N334" s="1"/>
      <c r="O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U334" s="1"/>
      <c r="AW334" s="1"/>
      <c r="AY334" s="1"/>
    </row>
    <row r="335">
      <c r="A335" s="1"/>
      <c r="C335" s="1"/>
      <c r="E335" s="1"/>
      <c r="F335" s="1"/>
      <c r="G335" s="1"/>
      <c r="H335" s="1"/>
      <c r="I335" s="1"/>
      <c r="J335" s="1"/>
      <c r="K335" s="1"/>
      <c r="M335" s="1"/>
      <c r="N335" s="1"/>
      <c r="O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U335" s="1"/>
      <c r="AW335" s="1"/>
      <c r="AY335" s="1"/>
    </row>
    <row r="336">
      <c r="A336" s="1"/>
      <c r="C336" s="1"/>
      <c r="E336" s="1"/>
      <c r="F336" s="1"/>
      <c r="G336" s="1"/>
      <c r="H336" s="1"/>
      <c r="I336" s="1"/>
      <c r="J336" s="1"/>
      <c r="K336" s="1"/>
      <c r="M336" s="1"/>
      <c r="N336" s="1"/>
      <c r="O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U336" s="1"/>
      <c r="AW336" s="1"/>
      <c r="AY336" s="1"/>
    </row>
    <row r="337">
      <c r="A337" s="1"/>
      <c r="C337" s="1"/>
      <c r="E337" s="1"/>
      <c r="F337" s="1"/>
      <c r="G337" s="1"/>
      <c r="H337" s="1"/>
      <c r="I337" s="1"/>
      <c r="J337" s="1"/>
      <c r="K337" s="1"/>
      <c r="M337" s="1"/>
      <c r="N337" s="1"/>
      <c r="O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U337" s="1"/>
      <c r="AW337" s="1"/>
      <c r="AY337" s="1"/>
    </row>
    <row r="338">
      <c r="A338" s="1"/>
      <c r="C338" s="1"/>
      <c r="E338" s="1"/>
      <c r="F338" s="1"/>
      <c r="G338" s="1"/>
      <c r="H338" s="1"/>
      <c r="I338" s="1"/>
      <c r="J338" s="1"/>
      <c r="K338" s="1"/>
      <c r="M338" s="1"/>
      <c r="N338" s="1"/>
      <c r="O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U338" s="1"/>
      <c r="AW338" s="1"/>
      <c r="AY338" s="1"/>
    </row>
    <row r="339">
      <c r="A339" s="1"/>
      <c r="C339" s="1"/>
      <c r="E339" s="1"/>
      <c r="F339" s="1"/>
      <c r="G339" s="1"/>
      <c r="H339" s="1"/>
      <c r="I339" s="1"/>
      <c r="J339" s="1"/>
      <c r="K339" s="1"/>
      <c r="M339" s="1"/>
      <c r="N339" s="1"/>
      <c r="O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U339" s="1"/>
      <c r="AW339" s="1"/>
      <c r="AY339" s="1"/>
    </row>
    <row r="340">
      <c r="A340" s="1"/>
      <c r="C340" s="1"/>
      <c r="E340" s="1"/>
      <c r="F340" s="1"/>
      <c r="G340" s="1"/>
      <c r="H340" s="1"/>
      <c r="I340" s="1"/>
      <c r="J340" s="1"/>
      <c r="K340" s="1"/>
      <c r="M340" s="1"/>
      <c r="N340" s="1"/>
      <c r="O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U340" s="1"/>
      <c r="AW340" s="1"/>
      <c r="AY340" s="1"/>
    </row>
    <row r="341">
      <c r="A341" s="1"/>
      <c r="C341" s="1"/>
      <c r="E341" s="1"/>
      <c r="F341" s="1"/>
      <c r="G341" s="1"/>
      <c r="H341" s="1"/>
      <c r="I341" s="1"/>
      <c r="J341" s="1"/>
      <c r="K341" s="1"/>
      <c r="M341" s="1"/>
      <c r="N341" s="1"/>
      <c r="O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U341" s="1"/>
      <c r="AW341" s="1"/>
      <c r="AY341" s="1"/>
    </row>
    <row r="342">
      <c r="A342" s="1"/>
      <c r="C342" s="1"/>
      <c r="E342" s="1"/>
      <c r="F342" s="1"/>
      <c r="G342" s="1"/>
      <c r="H342" s="1"/>
      <c r="I342" s="1"/>
      <c r="J342" s="1"/>
      <c r="K342" s="1"/>
      <c r="M342" s="1"/>
      <c r="N342" s="1"/>
      <c r="O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U342" s="1"/>
      <c r="AW342" s="1"/>
      <c r="AY342" s="1"/>
    </row>
    <row r="343">
      <c r="A343" s="1"/>
      <c r="C343" s="1"/>
      <c r="E343" s="1"/>
      <c r="F343" s="1"/>
      <c r="G343" s="1"/>
      <c r="H343" s="1"/>
      <c r="I343" s="1"/>
      <c r="J343" s="1"/>
      <c r="K343" s="1"/>
      <c r="M343" s="1"/>
      <c r="N343" s="1"/>
      <c r="O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U343" s="1"/>
      <c r="AW343" s="1"/>
      <c r="AY343" s="1"/>
    </row>
    <row r="344">
      <c r="A344" s="1"/>
      <c r="C344" s="1"/>
      <c r="E344" s="1"/>
      <c r="F344" s="1"/>
      <c r="G344" s="1"/>
      <c r="H344" s="1"/>
      <c r="I344" s="1"/>
      <c r="J344" s="1"/>
      <c r="K344" s="1"/>
      <c r="M344" s="1"/>
      <c r="N344" s="1"/>
      <c r="O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U344" s="1"/>
      <c r="AW344" s="1"/>
      <c r="AY344" s="1"/>
    </row>
    <row r="345">
      <c r="A345" s="1"/>
      <c r="C345" s="1"/>
      <c r="E345" s="1"/>
      <c r="F345" s="1"/>
      <c r="G345" s="1"/>
      <c r="H345" s="1"/>
      <c r="I345" s="1"/>
      <c r="J345" s="1"/>
      <c r="K345" s="1"/>
      <c r="M345" s="1"/>
      <c r="N345" s="1"/>
      <c r="O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U345" s="1"/>
      <c r="AW345" s="1"/>
      <c r="AY345" s="1"/>
    </row>
    <row r="346">
      <c r="A346" s="1"/>
      <c r="C346" s="1"/>
      <c r="E346" s="1"/>
      <c r="F346" s="1"/>
      <c r="G346" s="1"/>
      <c r="H346" s="1"/>
      <c r="I346" s="1"/>
      <c r="J346" s="1"/>
      <c r="K346" s="1"/>
      <c r="M346" s="1"/>
      <c r="N346" s="1"/>
      <c r="O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U346" s="1"/>
      <c r="AW346" s="1"/>
      <c r="AY346" s="1"/>
    </row>
    <row r="347">
      <c r="A347" s="1"/>
      <c r="C347" s="1"/>
      <c r="E347" s="1"/>
      <c r="F347" s="1"/>
      <c r="G347" s="1"/>
      <c r="H347" s="1"/>
      <c r="I347" s="1"/>
      <c r="J347" s="1"/>
      <c r="K347" s="1"/>
      <c r="M347" s="1"/>
      <c r="N347" s="1"/>
      <c r="O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U347" s="1"/>
      <c r="AW347" s="1"/>
      <c r="AY347" s="1"/>
    </row>
    <row r="348">
      <c r="A348" s="1"/>
      <c r="C348" s="1"/>
      <c r="E348" s="1"/>
      <c r="F348" s="1"/>
      <c r="G348" s="1"/>
      <c r="H348" s="1"/>
      <c r="I348" s="1"/>
      <c r="J348" s="1"/>
      <c r="K348" s="1"/>
      <c r="M348" s="1"/>
      <c r="N348" s="1"/>
      <c r="O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U348" s="1"/>
      <c r="AW348" s="1"/>
      <c r="AY348" s="1"/>
    </row>
    <row r="349">
      <c r="A349" s="1"/>
      <c r="C349" s="1"/>
      <c r="E349" s="1"/>
      <c r="F349" s="1"/>
      <c r="G349" s="1"/>
      <c r="H349" s="1"/>
      <c r="I349" s="1"/>
      <c r="J349" s="1"/>
      <c r="K349" s="1"/>
      <c r="M349" s="1"/>
      <c r="N349" s="1"/>
      <c r="O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U349" s="1"/>
      <c r="AW349" s="1"/>
      <c r="AY349" s="1"/>
    </row>
    <row r="350">
      <c r="A350" s="1"/>
      <c r="C350" s="1"/>
      <c r="E350" s="1"/>
      <c r="F350" s="1"/>
      <c r="G350" s="1"/>
      <c r="H350" s="1"/>
      <c r="I350" s="1"/>
      <c r="J350" s="1"/>
      <c r="K350" s="1"/>
      <c r="M350" s="1"/>
      <c r="N350" s="1"/>
      <c r="O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U350" s="1"/>
      <c r="AW350" s="1"/>
      <c r="AY350" s="1"/>
    </row>
    <row r="351">
      <c r="A351" s="1"/>
      <c r="C351" s="1"/>
      <c r="E351" s="1"/>
      <c r="F351" s="1"/>
      <c r="G351" s="1"/>
      <c r="H351" s="1"/>
      <c r="I351" s="1"/>
      <c r="J351" s="1"/>
      <c r="K351" s="1"/>
      <c r="M351" s="1"/>
      <c r="N351" s="1"/>
      <c r="O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U351" s="1"/>
      <c r="AW351" s="1"/>
      <c r="AY351" s="1"/>
    </row>
    <row r="352">
      <c r="A352" s="1"/>
      <c r="C352" s="1"/>
      <c r="E352" s="1"/>
      <c r="F352" s="1"/>
      <c r="G352" s="1"/>
      <c r="H352" s="1"/>
      <c r="I352" s="1"/>
      <c r="J352" s="1"/>
      <c r="K352" s="1"/>
      <c r="M352" s="1"/>
      <c r="N352" s="1"/>
      <c r="O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U352" s="1"/>
      <c r="AW352" s="1"/>
      <c r="AY352" s="1"/>
    </row>
    <row r="353">
      <c r="A353" s="1"/>
      <c r="C353" s="1"/>
      <c r="E353" s="1"/>
      <c r="F353" s="1"/>
      <c r="G353" s="1"/>
      <c r="H353" s="1"/>
      <c r="I353" s="1"/>
      <c r="J353" s="1"/>
      <c r="K353" s="1"/>
      <c r="M353" s="1"/>
      <c r="N353" s="1"/>
      <c r="O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U353" s="1"/>
      <c r="AW353" s="1"/>
      <c r="AY353" s="1"/>
    </row>
    <row r="354">
      <c r="A354" s="1"/>
      <c r="C354" s="1"/>
      <c r="E354" s="1"/>
      <c r="F354" s="1"/>
      <c r="G354" s="1"/>
      <c r="H354" s="1"/>
      <c r="I354" s="1"/>
      <c r="J354" s="1"/>
      <c r="K354" s="1"/>
      <c r="M354" s="1"/>
      <c r="N354" s="1"/>
      <c r="O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U354" s="1"/>
      <c r="AW354" s="1"/>
      <c r="AY354" s="1"/>
    </row>
    <row r="355">
      <c r="A355" s="1"/>
      <c r="C355" s="1"/>
      <c r="E355" s="1"/>
      <c r="F355" s="1"/>
      <c r="G355" s="1"/>
      <c r="H355" s="1"/>
      <c r="I355" s="1"/>
      <c r="J355" s="1"/>
      <c r="K355" s="1"/>
      <c r="M355" s="1"/>
      <c r="N355" s="1"/>
      <c r="O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U355" s="1"/>
      <c r="AW355" s="1"/>
      <c r="AY355" s="1"/>
    </row>
    <row r="356">
      <c r="A356" s="1"/>
      <c r="C356" s="1"/>
      <c r="E356" s="1"/>
      <c r="F356" s="1"/>
      <c r="G356" s="1"/>
      <c r="H356" s="1"/>
      <c r="I356" s="1"/>
      <c r="J356" s="1"/>
      <c r="K356" s="1"/>
      <c r="M356" s="1"/>
      <c r="N356" s="1"/>
      <c r="O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U356" s="1"/>
      <c r="AW356" s="1"/>
      <c r="AY356" s="1"/>
    </row>
    <row r="357">
      <c r="A357" s="1"/>
      <c r="C357" s="1"/>
      <c r="E357" s="1"/>
      <c r="F357" s="1"/>
      <c r="G357" s="1"/>
      <c r="H357" s="1"/>
      <c r="I357" s="1"/>
      <c r="J357" s="1"/>
      <c r="K357" s="1"/>
      <c r="M357" s="1"/>
      <c r="N357" s="1"/>
      <c r="O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U357" s="1"/>
      <c r="AW357" s="1"/>
      <c r="AY357" s="1"/>
    </row>
    <row r="358">
      <c r="A358" s="1"/>
      <c r="C358" s="1"/>
      <c r="E358" s="1"/>
      <c r="F358" s="1"/>
      <c r="G358" s="1"/>
      <c r="H358" s="1"/>
      <c r="I358" s="1"/>
      <c r="J358" s="1"/>
      <c r="K358" s="1"/>
      <c r="M358" s="1"/>
      <c r="N358" s="1"/>
      <c r="O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U358" s="1"/>
      <c r="AW358" s="1"/>
      <c r="AY358" s="1"/>
    </row>
    <row r="359">
      <c r="A359" s="1"/>
      <c r="C359" s="1"/>
      <c r="E359" s="1"/>
      <c r="F359" s="1"/>
      <c r="G359" s="1"/>
      <c r="H359" s="1"/>
      <c r="I359" s="1"/>
      <c r="J359" s="1"/>
      <c r="K359" s="1"/>
      <c r="M359" s="1"/>
      <c r="N359" s="1"/>
      <c r="O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U359" s="1"/>
      <c r="AW359" s="1"/>
      <c r="AY359" s="1"/>
    </row>
    <row r="360">
      <c r="A360" s="1"/>
      <c r="C360" s="1"/>
      <c r="E360" s="1"/>
      <c r="F360" s="1"/>
      <c r="G360" s="1"/>
      <c r="H360" s="1"/>
      <c r="I360" s="1"/>
      <c r="J360" s="1"/>
      <c r="K360" s="1"/>
      <c r="M360" s="1"/>
      <c r="N360" s="1"/>
      <c r="O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U360" s="1"/>
      <c r="AW360" s="1"/>
      <c r="AY360" s="1"/>
    </row>
    <row r="361">
      <c r="A361" s="1"/>
      <c r="C361" s="1"/>
      <c r="E361" s="1"/>
      <c r="F361" s="1"/>
      <c r="G361" s="1"/>
      <c r="H361" s="1"/>
      <c r="I361" s="1"/>
      <c r="J361" s="1"/>
      <c r="K361" s="1"/>
      <c r="M361" s="1"/>
      <c r="N361" s="1"/>
      <c r="O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U361" s="1"/>
      <c r="AW361" s="1"/>
      <c r="AY361" s="1"/>
    </row>
    <row r="362">
      <c r="A362" s="1"/>
      <c r="C362" s="1"/>
      <c r="E362" s="1"/>
      <c r="F362" s="1"/>
      <c r="G362" s="1"/>
      <c r="H362" s="1"/>
      <c r="I362" s="1"/>
      <c r="J362" s="1"/>
      <c r="K362" s="1"/>
      <c r="M362" s="1"/>
      <c r="N362" s="1"/>
      <c r="O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U362" s="1"/>
      <c r="AW362" s="1"/>
      <c r="AY362" s="1"/>
    </row>
    <row r="363">
      <c r="A363" s="1"/>
      <c r="C363" s="1"/>
      <c r="E363" s="1"/>
      <c r="F363" s="1"/>
      <c r="G363" s="1"/>
      <c r="H363" s="1"/>
      <c r="I363" s="1"/>
      <c r="J363" s="1"/>
      <c r="K363" s="1"/>
      <c r="M363" s="1"/>
      <c r="N363" s="1"/>
      <c r="O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U363" s="1"/>
      <c r="AW363" s="1"/>
      <c r="AY363" s="1"/>
    </row>
    <row r="364">
      <c r="A364" s="1"/>
      <c r="C364" s="1"/>
      <c r="E364" s="1"/>
      <c r="F364" s="1"/>
      <c r="G364" s="1"/>
      <c r="H364" s="1"/>
      <c r="I364" s="1"/>
      <c r="J364" s="1"/>
      <c r="K364" s="1"/>
      <c r="M364" s="1"/>
      <c r="N364" s="1"/>
      <c r="O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U364" s="1"/>
      <c r="AW364" s="1"/>
      <c r="AY364" s="1"/>
    </row>
    <row r="365">
      <c r="A365" s="1"/>
      <c r="C365" s="1"/>
      <c r="E365" s="1"/>
      <c r="F365" s="1"/>
      <c r="G365" s="1"/>
      <c r="H365" s="1"/>
      <c r="I365" s="1"/>
      <c r="J365" s="1"/>
      <c r="K365" s="1"/>
      <c r="M365" s="1"/>
      <c r="N365" s="1"/>
      <c r="O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U365" s="1"/>
      <c r="AW365" s="1"/>
      <c r="AY365" s="1"/>
    </row>
    <row r="366">
      <c r="A366" s="1"/>
      <c r="C366" s="1"/>
      <c r="E366" s="1"/>
      <c r="F366" s="1"/>
      <c r="G366" s="1"/>
      <c r="H366" s="1"/>
      <c r="I366" s="1"/>
      <c r="J366" s="1"/>
      <c r="K366" s="1"/>
      <c r="M366" s="1"/>
      <c r="N366" s="1"/>
      <c r="O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U366" s="1"/>
      <c r="AW366" s="1"/>
      <c r="AY366" s="1"/>
    </row>
    <row r="367">
      <c r="A367" s="1"/>
      <c r="C367" s="1"/>
      <c r="E367" s="1"/>
      <c r="F367" s="1"/>
      <c r="G367" s="1"/>
      <c r="H367" s="1"/>
      <c r="I367" s="1"/>
      <c r="J367" s="1"/>
      <c r="K367" s="1"/>
      <c r="M367" s="1"/>
      <c r="N367" s="1"/>
      <c r="O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U367" s="1"/>
      <c r="AW367" s="1"/>
      <c r="AY367" s="1"/>
    </row>
    <row r="368">
      <c r="A368" s="1"/>
      <c r="C368" s="1"/>
      <c r="E368" s="1"/>
      <c r="F368" s="1"/>
      <c r="G368" s="1"/>
      <c r="H368" s="1"/>
      <c r="I368" s="1"/>
      <c r="J368" s="1"/>
      <c r="K368" s="1"/>
      <c r="M368" s="1"/>
      <c r="N368" s="1"/>
      <c r="O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U368" s="1"/>
      <c r="AW368" s="1"/>
      <c r="AY368" s="1"/>
    </row>
    <row r="369">
      <c r="A369" s="1"/>
      <c r="C369" s="1"/>
      <c r="E369" s="1"/>
      <c r="F369" s="1"/>
      <c r="G369" s="1"/>
      <c r="H369" s="1"/>
      <c r="I369" s="1"/>
      <c r="J369" s="1"/>
      <c r="K369" s="1"/>
      <c r="M369" s="1"/>
      <c r="N369" s="1"/>
      <c r="O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U369" s="1"/>
      <c r="AW369" s="1"/>
      <c r="AY369" s="1"/>
    </row>
    <row r="370">
      <c r="A370" s="1"/>
      <c r="C370" s="1"/>
      <c r="E370" s="1"/>
      <c r="F370" s="1"/>
      <c r="G370" s="1"/>
      <c r="H370" s="1"/>
      <c r="I370" s="1"/>
      <c r="J370" s="1"/>
      <c r="K370" s="1"/>
      <c r="M370" s="1"/>
      <c r="N370" s="1"/>
      <c r="O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U370" s="1"/>
      <c r="AW370" s="1"/>
      <c r="AY370" s="1"/>
    </row>
    <row r="371">
      <c r="A371" s="1"/>
      <c r="C371" s="1"/>
      <c r="E371" s="1"/>
      <c r="F371" s="1"/>
      <c r="G371" s="1"/>
      <c r="H371" s="1"/>
      <c r="I371" s="1"/>
      <c r="J371" s="1"/>
      <c r="K371" s="1"/>
      <c r="M371" s="1"/>
      <c r="N371" s="1"/>
      <c r="O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U371" s="1"/>
      <c r="AW371" s="1"/>
      <c r="AY371" s="1"/>
    </row>
    <row r="372">
      <c r="A372" s="1"/>
      <c r="C372" s="1"/>
      <c r="E372" s="1"/>
      <c r="F372" s="1"/>
      <c r="G372" s="1"/>
      <c r="H372" s="1"/>
      <c r="I372" s="1"/>
      <c r="J372" s="1"/>
      <c r="K372" s="1"/>
      <c r="M372" s="1"/>
      <c r="N372" s="1"/>
      <c r="O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U372" s="1"/>
      <c r="AW372" s="1"/>
      <c r="AY372" s="1"/>
    </row>
    <row r="373">
      <c r="A373" s="1"/>
      <c r="C373" s="1"/>
      <c r="E373" s="1"/>
      <c r="F373" s="1"/>
      <c r="G373" s="1"/>
      <c r="H373" s="1"/>
      <c r="I373" s="1"/>
      <c r="J373" s="1"/>
      <c r="K373" s="1"/>
      <c r="M373" s="1"/>
      <c r="N373" s="1"/>
      <c r="O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U373" s="1"/>
      <c r="AW373" s="1"/>
      <c r="AY373" s="1"/>
    </row>
    <row r="374">
      <c r="A374" s="1"/>
      <c r="C374" s="1"/>
      <c r="E374" s="1"/>
      <c r="F374" s="1"/>
      <c r="G374" s="1"/>
      <c r="H374" s="1"/>
      <c r="I374" s="1"/>
      <c r="J374" s="1"/>
      <c r="K374" s="1"/>
      <c r="M374" s="1"/>
      <c r="N374" s="1"/>
      <c r="O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U374" s="1"/>
      <c r="AW374" s="1"/>
      <c r="AY374" s="1"/>
    </row>
    <row r="375">
      <c r="A375" s="1"/>
      <c r="C375" s="1"/>
      <c r="E375" s="1"/>
      <c r="F375" s="1"/>
      <c r="G375" s="1"/>
      <c r="H375" s="1"/>
      <c r="I375" s="1"/>
      <c r="J375" s="1"/>
      <c r="K375" s="1"/>
      <c r="M375" s="1"/>
      <c r="N375" s="1"/>
      <c r="O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U375" s="1"/>
      <c r="AW375" s="1"/>
      <c r="AY375" s="1"/>
    </row>
    <row r="376">
      <c r="A376" s="1"/>
      <c r="C376" s="1"/>
      <c r="E376" s="1"/>
      <c r="F376" s="1"/>
      <c r="G376" s="1"/>
      <c r="H376" s="1"/>
      <c r="I376" s="1"/>
      <c r="J376" s="1"/>
      <c r="K376" s="1"/>
      <c r="M376" s="1"/>
      <c r="N376" s="1"/>
      <c r="O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U376" s="1"/>
      <c r="AW376" s="1"/>
      <c r="AY376" s="1"/>
    </row>
    <row r="377">
      <c r="A377" s="1"/>
      <c r="C377" s="1"/>
      <c r="E377" s="1"/>
      <c r="F377" s="1"/>
      <c r="G377" s="1"/>
      <c r="H377" s="1"/>
      <c r="I377" s="1"/>
      <c r="J377" s="1"/>
      <c r="K377" s="1"/>
      <c r="M377" s="1"/>
      <c r="N377" s="1"/>
      <c r="O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U377" s="1"/>
      <c r="AW377" s="1"/>
      <c r="AY377" s="1"/>
    </row>
    <row r="378">
      <c r="A378" s="1"/>
      <c r="C378" s="1"/>
      <c r="E378" s="1"/>
      <c r="F378" s="1"/>
      <c r="G378" s="1"/>
      <c r="H378" s="1"/>
      <c r="I378" s="1"/>
      <c r="J378" s="1"/>
      <c r="K378" s="1"/>
      <c r="M378" s="1"/>
      <c r="N378" s="1"/>
      <c r="O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U378" s="1"/>
      <c r="AW378" s="1"/>
      <c r="AY378" s="1"/>
    </row>
    <row r="379">
      <c r="A379" s="1"/>
      <c r="C379" s="1"/>
      <c r="E379" s="1"/>
      <c r="F379" s="1"/>
      <c r="G379" s="1"/>
      <c r="H379" s="1"/>
      <c r="I379" s="1"/>
      <c r="J379" s="1"/>
      <c r="K379" s="1"/>
      <c r="M379" s="1"/>
      <c r="N379" s="1"/>
      <c r="O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U379" s="1"/>
      <c r="AW379" s="1"/>
      <c r="AY379" s="1"/>
    </row>
    <row r="380">
      <c r="A380" s="1"/>
      <c r="C380" s="1"/>
      <c r="E380" s="1"/>
      <c r="F380" s="1"/>
      <c r="G380" s="1"/>
      <c r="H380" s="1"/>
      <c r="I380" s="1"/>
      <c r="J380" s="1"/>
      <c r="K380" s="1"/>
      <c r="M380" s="1"/>
      <c r="N380" s="1"/>
      <c r="O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U380" s="1"/>
      <c r="AW380" s="1"/>
      <c r="AY380" s="1"/>
    </row>
    <row r="381">
      <c r="A381" s="1"/>
      <c r="C381" s="1"/>
      <c r="E381" s="1"/>
      <c r="F381" s="1"/>
      <c r="G381" s="1"/>
      <c r="H381" s="1"/>
      <c r="I381" s="1"/>
      <c r="J381" s="1"/>
      <c r="K381" s="1"/>
      <c r="M381" s="1"/>
      <c r="N381" s="1"/>
      <c r="O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U381" s="1"/>
      <c r="AW381" s="1"/>
      <c r="AY381" s="1"/>
    </row>
    <row r="382">
      <c r="A382" s="1"/>
      <c r="C382" s="1"/>
      <c r="E382" s="1"/>
      <c r="F382" s="1"/>
      <c r="G382" s="1"/>
      <c r="H382" s="1"/>
      <c r="I382" s="1"/>
      <c r="J382" s="1"/>
      <c r="K382" s="1"/>
      <c r="M382" s="1"/>
      <c r="N382" s="1"/>
      <c r="O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U382" s="1"/>
      <c r="AW382" s="1"/>
      <c r="AY382" s="1"/>
    </row>
    <row r="383">
      <c r="A383" s="1"/>
      <c r="C383" s="1"/>
      <c r="E383" s="1"/>
      <c r="F383" s="1"/>
      <c r="G383" s="1"/>
      <c r="H383" s="1"/>
      <c r="I383" s="1"/>
      <c r="J383" s="1"/>
      <c r="K383" s="1"/>
      <c r="M383" s="1"/>
      <c r="N383" s="1"/>
      <c r="O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U383" s="1"/>
      <c r="AW383" s="1"/>
      <c r="AY383" s="1"/>
    </row>
    <row r="384">
      <c r="A384" s="1"/>
      <c r="C384" s="1"/>
      <c r="E384" s="1"/>
      <c r="F384" s="1"/>
      <c r="G384" s="1"/>
      <c r="H384" s="1"/>
      <c r="I384" s="1"/>
      <c r="J384" s="1"/>
      <c r="K384" s="1"/>
      <c r="M384" s="1"/>
      <c r="N384" s="1"/>
      <c r="O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U384" s="1"/>
      <c r="AW384" s="1"/>
      <c r="AY384" s="1"/>
    </row>
    <row r="385">
      <c r="A385" s="1"/>
      <c r="C385" s="1"/>
      <c r="E385" s="1"/>
      <c r="F385" s="1"/>
      <c r="G385" s="1"/>
      <c r="H385" s="1"/>
      <c r="I385" s="1"/>
      <c r="J385" s="1"/>
      <c r="K385" s="1"/>
      <c r="M385" s="1"/>
      <c r="N385" s="1"/>
      <c r="O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U385" s="1"/>
      <c r="AW385" s="1"/>
      <c r="AY385" s="1"/>
    </row>
    <row r="386">
      <c r="A386" s="1"/>
      <c r="C386" s="1"/>
      <c r="E386" s="1"/>
      <c r="F386" s="1"/>
      <c r="G386" s="1"/>
      <c r="H386" s="1"/>
      <c r="I386" s="1"/>
      <c r="J386" s="1"/>
      <c r="K386" s="1"/>
      <c r="M386" s="1"/>
      <c r="N386" s="1"/>
      <c r="O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U386" s="1"/>
      <c r="AW386" s="1"/>
      <c r="AY386" s="1"/>
    </row>
    <row r="387">
      <c r="A387" s="1"/>
      <c r="C387" s="1"/>
      <c r="E387" s="1"/>
      <c r="F387" s="1"/>
      <c r="G387" s="1"/>
      <c r="H387" s="1"/>
      <c r="I387" s="1"/>
      <c r="J387" s="1"/>
      <c r="K387" s="1"/>
      <c r="M387" s="1"/>
      <c r="N387" s="1"/>
      <c r="O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U387" s="1"/>
      <c r="AW387" s="1"/>
      <c r="AY387" s="1"/>
    </row>
    <row r="388">
      <c r="A388" s="1"/>
      <c r="C388" s="1"/>
      <c r="E388" s="1"/>
      <c r="F388" s="1"/>
      <c r="G388" s="1"/>
      <c r="H388" s="1"/>
      <c r="I388" s="1"/>
      <c r="J388" s="1"/>
      <c r="K388" s="1"/>
      <c r="M388" s="1"/>
      <c r="N388" s="1"/>
      <c r="O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U388" s="1"/>
      <c r="AW388" s="1"/>
      <c r="AY388" s="1"/>
    </row>
    <row r="389">
      <c r="A389" s="1"/>
      <c r="C389" s="1"/>
      <c r="E389" s="1"/>
      <c r="F389" s="1"/>
      <c r="G389" s="1"/>
      <c r="H389" s="1"/>
      <c r="I389" s="1"/>
      <c r="J389" s="1"/>
      <c r="K389" s="1"/>
      <c r="M389" s="1"/>
      <c r="N389" s="1"/>
      <c r="O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U389" s="1"/>
      <c r="AW389" s="1"/>
      <c r="AY389" s="1"/>
    </row>
    <row r="390">
      <c r="A390" s="1"/>
      <c r="C390" s="1"/>
      <c r="E390" s="1"/>
      <c r="F390" s="1"/>
      <c r="G390" s="1"/>
      <c r="H390" s="1"/>
      <c r="I390" s="1"/>
      <c r="J390" s="1"/>
      <c r="K390" s="1"/>
      <c r="M390" s="1"/>
      <c r="N390" s="1"/>
      <c r="O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U390" s="1"/>
      <c r="AW390" s="1"/>
      <c r="AY390" s="1"/>
    </row>
    <row r="391">
      <c r="A391" s="1"/>
      <c r="C391" s="1"/>
      <c r="E391" s="1"/>
      <c r="F391" s="1"/>
      <c r="G391" s="1"/>
      <c r="H391" s="1"/>
      <c r="I391" s="1"/>
      <c r="J391" s="1"/>
      <c r="K391" s="1"/>
      <c r="M391" s="1"/>
      <c r="N391" s="1"/>
      <c r="O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U391" s="1"/>
      <c r="AW391" s="1"/>
      <c r="AY391" s="1"/>
    </row>
    <row r="392">
      <c r="A392" s="1"/>
      <c r="C392" s="1"/>
      <c r="E392" s="1"/>
      <c r="F392" s="1"/>
      <c r="G392" s="1"/>
      <c r="H392" s="1"/>
      <c r="I392" s="1"/>
      <c r="J392" s="1"/>
      <c r="K392" s="1"/>
      <c r="M392" s="1"/>
      <c r="N392" s="1"/>
      <c r="O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U392" s="1"/>
      <c r="AW392" s="1"/>
      <c r="AY392" s="1"/>
    </row>
    <row r="393">
      <c r="A393" s="1"/>
      <c r="C393" s="1"/>
      <c r="E393" s="1"/>
      <c r="F393" s="1"/>
      <c r="G393" s="1"/>
      <c r="H393" s="1"/>
      <c r="I393" s="1"/>
      <c r="J393" s="1"/>
      <c r="K393" s="1"/>
      <c r="M393" s="1"/>
      <c r="N393" s="1"/>
      <c r="O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U393" s="1"/>
      <c r="AW393" s="1"/>
      <c r="AY393" s="1"/>
    </row>
    <row r="394">
      <c r="A394" s="1"/>
      <c r="C394" s="1"/>
      <c r="E394" s="1"/>
      <c r="F394" s="1"/>
      <c r="G394" s="1"/>
      <c r="H394" s="1"/>
      <c r="I394" s="1"/>
      <c r="J394" s="1"/>
      <c r="K394" s="1"/>
      <c r="M394" s="1"/>
      <c r="N394" s="1"/>
      <c r="O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U394" s="1"/>
      <c r="AW394" s="1"/>
      <c r="AY394" s="1"/>
    </row>
    <row r="395">
      <c r="A395" s="1"/>
      <c r="C395" s="1"/>
      <c r="E395" s="1"/>
      <c r="F395" s="1"/>
      <c r="G395" s="1"/>
      <c r="H395" s="1"/>
      <c r="I395" s="1"/>
      <c r="J395" s="1"/>
      <c r="K395" s="1"/>
      <c r="M395" s="1"/>
      <c r="N395" s="1"/>
      <c r="O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U395" s="1"/>
      <c r="AW395" s="1"/>
      <c r="AY395" s="1"/>
    </row>
    <row r="396">
      <c r="A396" s="1"/>
      <c r="C396" s="1"/>
      <c r="E396" s="1"/>
      <c r="F396" s="1"/>
      <c r="G396" s="1"/>
      <c r="H396" s="1"/>
      <c r="I396" s="1"/>
      <c r="J396" s="1"/>
      <c r="K396" s="1"/>
      <c r="M396" s="1"/>
      <c r="N396" s="1"/>
      <c r="O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U396" s="1"/>
      <c r="AW396" s="1"/>
      <c r="AY396" s="1"/>
    </row>
    <row r="397">
      <c r="A397" s="1"/>
      <c r="C397" s="1"/>
      <c r="E397" s="1"/>
      <c r="F397" s="1"/>
      <c r="G397" s="1"/>
      <c r="H397" s="1"/>
      <c r="I397" s="1"/>
      <c r="J397" s="1"/>
      <c r="K397" s="1"/>
      <c r="M397" s="1"/>
      <c r="N397" s="1"/>
      <c r="O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U397" s="1"/>
      <c r="AW397" s="1"/>
      <c r="AY397" s="1"/>
    </row>
    <row r="398">
      <c r="A398" s="1"/>
      <c r="C398" s="1"/>
      <c r="E398" s="1"/>
      <c r="F398" s="1"/>
      <c r="G398" s="1"/>
      <c r="H398" s="1"/>
      <c r="I398" s="1"/>
      <c r="J398" s="1"/>
      <c r="K398" s="1"/>
      <c r="M398" s="1"/>
      <c r="N398" s="1"/>
      <c r="O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U398" s="1"/>
      <c r="AW398" s="1"/>
      <c r="AY398" s="1"/>
    </row>
    <row r="399">
      <c r="A399" s="1"/>
      <c r="C399" s="1"/>
      <c r="E399" s="1"/>
      <c r="F399" s="1"/>
      <c r="G399" s="1"/>
      <c r="H399" s="1"/>
      <c r="I399" s="1"/>
      <c r="J399" s="1"/>
      <c r="K399" s="1"/>
      <c r="M399" s="1"/>
      <c r="N399" s="1"/>
      <c r="O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U399" s="1"/>
      <c r="AW399" s="1"/>
      <c r="AY399" s="1"/>
    </row>
    <row r="400">
      <c r="A400" s="1"/>
      <c r="C400" s="1"/>
      <c r="E400" s="1"/>
      <c r="F400" s="1"/>
      <c r="G400" s="1"/>
      <c r="H400" s="1"/>
      <c r="I400" s="1"/>
      <c r="J400" s="1"/>
      <c r="K400" s="1"/>
      <c r="M400" s="1"/>
      <c r="N400" s="1"/>
      <c r="O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U400" s="1"/>
      <c r="AW400" s="1"/>
      <c r="AY400" s="1"/>
    </row>
    <row r="401">
      <c r="A401" s="1"/>
      <c r="C401" s="1"/>
      <c r="E401" s="1"/>
      <c r="F401" s="1"/>
      <c r="G401" s="1"/>
      <c r="H401" s="1"/>
      <c r="I401" s="1"/>
      <c r="J401" s="1"/>
      <c r="K401" s="1"/>
      <c r="M401" s="1"/>
      <c r="N401" s="1"/>
      <c r="O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U401" s="1"/>
      <c r="AW401" s="1"/>
      <c r="AY401" s="1"/>
    </row>
    <row r="402">
      <c r="A402" s="1"/>
      <c r="C402" s="1"/>
      <c r="E402" s="1"/>
      <c r="F402" s="1"/>
      <c r="G402" s="1"/>
      <c r="H402" s="1"/>
      <c r="I402" s="1"/>
      <c r="J402" s="1"/>
      <c r="K402" s="1"/>
      <c r="M402" s="1"/>
      <c r="N402" s="1"/>
      <c r="O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U402" s="1"/>
      <c r="AW402" s="1"/>
      <c r="AY402" s="1"/>
    </row>
    <row r="403">
      <c r="A403" s="1"/>
      <c r="C403" s="1"/>
      <c r="E403" s="1"/>
      <c r="F403" s="1"/>
      <c r="G403" s="1"/>
      <c r="H403" s="1"/>
      <c r="I403" s="1"/>
      <c r="J403" s="1"/>
      <c r="K403" s="1"/>
      <c r="M403" s="1"/>
      <c r="N403" s="1"/>
      <c r="O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U403" s="1"/>
      <c r="AW403" s="1"/>
      <c r="AY403" s="1"/>
    </row>
    <row r="404">
      <c r="A404" s="1"/>
      <c r="C404" s="1"/>
      <c r="E404" s="1"/>
      <c r="F404" s="1"/>
      <c r="G404" s="1"/>
      <c r="H404" s="1"/>
      <c r="I404" s="1"/>
      <c r="J404" s="1"/>
      <c r="K404" s="1"/>
      <c r="M404" s="1"/>
      <c r="N404" s="1"/>
      <c r="O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U404" s="1"/>
      <c r="AW404" s="1"/>
      <c r="AY404" s="1"/>
    </row>
    <row r="405">
      <c r="A405" s="1"/>
      <c r="C405" s="1"/>
      <c r="E405" s="1"/>
      <c r="F405" s="1"/>
      <c r="G405" s="1"/>
      <c r="H405" s="1"/>
      <c r="I405" s="1"/>
      <c r="J405" s="1"/>
      <c r="K405" s="1"/>
      <c r="M405" s="1"/>
      <c r="N405" s="1"/>
      <c r="O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U405" s="1"/>
      <c r="AW405" s="1"/>
      <c r="AY405" s="1"/>
    </row>
    <row r="406">
      <c r="A406" s="1"/>
      <c r="C406" s="1"/>
      <c r="E406" s="1"/>
      <c r="F406" s="1"/>
      <c r="G406" s="1"/>
      <c r="H406" s="1"/>
      <c r="I406" s="1"/>
      <c r="J406" s="1"/>
      <c r="K406" s="1"/>
      <c r="M406" s="1"/>
      <c r="N406" s="1"/>
      <c r="O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U406" s="1"/>
      <c r="AW406" s="1"/>
      <c r="AY406" s="1"/>
    </row>
    <row r="407">
      <c r="A407" s="1"/>
      <c r="C407" s="1"/>
      <c r="E407" s="1"/>
      <c r="F407" s="1"/>
      <c r="G407" s="1"/>
      <c r="H407" s="1"/>
      <c r="I407" s="1"/>
      <c r="J407" s="1"/>
      <c r="K407" s="1"/>
      <c r="M407" s="1"/>
      <c r="N407" s="1"/>
      <c r="O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U407" s="1"/>
      <c r="AW407" s="1"/>
      <c r="AY407" s="1"/>
    </row>
    <row r="408">
      <c r="A408" s="1"/>
      <c r="C408" s="1"/>
      <c r="E408" s="1"/>
      <c r="F408" s="1"/>
      <c r="G408" s="1"/>
      <c r="H408" s="1"/>
      <c r="I408" s="1"/>
      <c r="J408" s="1"/>
      <c r="K408" s="1"/>
      <c r="M408" s="1"/>
      <c r="N408" s="1"/>
      <c r="O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U408" s="1"/>
      <c r="AW408" s="1"/>
      <c r="AY408" s="1"/>
    </row>
    <row r="409">
      <c r="A409" s="1"/>
      <c r="C409" s="1"/>
      <c r="E409" s="1"/>
      <c r="F409" s="1"/>
      <c r="G409" s="1"/>
      <c r="H409" s="1"/>
      <c r="I409" s="1"/>
      <c r="J409" s="1"/>
      <c r="K409" s="1"/>
      <c r="M409" s="1"/>
      <c r="N409" s="1"/>
      <c r="O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U409" s="1"/>
      <c r="AW409" s="1"/>
      <c r="AY409" s="1"/>
    </row>
    <row r="410">
      <c r="A410" s="1"/>
      <c r="C410" s="1"/>
      <c r="E410" s="1"/>
      <c r="F410" s="1"/>
      <c r="G410" s="1"/>
      <c r="H410" s="1"/>
      <c r="I410" s="1"/>
      <c r="J410" s="1"/>
      <c r="K410" s="1"/>
      <c r="M410" s="1"/>
      <c r="N410" s="1"/>
      <c r="O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U410" s="1"/>
      <c r="AW410" s="1"/>
      <c r="AY410" s="1"/>
    </row>
    <row r="411">
      <c r="A411" s="1"/>
      <c r="C411" s="1"/>
      <c r="E411" s="1"/>
      <c r="F411" s="1"/>
      <c r="G411" s="1"/>
      <c r="H411" s="1"/>
      <c r="I411" s="1"/>
      <c r="J411" s="1"/>
      <c r="K411" s="1"/>
      <c r="M411" s="1"/>
      <c r="N411" s="1"/>
      <c r="O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U411" s="1"/>
      <c r="AW411" s="1"/>
      <c r="AY411" s="1"/>
    </row>
    <row r="412">
      <c r="A412" s="1"/>
      <c r="C412" s="1"/>
      <c r="E412" s="1"/>
      <c r="F412" s="1"/>
      <c r="G412" s="1"/>
      <c r="H412" s="1"/>
      <c r="I412" s="1"/>
      <c r="J412" s="1"/>
      <c r="K412" s="1"/>
      <c r="M412" s="1"/>
      <c r="N412" s="1"/>
      <c r="O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U412" s="1"/>
      <c r="AW412" s="1"/>
      <c r="AY412" s="1"/>
    </row>
    <row r="413">
      <c r="A413" s="1"/>
      <c r="C413" s="1"/>
      <c r="E413" s="1"/>
      <c r="F413" s="1"/>
      <c r="G413" s="1"/>
      <c r="H413" s="1"/>
      <c r="I413" s="1"/>
      <c r="J413" s="1"/>
      <c r="K413" s="1"/>
      <c r="M413" s="1"/>
      <c r="N413" s="1"/>
      <c r="O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U413" s="1"/>
      <c r="AW413" s="1"/>
      <c r="AY413" s="1"/>
    </row>
    <row r="414">
      <c r="A414" s="1"/>
      <c r="C414" s="1"/>
      <c r="E414" s="1"/>
      <c r="F414" s="1"/>
      <c r="G414" s="1"/>
      <c r="H414" s="1"/>
      <c r="I414" s="1"/>
      <c r="J414" s="1"/>
      <c r="K414" s="1"/>
      <c r="M414" s="1"/>
      <c r="N414" s="1"/>
      <c r="O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U414" s="1"/>
      <c r="AW414" s="1"/>
      <c r="AY414" s="1"/>
    </row>
    <row r="415">
      <c r="A415" s="1"/>
      <c r="C415" s="1"/>
      <c r="E415" s="1"/>
      <c r="F415" s="1"/>
      <c r="G415" s="1"/>
      <c r="H415" s="1"/>
      <c r="I415" s="1"/>
      <c r="J415" s="1"/>
      <c r="K415" s="1"/>
      <c r="M415" s="1"/>
      <c r="N415" s="1"/>
      <c r="O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U415" s="1"/>
      <c r="AW415" s="1"/>
      <c r="AY415" s="1"/>
    </row>
    <row r="416">
      <c r="A416" s="1"/>
      <c r="C416" s="1"/>
      <c r="E416" s="1"/>
      <c r="F416" s="1"/>
      <c r="G416" s="1"/>
      <c r="H416" s="1"/>
      <c r="I416" s="1"/>
      <c r="J416" s="1"/>
      <c r="K416" s="1"/>
      <c r="M416" s="1"/>
      <c r="N416" s="1"/>
      <c r="O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U416" s="1"/>
      <c r="AW416" s="1"/>
      <c r="AY416" s="1"/>
    </row>
    <row r="417">
      <c r="A417" s="1"/>
      <c r="C417" s="1"/>
      <c r="E417" s="1"/>
      <c r="F417" s="1"/>
      <c r="G417" s="1"/>
      <c r="H417" s="1"/>
      <c r="I417" s="1"/>
      <c r="J417" s="1"/>
      <c r="K417" s="1"/>
      <c r="M417" s="1"/>
      <c r="N417" s="1"/>
      <c r="O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U417" s="1"/>
      <c r="AW417" s="1"/>
      <c r="AY417" s="1"/>
    </row>
    <row r="418">
      <c r="A418" s="1"/>
      <c r="C418" s="1"/>
      <c r="E418" s="1"/>
      <c r="F418" s="1"/>
      <c r="G418" s="1"/>
      <c r="H418" s="1"/>
      <c r="I418" s="1"/>
      <c r="J418" s="1"/>
      <c r="K418" s="1"/>
      <c r="M418" s="1"/>
      <c r="N418" s="1"/>
      <c r="O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U418" s="1"/>
      <c r="AW418" s="1"/>
      <c r="AY418" s="1"/>
    </row>
    <row r="419">
      <c r="A419" s="1"/>
      <c r="C419" s="1"/>
      <c r="E419" s="1"/>
      <c r="F419" s="1"/>
      <c r="G419" s="1"/>
      <c r="H419" s="1"/>
      <c r="I419" s="1"/>
      <c r="J419" s="1"/>
      <c r="K419" s="1"/>
      <c r="M419" s="1"/>
      <c r="N419" s="1"/>
      <c r="O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U419" s="1"/>
      <c r="AW419" s="1"/>
      <c r="AY419" s="1"/>
    </row>
    <row r="420">
      <c r="A420" s="1"/>
      <c r="C420" s="1"/>
      <c r="E420" s="1"/>
      <c r="F420" s="1"/>
      <c r="G420" s="1"/>
      <c r="H420" s="1"/>
      <c r="I420" s="1"/>
      <c r="J420" s="1"/>
      <c r="K420" s="1"/>
      <c r="M420" s="1"/>
      <c r="N420" s="1"/>
      <c r="O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U420" s="1"/>
      <c r="AW420" s="1"/>
      <c r="AY420" s="1"/>
    </row>
    <row r="421">
      <c r="A421" s="1"/>
      <c r="C421" s="1"/>
      <c r="E421" s="1"/>
      <c r="F421" s="1"/>
      <c r="G421" s="1"/>
      <c r="H421" s="1"/>
      <c r="I421" s="1"/>
      <c r="J421" s="1"/>
      <c r="K421" s="1"/>
      <c r="M421" s="1"/>
      <c r="N421" s="1"/>
      <c r="O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U421" s="1"/>
      <c r="AW421" s="1"/>
      <c r="AY421" s="1"/>
    </row>
    <row r="422">
      <c r="A422" s="1"/>
      <c r="C422" s="1"/>
      <c r="E422" s="1"/>
      <c r="F422" s="1"/>
      <c r="G422" s="1"/>
      <c r="H422" s="1"/>
      <c r="I422" s="1"/>
      <c r="J422" s="1"/>
      <c r="K422" s="1"/>
      <c r="M422" s="1"/>
      <c r="N422" s="1"/>
      <c r="O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U422" s="1"/>
      <c r="AW422" s="1"/>
      <c r="AY422" s="1"/>
    </row>
    <row r="423">
      <c r="A423" s="1"/>
      <c r="C423" s="1"/>
      <c r="E423" s="1"/>
      <c r="F423" s="1"/>
      <c r="G423" s="1"/>
      <c r="H423" s="1"/>
      <c r="I423" s="1"/>
      <c r="J423" s="1"/>
      <c r="K423" s="1"/>
      <c r="M423" s="1"/>
      <c r="N423" s="1"/>
      <c r="O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U423" s="1"/>
      <c r="AW423" s="1"/>
      <c r="AY423" s="1"/>
    </row>
    <row r="424">
      <c r="A424" s="1"/>
      <c r="C424" s="1"/>
      <c r="E424" s="1"/>
      <c r="F424" s="1"/>
      <c r="G424" s="1"/>
      <c r="H424" s="1"/>
      <c r="I424" s="1"/>
      <c r="J424" s="1"/>
      <c r="K424" s="1"/>
      <c r="M424" s="1"/>
      <c r="N424" s="1"/>
      <c r="O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U424" s="1"/>
      <c r="AW424" s="1"/>
      <c r="AY424" s="1"/>
    </row>
    <row r="425">
      <c r="A425" s="1"/>
      <c r="C425" s="1"/>
      <c r="E425" s="1"/>
      <c r="F425" s="1"/>
      <c r="G425" s="1"/>
      <c r="H425" s="1"/>
      <c r="I425" s="1"/>
      <c r="J425" s="1"/>
      <c r="K425" s="1"/>
      <c r="M425" s="1"/>
      <c r="N425" s="1"/>
      <c r="O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U425" s="1"/>
      <c r="AW425" s="1"/>
      <c r="AY425" s="1"/>
    </row>
    <row r="426">
      <c r="A426" s="1"/>
      <c r="C426" s="1"/>
      <c r="E426" s="1"/>
      <c r="F426" s="1"/>
      <c r="G426" s="1"/>
      <c r="H426" s="1"/>
      <c r="I426" s="1"/>
      <c r="J426" s="1"/>
      <c r="K426" s="1"/>
      <c r="M426" s="1"/>
      <c r="N426" s="1"/>
      <c r="O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U426" s="1"/>
      <c r="AW426" s="1"/>
      <c r="AY426" s="1"/>
    </row>
    <row r="427">
      <c r="A427" s="1"/>
      <c r="C427" s="1"/>
      <c r="E427" s="1"/>
      <c r="F427" s="1"/>
      <c r="G427" s="1"/>
      <c r="H427" s="1"/>
      <c r="I427" s="1"/>
      <c r="J427" s="1"/>
      <c r="K427" s="1"/>
      <c r="M427" s="1"/>
      <c r="N427" s="1"/>
      <c r="O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U427" s="1"/>
      <c r="AW427" s="1"/>
      <c r="AY427" s="1"/>
    </row>
    <row r="428">
      <c r="A428" s="1"/>
      <c r="C428" s="1"/>
      <c r="E428" s="1"/>
      <c r="F428" s="1"/>
      <c r="G428" s="1"/>
      <c r="H428" s="1"/>
      <c r="I428" s="1"/>
      <c r="J428" s="1"/>
      <c r="K428" s="1"/>
      <c r="M428" s="1"/>
      <c r="N428" s="1"/>
      <c r="O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U428" s="1"/>
      <c r="AW428" s="1"/>
      <c r="AY428" s="1"/>
    </row>
    <row r="429">
      <c r="A429" s="1"/>
      <c r="C429" s="1"/>
      <c r="E429" s="1"/>
      <c r="F429" s="1"/>
      <c r="G429" s="1"/>
      <c r="H429" s="1"/>
      <c r="I429" s="1"/>
      <c r="J429" s="1"/>
      <c r="K429" s="1"/>
      <c r="M429" s="1"/>
      <c r="N429" s="1"/>
      <c r="O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U429" s="1"/>
      <c r="AW429" s="1"/>
      <c r="AY429" s="1"/>
    </row>
    <row r="430">
      <c r="A430" s="1"/>
      <c r="C430" s="1"/>
      <c r="E430" s="1"/>
      <c r="F430" s="1"/>
      <c r="G430" s="1"/>
      <c r="H430" s="1"/>
      <c r="I430" s="1"/>
      <c r="J430" s="1"/>
      <c r="K430" s="1"/>
      <c r="M430" s="1"/>
      <c r="N430" s="1"/>
      <c r="O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U430" s="1"/>
      <c r="AW430" s="1"/>
      <c r="AY430" s="1"/>
    </row>
    <row r="431">
      <c r="A431" s="1"/>
      <c r="C431" s="1"/>
      <c r="E431" s="1"/>
      <c r="F431" s="1"/>
      <c r="G431" s="1"/>
      <c r="H431" s="1"/>
      <c r="I431" s="1"/>
      <c r="J431" s="1"/>
      <c r="K431" s="1"/>
      <c r="M431" s="1"/>
      <c r="N431" s="1"/>
      <c r="O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U431" s="1"/>
      <c r="AW431" s="1"/>
      <c r="AY431" s="1"/>
    </row>
    <row r="432">
      <c r="A432" s="1"/>
      <c r="C432" s="1"/>
      <c r="E432" s="1"/>
      <c r="F432" s="1"/>
      <c r="G432" s="1"/>
      <c r="H432" s="1"/>
      <c r="I432" s="1"/>
      <c r="J432" s="1"/>
      <c r="K432" s="1"/>
      <c r="M432" s="1"/>
      <c r="N432" s="1"/>
      <c r="O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U432" s="1"/>
      <c r="AW432" s="1"/>
      <c r="AY432" s="1"/>
    </row>
    <row r="433">
      <c r="A433" s="1"/>
      <c r="C433" s="1"/>
      <c r="E433" s="1"/>
      <c r="F433" s="1"/>
      <c r="G433" s="1"/>
      <c r="H433" s="1"/>
      <c r="I433" s="1"/>
      <c r="J433" s="1"/>
      <c r="K433" s="1"/>
      <c r="M433" s="1"/>
      <c r="N433" s="1"/>
      <c r="O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U433" s="1"/>
      <c r="AW433" s="1"/>
      <c r="AY433" s="1"/>
    </row>
    <row r="434">
      <c r="A434" s="1"/>
      <c r="C434" s="1"/>
      <c r="E434" s="1"/>
      <c r="F434" s="1"/>
      <c r="G434" s="1"/>
      <c r="H434" s="1"/>
      <c r="I434" s="1"/>
      <c r="J434" s="1"/>
      <c r="K434" s="1"/>
      <c r="M434" s="1"/>
      <c r="N434" s="1"/>
      <c r="O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U434" s="1"/>
      <c r="AW434" s="1"/>
      <c r="AY434" s="1"/>
    </row>
    <row r="435">
      <c r="A435" s="1"/>
      <c r="C435" s="1"/>
      <c r="E435" s="1"/>
      <c r="F435" s="1"/>
      <c r="G435" s="1"/>
      <c r="H435" s="1"/>
      <c r="I435" s="1"/>
      <c r="J435" s="1"/>
      <c r="K435" s="1"/>
      <c r="M435" s="1"/>
      <c r="N435" s="1"/>
      <c r="O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U435" s="1"/>
      <c r="AW435" s="1"/>
      <c r="AY435" s="1"/>
    </row>
    <row r="436">
      <c r="A436" s="1"/>
      <c r="C436" s="1"/>
      <c r="E436" s="1"/>
      <c r="F436" s="1"/>
      <c r="G436" s="1"/>
      <c r="H436" s="1"/>
      <c r="I436" s="1"/>
      <c r="J436" s="1"/>
      <c r="K436" s="1"/>
      <c r="M436" s="1"/>
      <c r="N436" s="1"/>
      <c r="O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U436" s="1"/>
      <c r="AW436" s="1"/>
      <c r="AY436" s="1"/>
    </row>
    <row r="437">
      <c r="A437" s="1"/>
      <c r="C437" s="1"/>
      <c r="E437" s="1"/>
      <c r="F437" s="1"/>
      <c r="G437" s="1"/>
      <c r="H437" s="1"/>
      <c r="I437" s="1"/>
      <c r="J437" s="1"/>
      <c r="K437" s="1"/>
      <c r="M437" s="1"/>
      <c r="N437" s="1"/>
      <c r="O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U437" s="1"/>
      <c r="AW437" s="1"/>
      <c r="AY437" s="1"/>
    </row>
    <row r="438">
      <c r="A438" s="1"/>
      <c r="C438" s="1"/>
      <c r="E438" s="1"/>
      <c r="F438" s="1"/>
      <c r="G438" s="1"/>
      <c r="H438" s="1"/>
      <c r="I438" s="1"/>
      <c r="J438" s="1"/>
      <c r="K438" s="1"/>
      <c r="M438" s="1"/>
      <c r="N438" s="1"/>
      <c r="O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U438" s="1"/>
      <c r="AW438" s="1"/>
      <c r="AY438" s="1"/>
    </row>
    <row r="439">
      <c r="A439" s="1"/>
      <c r="C439" s="1"/>
      <c r="E439" s="1"/>
      <c r="F439" s="1"/>
      <c r="G439" s="1"/>
      <c r="H439" s="1"/>
      <c r="I439" s="1"/>
      <c r="J439" s="1"/>
      <c r="K439" s="1"/>
      <c r="M439" s="1"/>
      <c r="N439" s="1"/>
      <c r="O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U439" s="1"/>
      <c r="AW439" s="1"/>
      <c r="AY439" s="1"/>
    </row>
    <row r="440">
      <c r="A440" s="1"/>
      <c r="C440" s="1"/>
      <c r="E440" s="1"/>
      <c r="F440" s="1"/>
      <c r="G440" s="1"/>
      <c r="H440" s="1"/>
      <c r="I440" s="1"/>
      <c r="J440" s="1"/>
      <c r="K440" s="1"/>
      <c r="M440" s="1"/>
      <c r="N440" s="1"/>
      <c r="O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U440" s="1"/>
      <c r="AW440" s="1"/>
      <c r="AY440" s="1"/>
    </row>
    <row r="441">
      <c r="A441" s="1"/>
      <c r="C441" s="1"/>
      <c r="E441" s="1"/>
      <c r="F441" s="1"/>
      <c r="G441" s="1"/>
      <c r="H441" s="1"/>
      <c r="I441" s="1"/>
      <c r="J441" s="1"/>
      <c r="K441" s="1"/>
      <c r="M441" s="1"/>
      <c r="N441" s="1"/>
      <c r="O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U441" s="1"/>
      <c r="AW441" s="1"/>
      <c r="AY441" s="1"/>
    </row>
    <row r="442">
      <c r="A442" s="1"/>
      <c r="C442" s="1"/>
      <c r="E442" s="1"/>
      <c r="F442" s="1"/>
      <c r="G442" s="1"/>
      <c r="H442" s="1"/>
      <c r="I442" s="1"/>
      <c r="J442" s="1"/>
      <c r="K442" s="1"/>
      <c r="M442" s="1"/>
      <c r="N442" s="1"/>
      <c r="O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U442" s="1"/>
      <c r="AW442" s="1"/>
      <c r="AY442" s="1"/>
    </row>
    <row r="443">
      <c r="A443" s="1"/>
      <c r="C443" s="1"/>
      <c r="E443" s="1"/>
      <c r="F443" s="1"/>
      <c r="G443" s="1"/>
      <c r="H443" s="1"/>
      <c r="I443" s="1"/>
      <c r="J443" s="1"/>
      <c r="K443" s="1"/>
      <c r="M443" s="1"/>
      <c r="N443" s="1"/>
      <c r="O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U443" s="1"/>
      <c r="AW443" s="1"/>
      <c r="AY443" s="1"/>
    </row>
    <row r="444">
      <c r="A444" s="1"/>
      <c r="C444" s="1"/>
      <c r="E444" s="1"/>
      <c r="F444" s="1"/>
      <c r="G444" s="1"/>
      <c r="H444" s="1"/>
      <c r="I444" s="1"/>
      <c r="J444" s="1"/>
      <c r="K444" s="1"/>
      <c r="M444" s="1"/>
      <c r="N444" s="1"/>
      <c r="O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U444" s="1"/>
      <c r="AW444" s="1"/>
      <c r="AY444" s="1"/>
    </row>
    <row r="445">
      <c r="A445" s="1"/>
      <c r="C445" s="1"/>
      <c r="E445" s="1"/>
      <c r="F445" s="1"/>
      <c r="G445" s="1"/>
      <c r="H445" s="1"/>
      <c r="I445" s="1"/>
      <c r="J445" s="1"/>
      <c r="K445" s="1"/>
      <c r="M445" s="1"/>
      <c r="N445" s="1"/>
      <c r="O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U445" s="1"/>
      <c r="AW445" s="1"/>
      <c r="AY445" s="1"/>
    </row>
    <row r="446">
      <c r="A446" s="1"/>
      <c r="C446" s="1"/>
      <c r="E446" s="1"/>
      <c r="F446" s="1"/>
      <c r="G446" s="1"/>
      <c r="H446" s="1"/>
      <c r="I446" s="1"/>
      <c r="J446" s="1"/>
      <c r="K446" s="1"/>
      <c r="M446" s="1"/>
      <c r="N446" s="1"/>
      <c r="O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U446" s="1"/>
      <c r="AW446" s="1"/>
      <c r="AY446" s="1"/>
    </row>
    <row r="447">
      <c r="A447" s="1"/>
      <c r="C447" s="1"/>
      <c r="E447" s="1"/>
      <c r="F447" s="1"/>
      <c r="G447" s="1"/>
      <c r="H447" s="1"/>
      <c r="I447" s="1"/>
      <c r="J447" s="1"/>
      <c r="K447" s="1"/>
      <c r="M447" s="1"/>
      <c r="N447" s="1"/>
      <c r="O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U447" s="1"/>
      <c r="AW447" s="1"/>
      <c r="AY447" s="1"/>
    </row>
    <row r="448">
      <c r="A448" s="1"/>
      <c r="C448" s="1"/>
      <c r="E448" s="1"/>
      <c r="F448" s="1"/>
      <c r="G448" s="1"/>
      <c r="H448" s="1"/>
      <c r="I448" s="1"/>
      <c r="J448" s="1"/>
      <c r="K448" s="1"/>
      <c r="M448" s="1"/>
      <c r="N448" s="1"/>
      <c r="O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U448" s="1"/>
      <c r="AW448" s="1"/>
      <c r="AY448" s="1"/>
    </row>
    <row r="449">
      <c r="A449" s="1"/>
      <c r="C449" s="1"/>
      <c r="E449" s="1"/>
      <c r="F449" s="1"/>
      <c r="G449" s="1"/>
      <c r="H449" s="1"/>
      <c r="I449" s="1"/>
      <c r="J449" s="1"/>
      <c r="K449" s="1"/>
      <c r="M449" s="1"/>
      <c r="N449" s="1"/>
      <c r="O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U449" s="1"/>
      <c r="AW449" s="1"/>
      <c r="AY449" s="1"/>
    </row>
    <row r="450">
      <c r="A450" s="1"/>
      <c r="C450" s="1"/>
      <c r="E450" s="1"/>
      <c r="F450" s="1"/>
      <c r="G450" s="1"/>
      <c r="H450" s="1"/>
      <c r="I450" s="1"/>
      <c r="J450" s="1"/>
      <c r="K450" s="1"/>
      <c r="M450" s="1"/>
      <c r="N450" s="1"/>
      <c r="O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U450" s="1"/>
      <c r="AW450" s="1"/>
      <c r="AY450" s="1"/>
    </row>
    <row r="451">
      <c r="A451" s="1"/>
      <c r="C451" s="1"/>
      <c r="E451" s="1"/>
      <c r="F451" s="1"/>
      <c r="G451" s="1"/>
      <c r="H451" s="1"/>
      <c r="I451" s="1"/>
      <c r="J451" s="1"/>
      <c r="K451" s="1"/>
      <c r="M451" s="1"/>
      <c r="N451" s="1"/>
      <c r="O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U451" s="1"/>
      <c r="AW451" s="1"/>
      <c r="AY451" s="1"/>
    </row>
    <row r="452">
      <c r="A452" s="1"/>
      <c r="C452" s="1"/>
      <c r="E452" s="1"/>
      <c r="F452" s="1"/>
      <c r="G452" s="1"/>
      <c r="H452" s="1"/>
      <c r="I452" s="1"/>
      <c r="J452" s="1"/>
      <c r="K452" s="1"/>
      <c r="M452" s="1"/>
      <c r="N452" s="1"/>
      <c r="O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U452" s="1"/>
      <c r="AW452" s="1"/>
      <c r="AY452" s="1"/>
    </row>
    <row r="453">
      <c r="A453" s="1"/>
      <c r="C453" s="1"/>
      <c r="E453" s="1"/>
      <c r="F453" s="1"/>
      <c r="G453" s="1"/>
      <c r="H453" s="1"/>
      <c r="I453" s="1"/>
      <c r="J453" s="1"/>
      <c r="K453" s="1"/>
      <c r="M453" s="1"/>
      <c r="N453" s="1"/>
      <c r="O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U453" s="1"/>
      <c r="AW453" s="1"/>
      <c r="AY453" s="1"/>
    </row>
    <row r="454">
      <c r="A454" s="1"/>
      <c r="C454" s="1"/>
      <c r="E454" s="1"/>
      <c r="F454" s="1"/>
      <c r="G454" s="1"/>
      <c r="H454" s="1"/>
      <c r="I454" s="1"/>
      <c r="J454" s="1"/>
      <c r="K454" s="1"/>
      <c r="M454" s="1"/>
      <c r="N454" s="1"/>
      <c r="O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U454" s="1"/>
      <c r="AW454" s="1"/>
      <c r="AY454" s="1"/>
    </row>
    <row r="455">
      <c r="A455" s="1"/>
      <c r="C455" s="1"/>
      <c r="E455" s="1"/>
      <c r="F455" s="1"/>
      <c r="G455" s="1"/>
      <c r="H455" s="1"/>
      <c r="I455" s="1"/>
      <c r="J455" s="1"/>
      <c r="K455" s="1"/>
      <c r="M455" s="1"/>
      <c r="N455" s="1"/>
      <c r="O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U455" s="1"/>
      <c r="AW455" s="1"/>
      <c r="AY455" s="1"/>
    </row>
    <row r="456">
      <c r="A456" s="1"/>
      <c r="C456" s="1"/>
      <c r="E456" s="1"/>
      <c r="F456" s="1"/>
      <c r="G456" s="1"/>
      <c r="H456" s="1"/>
      <c r="I456" s="1"/>
      <c r="J456" s="1"/>
      <c r="K456" s="1"/>
      <c r="M456" s="1"/>
      <c r="N456" s="1"/>
      <c r="O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U456" s="1"/>
      <c r="AW456" s="1"/>
      <c r="AY456" s="1"/>
    </row>
    <row r="457">
      <c r="A457" s="1"/>
      <c r="C457" s="1"/>
      <c r="E457" s="1"/>
      <c r="F457" s="1"/>
      <c r="G457" s="1"/>
      <c r="H457" s="1"/>
      <c r="I457" s="1"/>
      <c r="J457" s="1"/>
      <c r="K457" s="1"/>
      <c r="M457" s="1"/>
      <c r="N457" s="1"/>
      <c r="O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U457" s="1"/>
      <c r="AW457" s="1"/>
      <c r="AY457" s="1"/>
    </row>
    <row r="458">
      <c r="A458" s="1"/>
      <c r="C458" s="1"/>
      <c r="E458" s="1"/>
      <c r="F458" s="1"/>
      <c r="G458" s="1"/>
      <c r="H458" s="1"/>
      <c r="I458" s="1"/>
      <c r="J458" s="1"/>
      <c r="K458" s="1"/>
      <c r="M458" s="1"/>
      <c r="N458" s="1"/>
      <c r="O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U458" s="1"/>
      <c r="AW458" s="1"/>
      <c r="AY458" s="1"/>
    </row>
    <row r="459">
      <c r="A459" s="1"/>
      <c r="C459" s="1"/>
      <c r="E459" s="1"/>
      <c r="F459" s="1"/>
      <c r="G459" s="1"/>
      <c r="H459" s="1"/>
      <c r="I459" s="1"/>
      <c r="J459" s="1"/>
      <c r="K459" s="1"/>
      <c r="M459" s="1"/>
      <c r="N459" s="1"/>
      <c r="O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U459" s="1"/>
      <c r="AW459" s="1"/>
      <c r="AY459" s="1"/>
    </row>
    <row r="460">
      <c r="A460" s="1"/>
      <c r="C460" s="1"/>
      <c r="E460" s="1"/>
      <c r="F460" s="1"/>
      <c r="G460" s="1"/>
      <c r="H460" s="1"/>
      <c r="I460" s="1"/>
      <c r="J460" s="1"/>
      <c r="K460" s="1"/>
      <c r="M460" s="1"/>
      <c r="N460" s="1"/>
      <c r="O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U460" s="1"/>
      <c r="AW460" s="1"/>
      <c r="AY460" s="1"/>
    </row>
    <row r="461">
      <c r="A461" s="1"/>
      <c r="C461" s="1"/>
      <c r="E461" s="1"/>
      <c r="F461" s="1"/>
      <c r="G461" s="1"/>
      <c r="H461" s="1"/>
      <c r="I461" s="1"/>
      <c r="J461" s="1"/>
      <c r="K461" s="1"/>
      <c r="M461" s="1"/>
      <c r="N461" s="1"/>
      <c r="O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U461" s="1"/>
      <c r="AW461" s="1"/>
      <c r="AY461" s="1"/>
    </row>
    <row r="462">
      <c r="A462" s="1"/>
      <c r="C462" s="1"/>
      <c r="E462" s="1"/>
      <c r="F462" s="1"/>
      <c r="G462" s="1"/>
      <c r="H462" s="1"/>
      <c r="I462" s="1"/>
      <c r="J462" s="1"/>
      <c r="K462" s="1"/>
      <c r="M462" s="1"/>
      <c r="N462" s="1"/>
      <c r="O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U462" s="1"/>
      <c r="AW462" s="1"/>
      <c r="AY462" s="1"/>
    </row>
    <row r="463">
      <c r="A463" s="1"/>
      <c r="C463" s="1"/>
      <c r="E463" s="1"/>
      <c r="F463" s="1"/>
      <c r="G463" s="1"/>
      <c r="H463" s="1"/>
      <c r="I463" s="1"/>
      <c r="J463" s="1"/>
      <c r="K463" s="1"/>
      <c r="M463" s="1"/>
      <c r="N463" s="1"/>
      <c r="O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U463" s="1"/>
      <c r="AW463" s="1"/>
      <c r="AY463" s="1"/>
    </row>
    <row r="464">
      <c r="A464" s="1"/>
      <c r="C464" s="1"/>
      <c r="E464" s="1"/>
      <c r="F464" s="1"/>
      <c r="G464" s="1"/>
      <c r="H464" s="1"/>
      <c r="I464" s="1"/>
      <c r="J464" s="1"/>
      <c r="K464" s="1"/>
      <c r="M464" s="1"/>
      <c r="N464" s="1"/>
      <c r="O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U464" s="1"/>
      <c r="AW464" s="1"/>
      <c r="AY464" s="1"/>
    </row>
    <row r="465">
      <c r="A465" s="1"/>
      <c r="C465" s="1"/>
      <c r="E465" s="1"/>
      <c r="F465" s="1"/>
      <c r="G465" s="1"/>
      <c r="H465" s="1"/>
      <c r="I465" s="1"/>
      <c r="J465" s="1"/>
      <c r="K465" s="1"/>
      <c r="M465" s="1"/>
      <c r="N465" s="1"/>
      <c r="O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U465" s="1"/>
      <c r="AW465" s="1"/>
      <c r="AY465" s="1"/>
    </row>
    <row r="466">
      <c r="A466" s="1"/>
      <c r="C466" s="1"/>
      <c r="E466" s="1"/>
      <c r="F466" s="1"/>
      <c r="G466" s="1"/>
      <c r="H466" s="1"/>
      <c r="I466" s="1"/>
      <c r="J466" s="1"/>
      <c r="K466" s="1"/>
      <c r="M466" s="1"/>
      <c r="N466" s="1"/>
      <c r="O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U466" s="1"/>
      <c r="AW466" s="1"/>
      <c r="AY466" s="1"/>
    </row>
    <row r="467">
      <c r="A467" s="1"/>
      <c r="C467" s="1"/>
      <c r="E467" s="1"/>
      <c r="F467" s="1"/>
      <c r="G467" s="1"/>
      <c r="H467" s="1"/>
      <c r="I467" s="1"/>
      <c r="J467" s="1"/>
      <c r="K467" s="1"/>
      <c r="M467" s="1"/>
      <c r="N467" s="1"/>
      <c r="O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U467" s="1"/>
      <c r="AW467" s="1"/>
      <c r="AY467" s="1"/>
    </row>
    <row r="468">
      <c r="A468" s="1"/>
      <c r="C468" s="1"/>
      <c r="E468" s="1"/>
      <c r="F468" s="1"/>
      <c r="G468" s="1"/>
      <c r="H468" s="1"/>
      <c r="I468" s="1"/>
      <c r="J468" s="1"/>
      <c r="K468" s="1"/>
      <c r="M468" s="1"/>
      <c r="N468" s="1"/>
      <c r="O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U468" s="1"/>
      <c r="AW468" s="1"/>
      <c r="AY468" s="1"/>
    </row>
    <row r="469">
      <c r="A469" s="1"/>
      <c r="C469" s="1"/>
      <c r="E469" s="1"/>
      <c r="F469" s="1"/>
      <c r="G469" s="1"/>
      <c r="H469" s="1"/>
      <c r="I469" s="1"/>
      <c r="J469" s="1"/>
      <c r="K469" s="1"/>
      <c r="M469" s="1"/>
      <c r="N469" s="1"/>
      <c r="O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U469" s="1"/>
      <c r="AW469" s="1"/>
      <c r="AY469" s="1"/>
    </row>
    <row r="470">
      <c r="A470" s="1"/>
      <c r="C470" s="1"/>
      <c r="E470" s="1"/>
      <c r="F470" s="1"/>
      <c r="G470" s="1"/>
      <c r="H470" s="1"/>
      <c r="I470" s="1"/>
      <c r="J470" s="1"/>
      <c r="K470" s="1"/>
      <c r="M470" s="1"/>
      <c r="N470" s="1"/>
      <c r="O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U470" s="1"/>
      <c r="AW470" s="1"/>
      <c r="AY470" s="1"/>
    </row>
    <row r="471">
      <c r="A471" s="1"/>
      <c r="C471" s="1"/>
      <c r="E471" s="1"/>
      <c r="F471" s="1"/>
      <c r="G471" s="1"/>
      <c r="H471" s="1"/>
      <c r="I471" s="1"/>
      <c r="J471" s="1"/>
      <c r="K471" s="1"/>
      <c r="M471" s="1"/>
      <c r="N471" s="1"/>
      <c r="O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U471" s="1"/>
      <c r="AW471" s="1"/>
      <c r="AY471" s="1"/>
    </row>
    <row r="472">
      <c r="A472" s="1"/>
      <c r="C472" s="1"/>
      <c r="E472" s="1"/>
      <c r="F472" s="1"/>
      <c r="G472" s="1"/>
      <c r="H472" s="1"/>
      <c r="I472" s="1"/>
      <c r="J472" s="1"/>
      <c r="K472" s="1"/>
      <c r="M472" s="1"/>
      <c r="N472" s="1"/>
      <c r="O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U472" s="1"/>
      <c r="AW472" s="1"/>
      <c r="AY472" s="1"/>
    </row>
    <row r="473">
      <c r="A473" s="1"/>
      <c r="C473" s="1"/>
      <c r="E473" s="1"/>
      <c r="F473" s="1"/>
      <c r="G473" s="1"/>
      <c r="H473" s="1"/>
      <c r="I473" s="1"/>
      <c r="J473" s="1"/>
      <c r="K473" s="1"/>
      <c r="M473" s="1"/>
      <c r="N473" s="1"/>
      <c r="O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U473" s="1"/>
      <c r="AW473" s="1"/>
      <c r="AY473" s="1"/>
    </row>
    <row r="474">
      <c r="A474" s="1"/>
      <c r="C474" s="1"/>
      <c r="E474" s="1"/>
      <c r="F474" s="1"/>
      <c r="G474" s="1"/>
      <c r="H474" s="1"/>
      <c r="I474" s="1"/>
      <c r="J474" s="1"/>
      <c r="K474" s="1"/>
      <c r="M474" s="1"/>
      <c r="N474" s="1"/>
      <c r="O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U474" s="1"/>
      <c r="AW474" s="1"/>
      <c r="AY474" s="1"/>
    </row>
    <row r="475">
      <c r="A475" s="1"/>
      <c r="C475" s="1"/>
      <c r="E475" s="1"/>
      <c r="F475" s="1"/>
      <c r="G475" s="1"/>
      <c r="H475" s="1"/>
      <c r="I475" s="1"/>
      <c r="J475" s="1"/>
      <c r="K475" s="1"/>
      <c r="M475" s="1"/>
      <c r="N475" s="1"/>
      <c r="O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U475" s="1"/>
      <c r="AW475" s="1"/>
      <c r="AY475" s="1"/>
    </row>
    <row r="476">
      <c r="A476" s="1"/>
      <c r="C476" s="1"/>
      <c r="E476" s="1"/>
      <c r="F476" s="1"/>
      <c r="G476" s="1"/>
      <c r="H476" s="1"/>
      <c r="I476" s="1"/>
      <c r="J476" s="1"/>
      <c r="K476" s="1"/>
      <c r="M476" s="1"/>
      <c r="N476" s="1"/>
      <c r="O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U476" s="1"/>
      <c r="AW476" s="1"/>
      <c r="AY476" s="1"/>
    </row>
    <row r="477">
      <c r="A477" s="1"/>
      <c r="C477" s="1"/>
      <c r="E477" s="1"/>
      <c r="F477" s="1"/>
      <c r="G477" s="1"/>
      <c r="H477" s="1"/>
      <c r="I477" s="1"/>
      <c r="J477" s="1"/>
      <c r="K477" s="1"/>
      <c r="M477" s="1"/>
      <c r="N477" s="1"/>
      <c r="O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U477" s="1"/>
      <c r="AW477" s="1"/>
      <c r="AY477" s="1"/>
    </row>
    <row r="478">
      <c r="A478" s="1"/>
      <c r="C478" s="1"/>
      <c r="E478" s="1"/>
      <c r="F478" s="1"/>
      <c r="G478" s="1"/>
      <c r="H478" s="1"/>
      <c r="I478" s="1"/>
      <c r="J478" s="1"/>
      <c r="K478" s="1"/>
      <c r="M478" s="1"/>
      <c r="N478" s="1"/>
      <c r="O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U478" s="1"/>
      <c r="AW478" s="1"/>
      <c r="AY478" s="1"/>
    </row>
    <row r="479">
      <c r="A479" s="1"/>
      <c r="C479" s="1"/>
      <c r="E479" s="1"/>
      <c r="F479" s="1"/>
      <c r="G479" s="1"/>
      <c r="H479" s="1"/>
      <c r="I479" s="1"/>
      <c r="J479" s="1"/>
      <c r="K479" s="1"/>
      <c r="M479" s="1"/>
      <c r="N479" s="1"/>
      <c r="O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U479" s="1"/>
      <c r="AW479" s="1"/>
      <c r="AY479" s="1"/>
    </row>
    <row r="480">
      <c r="A480" s="1"/>
      <c r="C480" s="1"/>
      <c r="E480" s="1"/>
      <c r="F480" s="1"/>
      <c r="G480" s="1"/>
      <c r="H480" s="1"/>
      <c r="I480" s="1"/>
      <c r="J480" s="1"/>
      <c r="K480" s="1"/>
      <c r="M480" s="1"/>
      <c r="N480" s="1"/>
      <c r="O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U480" s="1"/>
      <c r="AW480" s="1"/>
      <c r="AY480" s="1"/>
    </row>
    <row r="481">
      <c r="A481" s="1"/>
      <c r="C481" s="1"/>
      <c r="E481" s="1"/>
      <c r="F481" s="1"/>
      <c r="G481" s="1"/>
      <c r="H481" s="1"/>
      <c r="I481" s="1"/>
      <c r="J481" s="1"/>
      <c r="K481" s="1"/>
      <c r="M481" s="1"/>
      <c r="N481" s="1"/>
      <c r="O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U481" s="1"/>
      <c r="AW481" s="1"/>
      <c r="AY481" s="1"/>
    </row>
    <row r="482">
      <c r="A482" s="1"/>
      <c r="C482" s="1"/>
      <c r="E482" s="1"/>
      <c r="F482" s="1"/>
      <c r="G482" s="1"/>
      <c r="H482" s="1"/>
      <c r="I482" s="1"/>
      <c r="J482" s="1"/>
      <c r="K482" s="1"/>
      <c r="M482" s="1"/>
      <c r="N482" s="1"/>
      <c r="O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U482" s="1"/>
      <c r="AW482" s="1"/>
      <c r="AY482" s="1"/>
    </row>
    <row r="483">
      <c r="A483" s="1"/>
      <c r="C483" s="1"/>
      <c r="E483" s="1"/>
      <c r="F483" s="1"/>
      <c r="G483" s="1"/>
      <c r="H483" s="1"/>
      <c r="I483" s="1"/>
      <c r="J483" s="1"/>
      <c r="K483" s="1"/>
      <c r="M483" s="1"/>
      <c r="N483" s="1"/>
      <c r="O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U483" s="1"/>
      <c r="AW483" s="1"/>
      <c r="AY483" s="1"/>
    </row>
    <row r="484">
      <c r="A484" s="1"/>
      <c r="C484" s="1"/>
      <c r="E484" s="1"/>
      <c r="F484" s="1"/>
      <c r="G484" s="1"/>
      <c r="H484" s="1"/>
      <c r="I484" s="1"/>
      <c r="J484" s="1"/>
      <c r="K484" s="1"/>
      <c r="M484" s="1"/>
      <c r="N484" s="1"/>
      <c r="O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U484" s="1"/>
      <c r="AW484" s="1"/>
      <c r="AY484" s="1"/>
    </row>
    <row r="485">
      <c r="A485" s="1"/>
      <c r="C485" s="1"/>
      <c r="E485" s="1"/>
      <c r="F485" s="1"/>
      <c r="G485" s="1"/>
      <c r="H485" s="1"/>
      <c r="I485" s="1"/>
      <c r="J485" s="1"/>
      <c r="K485" s="1"/>
      <c r="M485" s="1"/>
      <c r="N485" s="1"/>
      <c r="O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U485" s="1"/>
      <c r="AW485" s="1"/>
      <c r="AY485" s="1"/>
    </row>
    <row r="486">
      <c r="A486" s="1"/>
      <c r="C486" s="1"/>
      <c r="E486" s="1"/>
      <c r="F486" s="1"/>
      <c r="G486" s="1"/>
      <c r="H486" s="1"/>
      <c r="I486" s="1"/>
      <c r="J486" s="1"/>
      <c r="K486" s="1"/>
      <c r="M486" s="1"/>
      <c r="N486" s="1"/>
      <c r="O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U486" s="1"/>
      <c r="AW486" s="1"/>
      <c r="AY486" s="1"/>
    </row>
    <row r="487">
      <c r="A487" s="1"/>
      <c r="C487" s="1"/>
      <c r="E487" s="1"/>
      <c r="F487" s="1"/>
      <c r="G487" s="1"/>
      <c r="H487" s="1"/>
      <c r="I487" s="1"/>
      <c r="J487" s="1"/>
      <c r="K487" s="1"/>
      <c r="M487" s="1"/>
      <c r="N487" s="1"/>
      <c r="O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U487" s="1"/>
      <c r="AW487" s="1"/>
      <c r="AY487" s="1"/>
    </row>
    <row r="488">
      <c r="A488" s="1"/>
      <c r="C488" s="1"/>
      <c r="E488" s="1"/>
      <c r="F488" s="1"/>
      <c r="G488" s="1"/>
      <c r="H488" s="1"/>
      <c r="I488" s="1"/>
      <c r="J488" s="1"/>
      <c r="K488" s="1"/>
      <c r="M488" s="1"/>
      <c r="N488" s="1"/>
      <c r="O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U488" s="1"/>
      <c r="AW488" s="1"/>
      <c r="AY488" s="1"/>
    </row>
    <row r="489">
      <c r="A489" s="1"/>
      <c r="C489" s="1"/>
      <c r="E489" s="1"/>
      <c r="F489" s="1"/>
      <c r="G489" s="1"/>
      <c r="H489" s="1"/>
      <c r="I489" s="1"/>
      <c r="J489" s="1"/>
      <c r="K489" s="1"/>
      <c r="M489" s="1"/>
      <c r="N489" s="1"/>
      <c r="O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U489" s="1"/>
      <c r="AW489" s="1"/>
      <c r="AY489" s="1"/>
    </row>
    <row r="490">
      <c r="A490" s="1"/>
      <c r="C490" s="1"/>
      <c r="E490" s="1"/>
      <c r="F490" s="1"/>
      <c r="G490" s="1"/>
      <c r="H490" s="1"/>
      <c r="I490" s="1"/>
      <c r="J490" s="1"/>
      <c r="K490" s="1"/>
      <c r="M490" s="1"/>
      <c r="N490" s="1"/>
      <c r="O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U490" s="1"/>
      <c r="AW490" s="1"/>
      <c r="AY490" s="1"/>
    </row>
    <row r="491">
      <c r="A491" s="1"/>
      <c r="C491" s="1"/>
      <c r="E491" s="1"/>
      <c r="F491" s="1"/>
      <c r="G491" s="1"/>
      <c r="H491" s="1"/>
      <c r="I491" s="1"/>
      <c r="J491" s="1"/>
      <c r="K491" s="1"/>
      <c r="M491" s="1"/>
      <c r="N491" s="1"/>
      <c r="O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U491" s="1"/>
      <c r="AW491" s="1"/>
      <c r="AY491" s="1"/>
    </row>
    <row r="492">
      <c r="A492" s="1"/>
      <c r="C492" s="1"/>
      <c r="E492" s="1"/>
      <c r="F492" s="1"/>
      <c r="G492" s="1"/>
      <c r="H492" s="1"/>
      <c r="I492" s="1"/>
      <c r="J492" s="1"/>
      <c r="K492" s="1"/>
      <c r="M492" s="1"/>
      <c r="N492" s="1"/>
      <c r="O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U492" s="1"/>
      <c r="AW492" s="1"/>
      <c r="AY492" s="1"/>
    </row>
    <row r="493">
      <c r="A493" s="1"/>
      <c r="C493" s="1"/>
      <c r="E493" s="1"/>
      <c r="F493" s="1"/>
      <c r="G493" s="1"/>
      <c r="H493" s="1"/>
      <c r="I493" s="1"/>
      <c r="J493" s="1"/>
      <c r="K493" s="1"/>
      <c r="M493" s="1"/>
      <c r="N493" s="1"/>
      <c r="O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U493" s="1"/>
      <c r="AW493" s="1"/>
      <c r="AY493" s="1"/>
    </row>
    <row r="494">
      <c r="A494" s="1"/>
      <c r="C494" s="1"/>
      <c r="E494" s="1"/>
      <c r="F494" s="1"/>
      <c r="G494" s="1"/>
      <c r="H494" s="1"/>
      <c r="I494" s="1"/>
      <c r="J494" s="1"/>
      <c r="K494" s="1"/>
      <c r="M494" s="1"/>
      <c r="N494" s="1"/>
      <c r="O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U494" s="1"/>
      <c r="AW494" s="1"/>
      <c r="AY494" s="1"/>
    </row>
    <row r="495">
      <c r="A495" s="1"/>
      <c r="C495" s="1"/>
      <c r="E495" s="1"/>
      <c r="F495" s="1"/>
      <c r="G495" s="1"/>
      <c r="H495" s="1"/>
      <c r="I495" s="1"/>
      <c r="J495" s="1"/>
      <c r="K495" s="1"/>
      <c r="M495" s="1"/>
      <c r="N495" s="1"/>
      <c r="O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U495" s="1"/>
      <c r="AW495" s="1"/>
      <c r="AY495" s="1"/>
    </row>
    <row r="496">
      <c r="A496" s="1"/>
      <c r="C496" s="1"/>
      <c r="E496" s="1"/>
      <c r="F496" s="1"/>
      <c r="G496" s="1"/>
      <c r="H496" s="1"/>
      <c r="I496" s="1"/>
      <c r="J496" s="1"/>
      <c r="K496" s="1"/>
      <c r="M496" s="1"/>
      <c r="N496" s="1"/>
      <c r="O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U496" s="1"/>
      <c r="AW496" s="1"/>
      <c r="AY496" s="1"/>
    </row>
    <row r="497">
      <c r="A497" s="1"/>
      <c r="C497" s="1"/>
      <c r="E497" s="1"/>
      <c r="F497" s="1"/>
      <c r="G497" s="1"/>
      <c r="H497" s="1"/>
      <c r="I497" s="1"/>
      <c r="J497" s="1"/>
      <c r="K497" s="1"/>
      <c r="M497" s="1"/>
      <c r="N497" s="1"/>
      <c r="O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U497" s="1"/>
      <c r="AW497" s="1"/>
      <c r="AY497" s="1"/>
    </row>
    <row r="498">
      <c r="A498" s="1"/>
      <c r="C498" s="1"/>
      <c r="E498" s="1"/>
      <c r="F498" s="1"/>
      <c r="G498" s="1"/>
      <c r="H498" s="1"/>
      <c r="I498" s="1"/>
      <c r="J498" s="1"/>
      <c r="K498" s="1"/>
      <c r="M498" s="1"/>
      <c r="N498" s="1"/>
      <c r="O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U498" s="1"/>
      <c r="AW498" s="1"/>
      <c r="AY498" s="1"/>
    </row>
    <row r="499">
      <c r="A499" s="1"/>
      <c r="C499" s="1"/>
      <c r="E499" s="1"/>
      <c r="F499" s="1"/>
      <c r="G499" s="1"/>
      <c r="H499" s="1"/>
      <c r="I499" s="1"/>
      <c r="J499" s="1"/>
      <c r="K499" s="1"/>
      <c r="M499" s="1"/>
      <c r="N499" s="1"/>
      <c r="O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U499" s="1"/>
      <c r="AW499" s="1"/>
      <c r="AY499" s="1"/>
    </row>
    <row r="500">
      <c r="A500" s="1"/>
      <c r="C500" s="1"/>
      <c r="E500" s="1"/>
      <c r="F500" s="1"/>
      <c r="G500" s="1"/>
      <c r="H500" s="1"/>
      <c r="I500" s="1"/>
      <c r="J500" s="1"/>
      <c r="K500" s="1"/>
      <c r="M500" s="1"/>
      <c r="N500" s="1"/>
      <c r="O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U500" s="1"/>
      <c r="AW500" s="1"/>
      <c r="AY500" s="1"/>
    </row>
    <row r="501">
      <c r="A501" s="1"/>
      <c r="C501" s="1"/>
      <c r="E501" s="1"/>
      <c r="F501" s="1"/>
      <c r="G501" s="1"/>
      <c r="H501" s="1"/>
      <c r="I501" s="1"/>
      <c r="J501" s="1"/>
      <c r="K501" s="1"/>
      <c r="M501" s="1"/>
      <c r="N501" s="1"/>
      <c r="O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U501" s="1"/>
      <c r="AW501" s="1"/>
      <c r="AY501" s="1"/>
    </row>
    <row r="502">
      <c r="A502" s="1"/>
      <c r="C502" s="1"/>
      <c r="E502" s="1"/>
      <c r="F502" s="1"/>
      <c r="G502" s="1"/>
      <c r="H502" s="1"/>
      <c r="I502" s="1"/>
      <c r="J502" s="1"/>
      <c r="K502" s="1"/>
      <c r="M502" s="1"/>
      <c r="N502" s="1"/>
      <c r="O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U502" s="1"/>
      <c r="AW502" s="1"/>
      <c r="AY502" s="1"/>
    </row>
    <row r="503">
      <c r="A503" s="1"/>
      <c r="C503" s="1"/>
      <c r="E503" s="1"/>
      <c r="F503" s="1"/>
      <c r="G503" s="1"/>
      <c r="H503" s="1"/>
      <c r="I503" s="1"/>
      <c r="J503" s="1"/>
      <c r="K503" s="1"/>
      <c r="M503" s="1"/>
      <c r="N503" s="1"/>
      <c r="O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U503" s="1"/>
      <c r="AW503" s="1"/>
      <c r="AY503" s="1"/>
    </row>
    <row r="504">
      <c r="A504" s="1"/>
      <c r="C504" s="1"/>
      <c r="E504" s="1"/>
      <c r="F504" s="1"/>
      <c r="G504" s="1"/>
      <c r="H504" s="1"/>
      <c r="I504" s="1"/>
      <c r="J504" s="1"/>
      <c r="K504" s="1"/>
      <c r="M504" s="1"/>
      <c r="N504" s="1"/>
      <c r="O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U504" s="1"/>
      <c r="AW504" s="1"/>
      <c r="AY504" s="1"/>
    </row>
    <row r="505">
      <c r="A505" s="1"/>
      <c r="C505" s="1"/>
      <c r="E505" s="1"/>
      <c r="F505" s="1"/>
      <c r="G505" s="1"/>
      <c r="H505" s="1"/>
      <c r="I505" s="1"/>
      <c r="J505" s="1"/>
      <c r="K505" s="1"/>
      <c r="M505" s="1"/>
      <c r="N505" s="1"/>
      <c r="O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U505" s="1"/>
      <c r="AW505" s="1"/>
      <c r="AY505" s="1"/>
    </row>
    <row r="506">
      <c r="A506" s="1"/>
      <c r="C506" s="1"/>
      <c r="E506" s="1"/>
      <c r="F506" s="1"/>
      <c r="G506" s="1"/>
      <c r="H506" s="1"/>
      <c r="I506" s="1"/>
      <c r="J506" s="1"/>
      <c r="K506" s="1"/>
      <c r="M506" s="1"/>
      <c r="N506" s="1"/>
      <c r="O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U506" s="1"/>
      <c r="AW506" s="1"/>
      <c r="AY506" s="1"/>
    </row>
    <row r="507">
      <c r="A507" s="1"/>
      <c r="C507" s="1"/>
      <c r="E507" s="1"/>
      <c r="F507" s="1"/>
      <c r="G507" s="1"/>
      <c r="H507" s="1"/>
      <c r="I507" s="1"/>
      <c r="J507" s="1"/>
      <c r="K507" s="1"/>
      <c r="M507" s="1"/>
      <c r="N507" s="1"/>
      <c r="O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U507" s="1"/>
      <c r="AW507" s="1"/>
      <c r="AY507" s="1"/>
    </row>
    <row r="508">
      <c r="A508" s="1"/>
      <c r="C508" s="1"/>
      <c r="E508" s="1"/>
      <c r="F508" s="1"/>
      <c r="G508" s="1"/>
      <c r="H508" s="1"/>
      <c r="I508" s="1"/>
      <c r="J508" s="1"/>
      <c r="K508" s="1"/>
      <c r="M508" s="1"/>
      <c r="N508" s="1"/>
      <c r="O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U508" s="1"/>
      <c r="AW508" s="1"/>
      <c r="AY508" s="1"/>
    </row>
    <row r="509">
      <c r="A509" s="1"/>
      <c r="C509" s="1"/>
      <c r="E509" s="1"/>
      <c r="F509" s="1"/>
      <c r="G509" s="1"/>
      <c r="H509" s="1"/>
      <c r="I509" s="1"/>
      <c r="J509" s="1"/>
      <c r="K509" s="1"/>
      <c r="M509" s="1"/>
      <c r="N509" s="1"/>
      <c r="O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U509" s="1"/>
      <c r="AW509" s="1"/>
      <c r="AY509" s="1"/>
    </row>
    <row r="510">
      <c r="A510" s="1"/>
      <c r="C510" s="1"/>
      <c r="E510" s="1"/>
      <c r="F510" s="1"/>
      <c r="G510" s="1"/>
      <c r="H510" s="1"/>
      <c r="I510" s="1"/>
      <c r="J510" s="1"/>
      <c r="K510" s="1"/>
      <c r="M510" s="1"/>
      <c r="N510" s="1"/>
      <c r="O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U510" s="1"/>
      <c r="AW510" s="1"/>
      <c r="AY510" s="1"/>
    </row>
    <row r="511">
      <c r="A511" s="1"/>
      <c r="C511" s="1"/>
      <c r="E511" s="1"/>
      <c r="F511" s="1"/>
      <c r="G511" s="1"/>
      <c r="H511" s="1"/>
      <c r="I511" s="1"/>
      <c r="J511" s="1"/>
      <c r="K511" s="1"/>
      <c r="M511" s="1"/>
      <c r="N511" s="1"/>
      <c r="O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U511" s="1"/>
      <c r="AW511" s="1"/>
      <c r="AY511" s="1"/>
    </row>
    <row r="512">
      <c r="A512" s="1"/>
      <c r="C512" s="1"/>
      <c r="E512" s="1"/>
      <c r="F512" s="1"/>
      <c r="G512" s="1"/>
      <c r="H512" s="1"/>
      <c r="I512" s="1"/>
      <c r="J512" s="1"/>
      <c r="K512" s="1"/>
      <c r="M512" s="1"/>
      <c r="N512" s="1"/>
      <c r="O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U512" s="1"/>
      <c r="AW512" s="1"/>
      <c r="AY512" s="1"/>
    </row>
    <row r="513">
      <c r="A513" s="1"/>
      <c r="C513" s="1"/>
      <c r="E513" s="1"/>
      <c r="F513" s="1"/>
      <c r="G513" s="1"/>
      <c r="H513" s="1"/>
      <c r="I513" s="1"/>
      <c r="J513" s="1"/>
      <c r="K513" s="1"/>
      <c r="M513" s="1"/>
      <c r="N513" s="1"/>
      <c r="O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U513" s="1"/>
      <c r="AW513" s="1"/>
      <c r="AY513" s="1"/>
    </row>
    <row r="514">
      <c r="A514" s="1"/>
      <c r="C514" s="1"/>
      <c r="E514" s="1"/>
      <c r="F514" s="1"/>
      <c r="G514" s="1"/>
      <c r="H514" s="1"/>
      <c r="I514" s="1"/>
      <c r="J514" s="1"/>
      <c r="K514" s="1"/>
      <c r="M514" s="1"/>
      <c r="N514" s="1"/>
      <c r="O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U514" s="1"/>
      <c r="AW514" s="1"/>
      <c r="AY514" s="1"/>
    </row>
    <row r="515">
      <c r="A515" s="1"/>
      <c r="C515" s="1"/>
      <c r="E515" s="1"/>
      <c r="F515" s="1"/>
      <c r="G515" s="1"/>
      <c r="H515" s="1"/>
      <c r="I515" s="1"/>
      <c r="J515" s="1"/>
      <c r="K515" s="1"/>
      <c r="M515" s="1"/>
      <c r="N515" s="1"/>
      <c r="O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U515" s="1"/>
      <c r="AW515" s="1"/>
      <c r="AY515" s="1"/>
    </row>
    <row r="516">
      <c r="A516" s="1"/>
      <c r="C516" s="1"/>
      <c r="E516" s="1"/>
      <c r="F516" s="1"/>
      <c r="G516" s="1"/>
      <c r="H516" s="1"/>
      <c r="I516" s="1"/>
      <c r="J516" s="1"/>
      <c r="K516" s="1"/>
      <c r="M516" s="1"/>
      <c r="N516" s="1"/>
      <c r="O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U516" s="1"/>
      <c r="AW516" s="1"/>
      <c r="AY516" s="1"/>
    </row>
    <row r="517">
      <c r="A517" s="1"/>
      <c r="C517" s="1"/>
      <c r="E517" s="1"/>
      <c r="F517" s="1"/>
      <c r="G517" s="1"/>
      <c r="H517" s="1"/>
      <c r="I517" s="1"/>
      <c r="J517" s="1"/>
      <c r="K517" s="1"/>
      <c r="M517" s="1"/>
      <c r="N517" s="1"/>
      <c r="O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U517" s="1"/>
      <c r="AW517" s="1"/>
      <c r="AY517" s="1"/>
    </row>
    <row r="518">
      <c r="A518" s="1"/>
      <c r="C518" s="1"/>
      <c r="E518" s="1"/>
      <c r="F518" s="1"/>
      <c r="G518" s="1"/>
      <c r="H518" s="1"/>
      <c r="I518" s="1"/>
      <c r="J518" s="1"/>
      <c r="K518" s="1"/>
      <c r="M518" s="1"/>
      <c r="N518" s="1"/>
      <c r="O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U518" s="1"/>
      <c r="AW518" s="1"/>
      <c r="AY518" s="1"/>
    </row>
    <row r="519">
      <c r="A519" s="1"/>
      <c r="C519" s="1"/>
      <c r="E519" s="1"/>
      <c r="F519" s="1"/>
      <c r="G519" s="1"/>
      <c r="H519" s="1"/>
      <c r="I519" s="1"/>
      <c r="J519" s="1"/>
      <c r="K519" s="1"/>
      <c r="M519" s="1"/>
      <c r="N519" s="1"/>
      <c r="O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U519" s="1"/>
      <c r="AW519" s="1"/>
      <c r="AY519" s="1"/>
    </row>
    <row r="520">
      <c r="A520" s="1"/>
      <c r="C520" s="1"/>
      <c r="E520" s="1"/>
      <c r="F520" s="1"/>
      <c r="G520" s="1"/>
      <c r="H520" s="1"/>
      <c r="I520" s="1"/>
      <c r="J520" s="1"/>
      <c r="K520" s="1"/>
      <c r="M520" s="1"/>
      <c r="N520" s="1"/>
      <c r="O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U520" s="1"/>
      <c r="AW520" s="1"/>
      <c r="AY520" s="1"/>
    </row>
    <row r="521">
      <c r="A521" s="1"/>
      <c r="C521" s="1"/>
      <c r="E521" s="1"/>
      <c r="F521" s="1"/>
      <c r="G521" s="1"/>
      <c r="H521" s="1"/>
      <c r="I521" s="1"/>
      <c r="J521" s="1"/>
      <c r="K521" s="1"/>
      <c r="M521" s="1"/>
      <c r="N521" s="1"/>
      <c r="O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U521" s="1"/>
      <c r="AW521" s="1"/>
      <c r="AY521" s="1"/>
    </row>
    <row r="522">
      <c r="A522" s="1"/>
      <c r="C522" s="1"/>
      <c r="E522" s="1"/>
      <c r="F522" s="1"/>
      <c r="G522" s="1"/>
      <c r="H522" s="1"/>
      <c r="I522" s="1"/>
      <c r="J522" s="1"/>
      <c r="K522" s="1"/>
      <c r="M522" s="1"/>
      <c r="N522" s="1"/>
      <c r="O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U522" s="1"/>
      <c r="AW522" s="1"/>
      <c r="AY522" s="1"/>
    </row>
    <row r="523">
      <c r="A523" s="1"/>
      <c r="C523" s="1"/>
      <c r="E523" s="1"/>
      <c r="F523" s="1"/>
      <c r="G523" s="1"/>
      <c r="H523" s="1"/>
      <c r="I523" s="1"/>
      <c r="J523" s="1"/>
      <c r="K523" s="1"/>
      <c r="M523" s="1"/>
      <c r="N523" s="1"/>
      <c r="O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U523" s="1"/>
      <c r="AW523" s="1"/>
      <c r="AY523" s="1"/>
    </row>
    <row r="524">
      <c r="A524" s="1"/>
      <c r="C524" s="1"/>
      <c r="E524" s="1"/>
      <c r="F524" s="1"/>
      <c r="G524" s="1"/>
      <c r="H524" s="1"/>
      <c r="I524" s="1"/>
      <c r="J524" s="1"/>
      <c r="K524" s="1"/>
      <c r="M524" s="1"/>
      <c r="N524" s="1"/>
      <c r="O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U524" s="1"/>
      <c r="AW524" s="1"/>
      <c r="AY524" s="1"/>
    </row>
    <row r="525">
      <c r="A525" s="1"/>
      <c r="C525" s="1"/>
      <c r="E525" s="1"/>
      <c r="F525" s="1"/>
      <c r="G525" s="1"/>
      <c r="H525" s="1"/>
      <c r="I525" s="1"/>
      <c r="J525" s="1"/>
      <c r="K525" s="1"/>
      <c r="M525" s="1"/>
      <c r="N525" s="1"/>
      <c r="O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U525" s="1"/>
      <c r="AW525" s="1"/>
      <c r="AY525" s="1"/>
    </row>
    <row r="526">
      <c r="A526" s="1"/>
      <c r="C526" s="1"/>
      <c r="E526" s="1"/>
      <c r="F526" s="1"/>
      <c r="G526" s="1"/>
      <c r="H526" s="1"/>
      <c r="I526" s="1"/>
      <c r="J526" s="1"/>
      <c r="K526" s="1"/>
      <c r="M526" s="1"/>
      <c r="N526" s="1"/>
      <c r="O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U526" s="1"/>
      <c r="AW526" s="1"/>
      <c r="AY526" s="1"/>
    </row>
    <row r="527">
      <c r="A527" s="1"/>
      <c r="C527" s="1"/>
      <c r="E527" s="1"/>
      <c r="F527" s="1"/>
      <c r="G527" s="1"/>
      <c r="H527" s="1"/>
      <c r="I527" s="1"/>
      <c r="J527" s="1"/>
      <c r="K527" s="1"/>
      <c r="M527" s="1"/>
      <c r="N527" s="1"/>
      <c r="O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U527" s="1"/>
      <c r="AW527" s="1"/>
      <c r="AY527" s="1"/>
    </row>
    <row r="528">
      <c r="A528" s="1"/>
      <c r="C528" s="1"/>
      <c r="E528" s="1"/>
      <c r="F528" s="1"/>
      <c r="G528" s="1"/>
      <c r="H528" s="1"/>
      <c r="I528" s="1"/>
      <c r="J528" s="1"/>
      <c r="K528" s="1"/>
      <c r="M528" s="1"/>
      <c r="N528" s="1"/>
      <c r="O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U528" s="1"/>
      <c r="AW528" s="1"/>
      <c r="AY528" s="1"/>
    </row>
    <row r="529">
      <c r="A529" s="1"/>
      <c r="C529" s="1"/>
      <c r="E529" s="1"/>
      <c r="F529" s="1"/>
      <c r="G529" s="1"/>
      <c r="H529" s="1"/>
      <c r="I529" s="1"/>
      <c r="J529" s="1"/>
      <c r="K529" s="1"/>
      <c r="M529" s="1"/>
      <c r="N529" s="1"/>
      <c r="O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U529" s="1"/>
      <c r="AW529" s="1"/>
      <c r="AY529" s="1"/>
    </row>
    <row r="530">
      <c r="A530" s="1"/>
      <c r="C530" s="1"/>
      <c r="E530" s="1"/>
      <c r="F530" s="1"/>
      <c r="G530" s="1"/>
      <c r="H530" s="1"/>
      <c r="I530" s="1"/>
      <c r="J530" s="1"/>
      <c r="K530" s="1"/>
      <c r="M530" s="1"/>
      <c r="N530" s="1"/>
      <c r="O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U530" s="1"/>
      <c r="AW530" s="1"/>
      <c r="AY530" s="1"/>
    </row>
    <row r="531">
      <c r="A531" s="1"/>
      <c r="C531" s="1"/>
      <c r="E531" s="1"/>
      <c r="F531" s="1"/>
      <c r="G531" s="1"/>
      <c r="H531" s="1"/>
      <c r="I531" s="1"/>
      <c r="J531" s="1"/>
      <c r="K531" s="1"/>
      <c r="M531" s="1"/>
      <c r="N531" s="1"/>
      <c r="O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U531" s="1"/>
      <c r="AW531" s="1"/>
      <c r="AY531" s="1"/>
    </row>
    <row r="532">
      <c r="A532" s="1"/>
      <c r="C532" s="1"/>
      <c r="E532" s="1"/>
      <c r="F532" s="1"/>
      <c r="G532" s="1"/>
      <c r="H532" s="1"/>
      <c r="I532" s="1"/>
      <c r="J532" s="1"/>
      <c r="K532" s="1"/>
      <c r="M532" s="1"/>
      <c r="N532" s="1"/>
      <c r="O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U532" s="1"/>
      <c r="AW532" s="1"/>
      <c r="AY532" s="1"/>
    </row>
    <row r="533">
      <c r="A533" s="1"/>
      <c r="C533" s="1"/>
      <c r="E533" s="1"/>
      <c r="F533" s="1"/>
      <c r="G533" s="1"/>
      <c r="H533" s="1"/>
      <c r="I533" s="1"/>
      <c r="J533" s="1"/>
      <c r="K533" s="1"/>
      <c r="M533" s="1"/>
      <c r="N533" s="1"/>
      <c r="O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U533" s="1"/>
      <c r="AW533" s="1"/>
      <c r="AY533" s="1"/>
    </row>
    <row r="534">
      <c r="A534" s="1"/>
      <c r="C534" s="1"/>
      <c r="E534" s="1"/>
      <c r="F534" s="1"/>
      <c r="G534" s="1"/>
      <c r="H534" s="1"/>
      <c r="I534" s="1"/>
      <c r="J534" s="1"/>
      <c r="K534" s="1"/>
      <c r="M534" s="1"/>
      <c r="N534" s="1"/>
      <c r="O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U534" s="1"/>
      <c r="AW534" s="1"/>
      <c r="AY534" s="1"/>
    </row>
    <row r="535">
      <c r="A535" s="1"/>
      <c r="C535" s="1"/>
      <c r="E535" s="1"/>
      <c r="F535" s="1"/>
      <c r="G535" s="1"/>
      <c r="H535" s="1"/>
      <c r="I535" s="1"/>
      <c r="J535" s="1"/>
      <c r="K535" s="1"/>
      <c r="M535" s="1"/>
      <c r="N535" s="1"/>
      <c r="O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U535" s="1"/>
      <c r="AW535" s="1"/>
      <c r="AY535" s="1"/>
    </row>
    <row r="536">
      <c r="A536" s="1"/>
      <c r="C536" s="1"/>
      <c r="E536" s="1"/>
      <c r="F536" s="1"/>
      <c r="G536" s="1"/>
      <c r="H536" s="1"/>
      <c r="I536" s="1"/>
      <c r="J536" s="1"/>
      <c r="K536" s="1"/>
      <c r="M536" s="1"/>
      <c r="N536" s="1"/>
      <c r="O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U536" s="1"/>
      <c r="AW536" s="1"/>
      <c r="AY536" s="1"/>
    </row>
    <row r="537">
      <c r="A537" s="1"/>
      <c r="C537" s="1"/>
      <c r="E537" s="1"/>
      <c r="F537" s="1"/>
      <c r="G537" s="1"/>
      <c r="H537" s="1"/>
      <c r="I537" s="1"/>
      <c r="J537" s="1"/>
      <c r="K537" s="1"/>
      <c r="M537" s="1"/>
      <c r="N537" s="1"/>
      <c r="O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U537" s="1"/>
      <c r="AW537" s="1"/>
      <c r="AY537" s="1"/>
    </row>
    <row r="538">
      <c r="A538" s="1"/>
      <c r="C538" s="1"/>
      <c r="E538" s="1"/>
      <c r="F538" s="1"/>
      <c r="G538" s="1"/>
      <c r="H538" s="1"/>
      <c r="I538" s="1"/>
      <c r="J538" s="1"/>
      <c r="K538" s="1"/>
      <c r="M538" s="1"/>
      <c r="N538" s="1"/>
      <c r="O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U538" s="1"/>
      <c r="AW538" s="1"/>
      <c r="AY538" s="1"/>
    </row>
    <row r="539">
      <c r="A539" s="1"/>
      <c r="C539" s="1"/>
      <c r="E539" s="1"/>
      <c r="F539" s="1"/>
      <c r="G539" s="1"/>
      <c r="H539" s="1"/>
      <c r="I539" s="1"/>
      <c r="J539" s="1"/>
      <c r="K539" s="1"/>
      <c r="M539" s="1"/>
      <c r="N539" s="1"/>
      <c r="O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U539" s="1"/>
      <c r="AW539" s="1"/>
      <c r="AY539" s="1"/>
    </row>
    <row r="540">
      <c r="A540" s="1"/>
      <c r="C540" s="1"/>
      <c r="E540" s="1"/>
      <c r="F540" s="1"/>
      <c r="G540" s="1"/>
      <c r="H540" s="1"/>
      <c r="I540" s="1"/>
      <c r="J540" s="1"/>
      <c r="K540" s="1"/>
      <c r="M540" s="1"/>
      <c r="N540" s="1"/>
      <c r="O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U540" s="1"/>
      <c r="AW540" s="1"/>
      <c r="AY540" s="1"/>
    </row>
    <row r="541">
      <c r="A541" s="1"/>
      <c r="C541" s="1"/>
      <c r="E541" s="1"/>
      <c r="F541" s="1"/>
      <c r="G541" s="1"/>
      <c r="H541" s="1"/>
      <c r="I541" s="1"/>
      <c r="J541" s="1"/>
      <c r="K541" s="1"/>
      <c r="M541" s="1"/>
      <c r="N541" s="1"/>
      <c r="O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U541" s="1"/>
      <c r="AW541" s="1"/>
      <c r="AY541" s="1"/>
    </row>
    <row r="542">
      <c r="A542" s="1"/>
      <c r="C542" s="1"/>
      <c r="E542" s="1"/>
      <c r="F542" s="1"/>
      <c r="G542" s="1"/>
      <c r="H542" s="1"/>
      <c r="I542" s="1"/>
      <c r="J542" s="1"/>
      <c r="K542" s="1"/>
      <c r="M542" s="1"/>
      <c r="N542" s="1"/>
      <c r="O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U542" s="1"/>
      <c r="AW542" s="1"/>
      <c r="AY542" s="1"/>
    </row>
    <row r="543">
      <c r="A543" s="1"/>
      <c r="C543" s="1"/>
      <c r="E543" s="1"/>
      <c r="F543" s="1"/>
      <c r="G543" s="1"/>
      <c r="H543" s="1"/>
      <c r="I543" s="1"/>
      <c r="J543" s="1"/>
      <c r="K543" s="1"/>
      <c r="M543" s="1"/>
      <c r="N543" s="1"/>
      <c r="O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U543" s="1"/>
      <c r="AW543" s="1"/>
      <c r="AY543" s="1"/>
    </row>
    <row r="544">
      <c r="A544" s="1"/>
      <c r="C544" s="1"/>
      <c r="E544" s="1"/>
      <c r="F544" s="1"/>
      <c r="G544" s="1"/>
      <c r="H544" s="1"/>
      <c r="I544" s="1"/>
      <c r="J544" s="1"/>
      <c r="K544" s="1"/>
      <c r="M544" s="1"/>
      <c r="N544" s="1"/>
      <c r="O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U544" s="1"/>
      <c r="AW544" s="1"/>
      <c r="AY544" s="1"/>
    </row>
    <row r="545">
      <c r="A545" s="1"/>
      <c r="C545" s="1"/>
      <c r="E545" s="1"/>
      <c r="F545" s="1"/>
      <c r="G545" s="1"/>
      <c r="H545" s="1"/>
      <c r="I545" s="1"/>
      <c r="J545" s="1"/>
      <c r="K545" s="1"/>
      <c r="M545" s="1"/>
      <c r="N545" s="1"/>
      <c r="O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U545" s="1"/>
      <c r="AW545" s="1"/>
      <c r="AY545" s="1"/>
    </row>
    <row r="546">
      <c r="A546" s="1"/>
      <c r="C546" s="1"/>
      <c r="E546" s="1"/>
      <c r="F546" s="1"/>
      <c r="G546" s="1"/>
      <c r="H546" s="1"/>
      <c r="I546" s="1"/>
      <c r="J546" s="1"/>
      <c r="K546" s="1"/>
      <c r="M546" s="1"/>
      <c r="N546" s="1"/>
      <c r="O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U546" s="1"/>
      <c r="AW546" s="1"/>
      <c r="AY546" s="1"/>
    </row>
    <row r="547">
      <c r="A547" s="1"/>
      <c r="C547" s="1"/>
      <c r="E547" s="1"/>
      <c r="F547" s="1"/>
      <c r="G547" s="1"/>
      <c r="H547" s="1"/>
      <c r="I547" s="1"/>
      <c r="J547" s="1"/>
      <c r="K547" s="1"/>
      <c r="M547" s="1"/>
      <c r="N547" s="1"/>
      <c r="O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U547" s="1"/>
      <c r="AW547" s="1"/>
      <c r="AY547" s="1"/>
    </row>
    <row r="548">
      <c r="A548" s="1"/>
      <c r="C548" s="1"/>
      <c r="E548" s="1"/>
      <c r="F548" s="1"/>
      <c r="G548" s="1"/>
      <c r="H548" s="1"/>
      <c r="I548" s="1"/>
      <c r="J548" s="1"/>
      <c r="K548" s="1"/>
      <c r="M548" s="1"/>
      <c r="N548" s="1"/>
      <c r="O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U548" s="1"/>
      <c r="AW548" s="1"/>
      <c r="AY548" s="1"/>
    </row>
    <row r="549">
      <c r="A549" s="1"/>
      <c r="C549" s="1"/>
      <c r="E549" s="1"/>
      <c r="F549" s="1"/>
      <c r="G549" s="1"/>
      <c r="H549" s="1"/>
      <c r="I549" s="1"/>
      <c r="J549" s="1"/>
      <c r="K549" s="1"/>
      <c r="M549" s="1"/>
      <c r="N549" s="1"/>
      <c r="O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U549" s="1"/>
      <c r="AW549" s="1"/>
      <c r="AY549" s="1"/>
    </row>
    <row r="550">
      <c r="A550" s="1"/>
      <c r="C550" s="1"/>
      <c r="E550" s="1"/>
      <c r="F550" s="1"/>
      <c r="G550" s="1"/>
      <c r="H550" s="1"/>
      <c r="I550" s="1"/>
      <c r="J550" s="1"/>
      <c r="K550" s="1"/>
      <c r="M550" s="1"/>
      <c r="N550" s="1"/>
      <c r="O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U550" s="1"/>
      <c r="AW550" s="1"/>
      <c r="AY550" s="1"/>
    </row>
    <row r="551">
      <c r="A551" s="1"/>
      <c r="C551" s="1"/>
      <c r="E551" s="1"/>
      <c r="F551" s="1"/>
      <c r="G551" s="1"/>
      <c r="H551" s="1"/>
      <c r="I551" s="1"/>
      <c r="J551" s="1"/>
      <c r="K551" s="1"/>
      <c r="M551" s="1"/>
      <c r="N551" s="1"/>
      <c r="O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U551" s="1"/>
      <c r="AW551" s="1"/>
      <c r="AY551" s="1"/>
    </row>
    <row r="552">
      <c r="A552" s="1"/>
      <c r="C552" s="1"/>
      <c r="E552" s="1"/>
      <c r="F552" s="1"/>
      <c r="G552" s="1"/>
      <c r="H552" s="1"/>
      <c r="I552" s="1"/>
      <c r="J552" s="1"/>
      <c r="K552" s="1"/>
      <c r="M552" s="1"/>
      <c r="N552" s="1"/>
      <c r="O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U552" s="1"/>
      <c r="AW552" s="1"/>
      <c r="AY552" s="1"/>
    </row>
    <row r="553">
      <c r="A553" s="1"/>
      <c r="C553" s="1"/>
      <c r="E553" s="1"/>
      <c r="F553" s="1"/>
      <c r="G553" s="1"/>
      <c r="H553" s="1"/>
      <c r="I553" s="1"/>
      <c r="J553" s="1"/>
      <c r="K553" s="1"/>
      <c r="M553" s="1"/>
      <c r="N553" s="1"/>
      <c r="O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U553" s="1"/>
      <c r="AW553" s="1"/>
      <c r="AY553" s="1"/>
    </row>
    <row r="554">
      <c r="A554" s="1"/>
      <c r="C554" s="1"/>
      <c r="E554" s="1"/>
      <c r="F554" s="1"/>
      <c r="G554" s="1"/>
      <c r="H554" s="1"/>
      <c r="I554" s="1"/>
      <c r="J554" s="1"/>
      <c r="K554" s="1"/>
      <c r="M554" s="1"/>
      <c r="N554" s="1"/>
      <c r="O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U554" s="1"/>
      <c r="AW554" s="1"/>
      <c r="AY554" s="1"/>
    </row>
    <row r="555">
      <c r="A555" s="1"/>
      <c r="C555" s="1"/>
      <c r="E555" s="1"/>
      <c r="F555" s="1"/>
      <c r="G555" s="1"/>
      <c r="H555" s="1"/>
      <c r="I555" s="1"/>
      <c r="J555" s="1"/>
      <c r="K555" s="1"/>
      <c r="M555" s="1"/>
      <c r="N555" s="1"/>
      <c r="O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U555" s="1"/>
      <c r="AW555" s="1"/>
      <c r="AY555" s="1"/>
    </row>
    <row r="556">
      <c r="A556" s="1"/>
      <c r="C556" s="1"/>
      <c r="E556" s="1"/>
      <c r="F556" s="1"/>
      <c r="G556" s="1"/>
      <c r="H556" s="1"/>
      <c r="I556" s="1"/>
      <c r="J556" s="1"/>
      <c r="K556" s="1"/>
      <c r="M556" s="1"/>
      <c r="N556" s="1"/>
      <c r="O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U556" s="1"/>
      <c r="AW556" s="1"/>
      <c r="AY556" s="1"/>
    </row>
    <row r="557">
      <c r="A557" s="1"/>
      <c r="C557" s="1"/>
      <c r="E557" s="1"/>
      <c r="F557" s="1"/>
      <c r="G557" s="1"/>
      <c r="H557" s="1"/>
      <c r="I557" s="1"/>
      <c r="J557" s="1"/>
      <c r="K557" s="1"/>
      <c r="M557" s="1"/>
      <c r="N557" s="1"/>
      <c r="O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U557" s="1"/>
      <c r="AW557" s="1"/>
      <c r="AY557" s="1"/>
    </row>
    <row r="558">
      <c r="A558" s="1"/>
      <c r="C558" s="1"/>
      <c r="E558" s="1"/>
      <c r="F558" s="1"/>
      <c r="G558" s="1"/>
      <c r="H558" s="1"/>
      <c r="I558" s="1"/>
      <c r="J558" s="1"/>
      <c r="K558" s="1"/>
      <c r="M558" s="1"/>
      <c r="N558" s="1"/>
      <c r="O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U558" s="1"/>
      <c r="AW558" s="1"/>
      <c r="AY558" s="1"/>
    </row>
    <row r="559">
      <c r="A559" s="1"/>
      <c r="C559" s="1"/>
      <c r="E559" s="1"/>
      <c r="F559" s="1"/>
      <c r="G559" s="1"/>
      <c r="H559" s="1"/>
      <c r="I559" s="1"/>
      <c r="J559" s="1"/>
      <c r="K559" s="1"/>
      <c r="M559" s="1"/>
      <c r="N559" s="1"/>
      <c r="O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U559" s="1"/>
      <c r="AW559" s="1"/>
      <c r="AY559" s="1"/>
    </row>
    <row r="560">
      <c r="A560" s="1"/>
      <c r="C560" s="1"/>
      <c r="E560" s="1"/>
      <c r="F560" s="1"/>
      <c r="G560" s="1"/>
      <c r="H560" s="1"/>
      <c r="I560" s="1"/>
      <c r="J560" s="1"/>
      <c r="K560" s="1"/>
      <c r="M560" s="1"/>
      <c r="N560" s="1"/>
      <c r="O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U560" s="1"/>
      <c r="AW560" s="1"/>
      <c r="AY560" s="1"/>
    </row>
    <row r="561">
      <c r="A561" s="1"/>
      <c r="C561" s="1"/>
      <c r="E561" s="1"/>
      <c r="F561" s="1"/>
      <c r="G561" s="1"/>
      <c r="H561" s="1"/>
      <c r="I561" s="1"/>
      <c r="J561" s="1"/>
      <c r="K561" s="1"/>
      <c r="M561" s="1"/>
      <c r="N561" s="1"/>
      <c r="O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U561" s="1"/>
      <c r="AW561" s="1"/>
      <c r="AY561" s="1"/>
    </row>
    <row r="562">
      <c r="A562" s="1"/>
      <c r="C562" s="1"/>
      <c r="E562" s="1"/>
      <c r="F562" s="1"/>
      <c r="G562" s="1"/>
      <c r="H562" s="1"/>
      <c r="I562" s="1"/>
      <c r="J562" s="1"/>
      <c r="K562" s="1"/>
      <c r="M562" s="1"/>
      <c r="N562" s="1"/>
      <c r="O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U562" s="1"/>
      <c r="AW562" s="1"/>
      <c r="AY562" s="1"/>
    </row>
    <row r="563">
      <c r="A563" s="1"/>
      <c r="C563" s="1"/>
      <c r="E563" s="1"/>
      <c r="F563" s="1"/>
      <c r="G563" s="1"/>
      <c r="H563" s="1"/>
      <c r="I563" s="1"/>
      <c r="J563" s="1"/>
      <c r="K563" s="1"/>
      <c r="M563" s="1"/>
      <c r="N563" s="1"/>
      <c r="O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U563" s="1"/>
      <c r="AW563" s="1"/>
      <c r="AY563" s="1"/>
    </row>
    <row r="564">
      <c r="A564" s="1"/>
      <c r="C564" s="1"/>
      <c r="E564" s="1"/>
      <c r="F564" s="1"/>
      <c r="G564" s="1"/>
      <c r="H564" s="1"/>
      <c r="I564" s="1"/>
      <c r="J564" s="1"/>
      <c r="K564" s="1"/>
      <c r="M564" s="1"/>
      <c r="N564" s="1"/>
      <c r="O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U564" s="1"/>
      <c r="AW564" s="1"/>
      <c r="AY564" s="1"/>
    </row>
    <row r="565">
      <c r="A565" s="1"/>
      <c r="C565" s="1"/>
      <c r="E565" s="1"/>
      <c r="F565" s="1"/>
      <c r="G565" s="1"/>
      <c r="H565" s="1"/>
      <c r="I565" s="1"/>
      <c r="J565" s="1"/>
      <c r="K565" s="1"/>
      <c r="M565" s="1"/>
      <c r="N565" s="1"/>
      <c r="O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U565" s="1"/>
      <c r="AW565" s="1"/>
      <c r="AY565" s="1"/>
    </row>
    <row r="566">
      <c r="A566" s="1"/>
      <c r="C566" s="1"/>
      <c r="E566" s="1"/>
      <c r="F566" s="1"/>
      <c r="G566" s="1"/>
      <c r="H566" s="1"/>
      <c r="I566" s="1"/>
      <c r="J566" s="1"/>
      <c r="K566" s="1"/>
      <c r="M566" s="1"/>
      <c r="N566" s="1"/>
      <c r="O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U566" s="1"/>
      <c r="AW566" s="1"/>
      <c r="AY566" s="1"/>
    </row>
    <row r="567">
      <c r="A567" s="1"/>
      <c r="C567" s="1"/>
      <c r="E567" s="1"/>
      <c r="F567" s="1"/>
      <c r="G567" s="1"/>
      <c r="H567" s="1"/>
      <c r="I567" s="1"/>
      <c r="J567" s="1"/>
      <c r="K567" s="1"/>
      <c r="M567" s="1"/>
      <c r="N567" s="1"/>
      <c r="O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U567" s="1"/>
      <c r="AW567" s="1"/>
      <c r="AY567" s="1"/>
    </row>
    <row r="568">
      <c r="A568" s="1"/>
      <c r="C568" s="1"/>
      <c r="E568" s="1"/>
      <c r="F568" s="1"/>
      <c r="G568" s="1"/>
      <c r="H568" s="1"/>
      <c r="I568" s="1"/>
      <c r="J568" s="1"/>
      <c r="K568" s="1"/>
      <c r="M568" s="1"/>
      <c r="N568" s="1"/>
      <c r="O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U568" s="1"/>
      <c r="AW568" s="1"/>
      <c r="AY568" s="1"/>
    </row>
    <row r="569">
      <c r="A569" s="1"/>
      <c r="C569" s="1"/>
      <c r="E569" s="1"/>
      <c r="F569" s="1"/>
      <c r="G569" s="1"/>
      <c r="H569" s="1"/>
      <c r="I569" s="1"/>
      <c r="J569" s="1"/>
      <c r="K569" s="1"/>
      <c r="M569" s="1"/>
      <c r="N569" s="1"/>
      <c r="O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U569" s="1"/>
      <c r="AW569" s="1"/>
      <c r="AY569" s="1"/>
    </row>
    <row r="570">
      <c r="A570" s="1"/>
      <c r="C570" s="1"/>
      <c r="E570" s="1"/>
      <c r="F570" s="1"/>
      <c r="G570" s="1"/>
      <c r="H570" s="1"/>
      <c r="I570" s="1"/>
      <c r="J570" s="1"/>
      <c r="K570" s="1"/>
      <c r="M570" s="1"/>
      <c r="N570" s="1"/>
      <c r="O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U570" s="1"/>
      <c r="AW570" s="1"/>
      <c r="AY570" s="1"/>
    </row>
    <row r="571">
      <c r="A571" s="1"/>
      <c r="C571" s="1"/>
      <c r="E571" s="1"/>
      <c r="F571" s="1"/>
      <c r="G571" s="1"/>
      <c r="H571" s="1"/>
      <c r="I571" s="1"/>
      <c r="J571" s="1"/>
      <c r="K571" s="1"/>
      <c r="M571" s="1"/>
      <c r="N571" s="1"/>
      <c r="O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U571" s="1"/>
      <c r="AW571" s="1"/>
      <c r="AY571" s="1"/>
    </row>
    <row r="572">
      <c r="A572" s="1"/>
      <c r="C572" s="1"/>
      <c r="E572" s="1"/>
      <c r="F572" s="1"/>
      <c r="G572" s="1"/>
      <c r="H572" s="1"/>
      <c r="I572" s="1"/>
      <c r="J572" s="1"/>
      <c r="K572" s="1"/>
      <c r="M572" s="1"/>
      <c r="N572" s="1"/>
      <c r="O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U572" s="1"/>
      <c r="AW572" s="1"/>
      <c r="AY572" s="1"/>
    </row>
    <row r="573">
      <c r="A573" s="1"/>
      <c r="C573" s="1"/>
      <c r="E573" s="1"/>
      <c r="F573" s="1"/>
      <c r="G573" s="1"/>
      <c r="H573" s="1"/>
      <c r="I573" s="1"/>
      <c r="J573" s="1"/>
      <c r="K573" s="1"/>
      <c r="M573" s="1"/>
      <c r="N573" s="1"/>
      <c r="O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U573" s="1"/>
      <c r="AW573" s="1"/>
      <c r="AY573" s="1"/>
    </row>
    <row r="574">
      <c r="A574" s="1"/>
      <c r="C574" s="1"/>
      <c r="E574" s="1"/>
      <c r="F574" s="1"/>
      <c r="G574" s="1"/>
      <c r="H574" s="1"/>
      <c r="I574" s="1"/>
      <c r="J574" s="1"/>
      <c r="K574" s="1"/>
      <c r="M574" s="1"/>
      <c r="N574" s="1"/>
      <c r="O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U574" s="1"/>
      <c r="AW574" s="1"/>
      <c r="AY574" s="1"/>
    </row>
    <row r="575">
      <c r="A575" s="1"/>
      <c r="C575" s="1"/>
      <c r="E575" s="1"/>
      <c r="F575" s="1"/>
      <c r="G575" s="1"/>
      <c r="H575" s="1"/>
      <c r="I575" s="1"/>
      <c r="J575" s="1"/>
      <c r="K575" s="1"/>
      <c r="M575" s="1"/>
      <c r="N575" s="1"/>
      <c r="O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U575" s="1"/>
      <c r="AW575" s="1"/>
      <c r="AY575" s="1"/>
    </row>
    <row r="576">
      <c r="A576" s="1"/>
      <c r="C576" s="1"/>
      <c r="E576" s="1"/>
      <c r="F576" s="1"/>
      <c r="G576" s="1"/>
      <c r="H576" s="1"/>
      <c r="I576" s="1"/>
      <c r="J576" s="1"/>
      <c r="K576" s="1"/>
      <c r="M576" s="1"/>
      <c r="N576" s="1"/>
      <c r="O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U576" s="1"/>
      <c r="AW576" s="1"/>
      <c r="AY576" s="1"/>
    </row>
    <row r="577">
      <c r="A577" s="1"/>
      <c r="C577" s="1"/>
      <c r="E577" s="1"/>
      <c r="F577" s="1"/>
      <c r="G577" s="1"/>
      <c r="H577" s="1"/>
      <c r="I577" s="1"/>
      <c r="J577" s="1"/>
      <c r="K577" s="1"/>
      <c r="M577" s="1"/>
      <c r="N577" s="1"/>
      <c r="O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U577" s="1"/>
      <c r="AW577" s="1"/>
      <c r="AY577" s="1"/>
    </row>
    <row r="578">
      <c r="A578" s="1"/>
      <c r="C578" s="1"/>
      <c r="E578" s="1"/>
      <c r="F578" s="1"/>
      <c r="G578" s="1"/>
      <c r="H578" s="1"/>
      <c r="I578" s="1"/>
      <c r="J578" s="1"/>
      <c r="K578" s="1"/>
      <c r="M578" s="1"/>
      <c r="N578" s="1"/>
      <c r="O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U578" s="1"/>
      <c r="AW578" s="1"/>
      <c r="AY578" s="1"/>
    </row>
    <row r="579">
      <c r="A579" s="1"/>
      <c r="C579" s="1"/>
      <c r="E579" s="1"/>
      <c r="F579" s="1"/>
      <c r="G579" s="1"/>
      <c r="H579" s="1"/>
      <c r="I579" s="1"/>
      <c r="J579" s="1"/>
      <c r="K579" s="1"/>
      <c r="M579" s="1"/>
      <c r="N579" s="1"/>
      <c r="O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U579" s="1"/>
      <c r="AW579" s="1"/>
      <c r="AY579" s="1"/>
    </row>
    <row r="580">
      <c r="A580" s="1"/>
      <c r="C580" s="1"/>
      <c r="E580" s="1"/>
      <c r="F580" s="1"/>
      <c r="G580" s="1"/>
      <c r="H580" s="1"/>
      <c r="I580" s="1"/>
      <c r="J580" s="1"/>
      <c r="K580" s="1"/>
      <c r="M580" s="1"/>
      <c r="N580" s="1"/>
      <c r="O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U580" s="1"/>
      <c r="AW580" s="1"/>
      <c r="AY580" s="1"/>
    </row>
    <row r="581">
      <c r="A581" s="1"/>
      <c r="C581" s="1"/>
      <c r="E581" s="1"/>
      <c r="F581" s="1"/>
      <c r="G581" s="1"/>
      <c r="H581" s="1"/>
      <c r="I581" s="1"/>
      <c r="J581" s="1"/>
      <c r="K581" s="1"/>
      <c r="M581" s="1"/>
      <c r="N581" s="1"/>
      <c r="O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U581" s="1"/>
      <c r="AW581" s="1"/>
      <c r="AY581" s="1"/>
    </row>
    <row r="582">
      <c r="A582" s="1"/>
      <c r="C582" s="1"/>
      <c r="E582" s="1"/>
      <c r="F582" s="1"/>
      <c r="G582" s="1"/>
      <c r="H582" s="1"/>
      <c r="I582" s="1"/>
      <c r="J582" s="1"/>
      <c r="K582" s="1"/>
      <c r="M582" s="1"/>
      <c r="N582" s="1"/>
      <c r="O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U582" s="1"/>
      <c r="AW582" s="1"/>
      <c r="AY582" s="1"/>
    </row>
    <row r="583">
      <c r="A583" s="1"/>
      <c r="C583" s="1"/>
      <c r="E583" s="1"/>
      <c r="F583" s="1"/>
      <c r="G583" s="1"/>
      <c r="H583" s="1"/>
      <c r="I583" s="1"/>
      <c r="J583" s="1"/>
      <c r="K583" s="1"/>
      <c r="M583" s="1"/>
      <c r="N583" s="1"/>
      <c r="O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U583" s="1"/>
      <c r="AW583" s="1"/>
      <c r="AY583" s="1"/>
    </row>
    <row r="584">
      <c r="A584" s="1"/>
      <c r="C584" s="1"/>
      <c r="E584" s="1"/>
      <c r="F584" s="1"/>
      <c r="G584" s="1"/>
      <c r="H584" s="1"/>
      <c r="I584" s="1"/>
      <c r="J584" s="1"/>
      <c r="K584" s="1"/>
      <c r="M584" s="1"/>
      <c r="N584" s="1"/>
      <c r="O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U584" s="1"/>
      <c r="AW584" s="1"/>
      <c r="AY584" s="1"/>
    </row>
    <row r="585">
      <c r="A585" s="1"/>
      <c r="C585" s="1"/>
      <c r="E585" s="1"/>
      <c r="F585" s="1"/>
      <c r="G585" s="1"/>
      <c r="H585" s="1"/>
      <c r="I585" s="1"/>
      <c r="J585" s="1"/>
      <c r="K585" s="1"/>
      <c r="M585" s="1"/>
      <c r="N585" s="1"/>
      <c r="O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U585" s="1"/>
      <c r="AW585" s="1"/>
      <c r="AY585" s="1"/>
    </row>
    <row r="586">
      <c r="A586" s="1"/>
      <c r="C586" s="1"/>
      <c r="E586" s="1"/>
      <c r="F586" s="1"/>
      <c r="G586" s="1"/>
      <c r="H586" s="1"/>
      <c r="I586" s="1"/>
      <c r="J586" s="1"/>
      <c r="K586" s="1"/>
      <c r="M586" s="1"/>
      <c r="N586" s="1"/>
      <c r="O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U586" s="1"/>
      <c r="AW586" s="1"/>
      <c r="AY586" s="1"/>
    </row>
    <row r="587">
      <c r="A587" s="1"/>
      <c r="C587" s="1"/>
      <c r="E587" s="1"/>
      <c r="F587" s="1"/>
      <c r="G587" s="1"/>
      <c r="H587" s="1"/>
      <c r="I587" s="1"/>
      <c r="J587" s="1"/>
      <c r="K587" s="1"/>
      <c r="M587" s="1"/>
      <c r="N587" s="1"/>
      <c r="O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U587" s="1"/>
      <c r="AW587" s="1"/>
      <c r="AY587" s="1"/>
    </row>
    <row r="588">
      <c r="A588" s="1"/>
      <c r="C588" s="1"/>
      <c r="E588" s="1"/>
      <c r="F588" s="1"/>
      <c r="G588" s="1"/>
      <c r="H588" s="1"/>
      <c r="I588" s="1"/>
      <c r="J588" s="1"/>
      <c r="K588" s="1"/>
      <c r="M588" s="1"/>
      <c r="N588" s="1"/>
      <c r="O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U588" s="1"/>
      <c r="AW588" s="1"/>
      <c r="AY588" s="1"/>
    </row>
    <row r="589">
      <c r="A589" s="1"/>
      <c r="C589" s="1"/>
      <c r="E589" s="1"/>
      <c r="F589" s="1"/>
      <c r="G589" s="1"/>
      <c r="H589" s="1"/>
      <c r="I589" s="1"/>
      <c r="J589" s="1"/>
      <c r="K589" s="1"/>
      <c r="M589" s="1"/>
      <c r="N589" s="1"/>
      <c r="O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U589" s="1"/>
      <c r="AW589" s="1"/>
      <c r="AY589" s="1"/>
    </row>
    <row r="590">
      <c r="A590" s="1"/>
      <c r="C590" s="1"/>
      <c r="E590" s="1"/>
      <c r="F590" s="1"/>
      <c r="G590" s="1"/>
      <c r="H590" s="1"/>
      <c r="I590" s="1"/>
      <c r="J590" s="1"/>
      <c r="K590" s="1"/>
      <c r="M590" s="1"/>
      <c r="N590" s="1"/>
      <c r="O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U590" s="1"/>
      <c r="AW590" s="1"/>
      <c r="AY590" s="1"/>
    </row>
    <row r="591">
      <c r="A591" s="1"/>
      <c r="C591" s="1"/>
      <c r="E591" s="1"/>
      <c r="F591" s="1"/>
      <c r="G591" s="1"/>
      <c r="H591" s="1"/>
      <c r="I591" s="1"/>
      <c r="J591" s="1"/>
      <c r="K591" s="1"/>
      <c r="M591" s="1"/>
      <c r="N591" s="1"/>
      <c r="O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U591" s="1"/>
      <c r="AW591" s="1"/>
      <c r="AY591" s="1"/>
    </row>
    <row r="592">
      <c r="A592" s="1"/>
      <c r="C592" s="1"/>
      <c r="E592" s="1"/>
      <c r="F592" s="1"/>
      <c r="G592" s="1"/>
      <c r="H592" s="1"/>
      <c r="I592" s="1"/>
      <c r="J592" s="1"/>
      <c r="K592" s="1"/>
      <c r="M592" s="1"/>
      <c r="N592" s="1"/>
      <c r="O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U592" s="1"/>
      <c r="AW592" s="1"/>
      <c r="AY592" s="1"/>
    </row>
    <row r="593">
      <c r="A593" s="1"/>
      <c r="C593" s="1"/>
      <c r="E593" s="1"/>
      <c r="F593" s="1"/>
      <c r="G593" s="1"/>
      <c r="H593" s="1"/>
      <c r="I593" s="1"/>
      <c r="J593" s="1"/>
      <c r="K593" s="1"/>
      <c r="M593" s="1"/>
      <c r="N593" s="1"/>
      <c r="O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U593" s="1"/>
      <c r="AW593" s="1"/>
      <c r="AY593" s="1"/>
    </row>
    <row r="594">
      <c r="A594" s="1"/>
      <c r="C594" s="1"/>
      <c r="E594" s="1"/>
      <c r="F594" s="1"/>
      <c r="G594" s="1"/>
      <c r="H594" s="1"/>
      <c r="I594" s="1"/>
      <c r="J594" s="1"/>
      <c r="K594" s="1"/>
      <c r="M594" s="1"/>
      <c r="N594" s="1"/>
      <c r="O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U594" s="1"/>
      <c r="AW594" s="1"/>
      <c r="AY594" s="1"/>
    </row>
    <row r="595">
      <c r="A595" s="1"/>
      <c r="C595" s="1"/>
      <c r="E595" s="1"/>
      <c r="F595" s="1"/>
      <c r="G595" s="1"/>
      <c r="H595" s="1"/>
      <c r="I595" s="1"/>
      <c r="J595" s="1"/>
      <c r="K595" s="1"/>
      <c r="M595" s="1"/>
      <c r="N595" s="1"/>
      <c r="O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U595" s="1"/>
      <c r="AW595" s="1"/>
      <c r="AY595" s="1"/>
    </row>
    <row r="596">
      <c r="A596" s="1"/>
      <c r="C596" s="1"/>
      <c r="E596" s="1"/>
      <c r="F596" s="1"/>
      <c r="G596" s="1"/>
      <c r="H596" s="1"/>
      <c r="I596" s="1"/>
      <c r="J596" s="1"/>
      <c r="K596" s="1"/>
      <c r="M596" s="1"/>
      <c r="N596" s="1"/>
      <c r="O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U596" s="1"/>
      <c r="AW596" s="1"/>
      <c r="AY596" s="1"/>
    </row>
    <row r="597">
      <c r="A597" s="1"/>
      <c r="C597" s="1"/>
      <c r="E597" s="1"/>
      <c r="F597" s="1"/>
      <c r="G597" s="1"/>
      <c r="H597" s="1"/>
      <c r="I597" s="1"/>
      <c r="J597" s="1"/>
      <c r="K597" s="1"/>
      <c r="M597" s="1"/>
      <c r="N597" s="1"/>
      <c r="O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U597" s="1"/>
      <c r="AW597" s="1"/>
      <c r="AY597" s="1"/>
    </row>
    <row r="598">
      <c r="A598" s="1"/>
      <c r="C598" s="1"/>
      <c r="E598" s="1"/>
      <c r="F598" s="1"/>
      <c r="G598" s="1"/>
      <c r="H598" s="1"/>
      <c r="I598" s="1"/>
      <c r="J598" s="1"/>
      <c r="K598" s="1"/>
      <c r="M598" s="1"/>
      <c r="N598" s="1"/>
      <c r="O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U598" s="1"/>
      <c r="AW598" s="1"/>
      <c r="AY598" s="1"/>
    </row>
    <row r="599">
      <c r="A599" s="1"/>
      <c r="C599" s="1"/>
      <c r="E599" s="1"/>
      <c r="F599" s="1"/>
      <c r="G599" s="1"/>
      <c r="H599" s="1"/>
      <c r="I599" s="1"/>
      <c r="J599" s="1"/>
      <c r="K599" s="1"/>
      <c r="M599" s="1"/>
      <c r="N599" s="1"/>
      <c r="O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U599" s="1"/>
      <c r="AW599" s="1"/>
      <c r="AY599" s="1"/>
    </row>
    <row r="600">
      <c r="A600" s="1"/>
      <c r="C600" s="1"/>
      <c r="E600" s="1"/>
      <c r="F600" s="1"/>
      <c r="G600" s="1"/>
      <c r="H600" s="1"/>
      <c r="I600" s="1"/>
      <c r="J600" s="1"/>
      <c r="K600" s="1"/>
      <c r="M600" s="1"/>
      <c r="N600" s="1"/>
      <c r="O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U600" s="1"/>
      <c r="AW600" s="1"/>
      <c r="AY600" s="1"/>
    </row>
    <row r="601">
      <c r="A601" s="1"/>
      <c r="C601" s="1"/>
      <c r="E601" s="1"/>
      <c r="F601" s="1"/>
      <c r="G601" s="1"/>
      <c r="H601" s="1"/>
      <c r="I601" s="1"/>
      <c r="J601" s="1"/>
      <c r="K601" s="1"/>
      <c r="M601" s="1"/>
      <c r="N601" s="1"/>
      <c r="O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U601" s="1"/>
      <c r="AW601" s="1"/>
      <c r="AY601" s="1"/>
    </row>
    <row r="602">
      <c r="A602" s="1"/>
      <c r="C602" s="1"/>
      <c r="E602" s="1"/>
      <c r="F602" s="1"/>
      <c r="G602" s="1"/>
      <c r="H602" s="1"/>
      <c r="I602" s="1"/>
      <c r="J602" s="1"/>
      <c r="K602" s="1"/>
      <c r="M602" s="1"/>
      <c r="N602" s="1"/>
      <c r="O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U602" s="1"/>
      <c r="AW602" s="1"/>
      <c r="AY602" s="1"/>
    </row>
    <row r="603">
      <c r="A603" s="1"/>
      <c r="C603" s="1"/>
      <c r="E603" s="1"/>
      <c r="F603" s="1"/>
      <c r="G603" s="1"/>
      <c r="H603" s="1"/>
      <c r="I603" s="1"/>
      <c r="J603" s="1"/>
      <c r="K603" s="1"/>
      <c r="M603" s="1"/>
      <c r="N603" s="1"/>
      <c r="O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U603" s="1"/>
      <c r="AW603" s="1"/>
      <c r="AY603" s="1"/>
    </row>
    <row r="604">
      <c r="A604" s="1"/>
      <c r="C604" s="1"/>
      <c r="E604" s="1"/>
      <c r="F604" s="1"/>
      <c r="G604" s="1"/>
      <c r="H604" s="1"/>
      <c r="I604" s="1"/>
      <c r="J604" s="1"/>
      <c r="K604" s="1"/>
      <c r="M604" s="1"/>
      <c r="N604" s="1"/>
      <c r="O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U604" s="1"/>
      <c r="AW604" s="1"/>
      <c r="AY604" s="1"/>
    </row>
    <row r="605">
      <c r="A605" s="1"/>
      <c r="C605" s="1"/>
      <c r="E605" s="1"/>
      <c r="F605" s="1"/>
      <c r="G605" s="1"/>
      <c r="H605" s="1"/>
      <c r="I605" s="1"/>
      <c r="J605" s="1"/>
      <c r="K605" s="1"/>
      <c r="M605" s="1"/>
      <c r="N605" s="1"/>
      <c r="O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U605" s="1"/>
      <c r="AW605" s="1"/>
      <c r="AY605" s="1"/>
    </row>
    <row r="606">
      <c r="A606" s="1"/>
      <c r="C606" s="1"/>
      <c r="E606" s="1"/>
      <c r="F606" s="1"/>
      <c r="G606" s="1"/>
      <c r="H606" s="1"/>
      <c r="I606" s="1"/>
      <c r="J606" s="1"/>
      <c r="K606" s="1"/>
      <c r="M606" s="1"/>
      <c r="N606" s="1"/>
      <c r="O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U606" s="1"/>
      <c r="AW606" s="1"/>
      <c r="AY606" s="1"/>
    </row>
    <row r="607">
      <c r="A607" s="1"/>
      <c r="C607" s="1"/>
      <c r="E607" s="1"/>
      <c r="F607" s="1"/>
      <c r="G607" s="1"/>
      <c r="H607" s="1"/>
      <c r="I607" s="1"/>
      <c r="J607" s="1"/>
      <c r="K607" s="1"/>
      <c r="M607" s="1"/>
      <c r="N607" s="1"/>
      <c r="O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U607" s="1"/>
      <c r="AW607" s="1"/>
      <c r="AY607" s="1"/>
    </row>
    <row r="608">
      <c r="A608" s="1"/>
      <c r="C608" s="1"/>
      <c r="E608" s="1"/>
      <c r="F608" s="1"/>
      <c r="G608" s="1"/>
      <c r="H608" s="1"/>
      <c r="I608" s="1"/>
      <c r="J608" s="1"/>
      <c r="K608" s="1"/>
      <c r="M608" s="1"/>
      <c r="N608" s="1"/>
      <c r="O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U608" s="1"/>
      <c r="AW608" s="1"/>
      <c r="AY608" s="1"/>
    </row>
    <row r="609">
      <c r="A609" s="1"/>
      <c r="C609" s="1"/>
      <c r="E609" s="1"/>
      <c r="F609" s="1"/>
      <c r="G609" s="1"/>
      <c r="H609" s="1"/>
      <c r="I609" s="1"/>
      <c r="J609" s="1"/>
      <c r="K609" s="1"/>
      <c r="M609" s="1"/>
      <c r="N609" s="1"/>
      <c r="O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U609" s="1"/>
      <c r="AW609" s="1"/>
      <c r="AY609" s="1"/>
    </row>
    <row r="610">
      <c r="A610" s="1"/>
      <c r="C610" s="1"/>
      <c r="E610" s="1"/>
      <c r="F610" s="1"/>
      <c r="G610" s="1"/>
      <c r="H610" s="1"/>
      <c r="I610" s="1"/>
      <c r="J610" s="1"/>
      <c r="K610" s="1"/>
      <c r="M610" s="1"/>
      <c r="N610" s="1"/>
      <c r="O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U610" s="1"/>
      <c r="AW610" s="1"/>
      <c r="AY610" s="1"/>
    </row>
    <row r="611">
      <c r="A611" s="1"/>
      <c r="C611" s="1"/>
      <c r="E611" s="1"/>
      <c r="F611" s="1"/>
      <c r="G611" s="1"/>
      <c r="H611" s="1"/>
      <c r="I611" s="1"/>
      <c r="J611" s="1"/>
      <c r="K611" s="1"/>
      <c r="M611" s="1"/>
      <c r="N611" s="1"/>
      <c r="O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U611" s="1"/>
      <c r="AW611" s="1"/>
      <c r="AY611" s="1"/>
    </row>
    <row r="612">
      <c r="A612" s="1"/>
      <c r="C612" s="1"/>
      <c r="E612" s="1"/>
      <c r="F612" s="1"/>
      <c r="G612" s="1"/>
      <c r="H612" s="1"/>
      <c r="I612" s="1"/>
      <c r="J612" s="1"/>
      <c r="K612" s="1"/>
      <c r="M612" s="1"/>
      <c r="N612" s="1"/>
      <c r="O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U612" s="1"/>
      <c r="AW612" s="1"/>
      <c r="AY612" s="1"/>
    </row>
    <row r="613">
      <c r="A613" s="1"/>
      <c r="C613" s="1"/>
      <c r="E613" s="1"/>
      <c r="F613" s="1"/>
      <c r="G613" s="1"/>
      <c r="H613" s="1"/>
      <c r="I613" s="1"/>
      <c r="J613" s="1"/>
      <c r="K613" s="1"/>
      <c r="M613" s="1"/>
      <c r="N613" s="1"/>
      <c r="O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U613" s="1"/>
      <c r="AW613" s="1"/>
      <c r="AY613" s="1"/>
    </row>
    <row r="614">
      <c r="A614" s="1"/>
      <c r="C614" s="1"/>
      <c r="E614" s="1"/>
      <c r="F614" s="1"/>
      <c r="G614" s="1"/>
      <c r="H614" s="1"/>
      <c r="I614" s="1"/>
      <c r="J614" s="1"/>
      <c r="K614" s="1"/>
      <c r="M614" s="1"/>
      <c r="N614" s="1"/>
      <c r="O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U614" s="1"/>
      <c r="AW614" s="1"/>
      <c r="AY614" s="1"/>
    </row>
    <row r="615">
      <c r="A615" s="1"/>
      <c r="C615" s="1"/>
      <c r="E615" s="1"/>
      <c r="F615" s="1"/>
      <c r="G615" s="1"/>
      <c r="H615" s="1"/>
      <c r="I615" s="1"/>
      <c r="J615" s="1"/>
      <c r="K615" s="1"/>
      <c r="M615" s="1"/>
      <c r="N615" s="1"/>
      <c r="O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U615" s="1"/>
      <c r="AW615" s="1"/>
      <c r="AY615" s="1"/>
    </row>
    <row r="616">
      <c r="A616" s="1"/>
      <c r="C616" s="1"/>
      <c r="E616" s="1"/>
      <c r="F616" s="1"/>
      <c r="G616" s="1"/>
      <c r="H616" s="1"/>
      <c r="I616" s="1"/>
      <c r="J616" s="1"/>
      <c r="K616" s="1"/>
      <c r="M616" s="1"/>
      <c r="N616" s="1"/>
      <c r="O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U616" s="1"/>
      <c r="AW616" s="1"/>
      <c r="AY616" s="1"/>
    </row>
    <row r="617">
      <c r="A617" s="1"/>
      <c r="C617" s="1"/>
      <c r="E617" s="1"/>
      <c r="F617" s="1"/>
      <c r="G617" s="1"/>
      <c r="H617" s="1"/>
      <c r="I617" s="1"/>
      <c r="J617" s="1"/>
      <c r="K617" s="1"/>
      <c r="M617" s="1"/>
      <c r="N617" s="1"/>
      <c r="O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U617" s="1"/>
      <c r="AW617" s="1"/>
      <c r="AY617" s="1"/>
    </row>
    <row r="618">
      <c r="A618" s="1"/>
      <c r="C618" s="1"/>
      <c r="E618" s="1"/>
      <c r="F618" s="1"/>
      <c r="G618" s="1"/>
      <c r="H618" s="1"/>
      <c r="I618" s="1"/>
      <c r="J618" s="1"/>
      <c r="K618" s="1"/>
      <c r="M618" s="1"/>
      <c r="N618" s="1"/>
      <c r="O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U618" s="1"/>
      <c r="AW618" s="1"/>
      <c r="AY618" s="1"/>
    </row>
    <row r="619">
      <c r="A619" s="1"/>
      <c r="C619" s="1"/>
      <c r="E619" s="1"/>
      <c r="F619" s="1"/>
      <c r="G619" s="1"/>
      <c r="H619" s="1"/>
      <c r="I619" s="1"/>
      <c r="J619" s="1"/>
      <c r="K619" s="1"/>
      <c r="M619" s="1"/>
      <c r="N619" s="1"/>
      <c r="O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U619" s="1"/>
      <c r="AW619" s="1"/>
      <c r="AY619" s="1"/>
    </row>
    <row r="620">
      <c r="A620" s="1"/>
      <c r="C620" s="1"/>
      <c r="E620" s="1"/>
      <c r="F620" s="1"/>
      <c r="G620" s="1"/>
      <c r="H620" s="1"/>
      <c r="I620" s="1"/>
      <c r="J620" s="1"/>
      <c r="K620" s="1"/>
      <c r="M620" s="1"/>
      <c r="N620" s="1"/>
      <c r="O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U620" s="1"/>
      <c r="AW620" s="1"/>
      <c r="AY620" s="1"/>
    </row>
    <row r="621">
      <c r="A621" s="1"/>
      <c r="C621" s="1"/>
      <c r="E621" s="1"/>
      <c r="F621" s="1"/>
      <c r="G621" s="1"/>
      <c r="H621" s="1"/>
      <c r="I621" s="1"/>
      <c r="J621" s="1"/>
      <c r="K621" s="1"/>
      <c r="M621" s="1"/>
      <c r="N621" s="1"/>
      <c r="O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U621" s="1"/>
      <c r="AW621" s="1"/>
      <c r="AY621" s="1"/>
    </row>
    <row r="622">
      <c r="A622" s="1"/>
      <c r="C622" s="1"/>
      <c r="E622" s="1"/>
      <c r="F622" s="1"/>
      <c r="G622" s="1"/>
      <c r="H622" s="1"/>
      <c r="I622" s="1"/>
      <c r="J622" s="1"/>
      <c r="K622" s="1"/>
      <c r="M622" s="1"/>
      <c r="N622" s="1"/>
      <c r="O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U622" s="1"/>
      <c r="AW622" s="1"/>
      <c r="AY622" s="1"/>
    </row>
    <row r="623">
      <c r="A623" s="1"/>
      <c r="C623" s="1"/>
      <c r="E623" s="1"/>
      <c r="F623" s="1"/>
      <c r="G623" s="1"/>
      <c r="H623" s="1"/>
      <c r="I623" s="1"/>
      <c r="J623" s="1"/>
      <c r="K623" s="1"/>
      <c r="M623" s="1"/>
      <c r="N623" s="1"/>
      <c r="O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U623" s="1"/>
      <c r="AW623" s="1"/>
      <c r="AY623" s="1"/>
    </row>
    <row r="624">
      <c r="A624" s="1"/>
      <c r="C624" s="1"/>
      <c r="E624" s="1"/>
      <c r="F624" s="1"/>
      <c r="G624" s="1"/>
      <c r="H624" s="1"/>
      <c r="I624" s="1"/>
      <c r="J624" s="1"/>
      <c r="K624" s="1"/>
      <c r="M624" s="1"/>
      <c r="N624" s="1"/>
      <c r="O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U624" s="1"/>
      <c r="AW624" s="1"/>
      <c r="AY624" s="1"/>
    </row>
    <row r="625">
      <c r="A625" s="1"/>
      <c r="C625" s="1"/>
      <c r="E625" s="1"/>
      <c r="F625" s="1"/>
      <c r="G625" s="1"/>
      <c r="H625" s="1"/>
      <c r="I625" s="1"/>
      <c r="J625" s="1"/>
      <c r="K625" s="1"/>
      <c r="M625" s="1"/>
      <c r="N625" s="1"/>
      <c r="O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U625" s="1"/>
      <c r="AW625" s="1"/>
      <c r="AY625" s="1"/>
    </row>
    <row r="626">
      <c r="A626" s="1"/>
      <c r="C626" s="1"/>
      <c r="E626" s="1"/>
      <c r="F626" s="1"/>
      <c r="G626" s="1"/>
      <c r="H626" s="1"/>
      <c r="I626" s="1"/>
      <c r="J626" s="1"/>
      <c r="K626" s="1"/>
      <c r="M626" s="1"/>
      <c r="N626" s="1"/>
      <c r="O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U626" s="1"/>
      <c r="AW626" s="1"/>
      <c r="AY626" s="1"/>
    </row>
    <row r="627">
      <c r="A627" s="1"/>
      <c r="C627" s="1"/>
      <c r="E627" s="1"/>
      <c r="F627" s="1"/>
      <c r="G627" s="1"/>
      <c r="H627" s="1"/>
      <c r="I627" s="1"/>
      <c r="J627" s="1"/>
      <c r="K627" s="1"/>
      <c r="M627" s="1"/>
      <c r="N627" s="1"/>
      <c r="O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U627" s="1"/>
      <c r="AW627" s="1"/>
      <c r="AY627" s="1"/>
    </row>
    <row r="628">
      <c r="A628" s="1"/>
      <c r="C628" s="1"/>
      <c r="E628" s="1"/>
      <c r="F628" s="1"/>
      <c r="G628" s="1"/>
      <c r="H628" s="1"/>
      <c r="I628" s="1"/>
      <c r="J628" s="1"/>
      <c r="K628" s="1"/>
      <c r="M628" s="1"/>
      <c r="N628" s="1"/>
      <c r="O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U628" s="1"/>
      <c r="AW628" s="1"/>
      <c r="AY628" s="1"/>
    </row>
    <row r="629">
      <c r="A629" s="1"/>
      <c r="C629" s="1"/>
      <c r="E629" s="1"/>
      <c r="F629" s="1"/>
      <c r="G629" s="1"/>
      <c r="H629" s="1"/>
      <c r="I629" s="1"/>
      <c r="J629" s="1"/>
      <c r="K629" s="1"/>
      <c r="M629" s="1"/>
      <c r="N629" s="1"/>
      <c r="O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U629" s="1"/>
      <c r="AW629" s="1"/>
      <c r="AY629" s="1"/>
    </row>
    <row r="630">
      <c r="A630" s="1"/>
      <c r="C630" s="1"/>
      <c r="E630" s="1"/>
      <c r="F630" s="1"/>
      <c r="G630" s="1"/>
      <c r="H630" s="1"/>
      <c r="I630" s="1"/>
      <c r="J630" s="1"/>
      <c r="K630" s="1"/>
      <c r="M630" s="1"/>
      <c r="N630" s="1"/>
      <c r="O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U630" s="1"/>
      <c r="AW630" s="1"/>
      <c r="AY630" s="1"/>
    </row>
    <row r="631">
      <c r="A631" s="1"/>
      <c r="C631" s="1"/>
      <c r="E631" s="1"/>
      <c r="F631" s="1"/>
      <c r="G631" s="1"/>
      <c r="H631" s="1"/>
      <c r="I631" s="1"/>
      <c r="J631" s="1"/>
      <c r="K631" s="1"/>
      <c r="M631" s="1"/>
      <c r="N631" s="1"/>
      <c r="O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U631" s="1"/>
      <c r="AW631" s="1"/>
      <c r="AY631" s="1"/>
    </row>
    <row r="632">
      <c r="A632" s="1"/>
      <c r="C632" s="1"/>
      <c r="E632" s="1"/>
      <c r="F632" s="1"/>
      <c r="G632" s="1"/>
      <c r="H632" s="1"/>
      <c r="I632" s="1"/>
      <c r="J632" s="1"/>
      <c r="K632" s="1"/>
      <c r="M632" s="1"/>
      <c r="N632" s="1"/>
      <c r="O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U632" s="1"/>
      <c r="AW632" s="1"/>
      <c r="AY632" s="1"/>
    </row>
    <row r="633">
      <c r="A633" s="1"/>
      <c r="C633" s="1"/>
      <c r="E633" s="1"/>
      <c r="F633" s="1"/>
      <c r="G633" s="1"/>
      <c r="H633" s="1"/>
      <c r="I633" s="1"/>
      <c r="J633" s="1"/>
      <c r="K633" s="1"/>
      <c r="M633" s="1"/>
      <c r="N633" s="1"/>
      <c r="O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U633" s="1"/>
      <c r="AW633" s="1"/>
      <c r="AY633" s="1"/>
    </row>
    <row r="634">
      <c r="A634" s="1"/>
      <c r="C634" s="1"/>
      <c r="E634" s="1"/>
      <c r="F634" s="1"/>
      <c r="G634" s="1"/>
      <c r="H634" s="1"/>
      <c r="I634" s="1"/>
      <c r="J634" s="1"/>
      <c r="K634" s="1"/>
      <c r="M634" s="1"/>
      <c r="N634" s="1"/>
      <c r="O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U634" s="1"/>
      <c r="AW634" s="1"/>
      <c r="AY634" s="1"/>
    </row>
    <row r="635">
      <c r="A635" s="1"/>
      <c r="C635" s="1"/>
      <c r="E635" s="1"/>
      <c r="F635" s="1"/>
      <c r="G635" s="1"/>
      <c r="H635" s="1"/>
      <c r="I635" s="1"/>
      <c r="J635" s="1"/>
      <c r="K635" s="1"/>
      <c r="M635" s="1"/>
      <c r="N635" s="1"/>
      <c r="O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U635" s="1"/>
      <c r="AW635" s="1"/>
      <c r="AY635" s="1"/>
    </row>
    <row r="636">
      <c r="A636" s="1"/>
      <c r="C636" s="1"/>
      <c r="E636" s="1"/>
      <c r="F636" s="1"/>
      <c r="G636" s="1"/>
      <c r="H636" s="1"/>
      <c r="I636" s="1"/>
      <c r="J636" s="1"/>
      <c r="K636" s="1"/>
      <c r="M636" s="1"/>
      <c r="N636" s="1"/>
      <c r="O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U636" s="1"/>
      <c r="AW636" s="1"/>
      <c r="AY636" s="1"/>
    </row>
    <row r="637">
      <c r="A637" s="1"/>
      <c r="C637" s="1"/>
      <c r="E637" s="1"/>
      <c r="F637" s="1"/>
      <c r="G637" s="1"/>
      <c r="H637" s="1"/>
      <c r="I637" s="1"/>
      <c r="J637" s="1"/>
      <c r="K637" s="1"/>
      <c r="M637" s="1"/>
      <c r="N637" s="1"/>
      <c r="O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U637" s="1"/>
      <c r="AW637" s="1"/>
      <c r="AY637" s="1"/>
    </row>
    <row r="638">
      <c r="A638" s="1"/>
      <c r="C638" s="1"/>
      <c r="E638" s="1"/>
      <c r="F638" s="1"/>
      <c r="G638" s="1"/>
      <c r="H638" s="1"/>
      <c r="I638" s="1"/>
      <c r="J638" s="1"/>
      <c r="K638" s="1"/>
      <c r="M638" s="1"/>
      <c r="N638" s="1"/>
      <c r="O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U638" s="1"/>
      <c r="AW638" s="1"/>
      <c r="AY638" s="1"/>
    </row>
    <row r="639">
      <c r="A639" s="1"/>
      <c r="C639" s="1"/>
      <c r="E639" s="1"/>
      <c r="F639" s="1"/>
      <c r="G639" s="1"/>
      <c r="H639" s="1"/>
      <c r="I639" s="1"/>
      <c r="J639" s="1"/>
      <c r="K639" s="1"/>
      <c r="M639" s="1"/>
      <c r="N639" s="1"/>
      <c r="O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U639" s="1"/>
      <c r="AW639" s="1"/>
      <c r="AY639" s="1"/>
    </row>
    <row r="640">
      <c r="A640" s="1"/>
      <c r="C640" s="1"/>
      <c r="E640" s="1"/>
      <c r="F640" s="1"/>
      <c r="G640" s="1"/>
      <c r="H640" s="1"/>
      <c r="I640" s="1"/>
      <c r="J640" s="1"/>
      <c r="K640" s="1"/>
      <c r="M640" s="1"/>
      <c r="N640" s="1"/>
      <c r="O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U640" s="1"/>
      <c r="AW640" s="1"/>
      <c r="AY640" s="1"/>
    </row>
    <row r="641">
      <c r="A641" s="1"/>
      <c r="C641" s="1"/>
      <c r="E641" s="1"/>
      <c r="F641" s="1"/>
      <c r="G641" s="1"/>
      <c r="H641" s="1"/>
      <c r="I641" s="1"/>
      <c r="J641" s="1"/>
      <c r="K641" s="1"/>
      <c r="M641" s="1"/>
      <c r="N641" s="1"/>
      <c r="O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U641" s="1"/>
      <c r="AW641" s="1"/>
      <c r="AY641" s="1"/>
    </row>
    <row r="642">
      <c r="A642" s="1"/>
      <c r="C642" s="1"/>
      <c r="E642" s="1"/>
      <c r="F642" s="1"/>
      <c r="G642" s="1"/>
      <c r="H642" s="1"/>
      <c r="I642" s="1"/>
      <c r="J642" s="1"/>
      <c r="K642" s="1"/>
      <c r="M642" s="1"/>
      <c r="N642" s="1"/>
      <c r="O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U642" s="1"/>
      <c r="AW642" s="1"/>
      <c r="AY642" s="1"/>
    </row>
    <row r="643">
      <c r="A643" s="1"/>
      <c r="C643" s="1"/>
      <c r="E643" s="1"/>
      <c r="F643" s="1"/>
      <c r="G643" s="1"/>
      <c r="H643" s="1"/>
      <c r="I643" s="1"/>
      <c r="J643" s="1"/>
      <c r="K643" s="1"/>
      <c r="M643" s="1"/>
      <c r="N643" s="1"/>
      <c r="O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U643" s="1"/>
      <c r="AW643" s="1"/>
      <c r="AY643" s="1"/>
    </row>
    <row r="644">
      <c r="A644" s="1"/>
      <c r="C644" s="1"/>
      <c r="E644" s="1"/>
      <c r="F644" s="1"/>
      <c r="G644" s="1"/>
      <c r="H644" s="1"/>
      <c r="I644" s="1"/>
      <c r="J644" s="1"/>
      <c r="K644" s="1"/>
      <c r="M644" s="1"/>
      <c r="N644" s="1"/>
      <c r="O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U644" s="1"/>
      <c r="AW644" s="1"/>
      <c r="AY644" s="1"/>
    </row>
    <row r="645">
      <c r="A645" s="1"/>
      <c r="C645" s="1"/>
      <c r="E645" s="1"/>
      <c r="F645" s="1"/>
      <c r="G645" s="1"/>
      <c r="H645" s="1"/>
      <c r="I645" s="1"/>
      <c r="J645" s="1"/>
      <c r="K645" s="1"/>
      <c r="M645" s="1"/>
      <c r="N645" s="1"/>
      <c r="O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U645" s="1"/>
      <c r="AW645" s="1"/>
      <c r="AY645" s="1"/>
    </row>
    <row r="646">
      <c r="A646" s="1"/>
      <c r="C646" s="1"/>
      <c r="E646" s="1"/>
      <c r="F646" s="1"/>
      <c r="G646" s="1"/>
      <c r="H646" s="1"/>
      <c r="I646" s="1"/>
      <c r="J646" s="1"/>
      <c r="K646" s="1"/>
      <c r="M646" s="1"/>
      <c r="N646" s="1"/>
      <c r="O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U646" s="1"/>
      <c r="AW646" s="1"/>
      <c r="AY646" s="1"/>
    </row>
    <row r="647">
      <c r="A647" s="1"/>
      <c r="C647" s="1"/>
      <c r="E647" s="1"/>
      <c r="F647" s="1"/>
      <c r="G647" s="1"/>
      <c r="H647" s="1"/>
      <c r="I647" s="1"/>
      <c r="J647" s="1"/>
      <c r="K647" s="1"/>
      <c r="M647" s="1"/>
      <c r="N647" s="1"/>
      <c r="O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U647" s="1"/>
      <c r="AW647" s="1"/>
      <c r="AY647" s="1"/>
    </row>
    <row r="648">
      <c r="A648" s="1"/>
      <c r="C648" s="1"/>
      <c r="E648" s="1"/>
      <c r="F648" s="1"/>
      <c r="G648" s="1"/>
      <c r="H648" s="1"/>
      <c r="I648" s="1"/>
      <c r="J648" s="1"/>
      <c r="K648" s="1"/>
      <c r="M648" s="1"/>
      <c r="N648" s="1"/>
      <c r="O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U648" s="1"/>
      <c r="AW648" s="1"/>
      <c r="AY648" s="1"/>
    </row>
    <row r="649">
      <c r="A649" s="1"/>
      <c r="C649" s="1"/>
      <c r="E649" s="1"/>
      <c r="F649" s="1"/>
      <c r="G649" s="1"/>
      <c r="H649" s="1"/>
      <c r="I649" s="1"/>
      <c r="J649" s="1"/>
      <c r="K649" s="1"/>
      <c r="M649" s="1"/>
      <c r="N649" s="1"/>
      <c r="O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U649" s="1"/>
      <c r="AW649" s="1"/>
      <c r="AY649" s="1"/>
    </row>
    <row r="650">
      <c r="A650" s="1"/>
      <c r="C650" s="1"/>
      <c r="E650" s="1"/>
      <c r="F650" s="1"/>
      <c r="G650" s="1"/>
      <c r="H650" s="1"/>
      <c r="I650" s="1"/>
      <c r="J650" s="1"/>
      <c r="K650" s="1"/>
      <c r="M650" s="1"/>
      <c r="N650" s="1"/>
      <c r="O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U650" s="1"/>
      <c r="AW650" s="1"/>
      <c r="AY650" s="1"/>
    </row>
    <row r="651">
      <c r="A651" s="1"/>
      <c r="C651" s="1"/>
      <c r="E651" s="1"/>
      <c r="F651" s="1"/>
      <c r="G651" s="1"/>
      <c r="H651" s="1"/>
      <c r="I651" s="1"/>
      <c r="J651" s="1"/>
      <c r="K651" s="1"/>
      <c r="M651" s="1"/>
      <c r="N651" s="1"/>
      <c r="O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U651" s="1"/>
      <c r="AW651" s="1"/>
      <c r="AY651" s="1"/>
    </row>
    <row r="652">
      <c r="A652" s="1"/>
      <c r="C652" s="1"/>
      <c r="E652" s="1"/>
      <c r="F652" s="1"/>
      <c r="G652" s="1"/>
      <c r="H652" s="1"/>
      <c r="I652" s="1"/>
      <c r="J652" s="1"/>
      <c r="K652" s="1"/>
      <c r="M652" s="1"/>
      <c r="N652" s="1"/>
      <c r="O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U652" s="1"/>
      <c r="AW652" s="1"/>
      <c r="AY652" s="1"/>
    </row>
    <row r="653">
      <c r="A653" s="1"/>
      <c r="C653" s="1"/>
      <c r="E653" s="1"/>
      <c r="F653" s="1"/>
      <c r="G653" s="1"/>
      <c r="H653" s="1"/>
      <c r="I653" s="1"/>
      <c r="J653" s="1"/>
      <c r="K653" s="1"/>
      <c r="M653" s="1"/>
      <c r="N653" s="1"/>
      <c r="O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U653" s="1"/>
      <c r="AW653" s="1"/>
      <c r="AY653" s="1"/>
    </row>
    <row r="654">
      <c r="A654" s="1"/>
      <c r="C654" s="1"/>
      <c r="E654" s="1"/>
      <c r="F654" s="1"/>
      <c r="G654" s="1"/>
      <c r="H654" s="1"/>
      <c r="I654" s="1"/>
      <c r="J654" s="1"/>
      <c r="K654" s="1"/>
      <c r="M654" s="1"/>
      <c r="N654" s="1"/>
      <c r="O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U654" s="1"/>
      <c r="AW654" s="1"/>
      <c r="AY654" s="1"/>
    </row>
    <row r="655">
      <c r="A655" s="1"/>
      <c r="C655" s="1"/>
      <c r="E655" s="1"/>
      <c r="F655" s="1"/>
      <c r="G655" s="1"/>
      <c r="H655" s="1"/>
      <c r="I655" s="1"/>
      <c r="J655" s="1"/>
      <c r="K655" s="1"/>
      <c r="M655" s="1"/>
      <c r="N655" s="1"/>
      <c r="O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U655" s="1"/>
      <c r="AW655" s="1"/>
      <c r="AY655" s="1"/>
    </row>
    <row r="656">
      <c r="A656" s="1"/>
      <c r="C656" s="1"/>
      <c r="E656" s="1"/>
      <c r="F656" s="1"/>
      <c r="G656" s="1"/>
      <c r="H656" s="1"/>
      <c r="I656" s="1"/>
      <c r="J656" s="1"/>
      <c r="K656" s="1"/>
      <c r="M656" s="1"/>
      <c r="N656" s="1"/>
      <c r="O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U656" s="1"/>
      <c r="AW656" s="1"/>
      <c r="AY656" s="1"/>
    </row>
    <row r="657">
      <c r="A657" s="1"/>
      <c r="C657" s="1"/>
      <c r="E657" s="1"/>
      <c r="F657" s="1"/>
      <c r="G657" s="1"/>
      <c r="H657" s="1"/>
      <c r="I657" s="1"/>
      <c r="J657" s="1"/>
      <c r="K657" s="1"/>
      <c r="M657" s="1"/>
      <c r="N657" s="1"/>
      <c r="O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U657" s="1"/>
      <c r="AW657" s="1"/>
      <c r="AY657" s="1"/>
    </row>
    <row r="658">
      <c r="A658" s="1"/>
      <c r="C658" s="1"/>
      <c r="E658" s="1"/>
      <c r="F658" s="1"/>
      <c r="G658" s="1"/>
      <c r="H658" s="1"/>
      <c r="I658" s="1"/>
      <c r="J658" s="1"/>
      <c r="K658" s="1"/>
      <c r="M658" s="1"/>
      <c r="N658" s="1"/>
      <c r="O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U658" s="1"/>
      <c r="AW658" s="1"/>
      <c r="AY658" s="1"/>
    </row>
    <row r="659">
      <c r="A659" s="1"/>
      <c r="C659" s="1"/>
      <c r="E659" s="1"/>
      <c r="F659" s="1"/>
      <c r="G659" s="1"/>
      <c r="H659" s="1"/>
      <c r="I659" s="1"/>
      <c r="J659" s="1"/>
      <c r="K659" s="1"/>
      <c r="M659" s="1"/>
      <c r="N659" s="1"/>
      <c r="O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U659" s="1"/>
      <c r="AW659" s="1"/>
      <c r="AY659" s="1"/>
    </row>
    <row r="660">
      <c r="A660" s="1"/>
      <c r="C660" s="1"/>
      <c r="E660" s="1"/>
      <c r="F660" s="1"/>
      <c r="G660" s="1"/>
      <c r="H660" s="1"/>
      <c r="I660" s="1"/>
      <c r="J660" s="1"/>
      <c r="K660" s="1"/>
      <c r="M660" s="1"/>
      <c r="N660" s="1"/>
      <c r="O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U660" s="1"/>
      <c r="AW660" s="1"/>
      <c r="AY660" s="1"/>
    </row>
    <row r="661">
      <c r="A661" s="1"/>
      <c r="C661" s="1"/>
      <c r="E661" s="1"/>
      <c r="F661" s="1"/>
      <c r="G661" s="1"/>
      <c r="H661" s="1"/>
      <c r="I661" s="1"/>
      <c r="J661" s="1"/>
      <c r="K661" s="1"/>
      <c r="M661" s="1"/>
      <c r="N661" s="1"/>
      <c r="O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U661" s="1"/>
      <c r="AW661" s="1"/>
      <c r="AY661" s="1"/>
    </row>
    <row r="662">
      <c r="A662" s="1"/>
      <c r="C662" s="1"/>
      <c r="E662" s="1"/>
      <c r="F662" s="1"/>
      <c r="G662" s="1"/>
      <c r="H662" s="1"/>
      <c r="I662" s="1"/>
      <c r="J662" s="1"/>
      <c r="K662" s="1"/>
      <c r="M662" s="1"/>
      <c r="N662" s="1"/>
      <c r="O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U662" s="1"/>
      <c r="AW662" s="1"/>
      <c r="AY662" s="1"/>
    </row>
    <row r="663">
      <c r="A663" s="1"/>
      <c r="C663" s="1"/>
      <c r="E663" s="1"/>
      <c r="F663" s="1"/>
      <c r="G663" s="1"/>
      <c r="H663" s="1"/>
      <c r="I663" s="1"/>
      <c r="J663" s="1"/>
      <c r="K663" s="1"/>
      <c r="M663" s="1"/>
      <c r="N663" s="1"/>
      <c r="O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U663" s="1"/>
      <c r="AW663" s="1"/>
      <c r="AY663" s="1"/>
    </row>
    <row r="664">
      <c r="A664" s="1"/>
      <c r="C664" s="1"/>
      <c r="E664" s="1"/>
      <c r="F664" s="1"/>
      <c r="G664" s="1"/>
      <c r="H664" s="1"/>
      <c r="I664" s="1"/>
      <c r="J664" s="1"/>
      <c r="K664" s="1"/>
      <c r="M664" s="1"/>
      <c r="N664" s="1"/>
      <c r="O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U664" s="1"/>
      <c r="AW664" s="1"/>
      <c r="AY664" s="1"/>
    </row>
    <row r="665">
      <c r="A665" s="1"/>
      <c r="C665" s="1"/>
      <c r="E665" s="1"/>
      <c r="F665" s="1"/>
      <c r="G665" s="1"/>
      <c r="H665" s="1"/>
      <c r="I665" s="1"/>
      <c r="J665" s="1"/>
      <c r="K665" s="1"/>
      <c r="M665" s="1"/>
      <c r="N665" s="1"/>
      <c r="O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U665" s="1"/>
      <c r="AW665" s="1"/>
      <c r="AY665" s="1"/>
    </row>
    <row r="666">
      <c r="A666" s="1"/>
      <c r="C666" s="1"/>
      <c r="E666" s="1"/>
      <c r="F666" s="1"/>
      <c r="G666" s="1"/>
      <c r="H666" s="1"/>
      <c r="I666" s="1"/>
      <c r="J666" s="1"/>
      <c r="K666" s="1"/>
      <c r="M666" s="1"/>
      <c r="N666" s="1"/>
      <c r="O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U666" s="1"/>
      <c r="AW666" s="1"/>
      <c r="AY666" s="1"/>
    </row>
    <row r="667">
      <c r="A667" s="1"/>
      <c r="C667" s="1"/>
      <c r="E667" s="1"/>
      <c r="F667" s="1"/>
      <c r="G667" s="1"/>
      <c r="H667" s="1"/>
      <c r="I667" s="1"/>
      <c r="J667" s="1"/>
      <c r="K667" s="1"/>
      <c r="M667" s="1"/>
      <c r="N667" s="1"/>
      <c r="O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U667" s="1"/>
      <c r="AW667" s="1"/>
      <c r="AY667" s="1"/>
    </row>
    <row r="668">
      <c r="A668" s="1"/>
      <c r="C668" s="1"/>
      <c r="E668" s="1"/>
      <c r="F668" s="1"/>
      <c r="G668" s="1"/>
      <c r="H668" s="1"/>
      <c r="I668" s="1"/>
      <c r="J668" s="1"/>
      <c r="K668" s="1"/>
      <c r="M668" s="1"/>
      <c r="N668" s="1"/>
      <c r="O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U668" s="1"/>
      <c r="AW668" s="1"/>
      <c r="AY668" s="1"/>
    </row>
    <row r="669">
      <c r="A669" s="1"/>
      <c r="C669" s="1"/>
      <c r="E669" s="1"/>
      <c r="F669" s="1"/>
      <c r="G669" s="1"/>
      <c r="H669" s="1"/>
      <c r="I669" s="1"/>
      <c r="J669" s="1"/>
      <c r="K669" s="1"/>
      <c r="M669" s="1"/>
      <c r="N669" s="1"/>
      <c r="O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U669" s="1"/>
      <c r="AW669" s="1"/>
      <c r="AY669" s="1"/>
    </row>
    <row r="670">
      <c r="A670" s="1"/>
      <c r="C670" s="1"/>
      <c r="E670" s="1"/>
      <c r="F670" s="1"/>
      <c r="G670" s="1"/>
      <c r="H670" s="1"/>
      <c r="I670" s="1"/>
      <c r="J670" s="1"/>
      <c r="K670" s="1"/>
      <c r="M670" s="1"/>
      <c r="N670" s="1"/>
      <c r="O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U670" s="1"/>
      <c r="AW670" s="1"/>
      <c r="AY670" s="1"/>
    </row>
    <row r="671">
      <c r="A671" s="1"/>
      <c r="C671" s="1"/>
      <c r="E671" s="1"/>
      <c r="F671" s="1"/>
      <c r="G671" s="1"/>
      <c r="H671" s="1"/>
      <c r="I671" s="1"/>
      <c r="J671" s="1"/>
      <c r="K671" s="1"/>
      <c r="M671" s="1"/>
      <c r="N671" s="1"/>
      <c r="O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U671" s="1"/>
      <c r="AW671" s="1"/>
      <c r="AY671" s="1"/>
    </row>
    <row r="672">
      <c r="A672" s="1"/>
      <c r="C672" s="1"/>
      <c r="E672" s="1"/>
      <c r="F672" s="1"/>
      <c r="G672" s="1"/>
      <c r="H672" s="1"/>
      <c r="I672" s="1"/>
      <c r="J672" s="1"/>
      <c r="K672" s="1"/>
      <c r="M672" s="1"/>
      <c r="N672" s="1"/>
      <c r="O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U672" s="1"/>
      <c r="AW672" s="1"/>
      <c r="AY672" s="1"/>
    </row>
    <row r="673">
      <c r="A673" s="1"/>
      <c r="C673" s="1"/>
      <c r="E673" s="1"/>
      <c r="F673" s="1"/>
      <c r="G673" s="1"/>
      <c r="H673" s="1"/>
      <c r="I673" s="1"/>
      <c r="J673" s="1"/>
      <c r="K673" s="1"/>
      <c r="M673" s="1"/>
      <c r="N673" s="1"/>
      <c r="O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U673" s="1"/>
      <c r="AW673" s="1"/>
      <c r="AY673" s="1"/>
    </row>
    <row r="674">
      <c r="A674" s="1"/>
      <c r="C674" s="1"/>
      <c r="E674" s="1"/>
      <c r="F674" s="1"/>
      <c r="G674" s="1"/>
      <c r="H674" s="1"/>
      <c r="I674" s="1"/>
      <c r="J674" s="1"/>
      <c r="K674" s="1"/>
      <c r="M674" s="1"/>
      <c r="N674" s="1"/>
      <c r="O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U674" s="1"/>
      <c r="AW674" s="1"/>
      <c r="AY674" s="1"/>
    </row>
    <row r="675">
      <c r="A675" s="1"/>
      <c r="C675" s="1"/>
      <c r="E675" s="1"/>
      <c r="F675" s="1"/>
      <c r="G675" s="1"/>
      <c r="H675" s="1"/>
      <c r="I675" s="1"/>
      <c r="J675" s="1"/>
      <c r="K675" s="1"/>
      <c r="M675" s="1"/>
      <c r="N675" s="1"/>
      <c r="O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U675" s="1"/>
      <c r="AW675" s="1"/>
      <c r="AY675" s="1"/>
    </row>
    <row r="676">
      <c r="A676" s="1"/>
      <c r="C676" s="1"/>
      <c r="E676" s="1"/>
      <c r="F676" s="1"/>
      <c r="G676" s="1"/>
      <c r="H676" s="1"/>
      <c r="I676" s="1"/>
      <c r="J676" s="1"/>
      <c r="K676" s="1"/>
      <c r="M676" s="1"/>
      <c r="N676" s="1"/>
      <c r="O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U676" s="1"/>
      <c r="AW676" s="1"/>
      <c r="AY676" s="1"/>
    </row>
    <row r="677">
      <c r="A677" s="1"/>
      <c r="C677" s="1"/>
      <c r="E677" s="1"/>
      <c r="F677" s="1"/>
      <c r="G677" s="1"/>
      <c r="H677" s="1"/>
      <c r="I677" s="1"/>
      <c r="J677" s="1"/>
      <c r="K677" s="1"/>
      <c r="M677" s="1"/>
      <c r="N677" s="1"/>
      <c r="O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U677" s="1"/>
      <c r="AW677" s="1"/>
      <c r="AY677" s="1"/>
    </row>
    <row r="678">
      <c r="A678" s="1"/>
      <c r="C678" s="1"/>
      <c r="E678" s="1"/>
      <c r="F678" s="1"/>
      <c r="G678" s="1"/>
      <c r="H678" s="1"/>
      <c r="I678" s="1"/>
      <c r="J678" s="1"/>
      <c r="K678" s="1"/>
      <c r="M678" s="1"/>
      <c r="N678" s="1"/>
      <c r="O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U678" s="1"/>
      <c r="AW678" s="1"/>
      <c r="AY678" s="1"/>
    </row>
    <row r="679">
      <c r="A679" s="1"/>
      <c r="C679" s="1"/>
      <c r="E679" s="1"/>
      <c r="F679" s="1"/>
      <c r="G679" s="1"/>
      <c r="H679" s="1"/>
      <c r="I679" s="1"/>
      <c r="J679" s="1"/>
      <c r="K679" s="1"/>
      <c r="M679" s="1"/>
      <c r="N679" s="1"/>
      <c r="O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U679" s="1"/>
      <c r="AW679" s="1"/>
      <c r="AY679" s="1"/>
    </row>
    <row r="680">
      <c r="A680" s="1"/>
      <c r="C680" s="1"/>
      <c r="E680" s="1"/>
      <c r="F680" s="1"/>
      <c r="G680" s="1"/>
      <c r="H680" s="1"/>
      <c r="I680" s="1"/>
      <c r="J680" s="1"/>
      <c r="K680" s="1"/>
      <c r="M680" s="1"/>
      <c r="N680" s="1"/>
      <c r="O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U680" s="1"/>
      <c r="AW680" s="1"/>
      <c r="AY680" s="1"/>
    </row>
    <row r="681">
      <c r="A681" s="1"/>
      <c r="C681" s="1"/>
      <c r="E681" s="1"/>
      <c r="F681" s="1"/>
      <c r="G681" s="1"/>
      <c r="H681" s="1"/>
      <c r="I681" s="1"/>
      <c r="J681" s="1"/>
      <c r="K681" s="1"/>
      <c r="M681" s="1"/>
      <c r="N681" s="1"/>
      <c r="O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U681" s="1"/>
      <c r="AW681" s="1"/>
      <c r="AY681" s="1"/>
    </row>
    <row r="682">
      <c r="A682" s="1"/>
      <c r="C682" s="1"/>
      <c r="E682" s="1"/>
      <c r="F682" s="1"/>
      <c r="G682" s="1"/>
      <c r="H682" s="1"/>
      <c r="I682" s="1"/>
      <c r="J682" s="1"/>
      <c r="K682" s="1"/>
      <c r="M682" s="1"/>
      <c r="N682" s="1"/>
      <c r="O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U682" s="1"/>
      <c r="AW682" s="1"/>
      <c r="AY682" s="1"/>
    </row>
    <row r="683">
      <c r="A683" s="1"/>
      <c r="C683" s="1"/>
      <c r="E683" s="1"/>
      <c r="F683" s="1"/>
      <c r="G683" s="1"/>
      <c r="H683" s="1"/>
      <c r="I683" s="1"/>
      <c r="J683" s="1"/>
      <c r="K683" s="1"/>
      <c r="M683" s="1"/>
      <c r="N683" s="1"/>
      <c r="O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U683" s="1"/>
      <c r="AW683" s="1"/>
      <c r="AY683" s="1"/>
    </row>
    <row r="684">
      <c r="A684" s="1"/>
      <c r="C684" s="1"/>
      <c r="E684" s="1"/>
      <c r="F684" s="1"/>
      <c r="G684" s="1"/>
      <c r="H684" s="1"/>
      <c r="I684" s="1"/>
      <c r="J684" s="1"/>
      <c r="K684" s="1"/>
      <c r="M684" s="1"/>
      <c r="N684" s="1"/>
      <c r="O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U684" s="1"/>
      <c r="AW684" s="1"/>
      <c r="AY684" s="1"/>
    </row>
    <row r="685">
      <c r="A685" s="1"/>
      <c r="C685" s="1"/>
      <c r="E685" s="1"/>
      <c r="F685" s="1"/>
      <c r="G685" s="1"/>
      <c r="H685" s="1"/>
      <c r="I685" s="1"/>
      <c r="J685" s="1"/>
      <c r="K685" s="1"/>
      <c r="M685" s="1"/>
      <c r="N685" s="1"/>
      <c r="O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U685" s="1"/>
      <c r="AW685" s="1"/>
      <c r="AY685" s="1"/>
    </row>
    <row r="686">
      <c r="A686" s="1"/>
      <c r="C686" s="1"/>
      <c r="E686" s="1"/>
      <c r="F686" s="1"/>
      <c r="G686" s="1"/>
      <c r="H686" s="1"/>
      <c r="I686" s="1"/>
      <c r="J686" s="1"/>
      <c r="K686" s="1"/>
      <c r="M686" s="1"/>
      <c r="N686" s="1"/>
      <c r="O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U686" s="1"/>
      <c r="AW686" s="1"/>
      <c r="AY686" s="1"/>
    </row>
    <row r="687">
      <c r="A687" s="1"/>
      <c r="C687" s="1"/>
      <c r="E687" s="1"/>
      <c r="F687" s="1"/>
      <c r="G687" s="1"/>
      <c r="H687" s="1"/>
      <c r="I687" s="1"/>
      <c r="J687" s="1"/>
      <c r="K687" s="1"/>
      <c r="M687" s="1"/>
      <c r="N687" s="1"/>
      <c r="O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U687" s="1"/>
      <c r="AW687" s="1"/>
      <c r="AY687" s="1"/>
    </row>
    <row r="688">
      <c r="A688" s="1"/>
      <c r="C688" s="1"/>
      <c r="E688" s="1"/>
      <c r="F688" s="1"/>
      <c r="G688" s="1"/>
      <c r="H688" s="1"/>
      <c r="I688" s="1"/>
      <c r="J688" s="1"/>
      <c r="K688" s="1"/>
      <c r="M688" s="1"/>
      <c r="N688" s="1"/>
      <c r="O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U688" s="1"/>
      <c r="AW688" s="1"/>
      <c r="AY688" s="1"/>
    </row>
    <row r="689">
      <c r="A689" s="1"/>
      <c r="C689" s="1"/>
      <c r="E689" s="1"/>
      <c r="F689" s="1"/>
      <c r="G689" s="1"/>
      <c r="H689" s="1"/>
      <c r="I689" s="1"/>
      <c r="J689" s="1"/>
      <c r="K689" s="1"/>
      <c r="M689" s="1"/>
      <c r="N689" s="1"/>
      <c r="O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U689" s="1"/>
      <c r="AW689" s="1"/>
      <c r="AY689" s="1"/>
    </row>
    <row r="690">
      <c r="A690" s="1"/>
      <c r="C690" s="1"/>
      <c r="E690" s="1"/>
      <c r="F690" s="1"/>
      <c r="G690" s="1"/>
      <c r="H690" s="1"/>
      <c r="I690" s="1"/>
      <c r="J690" s="1"/>
      <c r="K690" s="1"/>
      <c r="M690" s="1"/>
      <c r="N690" s="1"/>
      <c r="O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U690" s="1"/>
      <c r="AW690" s="1"/>
      <c r="AY690" s="1"/>
    </row>
    <row r="691">
      <c r="A691" s="1"/>
      <c r="C691" s="1"/>
      <c r="E691" s="1"/>
      <c r="F691" s="1"/>
      <c r="G691" s="1"/>
      <c r="H691" s="1"/>
      <c r="I691" s="1"/>
      <c r="J691" s="1"/>
      <c r="K691" s="1"/>
      <c r="M691" s="1"/>
      <c r="N691" s="1"/>
      <c r="O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U691" s="1"/>
      <c r="AW691" s="1"/>
      <c r="AY691" s="1"/>
    </row>
    <row r="692">
      <c r="A692" s="1"/>
      <c r="C692" s="1"/>
      <c r="E692" s="1"/>
      <c r="F692" s="1"/>
      <c r="G692" s="1"/>
      <c r="H692" s="1"/>
      <c r="I692" s="1"/>
      <c r="J692" s="1"/>
      <c r="K692" s="1"/>
      <c r="M692" s="1"/>
      <c r="N692" s="1"/>
      <c r="O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U692" s="1"/>
      <c r="AW692" s="1"/>
      <c r="AY692" s="1"/>
    </row>
    <row r="693">
      <c r="A693" s="1"/>
      <c r="C693" s="1"/>
      <c r="E693" s="1"/>
      <c r="F693" s="1"/>
      <c r="G693" s="1"/>
      <c r="H693" s="1"/>
      <c r="I693" s="1"/>
      <c r="J693" s="1"/>
      <c r="K693" s="1"/>
      <c r="M693" s="1"/>
      <c r="N693" s="1"/>
      <c r="O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U693" s="1"/>
      <c r="AW693" s="1"/>
      <c r="AY693" s="1"/>
    </row>
    <row r="694">
      <c r="A694" s="1"/>
      <c r="C694" s="1"/>
      <c r="E694" s="1"/>
      <c r="F694" s="1"/>
      <c r="G694" s="1"/>
      <c r="H694" s="1"/>
      <c r="I694" s="1"/>
      <c r="J694" s="1"/>
      <c r="K694" s="1"/>
      <c r="M694" s="1"/>
      <c r="N694" s="1"/>
      <c r="O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U694" s="1"/>
      <c r="AW694" s="1"/>
      <c r="AY694" s="1"/>
    </row>
    <row r="695">
      <c r="A695" s="1"/>
      <c r="C695" s="1"/>
      <c r="E695" s="1"/>
      <c r="F695" s="1"/>
      <c r="G695" s="1"/>
      <c r="H695" s="1"/>
      <c r="I695" s="1"/>
      <c r="J695" s="1"/>
      <c r="K695" s="1"/>
      <c r="M695" s="1"/>
      <c r="N695" s="1"/>
      <c r="O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U695" s="1"/>
      <c r="AW695" s="1"/>
      <c r="AY695" s="1"/>
    </row>
    <row r="696">
      <c r="A696" s="1"/>
      <c r="C696" s="1"/>
      <c r="E696" s="1"/>
      <c r="F696" s="1"/>
      <c r="G696" s="1"/>
      <c r="H696" s="1"/>
      <c r="I696" s="1"/>
      <c r="J696" s="1"/>
      <c r="K696" s="1"/>
      <c r="M696" s="1"/>
      <c r="N696" s="1"/>
      <c r="O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U696" s="1"/>
      <c r="AW696" s="1"/>
      <c r="AY696" s="1"/>
    </row>
    <row r="697">
      <c r="A697" s="1"/>
      <c r="C697" s="1"/>
      <c r="E697" s="1"/>
      <c r="F697" s="1"/>
      <c r="G697" s="1"/>
      <c r="H697" s="1"/>
      <c r="I697" s="1"/>
      <c r="J697" s="1"/>
      <c r="K697" s="1"/>
      <c r="M697" s="1"/>
      <c r="N697" s="1"/>
      <c r="O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U697" s="1"/>
      <c r="AW697" s="1"/>
      <c r="AY697" s="1"/>
    </row>
    <row r="698">
      <c r="A698" s="1"/>
      <c r="C698" s="1"/>
      <c r="E698" s="1"/>
      <c r="F698" s="1"/>
      <c r="G698" s="1"/>
      <c r="H698" s="1"/>
      <c r="I698" s="1"/>
      <c r="J698" s="1"/>
      <c r="K698" s="1"/>
      <c r="M698" s="1"/>
      <c r="N698" s="1"/>
      <c r="O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U698" s="1"/>
      <c r="AW698" s="1"/>
      <c r="AY698" s="1"/>
    </row>
    <row r="699">
      <c r="A699" s="1"/>
      <c r="C699" s="1"/>
      <c r="E699" s="1"/>
      <c r="F699" s="1"/>
      <c r="G699" s="1"/>
      <c r="H699" s="1"/>
      <c r="I699" s="1"/>
      <c r="J699" s="1"/>
      <c r="K699" s="1"/>
      <c r="M699" s="1"/>
      <c r="N699" s="1"/>
      <c r="O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U699" s="1"/>
      <c r="AW699" s="1"/>
      <c r="AY699" s="1"/>
    </row>
    <row r="700">
      <c r="A700" s="1"/>
      <c r="C700" s="1"/>
      <c r="E700" s="1"/>
      <c r="F700" s="1"/>
      <c r="G700" s="1"/>
      <c r="H700" s="1"/>
      <c r="I700" s="1"/>
      <c r="J700" s="1"/>
      <c r="K700" s="1"/>
      <c r="M700" s="1"/>
      <c r="N700" s="1"/>
      <c r="O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U700" s="1"/>
      <c r="AW700" s="1"/>
      <c r="AY700" s="1"/>
    </row>
    <row r="701">
      <c r="A701" s="1"/>
      <c r="C701" s="1"/>
      <c r="E701" s="1"/>
      <c r="F701" s="1"/>
      <c r="G701" s="1"/>
      <c r="H701" s="1"/>
      <c r="I701" s="1"/>
      <c r="J701" s="1"/>
      <c r="K701" s="1"/>
      <c r="M701" s="1"/>
      <c r="N701" s="1"/>
      <c r="O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U701" s="1"/>
      <c r="AW701" s="1"/>
      <c r="AY701" s="1"/>
    </row>
    <row r="702">
      <c r="A702" s="1"/>
      <c r="C702" s="1"/>
      <c r="E702" s="1"/>
      <c r="F702" s="1"/>
      <c r="G702" s="1"/>
      <c r="H702" s="1"/>
      <c r="I702" s="1"/>
      <c r="J702" s="1"/>
      <c r="K702" s="1"/>
      <c r="M702" s="1"/>
      <c r="N702" s="1"/>
      <c r="O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U702" s="1"/>
      <c r="AW702" s="1"/>
      <c r="AY702" s="1"/>
    </row>
    <row r="703">
      <c r="A703" s="1"/>
      <c r="C703" s="1"/>
      <c r="E703" s="1"/>
      <c r="F703" s="1"/>
      <c r="G703" s="1"/>
      <c r="H703" s="1"/>
      <c r="I703" s="1"/>
      <c r="J703" s="1"/>
      <c r="K703" s="1"/>
      <c r="M703" s="1"/>
      <c r="N703" s="1"/>
      <c r="O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U703" s="1"/>
      <c r="AW703" s="1"/>
      <c r="AY703" s="1"/>
    </row>
    <row r="704">
      <c r="A704" s="1"/>
      <c r="C704" s="1"/>
      <c r="E704" s="1"/>
      <c r="F704" s="1"/>
      <c r="G704" s="1"/>
      <c r="H704" s="1"/>
      <c r="I704" s="1"/>
      <c r="J704" s="1"/>
      <c r="K704" s="1"/>
      <c r="M704" s="1"/>
      <c r="N704" s="1"/>
      <c r="O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U704" s="1"/>
      <c r="AW704" s="1"/>
      <c r="AY704" s="1"/>
    </row>
    <row r="705">
      <c r="A705" s="1"/>
      <c r="C705" s="1"/>
      <c r="E705" s="1"/>
      <c r="F705" s="1"/>
      <c r="G705" s="1"/>
      <c r="H705" s="1"/>
      <c r="I705" s="1"/>
      <c r="J705" s="1"/>
      <c r="K705" s="1"/>
      <c r="M705" s="1"/>
      <c r="N705" s="1"/>
      <c r="O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U705" s="1"/>
      <c r="AW705" s="1"/>
      <c r="AY705" s="1"/>
    </row>
    <row r="706">
      <c r="A706" s="1"/>
      <c r="C706" s="1"/>
      <c r="E706" s="1"/>
      <c r="F706" s="1"/>
      <c r="G706" s="1"/>
      <c r="H706" s="1"/>
      <c r="I706" s="1"/>
      <c r="J706" s="1"/>
      <c r="K706" s="1"/>
      <c r="M706" s="1"/>
      <c r="N706" s="1"/>
      <c r="O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U706" s="1"/>
      <c r="AW706" s="1"/>
      <c r="AY706" s="1"/>
    </row>
    <row r="707">
      <c r="A707" s="1"/>
      <c r="C707" s="1"/>
      <c r="E707" s="1"/>
      <c r="F707" s="1"/>
      <c r="G707" s="1"/>
      <c r="H707" s="1"/>
      <c r="I707" s="1"/>
      <c r="J707" s="1"/>
      <c r="K707" s="1"/>
      <c r="M707" s="1"/>
      <c r="N707" s="1"/>
      <c r="O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U707" s="1"/>
      <c r="AW707" s="1"/>
      <c r="AY707" s="1"/>
    </row>
    <row r="708">
      <c r="A708" s="1"/>
      <c r="C708" s="1"/>
      <c r="E708" s="1"/>
      <c r="F708" s="1"/>
      <c r="G708" s="1"/>
      <c r="H708" s="1"/>
      <c r="I708" s="1"/>
      <c r="J708" s="1"/>
      <c r="K708" s="1"/>
      <c r="M708" s="1"/>
      <c r="N708" s="1"/>
      <c r="O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U708" s="1"/>
      <c r="AW708" s="1"/>
      <c r="AY708" s="1"/>
    </row>
    <row r="709">
      <c r="A709" s="1"/>
      <c r="C709" s="1"/>
      <c r="E709" s="1"/>
      <c r="F709" s="1"/>
      <c r="G709" s="1"/>
      <c r="H709" s="1"/>
      <c r="I709" s="1"/>
      <c r="J709" s="1"/>
      <c r="K709" s="1"/>
      <c r="M709" s="1"/>
      <c r="N709" s="1"/>
      <c r="O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U709" s="1"/>
      <c r="AW709" s="1"/>
      <c r="AY709" s="1"/>
    </row>
    <row r="710">
      <c r="A710" s="1"/>
      <c r="C710" s="1"/>
      <c r="E710" s="1"/>
      <c r="F710" s="1"/>
      <c r="G710" s="1"/>
      <c r="H710" s="1"/>
      <c r="I710" s="1"/>
      <c r="J710" s="1"/>
      <c r="K710" s="1"/>
      <c r="M710" s="1"/>
      <c r="N710" s="1"/>
      <c r="O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U710" s="1"/>
      <c r="AW710" s="1"/>
      <c r="AY710" s="1"/>
    </row>
    <row r="711">
      <c r="A711" s="1"/>
      <c r="C711" s="1"/>
      <c r="E711" s="1"/>
      <c r="F711" s="1"/>
      <c r="G711" s="1"/>
      <c r="H711" s="1"/>
      <c r="I711" s="1"/>
      <c r="J711" s="1"/>
      <c r="K711" s="1"/>
      <c r="M711" s="1"/>
      <c r="N711" s="1"/>
      <c r="O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U711" s="1"/>
      <c r="AW711" s="1"/>
      <c r="AY711" s="1"/>
    </row>
    <row r="712">
      <c r="A712" s="1"/>
      <c r="C712" s="1"/>
      <c r="E712" s="1"/>
      <c r="F712" s="1"/>
      <c r="G712" s="1"/>
      <c r="H712" s="1"/>
      <c r="I712" s="1"/>
      <c r="J712" s="1"/>
      <c r="K712" s="1"/>
      <c r="M712" s="1"/>
      <c r="N712" s="1"/>
      <c r="O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U712" s="1"/>
      <c r="AW712" s="1"/>
      <c r="AY712" s="1"/>
    </row>
    <row r="713">
      <c r="A713" s="1"/>
      <c r="C713" s="1"/>
      <c r="E713" s="1"/>
      <c r="F713" s="1"/>
      <c r="G713" s="1"/>
      <c r="H713" s="1"/>
      <c r="I713" s="1"/>
      <c r="J713" s="1"/>
      <c r="K713" s="1"/>
      <c r="M713" s="1"/>
      <c r="N713" s="1"/>
      <c r="O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U713" s="1"/>
      <c r="AW713" s="1"/>
      <c r="AY713" s="1"/>
    </row>
    <row r="714">
      <c r="A714" s="1"/>
      <c r="C714" s="1"/>
      <c r="E714" s="1"/>
      <c r="F714" s="1"/>
      <c r="G714" s="1"/>
      <c r="H714" s="1"/>
      <c r="I714" s="1"/>
      <c r="J714" s="1"/>
      <c r="K714" s="1"/>
      <c r="M714" s="1"/>
      <c r="N714" s="1"/>
      <c r="O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U714" s="1"/>
      <c r="AW714" s="1"/>
      <c r="AY714" s="1"/>
    </row>
    <row r="715">
      <c r="A715" s="1"/>
      <c r="C715" s="1"/>
      <c r="E715" s="1"/>
      <c r="F715" s="1"/>
      <c r="G715" s="1"/>
      <c r="H715" s="1"/>
      <c r="I715" s="1"/>
      <c r="J715" s="1"/>
      <c r="K715" s="1"/>
      <c r="M715" s="1"/>
      <c r="N715" s="1"/>
      <c r="O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U715" s="1"/>
      <c r="AW715" s="1"/>
      <c r="AY715" s="1"/>
    </row>
    <row r="716">
      <c r="A716" s="1"/>
      <c r="C716" s="1"/>
      <c r="E716" s="1"/>
      <c r="F716" s="1"/>
      <c r="G716" s="1"/>
      <c r="H716" s="1"/>
      <c r="I716" s="1"/>
      <c r="J716" s="1"/>
      <c r="K716" s="1"/>
      <c r="M716" s="1"/>
      <c r="N716" s="1"/>
      <c r="O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U716" s="1"/>
      <c r="AW716" s="1"/>
      <c r="AY716" s="1"/>
    </row>
    <row r="717">
      <c r="A717" s="1"/>
      <c r="C717" s="1"/>
      <c r="E717" s="1"/>
      <c r="F717" s="1"/>
      <c r="G717" s="1"/>
      <c r="H717" s="1"/>
      <c r="I717" s="1"/>
      <c r="J717" s="1"/>
      <c r="K717" s="1"/>
      <c r="M717" s="1"/>
      <c r="N717" s="1"/>
      <c r="O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U717" s="1"/>
      <c r="AW717" s="1"/>
      <c r="AY717" s="1"/>
    </row>
    <row r="718">
      <c r="A718" s="1"/>
      <c r="C718" s="1"/>
      <c r="E718" s="1"/>
      <c r="F718" s="1"/>
      <c r="G718" s="1"/>
      <c r="H718" s="1"/>
      <c r="I718" s="1"/>
      <c r="J718" s="1"/>
      <c r="K718" s="1"/>
      <c r="M718" s="1"/>
      <c r="N718" s="1"/>
      <c r="O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U718" s="1"/>
      <c r="AW718" s="1"/>
      <c r="AY718" s="1"/>
    </row>
    <row r="719">
      <c r="A719" s="1"/>
      <c r="C719" s="1"/>
      <c r="E719" s="1"/>
      <c r="F719" s="1"/>
      <c r="G719" s="1"/>
      <c r="H719" s="1"/>
      <c r="I719" s="1"/>
      <c r="J719" s="1"/>
      <c r="K719" s="1"/>
      <c r="M719" s="1"/>
      <c r="N719" s="1"/>
      <c r="O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U719" s="1"/>
      <c r="AW719" s="1"/>
      <c r="AY719" s="1"/>
    </row>
    <row r="720">
      <c r="A720" s="1"/>
      <c r="C720" s="1"/>
      <c r="E720" s="1"/>
      <c r="F720" s="1"/>
      <c r="G720" s="1"/>
      <c r="H720" s="1"/>
      <c r="I720" s="1"/>
      <c r="J720" s="1"/>
      <c r="K720" s="1"/>
      <c r="M720" s="1"/>
      <c r="N720" s="1"/>
      <c r="O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U720" s="1"/>
      <c r="AW720" s="1"/>
      <c r="AY720" s="1"/>
    </row>
    <row r="721">
      <c r="A721" s="1"/>
      <c r="C721" s="1"/>
      <c r="E721" s="1"/>
      <c r="F721" s="1"/>
      <c r="G721" s="1"/>
      <c r="H721" s="1"/>
      <c r="I721" s="1"/>
      <c r="J721" s="1"/>
      <c r="K721" s="1"/>
      <c r="M721" s="1"/>
      <c r="N721" s="1"/>
      <c r="O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U721" s="1"/>
      <c r="AW721" s="1"/>
      <c r="AY721" s="1"/>
    </row>
    <row r="722">
      <c r="A722" s="1"/>
      <c r="C722" s="1"/>
      <c r="E722" s="1"/>
      <c r="F722" s="1"/>
      <c r="G722" s="1"/>
      <c r="H722" s="1"/>
      <c r="I722" s="1"/>
      <c r="J722" s="1"/>
      <c r="K722" s="1"/>
      <c r="M722" s="1"/>
      <c r="N722" s="1"/>
      <c r="O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U722" s="1"/>
      <c r="AW722" s="1"/>
      <c r="AY722" s="1"/>
    </row>
    <row r="723">
      <c r="A723" s="1"/>
      <c r="C723" s="1"/>
      <c r="E723" s="1"/>
      <c r="F723" s="1"/>
      <c r="G723" s="1"/>
      <c r="H723" s="1"/>
      <c r="I723" s="1"/>
      <c r="J723" s="1"/>
      <c r="K723" s="1"/>
      <c r="M723" s="1"/>
      <c r="N723" s="1"/>
      <c r="O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U723" s="1"/>
      <c r="AW723" s="1"/>
      <c r="AY723" s="1"/>
    </row>
    <row r="724">
      <c r="A724" s="1"/>
      <c r="C724" s="1"/>
      <c r="E724" s="1"/>
      <c r="F724" s="1"/>
      <c r="G724" s="1"/>
      <c r="H724" s="1"/>
      <c r="I724" s="1"/>
      <c r="J724" s="1"/>
      <c r="K724" s="1"/>
      <c r="M724" s="1"/>
      <c r="N724" s="1"/>
      <c r="O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U724" s="1"/>
      <c r="AW724" s="1"/>
      <c r="AY724" s="1"/>
    </row>
    <row r="725">
      <c r="A725" s="1"/>
      <c r="C725" s="1"/>
      <c r="E725" s="1"/>
      <c r="F725" s="1"/>
      <c r="G725" s="1"/>
      <c r="H725" s="1"/>
      <c r="I725" s="1"/>
      <c r="J725" s="1"/>
      <c r="K725" s="1"/>
      <c r="M725" s="1"/>
      <c r="N725" s="1"/>
      <c r="O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U725" s="1"/>
      <c r="AW725" s="1"/>
      <c r="AY725" s="1"/>
    </row>
    <row r="726">
      <c r="A726" s="1"/>
      <c r="C726" s="1"/>
      <c r="E726" s="1"/>
      <c r="F726" s="1"/>
      <c r="G726" s="1"/>
      <c r="H726" s="1"/>
      <c r="I726" s="1"/>
      <c r="J726" s="1"/>
      <c r="K726" s="1"/>
      <c r="M726" s="1"/>
      <c r="N726" s="1"/>
      <c r="O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U726" s="1"/>
      <c r="AW726" s="1"/>
      <c r="AY726" s="1"/>
    </row>
    <row r="727">
      <c r="A727" s="1"/>
      <c r="C727" s="1"/>
      <c r="E727" s="1"/>
      <c r="F727" s="1"/>
      <c r="G727" s="1"/>
      <c r="H727" s="1"/>
      <c r="I727" s="1"/>
      <c r="J727" s="1"/>
      <c r="K727" s="1"/>
      <c r="M727" s="1"/>
      <c r="N727" s="1"/>
      <c r="O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U727" s="1"/>
      <c r="AW727" s="1"/>
      <c r="AY727" s="1"/>
    </row>
    <row r="728">
      <c r="A728" s="1"/>
      <c r="C728" s="1"/>
      <c r="E728" s="1"/>
      <c r="F728" s="1"/>
      <c r="G728" s="1"/>
      <c r="H728" s="1"/>
      <c r="I728" s="1"/>
      <c r="J728" s="1"/>
      <c r="K728" s="1"/>
      <c r="M728" s="1"/>
      <c r="N728" s="1"/>
      <c r="O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U728" s="1"/>
      <c r="AW728" s="1"/>
      <c r="AY728" s="1"/>
    </row>
    <row r="729">
      <c r="A729" s="1"/>
      <c r="C729" s="1"/>
      <c r="E729" s="1"/>
      <c r="F729" s="1"/>
      <c r="G729" s="1"/>
      <c r="H729" s="1"/>
      <c r="I729" s="1"/>
      <c r="J729" s="1"/>
      <c r="K729" s="1"/>
      <c r="M729" s="1"/>
      <c r="N729" s="1"/>
      <c r="O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U729" s="1"/>
      <c r="AW729" s="1"/>
      <c r="AY729" s="1"/>
    </row>
    <row r="730">
      <c r="A730" s="1"/>
      <c r="C730" s="1"/>
      <c r="E730" s="1"/>
      <c r="F730" s="1"/>
      <c r="G730" s="1"/>
      <c r="H730" s="1"/>
      <c r="I730" s="1"/>
      <c r="J730" s="1"/>
      <c r="K730" s="1"/>
      <c r="M730" s="1"/>
      <c r="N730" s="1"/>
      <c r="O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U730" s="1"/>
      <c r="AW730" s="1"/>
      <c r="AY730" s="1"/>
    </row>
    <row r="731">
      <c r="A731" s="1"/>
      <c r="C731" s="1"/>
      <c r="E731" s="1"/>
      <c r="F731" s="1"/>
      <c r="G731" s="1"/>
      <c r="H731" s="1"/>
      <c r="I731" s="1"/>
      <c r="J731" s="1"/>
      <c r="K731" s="1"/>
      <c r="M731" s="1"/>
      <c r="N731" s="1"/>
      <c r="O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U731" s="1"/>
      <c r="AW731" s="1"/>
      <c r="AY731" s="1"/>
    </row>
    <row r="732">
      <c r="A732" s="1"/>
      <c r="C732" s="1"/>
      <c r="E732" s="1"/>
      <c r="F732" s="1"/>
      <c r="G732" s="1"/>
      <c r="H732" s="1"/>
      <c r="I732" s="1"/>
      <c r="J732" s="1"/>
      <c r="K732" s="1"/>
      <c r="M732" s="1"/>
      <c r="N732" s="1"/>
      <c r="O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U732" s="1"/>
      <c r="AW732" s="1"/>
      <c r="AY732" s="1"/>
    </row>
    <row r="733">
      <c r="A733" s="1"/>
      <c r="C733" s="1"/>
      <c r="E733" s="1"/>
      <c r="F733" s="1"/>
      <c r="G733" s="1"/>
      <c r="H733" s="1"/>
      <c r="I733" s="1"/>
      <c r="J733" s="1"/>
      <c r="K733" s="1"/>
      <c r="M733" s="1"/>
      <c r="N733" s="1"/>
      <c r="O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U733" s="1"/>
      <c r="AW733" s="1"/>
      <c r="AY733" s="1"/>
    </row>
    <row r="734">
      <c r="A734" s="1"/>
      <c r="C734" s="1"/>
      <c r="E734" s="1"/>
      <c r="F734" s="1"/>
      <c r="G734" s="1"/>
      <c r="H734" s="1"/>
      <c r="I734" s="1"/>
      <c r="J734" s="1"/>
      <c r="K734" s="1"/>
      <c r="M734" s="1"/>
      <c r="N734" s="1"/>
      <c r="O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U734" s="1"/>
      <c r="AW734" s="1"/>
      <c r="AY734" s="1"/>
    </row>
    <row r="735">
      <c r="A735" s="1"/>
      <c r="C735" s="1"/>
      <c r="E735" s="1"/>
      <c r="F735" s="1"/>
      <c r="G735" s="1"/>
      <c r="H735" s="1"/>
      <c r="I735" s="1"/>
      <c r="J735" s="1"/>
      <c r="K735" s="1"/>
      <c r="M735" s="1"/>
      <c r="N735" s="1"/>
      <c r="O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U735" s="1"/>
      <c r="AW735" s="1"/>
      <c r="AY735" s="1"/>
    </row>
    <row r="736">
      <c r="A736" s="1"/>
      <c r="C736" s="1"/>
      <c r="E736" s="1"/>
      <c r="F736" s="1"/>
      <c r="G736" s="1"/>
      <c r="H736" s="1"/>
      <c r="I736" s="1"/>
      <c r="J736" s="1"/>
      <c r="K736" s="1"/>
      <c r="M736" s="1"/>
      <c r="N736" s="1"/>
      <c r="O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U736" s="1"/>
      <c r="AW736" s="1"/>
      <c r="AY736" s="1"/>
    </row>
    <row r="737">
      <c r="A737" s="1"/>
      <c r="C737" s="1"/>
      <c r="E737" s="1"/>
      <c r="F737" s="1"/>
      <c r="G737" s="1"/>
      <c r="H737" s="1"/>
      <c r="I737" s="1"/>
      <c r="J737" s="1"/>
      <c r="K737" s="1"/>
      <c r="M737" s="1"/>
      <c r="N737" s="1"/>
      <c r="O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U737" s="1"/>
      <c r="AW737" s="1"/>
      <c r="AY737" s="1"/>
    </row>
    <row r="738">
      <c r="A738" s="1"/>
      <c r="C738" s="1"/>
      <c r="E738" s="1"/>
      <c r="F738" s="1"/>
      <c r="G738" s="1"/>
      <c r="H738" s="1"/>
      <c r="I738" s="1"/>
      <c r="J738" s="1"/>
      <c r="K738" s="1"/>
      <c r="M738" s="1"/>
      <c r="N738" s="1"/>
      <c r="O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U738" s="1"/>
      <c r="AW738" s="1"/>
      <c r="AY738" s="1"/>
    </row>
    <row r="739">
      <c r="A739" s="1"/>
      <c r="C739" s="1"/>
      <c r="E739" s="1"/>
      <c r="F739" s="1"/>
      <c r="G739" s="1"/>
      <c r="H739" s="1"/>
      <c r="I739" s="1"/>
      <c r="J739" s="1"/>
      <c r="K739" s="1"/>
      <c r="M739" s="1"/>
      <c r="N739" s="1"/>
      <c r="O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U739" s="1"/>
      <c r="AW739" s="1"/>
      <c r="AY739" s="1"/>
    </row>
    <row r="740">
      <c r="A740" s="1"/>
      <c r="C740" s="1"/>
      <c r="E740" s="1"/>
      <c r="F740" s="1"/>
      <c r="G740" s="1"/>
      <c r="H740" s="1"/>
      <c r="I740" s="1"/>
      <c r="J740" s="1"/>
      <c r="K740" s="1"/>
      <c r="M740" s="1"/>
      <c r="N740" s="1"/>
      <c r="O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U740" s="1"/>
      <c r="AW740" s="1"/>
      <c r="AY740" s="1"/>
    </row>
    <row r="741">
      <c r="A741" s="1"/>
      <c r="C741" s="1"/>
      <c r="E741" s="1"/>
      <c r="F741" s="1"/>
      <c r="G741" s="1"/>
      <c r="H741" s="1"/>
      <c r="I741" s="1"/>
      <c r="J741" s="1"/>
      <c r="K741" s="1"/>
      <c r="M741" s="1"/>
      <c r="N741" s="1"/>
      <c r="O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U741" s="1"/>
      <c r="AW741" s="1"/>
      <c r="AY741" s="1"/>
    </row>
    <row r="742">
      <c r="A742" s="1"/>
      <c r="C742" s="1"/>
      <c r="E742" s="1"/>
      <c r="F742" s="1"/>
      <c r="G742" s="1"/>
      <c r="H742" s="1"/>
      <c r="I742" s="1"/>
      <c r="J742" s="1"/>
      <c r="K742" s="1"/>
      <c r="M742" s="1"/>
      <c r="N742" s="1"/>
      <c r="O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U742" s="1"/>
      <c r="AW742" s="1"/>
      <c r="AY742" s="1"/>
    </row>
    <row r="743">
      <c r="A743" s="1"/>
      <c r="C743" s="1"/>
      <c r="E743" s="1"/>
      <c r="F743" s="1"/>
      <c r="G743" s="1"/>
      <c r="H743" s="1"/>
      <c r="I743" s="1"/>
      <c r="J743" s="1"/>
      <c r="K743" s="1"/>
      <c r="M743" s="1"/>
      <c r="N743" s="1"/>
      <c r="O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U743" s="1"/>
      <c r="AW743" s="1"/>
      <c r="AY743" s="1"/>
    </row>
    <row r="744">
      <c r="A744" s="1"/>
      <c r="C744" s="1"/>
      <c r="E744" s="1"/>
      <c r="F744" s="1"/>
      <c r="G744" s="1"/>
      <c r="H744" s="1"/>
      <c r="I744" s="1"/>
      <c r="J744" s="1"/>
      <c r="K744" s="1"/>
      <c r="M744" s="1"/>
      <c r="N744" s="1"/>
      <c r="O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U744" s="1"/>
      <c r="AW744" s="1"/>
      <c r="AY744" s="1"/>
    </row>
    <row r="745">
      <c r="A745" s="1"/>
      <c r="C745" s="1"/>
      <c r="E745" s="1"/>
      <c r="F745" s="1"/>
      <c r="G745" s="1"/>
      <c r="H745" s="1"/>
      <c r="I745" s="1"/>
      <c r="J745" s="1"/>
      <c r="K745" s="1"/>
      <c r="M745" s="1"/>
      <c r="N745" s="1"/>
      <c r="O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U745" s="1"/>
      <c r="AW745" s="1"/>
      <c r="AY745" s="1"/>
    </row>
    <row r="746">
      <c r="A746" s="1"/>
      <c r="C746" s="1"/>
      <c r="E746" s="1"/>
      <c r="F746" s="1"/>
      <c r="G746" s="1"/>
      <c r="H746" s="1"/>
      <c r="I746" s="1"/>
      <c r="J746" s="1"/>
      <c r="K746" s="1"/>
      <c r="M746" s="1"/>
      <c r="N746" s="1"/>
      <c r="O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U746" s="1"/>
      <c r="AW746" s="1"/>
      <c r="AY746" s="1"/>
    </row>
    <row r="747">
      <c r="A747" s="1"/>
      <c r="C747" s="1"/>
      <c r="E747" s="1"/>
      <c r="F747" s="1"/>
      <c r="G747" s="1"/>
      <c r="H747" s="1"/>
      <c r="I747" s="1"/>
      <c r="J747" s="1"/>
      <c r="K747" s="1"/>
      <c r="M747" s="1"/>
      <c r="N747" s="1"/>
      <c r="O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U747" s="1"/>
      <c r="AW747" s="1"/>
      <c r="AY747" s="1"/>
    </row>
    <row r="748">
      <c r="A748" s="1"/>
      <c r="C748" s="1"/>
      <c r="E748" s="1"/>
      <c r="F748" s="1"/>
      <c r="G748" s="1"/>
      <c r="H748" s="1"/>
      <c r="I748" s="1"/>
      <c r="J748" s="1"/>
      <c r="K748" s="1"/>
      <c r="M748" s="1"/>
      <c r="N748" s="1"/>
      <c r="O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U748" s="1"/>
      <c r="AW748" s="1"/>
      <c r="AY748" s="1"/>
    </row>
    <row r="749">
      <c r="A749" s="1"/>
      <c r="C749" s="1"/>
      <c r="E749" s="1"/>
      <c r="F749" s="1"/>
      <c r="G749" s="1"/>
      <c r="H749" s="1"/>
      <c r="I749" s="1"/>
      <c r="J749" s="1"/>
      <c r="K749" s="1"/>
      <c r="M749" s="1"/>
      <c r="N749" s="1"/>
      <c r="O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U749" s="1"/>
      <c r="AW749" s="1"/>
      <c r="AY749" s="1"/>
    </row>
    <row r="750">
      <c r="A750" s="1"/>
      <c r="C750" s="1"/>
      <c r="E750" s="1"/>
      <c r="F750" s="1"/>
      <c r="G750" s="1"/>
      <c r="H750" s="1"/>
      <c r="I750" s="1"/>
      <c r="J750" s="1"/>
      <c r="K750" s="1"/>
      <c r="M750" s="1"/>
      <c r="N750" s="1"/>
      <c r="O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U750" s="1"/>
      <c r="AW750" s="1"/>
      <c r="AY750" s="1"/>
    </row>
    <row r="751">
      <c r="A751" s="1"/>
      <c r="C751" s="1"/>
      <c r="E751" s="1"/>
      <c r="F751" s="1"/>
      <c r="G751" s="1"/>
      <c r="H751" s="1"/>
      <c r="I751" s="1"/>
      <c r="J751" s="1"/>
      <c r="K751" s="1"/>
      <c r="M751" s="1"/>
      <c r="N751" s="1"/>
      <c r="O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U751" s="1"/>
      <c r="AW751" s="1"/>
      <c r="AY751" s="1"/>
    </row>
    <row r="752">
      <c r="A752" s="1"/>
      <c r="C752" s="1"/>
      <c r="E752" s="1"/>
      <c r="F752" s="1"/>
      <c r="G752" s="1"/>
      <c r="H752" s="1"/>
      <c r="I752" s="1"/>
      <c r="J752" s="1"/>
      <c r="K752" s="1"/>
      <c r="M752" s="1"/>
      <c r="N752" s="1"/>
      <c r="O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U752" s="1"/>
      <c r="AW752" s="1"/>
      <c r="AY752" s="1"/>
    </row>
    <row r="753">
      <c r="A753" s="1"/>
      <c r="C753" s="1"/>
      <c r="E753" s="1"/>
      <c r="F753" s="1"/>
      <c r="G753" s="1"/>
      <c r="H753" s="1"/>
      <c r="I753" s="1"/>
      <c r="J753" s="1"/>
      <c r="K753" s="1"/>
      <c r="M753" s="1"/>
      <c r="N753" s="1"/>
      <c r="O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U753" s="1"/>
      <c r="AW753" s="1"/>
      <c r="AY753" s="1"/>
    </row>
    <row r="754">
      <c r="A754" s="1"/>
      <c r="C754" s="1"/>
      <c r="E754" s="1"/>
      <c r="F754" s="1"/>
      <c r="G754" s="1"/>
      <c r="H754" s="1"/>
      <c r="I754" s="1"/>
      <c r="J754" s="1"/>
      <c r="K754" s="1"/>
      <c r="M754" s="1"/>
      <c r="N754" s="1"/>
      <c r="O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U754" s="1"/>
      <c r="AW754" s="1"/>
      <c r="AY754" s="1"/>
    </row>
    <row r="755">
      <c r="A755" s="1"/>
      <c r="C755" s="1"/>
      <c r="E755" s="1"/>
      <c r="F755" s="1"/>
      <c r="G755" s="1"/>
      <c r="H755" s="1"/>
      <c r="I755" s="1"/>
      <c r="J755" s="1"/>
      <c r="K755" s="1"/>
      <c r="M755" s="1"/>
      <c r="N755" s="1"/>
      <c r="O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U755" s="1"/>
      <c r="AW755" s="1"/>
      <c r="AY755" s="1"/>
    </row>
    <row r="756">
      <c r="A756" s="1"/>
      <c r="C756" s="1"/>
      <c r="E756" s="1"/>
      <c r="F756" s="1"/>
      <c r="G756" s="1"/>
      <c r="H756" s="1"/>
      <c r="I756" s="1"/>
      <c r="J756" s="1"/>
      <c r="K756" s="1"/>
      <c r="M756" s="1"/>
      <c r="N756" s="1"/>
      <c r="O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U756" s="1"/>
      <c r="AW756" s="1"/>
      <c r="AY756" s="1"/>
    </row>
    <row r="757">
      <c r="A757" s="1"/>
      <c r="C757" s="1"/>
      <c r="E757" s="1"/>
      <c r="F757" s="1"/>
      <c r="G757" s="1"/>
      <c r="H757" s="1"/>
      <c r="I757" s="1"/>
      <c r="J757" s="1"/>
      <c r="K757" s="1"/>
      <c r="M757" s="1"/>
      <c r="N757" s="1"/>
      <c r="O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U757" s="1"/>
      <c r="AW757" s="1"/>
      <c r="AY757" s="1"/>
    </row>
    <row r="758">
      <c r="A758" s="1"/>
      <c r="C758" s="1"/>
      <c r="E758" s="1"/>
      <c r="F758" s="1"/>
      <c r="G758" s="1"/>
      <c r="H758" s="1"/>
      <c r="I758" s="1"/>
      <c r="J758" s="1"/>
      <c r="K758" s="1"/>
      <c r="M758" s="1"/>
      <c r="N758" s="1"/>
      <c r="O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U758" s="1"/>
      <c r="AW758" s="1"/>
      <c r="AY758" s="1"/>
    </row>
    <row r="759">
      <c r="A759" s="1"/>
      <c r="C759" s="1"/>
      <c r="E759" s="1"/>
      <c r="F759" s="1"/>
      <c r="G759" s="1"/>
      <c r="H759" s="1"/>
      <c r="I759" s="1"/>
      <c r="J759" s="1"/>
      <c r="K759" s="1"/>
      <c r="M759" s="1"/>
      <c r="N759" s="1"/>
      <c r="O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U759" s="1"/>
      <c r="AW759" s="1"/>
      <c r="AY759" s="1"/>
    </row>
    <row r="760">
      <c r="A760" s="1"/>
      <c r="C760" s="1"/>
      <c r="E760" s="1"/>
      <c r="F760" s="1"/>
      <c r="G760" s="1"/>
      <c r="H760" s="1"/>
      <c r="I760" s="1"/>
      <c r="J760" s="1"/>
      <c r="K760" s="1"/>
      <c r="M760" s="1"/>
      <c r="N760" s="1"/>
      <c r="O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U760" s="1"/>
      <c r="AW760" s="1"/>
      <c r="AY760" s="1"/>
    </row>
    <row r="761">
      <c r="A761" s="1"/>
      <c r="C761" s="1"/>
      <c r="E761" s="1"/>
      <c r="F761" s="1"/>
      <c r="G761" s="1"/>
      <c r="H761" s="1"/>
      <c r="I761" s="1"/>
      <c r="J761" s="1"/>
      <c r="K761" s="1"/>
      <c r="M761" s="1"/>
      <c r="N761" s="1"/>
      <c r="O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U761" s="1"/>
      <c r="AW761" s="1"/>
      <c r="AY761" s="1"/>
    </row>
    <row r="762">
      <c r="A762" s="1"/>
      <c r="C762" s="1"/>
      <c r="E762" s="1"/>
      <c r="F762" s="1"/>
      <c r="G762" s="1"/>
      <c r="H762" s="1"/>
      <c r="I762" s="1"/>
      <c r="J762" s="1"/>
      <c r="K762" s="1"/>
      <c r="M762" s="1"/>
      <c r="N762" s="1"/>
      <c r="O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U762" s="1"/>
      <c r="AW762" s="1"/>
      <c r="AY762" s="1"/>
    </row>
    <row r="763">
      <c r="A763" s="1"/>
      <c r="C763" s="1"/>
      <c r="E763" s="1"/>
      <c r="F763" s="1"/>
      <c r="G763" s="1"/>
      <c r="H763" s="1"/>
      <c r="I763" s="1"/>
      <c r="J763" s="1"/>
      <c r="K763" s="1"/>
      <c r="M763" s="1"/>
      <c r="N763" s="1"/>
      <c r="O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U763" s="1"/>
      <c r="AW763" s="1"/>
      <c r="AY763" s="1"/>
    </row>
    <row r="764">
      <c r="A764" s="1"/>
      <c r="C764" s="1"/>
      <c r="E764" s="1"/>
      <c r="F764" s="1"/>
      <c r="G764" s="1"/>
      <c r="H764" s="1"/>
      <c r="I764" s="1"/>
      <c r="J764" s="1"/>
      <c r="K764" s="1"/>
      <c r="M764" s="1"/>
      <c r="N764" s="1"/>
      <c r="O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U764" s="1"/>
      <c r="AW764" s="1"/>
      <c r="AY764" s="1"/>
    </row>
    <row r="765">
      <c r="A765" s="1"/>
      <c r="C765" s="1"/>
      <c r="E765" s="1"/>
      <c r="F765" s="1"/>
      <c r="G765" s="1"/>
      <c r="H765" s="1"/>
      <c r="I765" s="1"/>
      <c r="J765" s="1"/>
      <c r="K765" s="1"/>
      <c r="M765" s="1"/>
      <c r="N765" s="1"/>
      <c r="O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U765" s="1"/>
      <c r="AW765" s="1"/>
      <c r="AY765" s="1"/>
    </row>
    <row r="766">
      <c r="A766" s="1"/>
      <c r="C766" s="1"/>
      <c r="E766" s="1"/>
      <c r="F766" s="1"/>
      <c r="G766" s="1"/>
      <c r="H766" s="1"/>
      <c r="I766" s="1"/>
      <c r="J766" s="1"/>
      <c r="K766" s="1"/>
      <c r="M766" s="1"/>
      <c r="N766" s="1"/>
      <c r="O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U766" s="1"/>
      <c r="AW766" s="1"/>
      <c r="AY766" s="1"/>
    </row>
    <row r="767">
      <c r="A767" s="1"/>
      <c r="C767" s="1"/>
      <c r="E767" s="1"/>
      <c r="F767" s="1"/>
      <c r="G767" s="1"/>
      <c r="H767" s="1"/>
      <c r="I767" s="1"/>
      <c r="J767" s="1"/>
      <c r="K767" s="1"/>
      <c r="M767" s="1"/>
      <c r="N767" s="1"/>
      <c r="O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U767" s="1"/>
      <c r="AW767" s="1"/>
      <c r="AY767" s="1"/>
    </row>
    <row r="768">
      <c r="A768" s="1"/>
      <c r="C768" s="1"/>
      <c r="E768" s="1"/>
      <c r="F768" s="1"/>
      <c r="G768" s="1"/>
      <c r="H768" s="1"/>
      <c r="I768" s="1"/>
      <c r="J768" s="1"/>
      <c r="K768" s="1"/>
      <c r="M768" s="1"/>
      <c r="N768" s="1"/>
      <c r="O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U768" s="1"/>
      <c r="AW768" s="1"/>
      <c r="AY768" s="1"/>
    </row>
    <row r="769">
      <c r="A769" s="1"/>
      <c r="C769" s="1"/>
      <c r="E769" s="1"/>
      <c r="F769" s="1"/>
      <c r="G769" s="1"/>
      <c r="H769" s="1"/>
      <c r="I769" s="1"/>
      <c r="J769" s="1"/>
      <c r="K769" s="1"/>
      <c r="M769" s="1"/>
      <c r="N769" s="1"/>
      <c r="O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U769" s="1"/>
      <c r="AW769" s="1"/>
      <c r="AY769" s="1"/>
    </row>
    <row r="770">
      <c r="A770" s="1"/>
      <c r="C770" s="1"/>
      <c r="E770" s="1"/>
      <c r="F770" s="1"/>
      <c r="G770" s="1"/>
      <c r="H770" s="1"/>
      <c r="I770" s="1"/>
      <c r="J770" s="1"/>
      <c r="K770" s="1"/>
      <c r="M770" s="1"/>
      <c r="N770" s="1"/>
      <c r="O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U770" s="1"/>
      <c r="AW770" s="1"/>
      <c r="AY770" s="1"/>
    </row>
    <row r="771">
      <c r="A771" s="1"/>
      <c r="C771" s="1"/>
      <c r="E771" s="1"/>
      <c r="F771" s="1"/>
      <c r="G771" s="1"/>
      <c r="H771" s="1"/>
      <c r="I771" s="1"/>
      <c r="J771" s="1"/>
      <c r="K771" s="1"/>
      <c r="M771" s="1"/>
      <c r="N771" s="1"/>
      <c r="O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U771" s="1"/>
      <c r="AW771" s="1"/>
      <c r="AY771" s="1"/>
    </row>
    <row r="772">
      <c r="A772" s="1"/>
      <c r="C772" s="1"/>
      <c r="E772" s="1"/>
      <c r="F772" s="1"/>
      <c r="G772" s="1"/>
      <c r="H772" s="1"/>
      <c r="I772" s="1"/>
      <c r="J772" s="1"/>
      <c r="K772" s="1"/>
      <c r="M772" s="1"/>
      <c r="N772" s="1"/>
      <c r="O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U772" s="1"/>
      <c r="AW772" s="1"/>
      <c r="AY772" s="1"/>
    </row>
    <row r="773">
      <c r="A773" s="1"/>
      <c r="C773" s="1"/>
      <c r="E773" s="1"/>
      <c r="F773" s="1"/>
      <c r="G773" s="1"/>
      <c r="H773" s="1"/>
      <c r="I773" s="1"/>
      <c r="J773" s="1"/>
      <c r="K773" s="1"/>
      <c r="M773" s="1"/>
      <c r="N773" s="1"/>
      <c r="O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U773" s="1"/>
      <c r="AW773" s="1"/>
      <c r="AY773" s="1"/>
    </row>
    <row r="774">
      <c r="A774" s="1"/>
      <c r="C774" s="1"/>
      <c r="E774" s="1"/>
      <c r="F774" s="1"/>
      <c r="G774" s="1"/>
      <c r="H774" s="1"/>
      <c r="I774" s="1"/>
      <c r="J774" s="1"/>
      <c r="K774" s="1"/>
      <c r="M774" s="1"/>
      <c r="N774" s="1"/>
      <c r="O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U774" s="1"/>
      <c r="AW774" s="1"/>
      <c r="AY774" s="1"/>
    </row>
    <row r="775">
      <c r="A775" s="1"/>
      <c r="C775" s="1"/>
      <c r="E775" s="1"/>
      <c r="F775" s="1"/>
      <c r="G775" s="1"/>
      <c r="H775" s="1"/>
      <c r="I775" s="1"/>
      <c r="J775" s="1"/>
      <c r="K775" s="1"/>
      <c r="M775" s="1"/>
      <c r="N775" s="1"/>
      <c r="O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U775" s="1"/>
      <c r="AW775" s="1"/>
      <c r="AY775" s="1"/>
    </row>
    <row r="776">
      <c r="A776" s="1"/>
      <c r="C776" s="1"/>
      <c r="E776" s="1"/>
      <c r="F776" s="1"/>
      <c r="G776" s="1"/>
      <c r="H776" s="1"/>
      <c r="I776" s="1"/>
      <c r="J776" s="1"/>
      <c r="K776" s="1"/>
      <c r="M776" s="1"/>
      <c r="N776" s="1"/>
      <c r="O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U776" s="1"/>
      <c r="AW776" s="1"/>
      <c r="AY776" s="1"/>
    </row>
    <row r="777">
      <c r="A777" s="1"/>
      <c r="C777" s="1"/>
      <c r="E777" s="1"/>
      <c r="F777" s="1"/>
      <c r="G777" s="1"/>
      <c r="H777" s="1"/>
      <c r="I777" s="1"/>
      <c r="J777" s="1"/>
      <c r="K777" s="1"/>
      <c r="M777" s="1"/>
      <c r="N777" s="1"/>
      <c r="O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U777" s="1"/>
      <c r="AW777" s="1"/>
      <c r="AY777" s="1"/>
    </row>
    <row r="778">
      <c r="A778" s="1"/>
      <c r="C778" s="1"/>
      <c r="E778" s="1"/>
      <c r="F778" s="1"/>
      <c r="G778" s="1"/>
      <c r="H778" s="1"/>
      <c r="I778" s="1"/>
      <c r="J778" s="1"/>
      <c r="K778" s="1"/>
      <c r="M778" s="1"/>
      <c r="N778" s="1"/>
      <c r="O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U778" s="1"/>
      <c r="AW778" s="1"/>
      <c r="AY778" s="1"/>
    </row>
    <row r="779">
      <c r="A779" s="1"/>
      <c r="C779" s="1"/>
      <c r="E779" s="1"/>
      <c r="F779" s="1"/>
      <c r="G779" s="1"/>
      <c r="H779" s="1"/>
      <c r="I779" s="1"/>
      <c r="J779" s="1"/>
      <c r="K779" s="1"/>
      <c r="M779" s="1"/>
      <c r="N779" s="1"/>
      <c r="O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U779" s="1"/>
      <c r="AW779" s="1"/>
      <c r="AY779" s="1"/>
    </row>
    <row r="780">
      <c r="A780" s="1"/>
      <c r="C780" s="1"/>
      <c r="E780" s="1"/>
      <c r="F780" s="1"/>
      <c r="G780" s="1"/>
      <c r="H780" s="1"/>
      <c r="I780" s="1"/>
      <c r="J780" s="1"/>
      <c r="K780" s="1"/>
      <c r="M780" s="1"/>
      <c r="N780" s="1"/>
      <c r="O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U780" s="1"/>
      <c r="AW780" s="1"/>
      <c r="AY780" s="1"/>
    </row>
    <row r="781">
      <c r="A781" s="1"/>
      <c r="C781" s="1"/>
      <c r="E781" s="1"/>
      <c r="F781" s="1"/>
      <c r="G781" s="1"/>
      <c r="H781" s="1"/>
      <c r="I781" s="1"/>
      <c r="J781" s="1"/>
      <c r="K781" s="1"/>
      <c r="M781" s="1"/>
      <c r="N781" s="1"/>
      <c r="O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U781" s="1"/>
      <c r="AW781" s="1"/>
      <c r="AY781" s="1"/>
    </row>
    <row r="782">
      <c r="A782" s="1"/>
      <c r="C782" s="1"/>
      <c r="E782" s="1"/>
      <c r="F782" s="1"/>
      <c r="G782" s="1"/>
      <c r="H782" s="1"/>
      <c r="I782" s="1"/>
      <c r="J782" s="1"/>
      <c r="K782" s="1"/>
      <c r="M782" s="1"/>
      <c r="N782" s="1"/>
      <c r="O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U782" s="1"/>
      <c r="AW782" s="1"/>
      <c r="AY782" s="1"/>
    </row>
    <row r="783">
      <c r="A783" s="1"/>
      <c r="C783" s="1"/>
      <c r="E783" s="1"/>
      <c r="F783" s="1"/>
      <c r="G783" s="1"/>
      <c r="H783" s="1"/>
      <c r="I783" s="1"/>
      <c r="J783" s="1"/>
      <c r="K783" s="1"/>
      <c r="M783" s="1"/>
      <c r="N783" s="1"/>
      <c r="O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U783" s="1"/>
      <c r="AW783" s="1"/>
      <c r="AY783" s="1"/>
    </row>
    <row r="784">
      <c r="A784" s="1"/>
      <c r="C784" s="1"/>
      <c r="E784" s="1"/>
      <c r="F784" s="1"/>
      <c r="G784" s="1"/>
      <c r="H784" s="1"/>
      <c r="I784" s="1"/>
      <c r="J784" s="1"/>
      <c r="K784" s="1"/>
      <c r="M784" s="1"/>
      <c r="N784" s="1"/>
      <c r="O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U784" s="1"/>
      <c r="AW784" s="1"/>
      <c r="AY784" s="1"/>
    </row>
    <row r="785">
      <c r="A785" s="1"/>
      <c r="C785" s="1"/>
      <c r="E785" s="1"/>
      <c r="F785" s="1"/>
      <c r="G785" s="1"/>
      <c r="H785" s="1"/>
      <c r="I785" s="1"/>
      <c r="J785" s="1"/>
      <c r="K785" s="1"/>
      <c r="M785" s="1"/>
      <c r="N785" s="1"/>
      <c r="O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U785" s="1"/>
      <c r="AW785" s="1"/>
      <c r="AY785" s="1"/>
    </row>
    <row r="786">
      <c r="A786" s="1"/>
      <c r="C786" s="1"/>
      <c r="E786" s="1"/>
      <c r="F786" s="1"/>
      <c r="G786" s="1"/>
      <c r="H786" s="1"/>
      <c r="I786" s="1"/>
      <c r="J786" s="1"/>
      <c r="K786" s="1"/>
      <c r="M786" s="1"/>
      <c r="N786" s="1"/>
      <c r="O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U786" s="1"/>
      <c r="AW786" s="1"/>
      <c r="AY786" s="1"/>
    </row>
    <row r="787">
      <c r="A787" s="1"/>
      <c r="C787" s="1"/>
      <c r="E787" s="1"/>
      <c r="F787" s="1"/>
      <c r="G787" s="1"/>
      <c r="H787" s="1"/>
      <c r="I787" s="1"/>
      <c r="J787" s="1"/>
      <c r="K787" s="1"/>
      <c r="M787" s="1"/>
      <c r="N787" s="1"/>
      <c r="O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U787" s="1"/>
      <c r="AW787" s="1"/>
      <c r="AY787" s="1"/>
    </row>
    <row r="788">
      <c r="A788" s="1"/>
      <c r="C788" s="1"/>
      <c r="E788" s="1"/>
      <c r="F788" s="1"/>
      <c r="G788" s="1"/>
      <c r="H788" s="1"/>
      <c r="I788" s="1"/>
      <c r="J788" s="1"/>
      <c r="K788" s="1"/>
      <c r="M788" s="1"/>
      <c r="N788" s="1"/>
      <c r="O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U788" s="1"/>
      <c r="AW788" s="1"/>
      <c r="AY788" s="1"/>
    </row>
    <row r="789">
      <c r="A789" s="1"/>
      <c r="C789" s="1"/>
      <c r="E789" s="1"/>
      <c r="F789" s="1"/>
      <c r="G789" s="1"/>
      <c r="H789" s="1"/>
      <c r="I789" s="1"/>
      <c r="J789" s="1"/>
      <c r="K789" s="1"/>
      <c r="M789" s="1"/>
      <c r="N789" s="1"/>
      <c r="O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U789" s="1"/>
      <c r="AW789" s="1"/>
      <c r="AY789" s="1"/>
    </row>
    <row r="790">
      <c r="A790" s="1"/>
      <c r="C790" s="1"/>
      <c r="E790" s="1"/>
      <c r="F790" s="1"/>
      <c r="G790" s="1"/>
      <c r="H790" s="1"/>
      <c r="I790" s="1"/>
      <c r="J790" s="1"/>
      <c r="K790" s="1"/>
      <c r="M790" s="1"/>
      <c r="N790" s="1"/>
      <c r="O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U790" s="1"/>
      <c r="AW790" s="1"/>
      <c r="AY790" s="1"/>
    </row>
    <row r="791">
      <c r="A791" s="1"/>
      <c r="C791" s="1"/>
      <c r="E791" s="1"/>
      <c r="F791" s="1"/>
      <c r="G791" s="1"/>
      <c r="H791" s="1"/>
      <c r="I791" s="1"/>
      <c r="J791" s="1"/>
      <c r="K791" s="1"/>
      <c r="M791" s="1"/>
      <c r="N791" s="1"/>
      <c r="O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U791" s="1"/>
      <c r="AW791" s="1"/>
      <c r="AY791" s="1"/>
    </row>
    <row r="792">
      <c r="A792" s="1"/>
      <c r="C792" s="1"/>
      <c r="E792" s="1"/>
      <c r="F792" s="1"/>
      <c r="G792" s="1"/>
      <c r="H792" s="1"/>
      <c r="I792" s="1"/>
      <c r="J792" s="1"/>
      <c r="K792" s="1"/>
      <c r="M792" s="1"/>
      <c r="N792" s="1"/>
      <c r="O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U792" s="1"/>
      <c r="AW792" s="1"/>
      <c r="AY792" s="1"/>
    </row>
    <row r="793">
      <c r="A793" s="1"/>
      <c r="C793" s="1"/>
      <c r="E793" s="1"/>
      <c r="F793" s="1"/>
      <c r="G793" s="1"/>
      <c r="H793" s="1"/>
      <c r="I793" s="1"/>
      <c r="J793" s="1"/>
      <c r="K793" s="1"/>
      <c r="M793" s="1"/>
      <c r="N793" s="1"/>
      <c r="O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U793" s="1"/>
      <c r="AW793" s="1"/>
      <c r="AY793" s="1"/>
    </row>
    <row r="794">
      <c r="A794" s="1"/>
      <c r="C794" s="1"/>
      <c r="E794" s="1"/>
      <c r="F794" s="1"/>
      <c r="G794" s="1"/>
      <c r="H794" s="1"/>
      <c r="I794" s="1"/>
      <c r="J794" s="1"/>
      <c r="K794" s="1"/>
      <c r="M794" s="1"/>
      <c r="N794" s="1"/>
      <c r="O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U794" s="1"/>
      <c r="AW794" s="1"/>
      <c r="AY794" s="1"/>
    </row>
    <row r="795">
      <c r="A795" s="1"/>
      <c r="C795" s="1"/>
      <c r="E795" s="1"/>
      <c r="F795" s="1"/>
      <c r="G795" s="1"/>
      <c r="H795" s="1"/>
      <c r="I795" s="1"/>
      <c r="J795" s="1"/>
      <c r="K795" s="1"/>
      <c r="M795" s="1"/>
      <c r="N795" s="1"/>
      <c r="O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U795" s="1"/>
      <c r="AW795" s="1"/>
      <c r="AY795" s="1"/>
    </row>
    <row r="796">
      <c r="A796" s="1"/>
      <c r="C796" s="1"/>
      <c r="E796" s="1"/>
      <c r="F796" s="1"/>
      <c r="G796" s="1"/>
      <c r="H796" s="1"/>
      <c r="I796" s="1"/>
      <c r="J796" s="1"/>
      <c r="K796" s="1"/>
      <c r="M796" s="1"/>
      <c r="N796" s="1"/>
      <c r="O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U796" s="1"/>
      <c r="AW796" s="1"/>
      <c r="AY796" s="1"/>
    </row>
    <row r="797">
      <c r="A797" s="1"/>
      <c r="C797" s="1"/>
      <c r="E797" s="1"/>
      <c r="F797" s="1"/>
      <c r="G797" s="1"/>
      <c r="H797" s="1"/>
      <c r="I797" s="1"/>
      <c r="J797" s="1"/>
      <c r="K797" s="1"/>
      <c r="M797" s="1"/>
      <c r="N797" s="1"/>
      <c r="O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U797" s="1"/>
      <c r="AW797" s="1"/>
      <c r="AY797" s="1"/>
    </row>
    <row r="798">
      <c r="A798" s="1"/>
      <c r="C798" s="1"/>
      <c r="E798" s="1"/>
      <c r="F798" s="1"/>
      <c r="G798" s="1"/>
      <c r="H798" s="1"/>
      <c r="I798" s="1"/>
      <c r="J798" s="1"/>
      <c r="K798" s="1"/>
      <c r="M798" s="1"/>
      <c r="N798" s="1"/>
      <c r="O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U798" s="1"/>
      <c r="AW798" s="1"/>
      <c r="AY798" s="1"/>
    </row>
    <row r="799">
      <c r="A799" s="1"/>
      <c r="C799" s="1"/>
      <c r="E799" s="1"/>
      <c r="F799" s="1"/>
      <c r="G799" s="1"/>
      <c r="H799" s="1"/>
      <c r="I799" s="1"/>
      <c r="J799" s="1"/>
      <c r="K799" s="1"/>
      <c r="M799" s="1"/>
      <c r="N799" s="1"/>
      <c r="O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U799" s="1"/>
      <c r="AW799" s="1"/>
      <c r="AY799" s="1"/>
    </row>
    <row r="800">
      <c r="A800" s="1"/>
      <c r="C800" s="1"/>
      <c r="E800" s="1"/>
      <c r="F800" s="1"/>
      <c r="G800" s="1"/>
      <c r="H800" s="1"/>
      <c r="I800" s="1"/>
      <c r="J800" s="1"/>
      <c r="K800" s="1"/>
      <c r="M800" s="1"/>
      <c r="N800" s="1"/>
      <c r="O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U800" s="1"/>
      <c r="AW800" s="1"/>
      <c r="AY800" s="1"/>
    </row>
    <row r="801">
      <c r="A801" s="1"/>
      <c r="C801" s="1"/>
      <c r="E801" s="1"/>
      <c r="F801" s="1"/>
      <c r="G801" s="1"/>
      <c r="H801" s="1"/>
      <c r="I801" s="1"/>
      <c r="J801" s="1"/>
      <c r="K801" s="1"/>
      <c r="M801" s="1"/>
      <c r="N801" s="1"/>
      <c r="O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U801" s="1"/>
      <c r="AW801" s="1"/>
      <c r="AY801" s="1"/>
    </row>
    <row r="802">
      <c r="A802" s="1"/>
      <c r="C802" s="1"/>
      <c r="E802" s="1"/>
      <c r="F802" s="1"/>
      <c r="G802" s="1"/>
      <c r="H802" s="1"/>
      <c r="I802" s="1"/>
      <c r="J802" s="1"/>
      <c r="K802" s="1"/>
      <c r="M802" s="1"/>
      <c r="N802" s="1"/>
      <c r="O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U802" s="1"/>
      <c r="AW802" s="1"/>
      <c r="AY802" s="1"/>
    </row>
    <row r="803">
      <c r="A803" s="1"/>
      <c r="C803" s="1"/>
      <c r="E803" s="1"/>
      <c r="F803" s="1"/>
      <c r="G803" s="1"/>
      <c r="H803" s="1"/>
      <c r="I803" s="1"/>
      <c r="J803" s="1"/>
      <c r="K803" s="1"/>
      <c r="M803" s="1"/>
      <c r="N803" s="1"/>
      <c r="O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U803" s="1"/>
      <c r="AW803" s="1"/>
      <c r="AY803" s="1"/>
    </row>
    <row r="804">
      <c r="A804" s="1"/>
      <c r="C804" s="1"/>
      <c r="E804" s="1"/>
      <c r="F804" s="1"/>
      <c r="G804" s="1"/>
      <c r="H804" s="1"/>
      <c r="I804" s="1"/>
      <c r="J804" s="1"/>
      <c r="K804" s="1"/>
      <c r="M804" s="1"/>
      <c r="N804" s="1"/>
      <c r="O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U804" s="1"/>
      <c r="AW804" s="1"/>
      <c r="AY804" s="1"/>
    </row>
    <row r="805">
      <c r="A805" s="1"/>
      <c r="C805" s="1"/>
      <c r="E805" s="1"/>
      <c r="F805" s="1"/>
      <c r="G805" s="1"/>
      <c r="H805" s="1"/>
      <c r="I805" s="1"/>
      <c r="J805" s="1"/>
      <c r="K805" s="1"/>
      <c r="M805" s="1"/>
      <c r="N805" s="1"/>
      <c r="O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U805" s="1"/>
      <c r="AW805" s="1"/>
      <c r="AY805" s="1"/>
    </row>
    <row r="806">
      <c r="A806" s="1"/>
      <c r="C806" s="1"/>
      <c r="E806" s="1"/>
      <c r="F806" s="1"/>
      <c r="G806" s="1"/>
      <c r="H806" s="1"/>
      <c r="I806" s="1"/>
      <c r="J806" s="1"/>
      <c r="K806" s="1"/>
      <c r="M806" s="1"/>
      <c r="N806" s="1"/>
      <c r="O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U806" s="1"/>
      <c r="AW806" s="1"/>
      <c r="AY806" s="1"/>
    </row>
    <row r="807">
      <c r="A807" s="1"/>
      <c r="C807" s="1"/>
      <c r="E807" s="1"/>
      <c r="F807" s="1"/>
      <c r="G807" s="1"/>
      <c r="H807" s="1"/>
      <c r="I807" s="1"/>
      <c r="J807" s="1"/>
      <c r="K807" s="1"/>
      <c r="M807" s="1"/>
      <c r="N807" s="1"/>
      <c r="O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U807" s="1"/>
      <c r="AW807" s="1"/>
      <c r="AY807" s="1"/>
    </row>
    <row r="808">
      <c r="A808" s="1"/>
      <c r="C808" s="1"/>
      <c r="E808" s="1"/>
      <c r="F808" s="1"/>
      <c r="G808" s="1"/>
      <c r="H808" s="1"/>
      <c r="I808" s="1"/>
      <c r="J808" s="1"/>
      <c r="K808" s="1"/>
      <c r="M808" s="1"/>
      <c r="N808" s="1"/>
      <c r="O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U808" s="1"/>
      <c r="AW808" s="1"/>
      <c r="AY808" s="1"/>
    </row>
    <row r="809">
      <c r="A809" s="1"/>
      <c r="C809" s="1"/>
      <c r="E809" s="1"/>
      <c r="F809" s="1"/>
      <c r="G809" s="1"/>
      <c r="H809" s="1"/>
      <c r="I809" s="1"/>
      <c r="J809" s="1"/>
      <c r="K809" s="1"/>
      <c r="M809" s="1"/>
      <c r="N809" s="1"/>
      <c r="O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U809" s="1"/>
      <c r="AW809" s="1"/>
      <c r="AY809" s="1"/>
    </row>
    <row r="810">
      <c r="A810" s="1"/>
      <c r="C810" s="1"/>
      <c r="E810" s="1"/>
      <c r="F810" s="1"/>
      <c r="G810" s="1"/>
      <c r="H810" s="1"/>
      <c r="I810" s="1"/>
      <c r="J810" s="1"/>
      <c r="K810" s="1"/>
      <c r="M810" s="1"/>
      <c r="N810" s="1"/>
      <c r="O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U810" s="1"/>
      <c r="AW810" s="1"/>
      <c r="AY810" s="1"/>
    </row>
    <row r="811">
      <c r="A811" s="1"/>
      <c r="C811" s="1"/>
      <c r="E811" s="1"/>
      <c r="F811" s="1"/>
      <c r="G811" s="1"/>
      <c r="H811" s="1"/>
      <c r="I811" s="1"/>
      <c r="J811" s="1"/>
      <c r="K811" s="1"/>
      <c r="M811" s="1"/>
      <c r="N811" s="1"/>
      <c r="O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U811" s="1"/>
      <c r="AW811" s="1"/>
      <c r="AY811" s="1"/>
    </row>
    <row r="812">
      <c r="A812" s="1"/>
      <c r="C812" s="1"/>
      <c r="E812" s="1"/>
      <c r="F812" s="1"/>
      <c r="G812" s="1"/>
      <c r="H812" s="1"/>
      <c r="I812" s="1"/>
      <c r="J812" s="1"/>
      <c r="K812" s="1"/>
      <c r="M812" s="1"/>
      <c r="N812" s="1"/>
      <c r="O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U812" s="1"/>
      <c r="AW812" s="1"/>
      <c r="AY812" s="1"/>
    </row>
    <row r="813">
      <c r="A813" s="1"/>
      <c r="C813" s="1"/>
      <c r="E813" s="1"/>
      <c r="F813" s="1"/>
      <c r="G813" s="1"/>
      <c r="H813" s="1"/>
      <c r="I813" s="1"/>
      <c r="J813" s="1"/>
      <c r="K813" s="1"/>
      <c r="M813" s="1"/>
      <c r="N813" s="1"/>
      <c r="O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U813" s="1"/>
      <c r="AW813" s="1"/>
      <c r="AY813" s="1"/>
    </row>
    <row r="814">
      <c r="A814" s="1"/>
      <c r="C814" s="1"/>
      <c r="E814" s="1"/>
      <c r="F814" s="1"/>
      <c r="G814" s="1"/>
      <c r="H814" s="1"/>
      <c r="I814" s="1"/>
      <c r="J814" s="1"/>
      <c r="K814" s="1"/>
      <c r="M814" s="1"/>
      <c r="N814" s="1"/>
      <c r="O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U814" s="1"/>
      <c r="AW814" s="1"/>
      <c r="AY814" s="1"/>
    </row>
    <row r="815">
      <c r="A815" s="1"/>
      <c r="C815" s="1"/>
      <c r="E815" s="1"/>
      <c r="F815" s="1"/>
      <c r="G815" s="1"/>
      <c r="H815" s="1"/>
      <c r="I815" s="1"/>
      <c r="J815" s="1"/>
      <c r="K815" s="1"/>
      <c r="M815" s="1"/>
      <c r="N815" s="1"/>
      <c r="O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U815" s="1"/>
      <c r="AW815" s="1"/>
      <c r="AY815" s="1"/>
    </row>
    <row r="816">
      <c r="A816" s="1"/>
      <c r="C816" s="1"/>
      <c r="E816" s="1"/>
      <c r="F816" s="1"/>
      <c r="G816" s="1"/>
      <c r="H816" s="1"/>
      <c r="I816" s="1"/>
      <c r="J816" s="1"/>
      <c r="K816" s="1"/>
      <c r="M816" s="1"/>
      <c r="N816" s="1"/>
      <c r="O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U816" s="1"/>
      <c r="AW816" s="1"/>
      <c r="AY816" s="1"/>
    </row>
    <row r="817">
      <c r="A817" s="1"/>
      <c r="C817" s="1"/>
      <c r="E817" s="1"/>
      <c r="F817" s="1"/>
      <c r="G817" s="1"/>
      <c r="H817" s="1"/>
      <c r="I817" s="1"/>
      <c r="J817" s="1"/>
      <c r="K817" s="1"/>
      <c r="M817" s="1"/>
      <c r="N817" s="1"/>
      <c r="O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U817" s="1"/>
      <c r="AW817" s="1"/>
      <c r="AY817" s="1"/>
    </row>
    <row r="818">
      <c r="A818" s="1"/>
      <c r="C818" s="1"/>
      <c r="E818" s="1"/>
      <c r="F818" s="1"/>
      <c r="G818" s="1"/>
      <c r="H818" s="1"/>
      <c r="I818" s="1"/>
      <c r="J818" s="1"/>
      <c r="K818" s="1"/>
      <c r="M818" s="1"/>
      <c r="N818" s="1"/>
      <c r="O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U818" s="1"/>
      <c r="AW818" s="1"/>
      <c r="AY818" s="1"/>
    </row>
    <row r="819">
      <c r="A819" s="1"/>
      <c r="C819" s="1"/>
      <c r="E819" s="1"/>
      <c r="F819" s="1"/>
      <c r="G819" s="1"/>
      <c r="H819" s="1"/>
      <c r="I819" s="1"/>
      <c r="J819" s="1"/>
      <c r="K819" s="1"/>
      <c r="M819" s="1"/>
      <c r="N819" s="1"/>
      <c r="O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U819" s="1"/>
      <c r="AW819" s="1"/>
      <c r="AY819" s="1"/>
    </row>
    <row r="820">
      <c r="A820" s="1"/>
      <c r="C820" s="1"/>
      <c r="E820" s="1"/>
      <c r="F820" s="1"/>
      <c r="G820" s="1"/>
      <c r="H820" s="1"/>
      <c r="I820" s="1"/>
      <c r="J820" s="1"/>
      <c r="K820" s="1"/>
      <c r="M820" s="1"/>
      <c r="N820" s="1"/>
      <c r="O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U820" s="1"/>
      <c r="AW820" s="1"/>
      <c r="AY820" s="1"/>
    </row>
    <row r="821">
      <c r="A821" s="1"/>
      <c r="C821" s="1"/>
      <c r="E821" s="1"/>
      <c r="F821" s="1"/>
      <c r="G821" s="1"/>
      <c r="H821" s="1"/>
      <c r="I821" s="1"/>
      <c r="J821" s="1"/>
      <c r="K821" s="1"/>
      <c r="M821" s="1"/>
      <c r="N821" s="1"/>
      <c r="O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U821" s="1"/>
      <c r="AW821" s="1"/>
      <c r="AY821" s="1"/>
    </row>
    <row r="822">
      <c r="A822" s="1"/>
      <c r="C822" s="1"/>
      <c r="E822" s="1"/>
      <c r="F822" s="1"/>
      <c r="G822" s="1"/>
      <c r="H822" s="1"/>
      <c r="I822" s="1"/>
      <c r="J822" s="1"/>
      <c r="K822" s="1"/>
      <c r="M822" s="1"/>
      <c r="N822" s="1"/>
      <c r="O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U822" s="1"/>
      <c r="AW822" s="1"/>
      <c r="AY822" s="1"/>
    </row>
    <row r="823">
      <c r="A823" s="1"/>
      <c r="C823" s="1"/>
      <c r="E823" s="1"/>
      <c r="F823" s="1"/>
      <c r="G823" s="1"/>
      <c r="H823" s="1"/>
      <c r="I823" s="1"/>
      <c r="J823" s="1"/>
      <c r="K823" s="1"/>
      <c r="M823" s="1"/>
      <c r="N823" s="1"/>
      <c r="O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U823" s="1"/>
      <c r="AW823" s="1"/>
      <c r="AY823" s="1"/>
    </row>
    <row r="824">
      <c r="A824" s="1"/>
      <c r="C824" s="1"/>
      <c r="E824" s="1"/>
      <c r="F824" s="1"/>
      <c r="G824" s="1"/>
      <c r="H824" s="1"/>
      <c r="I824" s="1"/>
      <c r="J824" s="1"/>
      <c r="K824" s="1"/>
      <c r="M824" s="1"/>
      <c r="N824" s="1"/>
      <c r="O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U824" s="1"/>
      <c r="AW824" s="1"/>
      <c r="AY824" s="1"/>
    </row>
    <row r="825">
      <c r="A825" s="1"/>
      <c r="C825" s="1"/>
      <c r="E825" s="1"/>
      <c r="F825" s="1"/>
      <c r="G825" s="1"/>
      <c r="H825" s="1"/>
      <c r="I825" s="1"/>
      <c r="J825" s="1"/>
      <c r="K825" s="1"/>
      <c r="M825" s="1"/>
      <c r="N825" s="1"/>
      <c r="O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U825" s="1"/>
      <c r="AW825" s="1"/>
      <c r="AY825" s="1"/>
    </row>
    <row r="826">
      <c r="A826" s="1"/>
      <c r="C826" s="1"/>
      <c r="E826" s="1"/>
      <c r="F826" s="1"/>
      <c r="G826" s="1"/>
      <c r="H826" s="1"/>
      <c r="I826" s="1"/>
      <c r="J826" s="1"/>
      <c r="K826" s="1"/>
      <c r="M826" s="1"/>
      <c r="N826" s="1"/>
      <c r="O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U826" s="1"/>
      <c r="AW826" s="1"/>
      <c r="AY826" s="1"/>
    </row>
    <row r="827">
      <c r="A827" s="1"/>
      <c r="C827" s="1"/>
      <c r="E827" s="1"/>
      <c r="F827" s="1"/>
      <c r="G827" s="1"/>
      <c r="H827" s="1"/>
      <c r="I827" s="1"/>
      <c r="J827" s="1"/>
      <c r="K827" s="1"/>
      <c r="M827" s="1"/>
      <c r="N827" s="1"/>
      <c r="O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U827" s="1"/>
      <c r="AW827" s="1"/>
      <c r="AY827" s="1"/>
    </row>
    <row r="828">
      <c r="A828" s="1"/>
      <c r="C828" s="1"/>
      <c r="E828" s="1"/>
      <c r="F828" s="1"/>
      <c r="G828" s="1"/>
      <c r="H828" s="1"/>
      <c r="I828" s="1"/>
      <c r="J828" s="1"/>
      <c r="K828" s="1"/>
      <c r="M828" s="1"/>
      <c r="N828" s="1"/>
      <c r="O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U828" s="1"/>
      <c r="AW828" s="1"/>
      <c r="AY828" s="1"/>
    </row>
    <row r="829">
      <c r="A829" s="1"/>
      <c r="C829" s="1"/>
      <c r="E829" s="1"/>
      <c r="F829" s="1"/>
      <c r="G829" s="1"/>
      <c r="H829" s="1"/>
      <c r="I829" s="1"/>
      <c r="J829" s="1"/>
      <c r="K829" s="1"/>
      <c r="M829" s="1"/>
      <c r="N829" s="1"/>
      <c r="O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U829" s="1"/>
      <c r="AW829" s="1"/>
      <c r="AY829" s="1"/>
    </row>
    <row r="830">
      <c r="A830" s="1"/>
      <c r="C830" s="1"/>
      <c r="E830" s="1"/>
      <c r="F830" s="1"/>
      <c r="G830" s="1"/>
      <c r="H830" s="1"/>
      <c r="I830" s="1"/>
      <c r="J830" s="1"/>
      <c r="K830" s="1"/>
      <c r="M830" s="1"/>
      <c r="N830" s="1"/>
      <c r="O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U830" s="1"/>
      <c r="AW830" s="1"/>
      <c r="AY830" s="1"/>
    </row>
    <row r="831">
      <c r="A831" s="1"/>
      <c r="C831" s="1"/>
      <c r="E831" s="1"/>
      <c r="F831" s="1"/>
      <c r="G831" s="1"/>
      <c r="H831" s="1"/>
      <c r="I831" s="1"/>
      <c r="J831" s="1"/>
      <c r="K831" s="1"/>
      <c r="M831" s="1"/>
      <c r="N831" s="1"/>
      <c r="O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U831" s="1"/>
      <c r="AW831" s="1"/>
      <c r="AY831" s="1"/>
    </row>
    <row r="832">
      <c r="A832" s="1"/>
      <c r="C832" s="1"/>
      <c r="E832" s="1"/>
      <c r="F832" s="1"/>
      <c r="G832" s="1"/>
      <c r="H832" s="1"/>
      <c r="I832" s="1"/>
      <c r="J832" s="1"/>
      <c r="K832" s="1"/>
      <c r="M832" s="1"/>
      <c r="N832" s="1"/>
      <c r="O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U832" s="1"/>
      <c r="AW832" s="1"/>
      <c r="AY832" s="1"/>
    </row>
    <row r="833">
      <c r="A833" s="1"/>
      <c r="C833" s="1"/>
      <c r="E833" s="1"/>
      <c r="F833" s="1"/>
      <c r="G833" s="1"/>
      <c r="H833" s="1"/>
      <c r="I833" s="1"/>
      <c r="J833" s="1"/>
      <c r="K833" s="1"/>
      <c r="M833" s="1"/>
      <c r="N833" s="1"/>
      <c r="O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U833" s="1"/>
      <c r="AW833" s="1"/>
      <c r="AY833" s="1"/>
    </row>
    <row r="834">
      <c r="A834" s="1"/>
      <c r="C834" s="1"/>
      <c r="E834" s="1"/>
      <c r="F834" s="1"/>
      <c r="G834" s="1"/>
      <c r="H834" s="1"/>
      <c r="I834" s="1"/>
      <c r="J834" s="1"/>
      <c r="K834" s="1"/>
      <c r="M834" s="1"/>
      <c r="N834" s="1"/>
      <c r="O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U834" s="1"/>
      <c r="AW834" s="1"/>
      <c r="AY834" s="1"/>
    </row>
    <row r="835">
      <c r="A835" s="1"/>
      <c r="C835" s="1"/>
      <c r="E835" s="1"/>
      <c r="F835" s="1"/>
      <c r="G835" s="1"/>
      <c r="H835" s="1"/>
      <c r="I835" s="1"/>
      <c r="J835" s="1"/>
      <c r="K835" s="1"/>
      <c r="M835" s="1"/>
      <c r="N835" s="1"/>
      <c r="O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U835" s="1"/>
      <c r="AW835" s="1"/>
      <c r="AY835" s="1"/>
    </row>
    <row r="836">
      <c r="A836" s="1"/>
      <c r="C836" s="1"/>
      <c r="E836" s="1"/>
      <c r="F836" s="1"/>
      <c r="G836" s="1"/>
      <c r="H836" s="1"/>
      <c r="I836" s="1"/>
      <c r="J836" s="1"/>
      <c r="K836" s="1"/>
      <c r="M836" s="1"/>
      <c r="N836" s="1"/>
      <c r="O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U836" s="1"/>
      <c r="AW836" s="1"/>
      <c r="AY836" s="1"/>
    </row>
    <row r="837">
      <c r="A837" s="1"/>
      <c r="C837" s="1"/>
      <c r="E837" s="1"/>
      <c r="F837" s="1"/>
      <c r="G837" s="1"/>
      <c r="H837" s="1"/>
      <c r="I837" s="1"/>
      <c r="J837" s="1"/>
      <c r="K837" s="1"/>
      <c r="M837" s="1"/>
      <c r="N837" s="1"/>
      <c r="O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U837" s="1"/>
      <c r="AW837" s="1"/>
      <c r="AY837" s="1"/>
    </row>
    <row r="838">
      <c r="A838" s="1"/>
      <c r="C838" s="1"/>
      <c r="E838" s="1"/>
      <c r="F838" s="1"/>
      <c r="G838" s="1"/>
      <c r="H838" s="1"/>
      <c r="I838" s="1"/>
      <c r="J838" s="1"/>
      <c r="K838" s="1"/>
      <c r="M838" s="1"/>
      <c r="N838" s="1"/>
      <c r="O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U838" s="1"/>
      <c r="AW838" s="1"/>
      <c r="AY838" s="1"/>
    </row>
    <row r="839">
      <c r="A839" s="1"/>
      <c r="C839" s="1"/>
      <c r="E839" s="1"/>
      <c r="F839" s="1"/>
      <c r="G839" s="1"/>
      <c r="H839" s="1"/>
      <c r="I839" s="1"/>
      <c r="J839" s="1"/>
      <c r="K839" s="1"/>
      <c r="M839" s="1"/>
      <c r="N839" s="1"/>
      <c r="O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U839" s="1"/>
      <c r="AW839" s="1"/>
      <c r="AY839" s="1"/>
    </row>
    <row r="840">
      <c r="A840" s="1"/>
      <c r="C840" s="1"/>
      <c r="E840" s="1"/>
      <c r="F840" s="1"/>
      <c r="G840" s="1"/>
      <c r="H840" s="1"/>
      <c r="I840" s="1"/>
      <c r="J840" s="1"/>
      <c r="K840" s="1"/>
      <c r="M840" s="1"/>
      <c r="N840" s="1"/>
      <c r="O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U840" s="1"/>
      <c r="AW840" s="1"/>
      <c r="AY840" s="1"/>
    </row>
    <row r="841">
      <c r="A841" s="1"/>
      <c r="C841" s="1"/>
      <c r="E841" s="1"/>
      <c r="F841" s="1"/>
      <c r="G841" s="1"/>
      <c r="H841" s="1"/>
      <c r="I841" s="1"/>
      <c r="J841" s="1"/>
      <c r="K841" s="1"/>
      <c r="M841" s="1"/>
      <c r="N841" s="1"/>
      <c r="O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U841" s="1"/>
      <c r="AW841" s="1"/>
      <c r="AY841" s="1"/>
    </row>
    <row r="842">
      <c r="A842" s="1"/>
      <c r="C842" s="1"/>
      <c r="E842" s="1"/>
      <c r="F842" s="1"/>
      <c r="G842" s="1"/>
      <c r="H842" s="1"/>
      <c r="I842" s="1"/>
      <c r="J842" s="1"/>
      <c r="K842" s="1"/>
      <c r="M842" s="1"/>
      <c r="N842" s="1"/>
      <c r="O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U842" s="1"/>
      <c r="AW842" s="1"/>
      <c r="AY842" s="1"/>
    </row>
    <row r="843">
      <c r="A843" s="1"/>
      <c r="C843" s="1"/>
      <c r="E843" s="1"/>
      <c r="F843" s="1"/>
      <c r="G843" s="1"/>
      <c r="H843" s="1"/>
      <c r="I843" s="1"/>
      <c r="J843" s="1"/>
      <c r="K843" s="1"/>
      <c r="M843" s="1"/>
      <c r="N843" s="1"/>
      <c r="O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U843" s="1"/>
      <c r="AW843" s="1"/>
      <c r="AY843" s="1"/>
    </row>
    <row r="844">
      <c r="A844" s="1"/>
      <c r="C844" s="1"/>
      <c r="E844" s="1"/>
      <c r="F844" s="1"/>
      <c r="G844" s="1"/>
      <c r="H844" s="1"/>
      <c r="I844" s="1"/>
      <c r="J844" s="1"/>
      <c r="K844" s="1"/>
      <c r="M844" s="1"/>
      <c r="N844" s="1"/>
      <c r="O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U844" s="1"/>
      <c r="AW844" s="1"/>
      <c r="AY844" s="1"/>
    </row>
    <row r="845">
      <c r="A845" s="1"/>
      <c r="C845" s="1"/>
      <c r="E845" s="1"/>
      <c r="F845" s="1"/>
      <c r="G845" s="1"/>
      <c r="H845" s="1"/>
      <c r="I845" s="1"/>
      <c r="J845" s="1"/>
      <c r="K845" s="1"/>
      <c r="M845" s="1"/>
      <c r="N845" s="1"/>
      <c r="O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U845" s="1"/>
      <c r="AW845" s="1"/>
      <c r="AY845" s="1"/>
    </row>
    <row r="846">
      <c r="A846" s="1"/>
      <c r="C846" s="1"/>
      <c r="E846" s="1"/>
      <c r="F846" s="1"/>
      <c r="G846" s="1"/>
      <c r="H846" s="1"/>
      <c r="I846" s="1"/>
      <c r="J846" s="1"/>
      <c r="K846" s="1"/>
      <c r="M846" s="1"/>
      <c r="N846" s="1"/>
      <c r="O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U846" s="1"/>
      <c r="AW846" s="1"/>
      <c r="AY846" s="1"/>
    </row>
    <row r="847">
      <c r="A847" s="1"/>
      <c r="C847" s="1"/>
      <c r="E847" s="1"/>
      <c r="F847" s="1"/>
      <c r="G847" s="1"/>
      <c r="H847" s="1"/>
      <c r="I847" s="1"/>
      <c r="J847" s="1"/>
      <c r="K847" s="1"/>
      <c r="M847" s="1"/>
      <c r="N847" s="1"/>
      <c r="O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U847" s="1"/>
      <c r="AW847" s="1"/>
      <c r="AY847" s="1"/>
    </row>
    <row r="848">
      <c r="A848" s="1"/>
      <c r="C848" s="1"/>
      <c r="E848" s="1"/>
      <c r="F848" s="1"/>
      <c r="G848" s="1"/>
      <c r="H848" s="1"/>
      <c r="I848" s="1"/>
      <c r="J848" s="1"/>
      <c r="K848" s="1"/>
      <c r="M848" s="1"/>
      <c r="N848" s="1"/>
      <c r="O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U848" s="1"/>
      <c r="AW848" s="1"/>
      <c r="AY848" s="1"/>
    </row>
    <row r="849">
      <c r="A849" s="1"/>
      <c r="C849" s="1"/>
      <c r="E849" s="1"/>
      <c r="F849" s="1"/>
      <c r="G849" s="1"/>
      <c r="H849" s="1"/>
      <c r="I849" s="1"/>
      <c r="J849" s="1"/>
      <c r="K849" s="1"/>
      <c r="M849" s="1"/>
      <c r="N849" s="1"/>
      <c r="O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U849" s="1"/>
      <c r="AW849" s="1"/>
      <c r="AY849" s="1"/>
    </row>
    <row r="850">
      <c r="A850" s="1"/>
      <c r="C850" s="1"/>
      <c r="E850" s="1"/>
      <c r="F850" s="1"/>
      <c r="G850" s="1"/>
      <c r="H850" s="1"/>
      <c r="I850" s="1"/>
      <c r="J850" s="1"/>
      <c r="K850" s="1"/>
      <c r="M850" s="1"/>
      <c r="N850" s="1"/>
      <c r="O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U850" s="1"/>
      <c r="AW850" s="1"/>
      <c r="AY850" s="1"/>
    </row>
    <row r="851">
      <c r="A851" s="1"/>
      <c r="C851" s="1"/>
      <c r="E851" s="1"/>
      <c r="F851" s="1"/>
      <c r="G851" s="1"/>
      <c r="H851" s="1"/>
      <c r="I851" s="1"/>
      <c r="J851" s="1"/>
      <c r="K851" s="1"/>
      <c r="M851" s="1"/>
      <c r="N851" s="1"/>
      <c r="O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U851" s="1"/>
      <c r="AW851" s="1"/>
      <c r="AY851" s="1"/>
    </row>
    <row r="852">
      <c r="A852" s="1"/>
      <c r="C852" s="1"/>
      <c r="E852" s="1"/>
      <c r="F852" s="1"/>
      <c r="G852" s="1"/>
      <c r="H852" s="1"/>
      <c r="I852" s="1"/>
      <c r="J852" s="1"/>
      <c r="K852" s="1"/>
      <c r="M852" s="1"/>
      <c r="N852" s="1"/>
      <c r="O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U852" s="1"/>
      <c r="AW852" s="1"/>
      <c r="AY852" s="1"/>
    </row>
    <row r="853">
      <c r="A853" s="1"/>
      <c r="C853" s="1"/>
      <c r="E853" s="1"/>
      <c r="F853" s="1"/>
      <c r="G853" s="1"/>
      <c r="H853" s="1"/>
      <c r="I853" s="1"/>
      <c r="J853" s="1"/>
      <c r="K853" s="1"/>
      <c r="M853" s="1"/>
      <c r="N853" s="1"/>
      <c r="O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U853" s="1"/>
      <c r="AW853" s="1"/>
      <c r="AY853" s="1"/>
    </row>
    <row r="854">
      <c r="A854" s="1"/>
      <c r="C854" s="1"/>
      <c r="E854" s="1"/>
      <c r="F854" s="1"/>
      <c r="G854" s="1"/>
      <c r="H854" s="1"/>
      <c r="I854" s="1"/>
      <c r="J854" s="1"/>
      <c r="K854" s="1"/>
      <c r="M854" s="1"/>
      <c r="N854" s="1"/>
      <c r="O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U854" s="1"/>
      <c r="AW854" s="1"/>
      <c r="AY854" s="1"/>
    </row>
    <row r="855">
      <c r="A855" s="1"/>
      <c r="C855" s="1"/>
      <c r="E855" s="1"/>
      <c r="F855" s="1"/>
      <c r="G855" s="1"/>
      <c r="H855" s="1"/>
      <c r="I855" s="1"/>
      <c r="J855" s="1"/>
      <c r="K855" s="1"/>
      <c r="M855" s="1"/>
      <c r="N855" s="1"/>
      <c r="O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U855" s="1"/>
      <c r="AW855" s="1"/>
      <c r="AY855" s="1"/>
    </row>
    <row r="856">
      <c r="A856" s="1"/>
      <c r="C856" s="1"/>
      <c r="E856" s="1"/>
      <c r="F856" s="1"/>
      <c r="G856" s="1"/>
      <c r="H856" s="1"/>
      <c r="I856" s="1"/>
      <c r="J856" s="1"/>
      <c r="K856" s="1"/>
      <c r="M856" s="1"/>
      <c r="N856" s="1"/>
      <c r="O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U856" s="1"/>
      <c r="AW856" s="1"/>
      <c r="AY856" s="1"/>
    </row>
    <row r="857">
      <c r="A857" s="1"/>
      <c r="C857" s="1"/>
      <c r="E857" s="1"/>
      <c r="F857" s="1"/>
      <c r="G857" s="1"/>
      <c r="H857" s="1"/>
      <c r="I857" s="1"/>
      <c r="J857" s="1"/>
      <c r="K857" s="1"/>
      <c r="M857" s="1"/>
      <c r="N857" s="1"/>
      <c r="O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U857" s="1"/>
      <c r="AW857" s="1"/>
      <c r="AY857" s="1"/>
    </row>
    <row r="858">
      <c r="A858" s="1"/>
      <c r="C858" s="1"/>
      <c r="E858" s="1"/>
      <c r="F858" s="1"/>
      <c r="G858" s="1"/>
      <c r="H858" s="1"/>
      <c r="I858" s="1"/>
      <c r="J858" s="1"/>
      <c r="K858" s="1"/>
      <c r="M858" s="1"/>
      <c r="N858" s="1"/>
      <c r="O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U858" s="1"/>
      <c r="AW858" s="1"/>
      <c r="AY858" s="1"/>
    </row>
    <row r="859">
      <c r="A859" s="1"/>
      <c r="C859" s="1"/>
      <c r="E859" s="1"/>
      <c r="F859" s="1"/>
      <c r="G859" s="1"/>
      <c r="H859" s="1"/>
      <c r="I859" s="1"/>
      <c r="J859" s="1"/>
      <c r="K859" s="1"/>
      <c r="M859" s="1"/>
      <c r="N859" s="1"/>
      <c r="O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U859" s="1"/>
      <c r="AW859" s="1"/>
      <c r="AY859" s="1"/>
    </row>
    <row r="860">
      <c r="A860" s="1"/>
      <c r="C860" s="1"/>
      <c r="E860" s="1"/>
      <c r="F860" s="1"/>
      <c r="G860" s="1"/>
      <c r="H860" s="1"/>
      <c r="I860" s="1"/>
      <c r="J860" s="1"/>
      <c r="K860" s="1"/>
      <c r="M860" s="1"/>
      <c r="N860" s="1"/>
      <c r="O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U860" s="1"/>
      <c r="AW860" s="1"/>
      <c r="AY860" s="1"/>
    </row>
    <row r="861">
      <c r="A861" s="1"/>
      <c r="C861" s="1"/>
      <c r="E861" s="1"/>
      <c r="F861" s="1"/>
      <c r="G861" s="1"/>
      <c r="H861" s="1"/>
      <c r="I861" s="1"/>
      <c r="J861" s="1"/>
      <c r="K861" s="1"/>
      <c r="M861" s="1"/>
      <c r="N861" s="1"/>
      <c r="O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U861" s="1"/>
      <c r="AW861" s="1"/>
      <c r="AY861" s="1"/>
    </row>
    <row r="862">
      <c r="A862" s="1"/>
      <c r="C862" s="1"/>
      <c r="E862" s="1"/>
      <c r="F862" s="1"/>
      <c r="G862" s="1"/>
      <c r="H862" s="1"/>
      <c r="I862" s="1"/>
      <c r="J862" s="1"/>
      <c r="K862" s="1"/>
      <c r="M862" s="1"/>
      <c r="N862" s="1"/>
      <c r="O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U862" s="1"/>
      <c r="AW862" s="1"/>
      <c r="AY862" s="1"/>
    </row>
    <row r="863">
      <c r="A863" s="1"/>
      <c r="C863" s="1"/>
      <c r="E863" s="1"/>
      <c r="F863" s="1"/>
      <c r="G863" s="1"/>
      <c r="H863" s="1"/>
      <c r="I863" s="1"/>
      <c r="J863" s="1"/>
      <c r="K863" s="1"/>
      <c r="M863" s="1"/>
      <c r="N863" s="1"/>
      <c r="O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U863" s="1"/>
      <c r="AW863" s="1"/>
      <c r="AY863" s="1"/>
    </row>
    <row r="864">
      <c r="A864" s="1"/>
      <c r="C864" s="1"/>
      <c r="E864" s="1"/>
      <c r="F864" s="1"/>
      <c r="G864" s="1"/>
      <c r="H864" s="1"/>
      <c r="I864" s="1"/>
      <c r="J864" s="1"/>
      <c r="K864" s="1"/>
      <c r="M864" s="1"/>
      <c r="N864" s="1"/>
      <c r="O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U864" s="1"/>
      <c r="AW864" s="1"/>
      <c r="AY864" s="1"/>
    </row>
    <row r="865">
      <c r="A865" s="1"/>
      <c r="C865" s="1"/>
      <c r="E865" s="1"/>
      <c r="F865" s="1"/>
      <c r="G865" s="1"/>
      <c r="H865" s="1"/>
      <c r="I865" s="1"/>
      <c r="J865" s="1"/>
      <c r="K865" s="1"/>
      <c r="M865" s="1"/>
      <c r="N865" s="1"/>
      <c r="O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U865" s="1"/>
      <c r="AW865" s="1"/>
      <c r="AY865" s="1"/>
    </row>
    <row r="866">
      <c r="A866" s="1"/>
      <c r="C866" s="1"/>
      <c r="E866" s="1"/>
      <c r="F866" s="1"/>
      <c r="G866" s="1"/>
      <c r="H866" s="1"/>
      <c r="I866" s="1"/>
      <c r="J866" s="1"/>
      <c r="K866" s="1"/>
      <c r="M866" s="1"/>
      <c r="N866" s="1"/>
      <c r="O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U866" s="1"/>
      <c r="AW866" s="1"/>
      <c r="AY866" s="1"/>
    </row>
    <row r="867">
      <c r="A867" s="1"/>
      <c r="C867" s="1"/>
      <c r="E867" s="1"/>
      <c r="F867" s="1"/>
      <c r="G867" s="1"/>
      <c r="H867" s="1"/>
      <c r="I867" s="1"/>
      <c r="J867" s="1"/>
      <c r="K867" s="1"/>
      <c r="M867" s="1"/>
      <c r="N867" s="1"/>
      <c r="O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U867" s="1"/>
      <c r="AW867" s="1"/>
      <c r="AY867" s="1"/>
    </row>
    <row r="868">
      <c r="A868" s="1"/>
      <c r="C868" s="1"/>
      <c r="E868" s="1"/>
      <c r="F868" s="1"/>
      <c r="G868" s="1"/>
      <c r="H868" s="1"/>
      <c r="I868" s="1"/>
      <c r="J868" s="1"/>
      <c r="K868" s="1"/>
      <c r="M868" s="1"/>
      <c r="N868" s="1"/>
      <c r="O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U868" s="1"/>
      <c r="AW868" s="1"/>
      <c r="AY868" s="1"/>
    </row>
    <row r="869">
      <c r="A869" s="1"/>
      <c r="C869" s="1"/>
      <c r="E869" s="1"/>
      <c r="F869" s="1"/>
      <c r="G869" s="1"/>
      <c r="H869" s="1"/>
      <c r="I869" s="1"/>
      <c r="J869" s="1"/>
      <c r="K869" s="1"/>
      <c r="M869" s="1"/>
      <c r="N869" s="1"/>
      <c r="O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U869" s="1"/>
      <c r="AW869" s="1"/>
      <c r="AY869" s="1"/>
    </row>
    <row r="870">
      <c r="A870" s="1"/>
      <c r="C870" s="1"/>
      <c r="E870" s="1"/>
      <c r="F870" s="1"/>
      <c r="G870" s="1"/>
      <c r="H870" s="1"/>
      <c r="I870" s="1"/>
      <c r="J870" s="1"/>
      <c r="K870" s="1"/>
      <c r="M870" s="1"/>
      <c r="N870" s="1"/>
      <c r="O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U870" s="1"/>
      <c r="AW870" s="1"/>
      <c r="AY870" s="1"/>
    </row>
    <row r="871">
      <c r="A871" s="1"/>
      <c r="C871" s="1"/>
      <c r="E871" s="1"/>
      <c r="F871" s="1"/>
      <c r="G871" s="1"/>
      <c r="H871" s="1"/>
      <c r="I871" s="1"/>
      <c r="J871" s="1"/>
      <c r="K871" s="1"/>
      <c r="M871" s="1"/>
      <c r="N871" s="1"/>
      <c r="O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U871" s="1"/>
      <c r="AW871" s="1"/>
      <c r="AY871" s="1"/>
    </row>
    <row r="872">
      <c r="A872" s="1"/>
      <c r="C872" s="1"/>
      <c r="E872" s="1"/>
      <c r="F872" s="1"/>
      <c r="G872" s="1"/>
      <c r="H872" s="1"/>
      <c r="I872" s="1"/>
      <c r="J872" s="1"/>
      <c r="K872" s="1"/>
      <c r="M872" s="1"/>
      <c r="N872" s="1"/>
      <c r="O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U872" s="1"/>
      <c r="AW872" s="1"/>
      <c r="AY872" s="1"/>
    </row>
    <row r="873">
      <c r="A873" s="1"/>
      <c r="C873" s="1"/>
      <c r="E873" s="1"/>
      <c r="F873" s="1"/>
      <c r="G873" s="1"/>
      <c r="H873" s="1"/>
      <c r="I873" s="1"/>
      <c r="J873" s="1"/>
      <c r="K873" s="1"/>
      <c r="M873" s="1"/>
      <c r="N873" s="1"/>
      <c r="O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U873" s="1"/>
      <c r="AW873" s="1"/>
      <c r="AY873" s="1"/>
    </row>
    <row r="874">
      <c r="A874" s="1"/>
      <c r="C874" s="1"/>
      <c r="E874" s="1"/>
      <c r="F874" s="1"/>
      <c r="G874" s="1"/>
      <c r="H874" s="1"/>
      <c r="I874" s="1"/>
      <c r="J874" s="1"/>
      <c r="K874" s="1"/>
      <c r="M874" s="1"/>
      <c r="N874" s="1"/>
      <c r="O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U874" s="1"/>
      <c r="AW874" s="1"/>
      <c r="AY874" s="1"/>
    </row>
    <row r="875">
      <c r="A875" s="1"/>
      <c r="C875" s="1"/>
      <c r="E875" s="1"/>
      <c r="F875" s="1"/>
      <c r="G875" s="1"/>
      <c r="H875" s="1"/>
      <c r="I875" s="1"/>
      <c r="J875" s="1"/>
      <c r="K875" s="1"/>
      <c r="M875" s="1"/>
      <c r="N875" s="1"/>
      <c r="O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U875" s="1"/>
      <c r="AW875" s="1"/>
      <c r="AY875" s="1"/>
    </row>
    <row r="876">
      <c r="A876" s="1"/>
      <c r="C876" s="1"/>
      <c r="E876" s="1"/>
      <c r="F876" s="1"/>
      <c r="G876" s="1"/>
      <c r="H876" s="1"/>
      <c r="I876" s="1"/>
      <c r="J876" s="1"/>
      <c r="K876" s="1"/>
      <c r="M876" s="1"/>
      <c r="N876" s="1"/>
      <c r="O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U876" s="1"/>
      <c r="AW876" s="1"/>
      <c r="AY876" s="1"/>
    </row>
    <row r="877">
      <c r="A877" s="1"/>
      <c r="C877" s="1"/>
      <c r="E877" s="1"/>
      <c r="F877" s="1"/>
      <c r="G877" s="1"/>
      <c r="H877" s="1"/>
      <c r="I877" s="1"/>
      <c r="J877" s="1"/>
      <c r="K877" s="1"/>
      <c r="M877" s="1"/>
      <c r="N877" s="1"/>
      <c r="O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U877" s="1"/>
      <c r="AW877" s="1"/>
      <c r="AY877" s="1"/>
    </row>
    <row r="878">
      <c r="A878" s="1"/>
      <c r="C878" s="1"/>
      <c r="E878" s="1"/>
      <c r="F878" s="1"/>
      <c r="G878" s="1"/>
      <c r="H878" s="1"/>
      <c r="I878" s="1"/>
      <c r="J878" s="1"/>
      <c r="K878" s="1"/>
      <c r="M878" s="1"/>
      <c r="N878" s="1"/>
      <c r="O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U878" s="1"/>
      <c r="AW878" s="1"/>
      <c r="AY878" s="1"/>
    </row>
    <row r="879">
      <c r="A879" s="1"/>
      <c r="C879" s="1"/>
      <c r="E879" s="1"/>
      <c r="F879" s="1"/>
      <c r="G879" s="1"/>
      <c r="H879" s="1"/>
      <c r="I879" s="1"/>
      <c r="J879" s="1"/>
      <c r="K879" s="1"/>
      <c r="M879" s="1"/>
      <c r="N879" s="1"/>
      <c r="O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U879" s="1"/>
      <c r="AW879" s="1"/>
      <c r="AY879" s="1"/>
    </row>
    <row r="880">
      <c r="A880" s="1"/>
      <c r="C880" s="1"/>
      <c r="E880" s="1"/>
      <c r="F880" s="1"/>
      <c r="G880" s="1"/>
      <c r="H880" s="1"/>
      <c r="I880" s="1"/>
      <c r="J880" s="1"/>
      <c r="K880" s="1"/>
      <c r="M880" s="1"/>
      <c r="N880" s="1"/>
      <c r="O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U880" s="1"/>
      <c r="AW880" s="1"/>
      <c r="AY880" s="1"/>
    </row>
    <row r="881">
      <c r="A881" s="1"/>
      <c r="C881" s="1"/>
      <c r="E881" s="1"/>
      <c r="F881" s="1"/>
      <c r="G881" s="1"/>
      <c r="H881" s="1"/>
      <c r="I881" s="1"/>
      <c r="J881" s="1"/>
      <c r="K881" s="1"/>
      <c r="M881" s="1"/>
      <c r="N881" s="1"/>
      <c r="O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U881" s="1"/>
      <c r="AW881" s="1"/>
      <c r="AY881" s="1"/>
    </row>
    <row r="882">
      <c r="A882" s="1"/>
      <c r="C882" s="1"/>
      <c r="E882" s="1"/>
      <c r="F882" s="1"/>
      <c r="G882" s="1"/>
      <c r="H882" s="1"/>
      <c r="I882" s="1"/>
      <c r="J882" s="1"/>
      <c r="K882" s="1"/>
      <c r="M882" s="1"/>
      <c r="N882" s="1"/>
      <c r="O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U882" s="1"/>
      <c r="AW882" s="1"/>
      <c r="AY882" s="1"/>
    </row>
    <row r="883">
      <c r="A883" s="1"/>
      <c r="C883" s="1"/>
      <c r="E883" s="1"/>
      <c r="F883" s="1"/>
      <c r="G883" s="1"/>
      <c r="H883" s="1"/>
      <c r="I883" s="1"/>
      <c r="J883" s="1"/>
      <c r="K883" s="1"/>
      <c r="M883" s="1"/>
      <c r="N883" s="1"/>
      <c r="O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U883" s="1"/>
      <c r="AW883" s="1"/>
      <c r="AY883" s="1"/>
    </row>
    <row r="884">
      <c r="A884" s="1"/>
      <c r="C884" s="1"/>
      <c r="E884" s="1"/>
      <c r="F884" s="1"/>
      <c r="G884" s="1"/>
      <c r="H884" s="1"/>
      <c r="I884" s="1"/>
      <c r="J884" s="1"/>
      <c r="K884" s="1"/>
      <c r="M884" s="1"/>
      <c r="N884" s="1"/>
      <c r="O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U884" s="1"/>
      <c r="AW884" s="1"/>
      <c r="AY884" s="1"/>
    </row>
    <row r="885">
      <c r="A885" s="1"/>
      <c r="C885" s="1"/>
      <c r="E885" s="1"/>
      <c r="F885" s="1"/>
      <c r="G885" s="1"/>
      <c r="H885" s="1"/>
      <c r="I885" s="1"/>
      <c r="J885" s="1"/>
      <c r="K885" s="1"/>
      <c r="M885" s="1"/>
      <c r="N885" s="1"/>
      <c r="O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U885" s="1"/>
      <c r="AW885" s="1"/>
      <c r="AY885" s="1"/>
    </row>
    <row r="886">
      <c r="A886" s="1"/>
      <c r="C886" s="1"/>
      <c r="E886" s="1"/>
      <c r="F886" s="1"/>
      <c r="G886" s="1"/>
      <c r="H886" s="1"/>
      <c r="I886" s="1"/>
      <c r="J886" s="1"/>
      <c r="K886" s="1"/>
      <c r="M886" s="1"/>
      <c r="N886" s="1"/>
      <c r="O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U886" s="1"/>
      <c r="AW886" s="1"/>
      <c r="AY886" s="1"/>
    </row>
    <row r="887">
      <c r="A887" s="1"/>
      <c r="C887" s="1"/>
      <c r="E887" s="1"/>
      <c r="F887" s="1"/>
      <c r="G887" s="1"/>
      <c r="H887" s="1"/>
      <c r="I887" s="1"/>
      <c r="J887" s="1"/>
      <c r="K887" s="1"/>
      <c r="M887" s="1"/>
      <c r="N887" s="1"/>
      <c r="O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U887" s="1"/>
      <c r="AW887" s="1"/>
      <c r="AY887" s="1"/>
    </row>
    <row r="888">
      <c r="A888" s="1"/>
      <c r="C888" s="1"/>
      <c r="E888" s="1"/>
      <c r="F888" s="1"/>
      <c r="G888" s="1"/>
      <c r="H888" s="1"/>
      <c r="I888" s="1"/>
      <c r="J888" s="1"/>
      <c r="K888" s="1"/>
      <c r="M888" s="1"/>
      <c r="N888" s="1"/>
      <c r="O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U888" s="1"/>
      <c r="AW888" s="1"/>
      <c r="AY888" s="1"/>
    </row>
    <row r="889">
      <c r="A889" s="1"/>
      <c r="C889" s="1"/>
      <c r="E889" s="1"/>
      <c r="F889" s="1"/>
      <c r="G889" s="1"/>
      <c r="H889" s="1"/>
      <c r="I889" s="1"/>
      <c r="J889" s="1"/>
      <c r="K889" s="1"/>
      <c r="M889" s="1"/>
      <c r="N889" s="1"/>
      <c r="O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U889" s="1"/>
      <c r="AW889" s="1"/>
      <c r="AY889" s="1"/>
    </row>
    <row r="890">
      <c r="A890" s="1"/>
      <c r="C890" s="1"/>
      <c r="E890" s="1"/>
      <c r="F890" s="1"/>
      <c r="G890" s="1"/>
      <c r="H890" s="1"/>
      <c r="I890" s="1"/>
      <c r="J890" s="1"/>
      <c r="K890" s="1"/>
      <c r="M890" s="1"/>
      <c r="N890" s="1"/>
      <c r="O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U890" s="1"/>
      <c r="AW890" s="1"/>
      <c r="AY890" s="1"/>
    </row>
    <row r="891">
      <c r="A891" s="1"/>
      <c r="C891" s="1"/>
      <c r="E891" s="1"/>
      <c r="F891" s="1"/>
      <c r="G891" s="1"/>
      <c r="H891" s="1"/>
      <c r="I891" s="1"/>
      <c r="J891" s="1"/>
      <c r="K891" s="1"/>
      <c r="M891" s="1"/>
      <c r="N891" s="1"/>
      <c r="O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U891" s="1"/>
      <c r="AW891" s="1"/>
      <c r="AY891" s="1"/>
    </row>
    <row r="892">
      <c r="A892" s="1"/>
      <c r="C892" s="1"/>
      <c r="E892" s="1"/>
      <c r="F892" s="1"/>
      <c r="G892" s="1"/>
      <c r="H892" s="1"/>
      <c r="I892" s="1"/>
      <c r="J892" s="1"/>
      <c r="K892" s="1"/>
      <c r="M892" s="1"/>
      <c r="N892" s="1"/>
      <c r="O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U892" s="1"/>
      <c r="AW892" s="1"/>
      <c r="AY892" s="1"/>
    </row>
    <row r="893">
      <c r="A893" s="1"/>
      <c r="C893" s="1"/>
      <c r="E893" s="1"/>
      <c r="F893" s="1"/>
      <c r="G893" s="1"/>
      <c r="H893" s="1"/>
      <c r="I893" s="1"/>
      <c r="J893" s="1"/>
      <c r="K893" s="1"/>
      <c r="M893" s="1"/>
      <c r="N893" s="1"/>
      <c r="O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U893" s="1"/>
      <c r="AW893" s="1"/>
      <c r="AY893" s="1"/>
    </row>
    <row r="894">
      <c r="A894" s="1"/>
      <c r="C894" s="1"/>
      <c r="E894" s="1"/>
      <c r="F894" s="1"/>
      <c r="G894" s="1"/>
      <c r="H894" s="1"/>
      <c r="I894" s="1"/>
      <c r="J894" s="1"/>
      <c r="K894" s="1"/>
      <c r="M894" s="1"/>
      <c r="N894" s="1"/>
      <c r="O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U894" s="1"/>
      <c r="AW894" s="1"/>
      <c r="AY894" s="1"/>
    </row>
    <row r="895">
      <c r="A895" s="1"/>
      <c r="C895" s="1"/>
      <c r="E895" s="1"/>
      <c r="F895" s="1"/>
      <c r="G895" s="1"/>
      <c r="H895" s="1"/>
      <c r="I895" s="1"/>
      <c r="J895" s="1"/>
      <c r="K895" s="1"/>
      <c r="M895" s="1"/>
      <c r="N895" s="1"/>
      <c r="O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U895" s="1"/>
      <c r="AW895" s="1"/>
      <c r="AY895" s="1"/>
    </row>
    <row r="896">
      <c r="A896" s="1"/>
      <c r="C896" s="1"/>
      <c r="E896" s="1"/>
      <c r="F896" s="1"/>
      <c r="G896" s="1"/>
      <c r="H896" s="1"/>
      <c r="I896" s="1"/>
      <c r="J896" s="1"/>
      <c r="K896" s="1"/>
      <c r="M896" s="1"/>
      <c r="N896" s="1"/>
      <c r="O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U896" s="1"/>
      <c r="AW896" s="1"/>
      <c r="AY896" s="1"/>
    </row>
    <row r="897">
      <c r="A897" s="1"/>
      <c r="C897" s="1"/>
      <c r="E897" s="1"/>
      <c r="F897" s="1"/>
      <c r="G897" s="1"/>
      <c r="H897" s="1"/>
      <c r="I897" s="1"/>
      <c r="J897" s="1"/>
      <c r="K897" s="1"/>
      <c r="M897" s="1"/>
      <c r="N897" s="1"/>
      <c r="O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U897" s="1"/>
      <c r="AW897" s="1"/>
      <c r="AY897" s="1"/>
    </row>
    <row r="898">
      <c r="A898" s="1"/>
      <c r="C898" s="1"/>
      <c r="E898" s="1"/>
      <c r="F898" s="1"/>
      <c r="G898" s="1"/>
      <c r="H898" s="1"/>
      <c r="I898" s="1"/>
      <c r="J898" s="1"/>
      <c r="K898" s="1"/>
      <c r="M898" s="1"/>
      <c r="N898" s="1"/>
      <c r="O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U898" s="1"/>
      <c r="AW898" s="1"/>
      <c r="AY898" s="1"/>
    </row>
    <row r="899">
      <c r="A899" s="1"/>
      <c r="C899" s="1"/>
      <c r="E899" s="1"/>
      <c r="F899" s="1"/>
      <c r="G899" s="1"/>
      <c r="H899" s="1"/>
      <c r="I899" s="1"/>
      <c r="J899" s="1"/>
      <c r="K899" s="1"/>
      <c r="M899" s="1"/>
      <c r="N899" s="1"/>
      <c r="O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U899" s="1"/>
      <c r="AW899" s="1"/>
      <c r="AY899" s="1"/>
    </row>
    <row r="900">
      <c r="A900" s="1"/>
      <c r="C900" s="1"/>
      <c r="E900" s="1"/>
      <c r="F900" s="1"/>
      <c r="G900" s="1"/>
      <c r="H900" s="1"/>
      <c r="I900" s="1"/>
      <c r="J900" s="1"/>
      <c r="K900" s="1"/>
      <c r="M900" s="1"/>
      <c r="N900" s="1"/>
      <c r="O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U900" s="1"/>
      <c r="AW900" s="1"/>
      <c r="AY900" s="1"/>
    </row>
    <row r="901">
      <c r="A901" s="1"/>
      <c r="C901" s="1"/>
      <c r="E901" s="1"/>
      <c r="F901" s="1"/>
      <c r="G901" s="1"/>
      <c r="H901" s="1"/>
      <c r="I901" s="1"/>
      <c r="J901" s="1"/>
      <c r="K901" s="1"/>
      <c r="M901" s="1"/>
      <c r="N901" s="1"/>
      <c r="O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U901" s="1"/>
      <c r="AW901" s="1"/>
      <c r="AY901" s="1"/>
    </row>
    <row r="902">
      <c r="A902" s="1"/>
      <c r="C902" s="1"/>
      <c r="E902" s="1"/>
      <c r="F902" s="1"/>
      <c r="G902" s="1"/>
      <c r="H902" s="1"/>
      <c r="I902" s="1"/>
      <c r="J902" s="1"/>
      <c r="K902" s="1"/>
      <c r="M902" s="1"/>
      <c r="N902" s="1"/>
      <c r="O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U902" s="1"/>
      <c r="AW902" s="1"/>
      <c r="AY902" s="1"/>
    </row>
    <row r="903">
      <c r="A903" s="1"/>
      <c r="C903" s="1"/>
      <c r="E903" s="1"/>
      <c r="F903" s="1"/>
      <c r="G903" s="1"/>
      <c r="H903" s="1"/>
      <c r="I903" s="1"/>
      <c r="J903" s="1"/>
      <c r="K903" s="1"/>
      <c r="M903" s="1"/>
      <c r="N903" s="1"/>
      <c r="O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U903" s="1"/>
      <c r="AW903" s="1"/>
      <c r="AY903" s="1"/>
    </row>
    <row r="904">
      <c r="A904" s="1"/>
      <c r="C904" s="1"/>
      <c r="E904" s="1"/>
      <c r="F904" s="1"/>
      <c r="G904" s="1"/>
      <c r="H904" s="1"/>
      <c r="I904" s="1"/>
      <c r="J904" s="1"/>
      <c r="K904" s="1"/>
      <c r="M904" s="1"/>
      <c r="N904" s="1"/>
      <c r="O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U904" s="1"/>
      <c r="AW904" s="1"/>
      <c r="AY904" s="1"/>
    </row>
    <row r="905">
      <c r="A905" s="1"/>
      <c r="C905" s="1"/>
      <c r="E905" s="1"/>
      <c r="F905" s="1"/>
      <c r="G905" s="1"/>
      <c r="H905" s="1"/>
      <c r="I905" s="1"/>
      <c r="J905" s="1"/>
      <c r="K905" s="1"/>
      <c r="M905" s="1"/>
      <c r="N905" s="1"/>
      <c r="O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U905" s="1"/>
      <c r="AW905" s="1"/>
      <c r="AY905" s="1"/>
    </row>
    <row r="906">
      <c r="A906" s="1"/>
      <c r="C906" s="1"/>
      <c r="E906" s="1"/>
      <c r="F906" s="1"/>
      <c r="G906" s="1"/>
      <c r="H906" s="1"/>
      <c r="I906" s="1"/>
      <c r="J906" s="1"/>
      <c r="K906" s="1"/>
      <c r="M906" s="1"/>
      <c r="N906" s="1"/>
      <c r="O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U906" s="1"/>
      <c r="AW906" s="1"/>
      <c r="AY906" s="1"/>
    </row>
    <row r="907">
      <c r="A907" s="1"/>
      <c r="C907" s="1"/>
      <c r="E907" s="1"/>
      <c r="F907" s="1"/>
      <c r="G907" s="1"/>
      <c r="H907" s="1"/>
      <c r="I907" s="1"/>
      <c r="J907" s="1"/>
      <c r="K907" s="1"/>
      <c r="M907" s="1"/>
      <c r="N907" s="1"/>
      <c r="O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U907" s="1"/>
      <c r="AW907" s="1"/>
      <c r="AY907" s="1"/>
    </row>
    <row r="908">
      <c r="A908" s="1"/>
      <c r="C908" s="1"/>
      <c r="E908" s="1"/>
      <c r="F908" s="1"/>
      <c r="G908" s="1"/>
      <c r="H908" s="1"/>
      <c r="I908" s="1"/>
      <c r="J908" s="1"/>
      <c r="K908" s="1"/>
      <c r="M908" s="1"/>
      <c r="N908" s="1"/>
      <c r="O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U908" s="1"/>
      <c r="AW908" s="1"/>
      <c r="AY908" s="1"/>
    </row>
    <row r="909">
      <c r="A909" s="1"/>
      <c r="C909" s="1"/>
      <c r="E909" s="1"/>
      <c r="F909" s="1"/>
      <c r="G909" s="1"/>
      <c r="H909" s="1"/>
      <c r="I909" s="1"/>
      <c r="J909" s="1"/>
      <c r="K909" s="1"/>
      <c r="M909" s="1"/>
      <c r="N909" s="1"/>
      <c r="O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U909" s="1"/>
      <c r="AW909" s="1"/>
      <c r="AY909" s="1"/>
    </row>
    <row r="910">
      <c r="A910" s="1"/>
      <c r="C910" s="1"/>
      <c r="E910" s="1"/>
      <c r="F910" s="1"/>
      <c r="G910" s="1"/>
      <c r="H910" s="1"/>
      <c r="I910" s="1"/>
      <c r="J910" s="1"/>
      <c r="K910" s="1"/>
      <c r="M910" s="1"/>
      <c r="N910" s="1"/>
      <c r="O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U910" s="1"/>
      <c r="AW910" s="1"/>
      <c r="AY910" s="1"/>
    </row>
    <row r="911">
      <c r="A911" s="1"/>
      <c r="C911" s="1"/>
      <c r="E911" s="1"/>
      <c r="F911" s="1"/>
      <c r="G911" s="1"/>
      <c r="H911" s="1"/>
      <c r="I911" s="1"/>
      <c r="J911" s="1"/>
      <c r="K911" s="1"/>
      <c r="M911" s="1"/>
      <c r="N911" s="1"/>
      <c r="O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U911" s="1"/>
      <c r="AW911" s="1"/>
      <c r="AY911" s="1"/>
    </row>
    <row r="912">
      <c r="A912" s="1"/>
      <c r="C912" s="1"/>
      <c r="E912" s="1"/>
      <c r="F912" s="1"/>
      <c r="G912" s="1"/>
      <c r="H912" s="1"/>
      <c r="I912" s="1"/>
      <c r="J912" s="1"/>
      <c r="K912" s="1"/>
      <c r="M912" s="1"/>
      <c r="N912" s="1"/>
      <c r="O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U912" s="1"/>
      <c r="AW912" s="1"/>
      <c r="AY912" s="1"/>
    </row>
    <row r="913">
      <c r="A913" s="1"/>
      <c r="C913" s="1"/>
      <c r="E913" s="1"/>
      <c r="F913" s="1"/>
      <c r="G913" s="1"/>
      <c r="H913" s="1"/>
      <c r="I913" s="1"/>
      <c r="J913" s="1"/>
      <c r="K913" s="1"/>
      <c r="M913" s="1"/>
      <c r="N913" s="1"/>
      <c r="O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U913" s="1"/>
      <c r="AW913" s="1"/>
      <c r="AY913" s="1"/>
    </row>
    <row r="914">
      <c r="A914" s="1"/>
      <c r="C914" s="1"/>
      <c r="E914" s="1"/>
      <c r="F914" s="1"/>
      <c r="G914" s="1"/>
      <c r="H914" s="1"/>
      <c r="I914" s="1"/>
      <c r="J914" s="1"/>
      <c r="K914" s="1"/>
      <c r="M914" s="1"/>
      <c r="N914" s="1"/>
      <c r="O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U914" s="1"/>
      <c r="AW914" s="1"/>
      <c r="AY914" s="1"/>
    </row>
    <row r="915">
      <c r="A915" s="1"/>
      <c r="C915" s="1"/>
      <c r="E915" s="1"/>
      <c r="F915" s="1"/>
      <c r="G915" s="1"/>
      <c r="H915" s="1"/>
      <c r="I915" s="1"/>
      <c r="J915" s="1"/>
      <c r="K915" s="1"/>
      <c r="M915" s="1"/>
      <c r="N915" s="1"/>
      <c r="O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U915" s="1"/>
      <c r="AW915" s="1"/>
      <c r="AY915" s="1"/>
    </row>
    <row r="916">
      <c r="A916" s="1"/>
      <c r="C916" s="1"/>
      <c r="E916" s="1"/>
      <c r="F916" s="1"/>
      <c r="G916" s="1"/>
      <c r="H916" s="1"/>
      <c r="I916" s="1"/>
      <c r="J916" s="1"/>
      <c r="K916" s="1"/>
      <c r="M916" s="1"/>
      <c r="N916" s="1"/>
      <c r="O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U916" s="1"/>
      <c r="AW916" s="1"/>
      <c r="AY916" s="1"/>
    </row>
    <row r="917">
      <c r="A917" s="1"/>
      <c r="C917" s="1"/>
      <c r="E917" s="1"/>
      <c r="F917" s="1"/>
      <c r="G917" s="1"/>
      <c r="H917" s="1"/>
      <c r="I917" s="1"/>
      <c r="J917" s="1"/>
      <c r="K917" s="1"/>
      <c r="M917" s="1"/>
      <c r="N917" s="1"/>
      <c r="O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U917" s="1"/>
      <c r="AW917" s="1"/>
      <c r="AY917" s="1"/>
    </row>
    <row r="918">
      <c r="A918" s="1"/>
      <c r="C918" s="1"/>
      <c r="E918" s="1"/>
      <c r="F918" s="1"/>
      <c r="G918" s="1"/>
      <c r="H918" s="1"/>
      <c r="I918" s="1"/>
      <c r="J918" s="1"/>
      <c r="K918" s="1"/>
      <c r="M918" s="1"/>
      <c r="N918" s="1"/>
      <c r="O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U918" s="1"/>
      <c r="AW918" s="1"/>
      <c r="AY918" s="1"/>
    </row>
    <row r="919">
      <c r="A919" s="1"/>
      <c r="C919" s="1"/>
      <c r="E919" s="1"/>
      <c r="F919" s="1"/>
      <c r="G919" s="1"/>
      <c r="H919" s="1"/>
      <c r="I919" s="1"/>
      <c r="J919" s="1"/>
      <c r="K919" s="1"/>
      <c r="M919" s="1"/>
      <c r="N919" s="1"/>
      <c r="O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U919" s="1"/>
      <c r="AW919" s="1"/>
      <c r="AY919" s="1"/>
    </row>
    <row r="920">
      <c r="A920" s="1"/>
      <c r="C920" s="1"/>
      <c r="E920" s="1"/>
      <c r="F920" s="1"/>
      <c r="G920" s="1"/>
      <c r="H920" s="1"/>
      <c r="I920" s="1"/>
      <c r="J920" s="1"/>
      <c r="K920" s="1"/>
      <c r="M920" s="1"/>
      <c r="N920" s="1"/>
      <c r="O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U920" s="1"/>
      <c r="AW920" s="1"/>
      <c r="AY920" s="1"/>
    </row>
    <row r="921">
      <c r="A921" s="1"/>
      <c r="C921" s="1"/>
      <c r="E921" s="1"/>
      <c r="F921" s="1"/>
      <c r="G921" s="1"/>
      <c r="H921" s="1"/>
      <c r="I921" s="1"/>
      <c r="J921" s="1"/>
      <c r="K921" s="1"/>
      <c r="M921" s="1"/>
      <c r="N921" s="1"/>
      <c r="O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U921" s="1"/>
      <c r="AW921" s="1"/>
      <c r="AY921" s="1"/>
    </row>
    <row r="922">
      <c r="A922" s="1"/>
      <c r="C922" s="1"/>
      <c r="E922" s="1"/>
      <c r="F922" s="1"/>
      <c r="G922" s="1"/>
      <c r="H922" s="1"/>
      <c r="I922" s="1"/>
      <c r="J922" s="1"/>
      <c r="K922" s="1"/>
      <c r="M922" s="1"/>
      <c r="N922" s="1"/>
      <c r="O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U922" s="1"/>
      <c r="AW922" s="1"/>
      <c r="AY922" s="1"/>
    </row>
    <row r="923">
      <c r="A923" s="1"/>
      <c r="C923" s="1"/>
      <c r="E923" s="1"/>
      <c r="F923" s="1"/>
      <c r="G923" s="1"/>
      <c r="H923" s="1"/>
      <c r="I923" s="1"/>
      <c r="J923" s="1"/>
      <c r="K923" s="1"/>
      <c r="M923" s="1"/>
      <c r="N923" s="1"/>
      <c r="O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U923" s="1"/>
      <c r="AW923" s="1"/>
      <c r="AY923" s="1"/>
    </row>
    <row r="924">
      <c r="A924" s="1"/>
      <c r="C924" s="1"/>
      <c r="E924" s="1"/>
      <c r="F924" s="1"/>
      <c r="G924" s="1"/>
      <c r="H924" s="1"/>
      <c r="I924" s="1"/>
      <c r="J924" s="1"/>
      <c r="K924" s="1"/>
      <c r="M924" s="1"/>
      <c r="N924" s="1"/>
      <c r="O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U924" s="1"/>
      <c r="AW924" s="1"/>
      <c r="AY924" s="1"/>
    </row>
    <row r="925">
      <c r="A925" s="1"/>
      <c r="C925" s="1"/>
      <c r="E925" s="1"/>
      <c r="F925" s="1"/>
      <c r="G925" s="1"/>
      <c r="H925" s="1"/>
      <c r="I925" s="1"/>
      <c r="J925" s="1"/>
      <c r="K925" s="1"/>
      <c r="M925" s="1"/>
      <c r="N925" s="1"/>
      <c r="O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U925" s="1"/>
      <c r="AW925" s="1"/>
      <c r="AY925" s="1"/>
    </row>
    <row r="926">
      <c r="A926" s="1"/>
      <c r="C926" s="1"/>
      <c r="E926" s="1"/>
      <c r="F926" s="1"/>
      <c r="G926" s="1"/>
      <c r="H926" s="1"/>
      <c r="I926" s="1"/>
      <c r="J926" s="1"/>
      <c r="K926" s="1"/>
      <c r="M926" s="1"/>
      <c r="N926" s="1"/>
      <c r="O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U926" s="1"/>
      <c r="AW926" s="1"/>
      <c r="AY926" s="1"/>
    </row>
    <row r="927">
      <c r="A927" s="1"/>
      <c r="C927" s="1"/>
      <c r="E927" s="1"/>
      <c r="F927" s="1"/>
      <c r="G927" s="1"/>
      <c r="H927" s="1"/>
      <c r="I927" s="1"/>
      <c r="J927" s="1"/>
      <c r="K927" s="1"/>
      <c r="M927" s="1"/>
      <c r="N927" s="1"/>
      <c r="O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U927" s="1"/>
      <c r="AW927" s="1"/>
      <c r="AY927" s="1"/>
    </row>
    <row r="928">
      <c r="A928" s="1"/>
      <c r="C928" s="1"/>
      <c r="E928" s="1"/>
      <c r="F928" s="1"/>
      <c r="G928" s="1"/>
      <c r="H928" s="1"/>
      <c r="I928" s="1"/>
      <c r="J928" s="1"/>
      <c r="K928" s="1"/>
      <c r="M928" s="1"/>
      <c r="N928" s="1"/>
      <c r="O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U928" s="1"/>
      <c r="AW928" s="1"/>
      <c r="AY928" s="1"/>
    </row>
    <row r="929">
      <c r="A929" s="1"/>
      <c r="C929" s="1"/>
      <c r="E929" s="1"/>
      <c r="F929" s="1"/>
      <c r="G929" s="1"/>
      <c r="H929" s="1"/>
      <c r="I929" s="1"/>
      <c r="J929" s="1"/>
      <c r="K929" s="1"/>
      <c r="M929" s="1"/>
      <c r="N929" s="1"/>
      <c r="O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U929" s="1"/>
      <c r="AW929" s="1"/>
      <c r="AY929" s="1"/>
    </row>
    <row r="930">
      <c r="A930" s="1"/>
      <c r="C930" s="1"/>
      <c r="E930" s="1"/>
      <c r="F930" s="1"/>
      <c r="G930" s="1"/>
      <c r="H930" s="1"/>
      <c r="I930" s="1"/>
      <c r="J930" s="1"/>
      <c r="K930" s="1"/>
      <c r="M930" s="1"/>
      <c r="N930" s="1"/>
      <c r="O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U930" s="1"/>
      <c r="AW930" s="1"/>
      <c r="AY930" s="1"/>
    </row>
    <row r="931">
      <c r="A931" s="1"/>
      <c r="C931" s="1"/>
      <c r="E931" s="1"/>
      <c r="F931" s="1"/>
      <c r="G931" s="1"/>
      <c r="H931" s="1"/>
      <c r="I931" s="1"/>
      <c r="J931" s="1"/>
      <c r="K931" s="1"/>
      <c r="M931" s="1"/>
      <c r="N931" s="1"/>
      <c r="O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U931" s="1"/>
      <c r="AW931" s="1"/>
      <c r="AY931" s="1"/>
    </row>
    <row r="932">
      <c r="A932" s="1"/>
      <c r="C932" s="1"/>
      <c r="E932" s="1"/>
      <c r="F932" s="1"/>
      <c r="G932" s="1"/>
      <c r="H932" s="1"/>
      <c r="I932" s="1"/>
      <c r="J932" s="1"/>
      <c r="K932" s="1"/>
      <c r="M932" s="1"/>
      <c r="N932" s="1"/>
      <c r="O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U932" s="1"/>
      <c r="AW932" s="1"/>
      <c r="AY932" s="1"/>
    </row>
    <row r="933">
      <c r="A933" s="1"/>
      <c r="C933" s="1"/>
      <c r="E933" s="1"/>
      <c r="F933" s="1"/>
      <c r="G933" s="1"/>
      <c r="H933" s="1"/>
      <c r="I933" s="1"/>
      <c r="J933" s="1"/>
      <c r="K933" s="1"/>
      <c r="M933" s="1"/>
      <c r="N933" s="1"/>
      <c r="O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U933" s="1"/>
      <c r="AW933" s="1"/>
      <c r="AY933" s="1"/>
    </row>
    <row r="934">
      <c r="A934" s="1"/>
      <c r="C934" s="1"/>
      <c r="E934" s="1"/>
      <c r="F934" s="1"/>
      <c r="G934" s="1"/>
      <c r="H934" s="1"/>
      <c r="I934" s="1"/>
      <c r="J934" s="1"/>
      <c r="K934" s="1"/>
      <c r="M934" s="1"/>
      <c r="N934" s="1"/>
      <c r="O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U934" s="1"/>
      <c r="AW934" s="1"/>
      <c r="AY934" s="1"/>
    </row>
    <row r="935">
      <c r="A935" s="1"/>
      <c r="C935" s="1"/>
      <c r="E935" s="1"/>
      <c r="F935" s="1"/>
      <c r="G935" s="1"/>
      <c r="H935" s="1"/>
      <c r="I935" s="1"/>
      <c r="J935" s="1"/>
      <c r="K935" s="1"/>
      <c r="M935" s="1"/>
      <c r="N935" s="1"/>
      <c r="O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U935" s="1"/>
      <c r="AW935" s="1"/>
      <c r="AY935" s="1"/>
    </row>
    <row r="936">
      <c r="A936" s="1"/>
      <c r="C936" s="1"/>
      <c r="E936" s="1"/>
      <c r="F936" s="1"/>
      <c r="G936" s="1"/>
      <c r="H936" s="1"/>
      <c r="I936" s="1"/>
      <c r="J936" s="1"/>
      <c r="K936" s="1"/>
      <c r="M936" s="1"/>
      <c r="N936" s="1"/>
      <c r="O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U936" s="1"/>
      <c r="AW936" s="1"/>
      <c r="AY936" s="1"/>
    </row>
    <row r="937">
      <c r="A937" s="1"/>
      <c r="C937" s="1"/>
      <c r="E937" s="1"/>
      <c r="F937" s="1"/>
      <c r="G937" s="1"/>
      <c r="H937" s="1"/>
      <c r="I937" s="1"/>
      <c r="J937" s="1"/>
      <c r="K937" s="1"/>
      <c r="M937" s="1"/>
      <c r="N937" s="1"/>
      <c r="O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U937" s="1"/>
      <c r="AW937" s="1"/>
      <c r="AY937" s="1"/>
    </row>
    <row r="938">
      <c r="A938" s="1"/>
      <c r="C938" s="1"/>
      <c r="E938" s="1"/>
      <c r="F938" s="1"/>
      <c r="G938" s="1"/>
      <c r="H938" s="1"/>
      <c r="I938" s="1"/>
      <c r="J938" s="1"/>
      <c r="K938" s="1"/>
      <c r="M938" s="1"/>
      <c r="N938" s="1"/>
      <c r="O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U938" s="1"/>
      <c r="AW938" s="1"/>
      <c r="AY938" s="1"/>
    </row>
    <row r="939">
      <c r="A939" s="1"/>
      <c r="C939" s="1"/>
      <c r="E939" s="1"/>
      <c r="F939" s="1"/>
      <c r="G939" s="1"/>
      <c r="H939" s="1"/>
      <c r="I939" s="1"/>
      <c r="J939" s="1"/>
      <c r="K939" s="1"/>
      <c r="M939" s="1"/>
      <c r="N939" s="1"/>
      <c r="O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U939" s="1"/>
      <c r="AW939" s="1"/>
      <c r="AY939" s="1"/>
    </row>
    <row r="940">
      <c r="A940" s="1"/>
      <c r="C940" s="1"/>
      <c r="E940" s="1"/>
      <c r="F940" s="1"/>
      <c r="G940" s="1"/>
      <c r="H940" s="1"/>
      <c r="I940" s="1"/>
      <c r="J940" s="1"/>
      <c r="K940" s="1"/>
      <c r="M940" s="1"/>
      <c r="N940" s="1"/>
      <c r="O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U940" s="1"/>
      <c r="AW940" s="1"/>
      <c r="AY940" s="1"/>
    </row>
    <row r="941">
      <c r="A941" s="1"/>
      <c r="C941" s="1"/>
      <c r="E941" s="1"/>
      <c r="F941" s="1"/>
      <c r="G941" s="1"/>
      <c r="H941" s="1"/>
      <c r="I941" s="1"/>
      <c r="J941" s="1"/>
      <c r="K941" s="1"/>
      <c r="M941" s="1"/>
      <c r="N941" s="1"/>
      <c r="O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U941" s="1"/>
      <c r="AW941" s="1"/>
      <c r="AY941" s="1"/>
    </row>
    <row r="942">
      <c r="A942" s="1"/>
      <c r="C942" s="1"/>
      <c r="E942" s="1"/>
      <c r="F942" s="1"/>
      <c r="G942" s="1"/>
      <c r="H942" s="1"/>
      <c r="I942" s="1"/>
      <c r="J942" s="1"/>
      <c r="K942" s="1"/>
      <c r="M942" s="1"/>
      <c r="N942" s="1"/>
      <c r="O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U942" s="1"/>
      <c r="AW942" s="1"/>
      <c r="AY942" s="1"/>
    </row>
    <row r="943">
      <c r="A943" s="1"/>
      <c r="C943" s="1"/>
      <c r="E943" s="1"/>
      <c r="F943" s="1"/>
      <c r="G943" s="1"/>
      <c r="H943" s="1"/>
      <c r="I943" s="1"/>
      <c r="J943" s="1"/>
      <c r="K943" s="1"/>
      <c r="M943" s="1"/>
      <c r="N943" s="1"/>
      <c r="O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U943" s="1"/>
      <c r="AW943" s="1"/>
      <c r="AY943" s="1"/>
    </row>
    <row r="944">
      <c r="A944" s="1"/>
      <c r="C944" s="1"/>
      <c r="E944" s="1"/>
      <c r="F944" s="1"/>
      <c r="G944" s="1"/>
      <c r="H944" s="1"/>
      <c r="I944" s="1"/>
      <c r="J944" s="1"/>
      <c r="K944" s="1"/>
      <c r="M944" s="1"/>
      <c r="N944" s="1"/>
      <c r="O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U944" s="1"/>
      <c r="AW944" s="1"/>
      <c r="AY944" s="1"/>
    </row>
    <row r="945">
      <c r="A945" s="1"/>
      <c r="C945" s="1"/>
      <c r="E945" s="1"/>
      <c r="F945" s="1"/>
      <c r="G945" s="1"/>
      <c r="H945" s="1"/>
      <c r="I945" s="1"/>
      <c r="J945" s="1"/>
      <c r="K945" s="1"/>
      <c r="M945" s="1"/>
      <c r="N945" s="1"/>
      <c r="O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U945" s="1"/>
      <c r="AW945" s="1"/>
      <c r="AY945" s="1"/>
    </row>
    <row r="946">
      <c r="A946" s="1"/>
      <c r="C946" s="1"/>
      <c r="E946" s="1"/>
      <c r="F946" s="1"/>
      <c r="G946" s="1"/>
      <c r="H946" s="1"/>
      <c r="I946" s="1"/>
      <c r="J946" s="1"/>
      <c r="K946" s="1"/>
      <c r="M946" s="1"/>
      <c r="N946" s="1"/>
      <c r="O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U946" s="1"/>
      <c r="AW946" s="1"/>
      <c r="AY946" s="1"/>
    </row>
    <row r="947">
      <c r="A947" s="1"/>
      <c r="C947" s="1"/>
      <c r="E947" s="1"/>
      <c r="F947" s="1"/>
      <c r="G947" s="1"/>
      <c r="H947" s="1"/>
      <c r="I947" s="1"/>
      <c r="J947" s="1"/>
      <c r="K947" s="1"/>
      <c r="M947" s="1"/>
      <c r="N947" s="1"/>
      <c r="O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U947" s="1"/>
      <c r="AW947" s="1"/>
      <c r="AY947" s="1"/>
    </row>
    <row r="948">
      <c r="A948" s="1"/>
      <c r="C948" s="1"/>
      <c r="E948" s="1"/>
      <c r="F948" s="1"/>
      <c r="G948" s="1"/>
      <c r="H948" s="1"/>
      <c r="I948" s="1"/>
      <c r="J948" s="1"/>
      <c r="K948" s="1"/>
      <c r="M948" s="1"/>
      <c r="N948" s="1"/>
      <c r="O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U948" s="1"/>
      <c r="AW948" s="1"/>
      <c r="AY948" s="1"/>
    </row>
    <row r="949">
      <c r="A949" s="1"/>
      <c r="C949" s="1"/>
      <c r="E949" s="1"/>
      <c r="F949" s="1"/>
      <c r="G949" s="1"/>
      <c r="H949" s="1"/>
      <c r="I949" s="1"/>
      <c r="J949" s="1"/>
      <c r="K949" s="1"/>
      <c r="M949" s="1"/>
      <c r="N949" s="1"/>
      <c r="O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U949" s="1"/>
      <c r="AW949" s="1"/>
      <c r="AY949" s="1"/>
    </row>
    <row r="950">
      <c r="A950" s="1"/>
      <c r="C950" s="1"/>
      <c r="E950" s="1"/>
      <c r="F950" s="1"/>
      <c r="G950" s="1"/>
      <c r="H950" s="1"/>
      <c r="I950" s="1"/>
      <c r="J950" s="1"/>
      <c r="K950" s="1"/>
      <c r="M950" s="1"/>
      <c r="N950" s="1"/>
      <c r="O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U950" s="1"/>
      <c r="AW950" s="1"/>
      <c r="AY950" s="1"/>
    </row>
    <row r="951">
      <c r="A951" s="1"/>
      <c r="C951" s="1"/>
      <c r="E951" s="1"/>
      <c r="F951" s="1"/>
      <c r="G951" s="1"/>
      <c r="H951" s="1"/>
      <c r="I951" s="1"/>
      <c r="J951" s="1"/>
      <c r="K951" s="1"/>
      <c r="M951" s="1"/>
      <c r="N951" s="1"/>
      <c r="O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U951" s="1"/>
      <c r="AW951" s="1"/>
      <c r="AY951" s="1"/>
    </row>
    <row r="952">
      <c r="A952" s="1"/>
      <c r="C952" s="1"/>
      <c r="E952" s="1"/>
      <c r="F952" s="1"/>
      <c r="G952" s="1"/>
      <c r="H952" s="1"/>
      <c r="I952" s="1"/>
      <c r="J952" s="1"/>
      <c r="K952" s="1"/>
      <c r="M952" s="1"/>
      <c r="N952" s="1"/>
      <c r="O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U952" s="1"/>
      <c r="AW952" s="1"/>
      <c r="AY952" s="1"/>
    </row>
    <row r="953">
      <c r="A953" s="1"/>
      <c r="C953" s="1"/>
      <c r="E953" s="1"/>
      <c r="F953" s="1"/>
      <c r="G953" s="1"/>
      <c r="H953" s="1"/>
      <c r="I953" s="1"/>
      <c r="J953" s="1"/>
      <c r="K953" s="1"/>
      <c r="M953" s="1"/>
      <c r="N953" s="1"/>
      <c r="O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U953" s="1"/>
      <c r="AW953" s="1"/>
      <c r="AY953" s="1"/>
    </row>
    <row r="954">
      <c r="A954" s="1"/>
      <c r="C954" s="1"/>
      <c r="E954" s="1"/>
      <c r="F954" s="1"/>
      <c r="G954" s="1"/>
      <c r="H954" s="1"/>
      <c r="I954" s="1"/>
      <c r="J954" s="1"/>
      <c r="K954" s="1"/>
      <c r="M954" s="1"/>
      <c r="N954" s="1"/>
      <c r="O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U954" s="1"/>
      <c r="AW954" s="1"/>
      <c r="AY954" s="1"/>
    </row>
    <row r="955">
      <c r="A955" s="1"/>
      <c r="C955" s="1"/>
      <c r="E955" s="1"/>
      <c r="F955" s="1"/>
      <c r="G955" s="1"/>
      <c r="H955" s="1"/>
      <c r="I955" s="1"/>
      <c r="J955" s="1"/>
      <c r="K955" s="1"/>
      <c r="M955" s="1"/>
      <c r="N955" s="1"/>
      <c r="O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U955" s="1"/>
      <c r="AW955" s="1"/>
      <c r="AY955" s="1"/>
    </row>
    <row r="956">
      <c r="A956" s="1"/>
      <c r="C956" s="1"/>
      <c r="E956" s="1"/>
      <c r="F956" s="1"/>
      <c r="G956" s="1"/>
      <c r="H956" s="1"/>
      <c r="I956" s="1"/>
      <c r="J956" s="1"/>
      <c r="K956" s="1"/>
      <c r="M956" s="1"/>
      <c r="N956" s="1"/>
      <c r="O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U956" s="1"/>
      <c r="AW956" s="1"/>
      <c r="AY956" s="1"/>
    </row>
    <row r="957">
      <c r="A957" s="1"/>
      <c r="C957" s="1"/>
      <c r="E957" s="1"/>
      <c r="F957" s="1"/>
      <c r="G957" s="1"/>
      <c r="H957" s="1"/>
      <c r="I957" s="1"/>
      <c r="J957" s="1"/>
      <c r="K957" s="1"/>
      <c r="M957" s="1"/>
      <c r="N957" s="1"/>
      <c r="O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U957" s="1"/>
      <c r="AW957" s="1"/>
      <c r="AY957" s="1"/>
    </row>
    <row r="958">
      <c r="A958" s="1"/>
      <c r="C958" s="1"/>
      <c r="E958" s="1"/>
      <c r="F958" s="1"/>
      <c r="G958" s="1"/>
      <c r="H958" s="1"/>
      <c r="I958" s="1"/>
      <c r="J958" s="1"/>
      <c r="K958" s="1"/>
      <c r="M958" s="1"/>
      <c r="N958" s="1"/>
      <c r="O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U958" s="1"/>
      <c r="AW958" s="1"/>
      <c r="AY958" s="1"/>
    </row>
    <row r="959">
      <c r="A959" s="1"/>
      <c r="C959" s="1"/>
      <c r="E959" s="1"/>
      <c r="F959" s="1"/>
      <c r="G959" s="1"/>
      <c r="H959" s="1"/>
      <c r="I959" s="1"/>
      <c r="J959" s="1"/>
      <c r="K959" s="1"/>
      <c r="M959" s="1"/>
      <c r="N959" s="1"/>
      <c r="O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U959" s="1"/>
      <c r="AW959" s="1"/>
      <c r="AY959" s="1"/>
    </row>
    <row r="960">
      <c r="A960" s="1"/>
      <c r="C960" s="1"/>
      <c r="E960" s="1"/>
      <c r="F960" s="1"/>
      <c r="G960" s="1"/>
      <c r="H960" s="1"/>
      <c r="I960" s="1"/>
      <c r="J960" s="1"/>
      <c r="K960" s="1"/>
      <c r="M960" s="1"/>
      <c r="N960" s="1"/>
      <c r="O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U960" s="1"/>
      <c r="AW960" s="1"/>
      <c r="AY960" s="1"/>
    </row>
    <row r="961">
      <c r="A961" s="1"/>
      <c r="C961" s="1"/>
      <c r="E961" s="1"/>
      <c r="F961" s="1"/>
      <c r="G961" s="1"/>
      <c r="H961" s="1"/>
      <c r="I961" s="1"/>
      <c r="J961" s="1"/>
      <c r="K961" s="1"/>
      <c r="M961" s="1"/>
      <c r="N961" s="1"/>
      <c r="O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U961" s="1"/>
      <c r="AW961" s="1"/>
      <c r="AY961" s="1"/>
    </row>
    <row r="962">
      <c r="A962" s="1"/>
      <c r="C962" s="1"/>
      <c r="E962" s="1"/>
      <c r="F962" s="1"/>
      <c r="G962" s="1"/>
      <c r="H962" s="1"/>
      <c r="I962" s="1"/>
      <c r="J962" s="1"/>
      <c r="K962" s="1"/>
      <c r="M962" s="1"/>
      <c r="N962" s="1"/>
      <c r="O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U962" s="1"/>
      <c r="AW962" s="1"/>
      <c r="AY962" s="1"/>
    </row>
    <row r="963">
      <c r="A963" s="1"/>
      <c r="C963" s="1"/>
      <c r="E963" s="1"/>
      <c r="F963" s="1"/>
      <c r="G963" s="1"/>
      <c r="H963" s="1"/>
      <c r="I963" s="1"/>
      <c r="J963" s="1"/>
      <c r="K963" s="1"/>
      <c r="M963" s="1"/>
      <c r="N963" s="1"/>
      <c r="O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U963" s="1"/>
      <c r="AW963" s="1"/>
      <c r="AY963" s="1"/>
    </row>
    <row r="964">
      <c r="A964" s="1"/>
      <c r="C964" s="1"/>
      <c r="E964" s="1"/>
      <c r="F964" s="1"/>
      <c r="G964" s="1"/>
      <c r="H964" s="1"/>
      <c r="I964" s="1"/>
      <c r="J964" s="1"/>
      <c r="K964" s="1"/>
      <c r="M964" s="1"/>
      <c r="N964" s="1"/>
      <c r="O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U964" s="1"/>
      <c r="AW964" s="1"/>
      <c r="AY964" s="1"/>
    </row>
    <row r="965">
      <c r="A965" s="1"/>
      <c r="C965" s="1"/>
      <c r="E965" s="1"/>
      <c r="F965" s="1"/>
      <c r="G965" s="1"/>
      <c r="H965" s="1"/>
      <c r="I965" s="1"/>
      <c r="J965" s="1"/>
      <c r="K965" s="1"/>
      <c r="M965" s="1"/>
      <c r="N965" s="1"/>
      <c r="O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U965" s="1"/>
      <c r="AW965" s="1"/>
      <c r="AY965" s="1"/>
    </row>
    <row r="966">
      <c r="A966" s="1"/>
      <c r="C966" s="1"/>
      <c r="E966" s="1"/>
      <c r="F966" s="1"/>
      <c r="G966" s="1"/>
      <c r="H966" s="1"/>
      <c r="I966" s="1"/>
      <c r="J966" s="1"/>
      <c r="K966" s="1"/>
      <c r="M966" s="1"/>
      <c r="N966" s="1"/>
      <c r="O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U966" s="1"/>
      <c r="AW966" s="1"/>
      <c r="AY966" s="1"/>
    </row>
    <row r="967">
      <c r="A967" s="1"/>
      <c r="C967" s="1"/>
      <c r="E967" s="1"/>
      <c r="F967" s="1"/>
      <c r="G967" s="1"/>
      <c r="H967" s="1"/>
      <c r="I967" s="1"/>
      <c r="J967" s="1"/>
      <c r="K967" s="1"/>
      <c r="M967" s="1"/>
      <c r="N967" s="1"/>
      <c r="O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U967" s="1"/>
      <c r="AW967" s="1"/>
      <c r="AY967" s="1"/>
    </row>
    <row r="968">
      <c r="A968" s="1"/>
      <c r="C968" s="1"/>
      <c r="E968" s="1"/>
      <c r="F968" s="1"/>
      <c r="G968" s="1"/>
      <c r="H968" s="1"/>
      <c r="I968" s="1"/>
      <c r="J968" s="1"/>
      <c r="K968" s="1"/>
      <c r="M968" s="1"/>
      <c r="N968" s="1"/>
      <c r="O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U968" s="1"/>
      <c r="AW968" s="1"/>
      <c r="AY968" s="1"/>
    </row>
    <row r="969">
      <c r="A969" s="1"/>
      <c r="C969" s="1"/>
      <c r="E969" s="1"/>
      <c r="F969" s="1"/>
      <c r="G969" s="1"/>
      <c r="H969" s="1"/>
      <c r="I969" s="1"/>
      <c r="J969" s="1"/>
      <c r="K969" s="1"/>
      <c r="M969" s="1"/>
      <c r="N969" s="1"/>
      <c r="O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U969" s="1"/>
      <c r="AW969" s="1"/>
      <c r="AY969" s="1"/>
    </row>
    <row r="970">
      <c r="A970" s="1"/>
      <c r="C970" s="1"/>
      <c r="E970" s="1"/>
      <c r="F970" s="1"/>
      <c r="G970" s="1"/>
      <c r="H970" s="1"/>
      <c r="I970" s="1"/>
      <c r="J970" s="1"/>
      <c r="K970" s="1"/>
      <c r="M970" s="1"/>
      <c r="N970" s="1"/>
      <c r="O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U970" s="1"/>
      <c r="AW970" s="1"/>
      <c r="AY970" s="1"/>
    </row>
    <row r="971">
      <c r="A971" s="1"/>
      <c r="C971" s="1"/>
      <c r="E971" s="1"/>
      <c r="F971" s="1"/>
      <c r="G971" s="1"/>
      <c r="H971" s="1"/>
      <c r="I971" s="1"/>
      <c r="J971" s="1"/>
      <c r="K971" s="1"/>
      <c r="M971" s="1"/>
      <c r="N971" s="1"/>
      <c r="O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U971" s="1"/>
      <c r="AW971" s="1"/>
      <c r="AY971" s="1"/>
    </row>
    <row r="972">
      <c r="A972" s="1"/>
      <c r="C972" s="1"/>
      <c r="E972" s="1"/>
      <c r="F972" s="1"/>
      <c r="G972" s="1"/>
      <c r="H972" s="1"/>
      <c r="I972" s="1"/>
      <c r="J972" s="1"/>
      <c r="K972" s="1"/>
      <c r="M972" s="1"/>
      <c r="N972" s="1"/>
      <c r="O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U972" s="1"/>
      <c r="AW972" s="1"/>
      <c r="AY972" s="1"/>
    </row>
    <row r="973">
      <c r="A973" s="1"/>
      <c r="C973" s="1"/>
      <c r="E973" s="1"/>
      <c r="F973" s="1"/>
      <c r="G973" s="1"/>
      <c r="H973" s="1"/>
      <c r="I973" s="1"/>
      <c r="J973" s="1"/>
      <c r="K973" s="1"/>
      <c r="M973" s="1"/>
      <c r="N973" s="1"/>
      <c r="O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U973" s="1"/>
      <c r="AW973" s="1"/>
      <c r="AY973" s="1"/>
    </row>
    <row r="974">
      <c r="A974" s="1"/>
      <c r="C974" s="1"/>
      <c r="E974" s="1"/>
      <c r="F974" s="1"/>
      <c r="G974" s="1"/>
      <c r="H974" s="1"/>
      <c r="I974" s="1"/>
      <c r="J974" s="1"/>
      <c r="K974" s="1"/>
      <c r="M974" s="1"/>
      <c r="N974" s="1"/>
      <c r="O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U974" s="1"/>
      <c r="AW974" s="1"/>
      <c r="AY974" s="1"/>
    </row>
    <row r="975">
      <c r="A975" s="1"/>
      <c r="C975" s="1"/>
      <c r="E975" s="1"/>
      <c r="F975" s="1"/>
      <c r="G975" s="1"/>
      <c r="H975" s="1"/>
      <c r="I975" s="1"/>
      <c r="J975" s="1"/>
      <c r="K975" s="1"/>
      <c r="M975" s="1"/>
      <c r="N975" s="1"/>
      <c r="O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U975" s="1"/>
      <c r="AW975" s="1"/>
      <c r="AY975" s="1"/>
    </row>
    <row r="976">
      <c r="A976" s="1"/>
      <c r="C976" s="1"/>
      <c r="E976" s="1"/>
      <c r="F976" s="1"/>
      <c r="G976" s="1"/>
      <c r="H976" s="1"/>
      <c r="I976" s="1"/>
      <c r="J976" s="1"/>
      <c r="K976" s="1"/>
      <c r="M976" s="1"/>
      <c r="N976" s="1"/>
      <c r="O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U976" s="1"/>
      <c r="AW976" s="1"/>
      <c r="AY976" s="1"/>
    </row>
    <row r="977">
      <c r="A977" s="1"/>
      <c r="C977" s="1"/>
      <c r="E977" s="1"/>
      <c r="F977" s="1"/>
      <c r="G977" s="1"/>
      <c r="H977" s="1"/>
      <c r="I977" s="1"/>
      <c r="J977" s="1"/>
      <c r="K977" s="1"/>
      <c r="M977" s="1"/>
      <c r="N977" s="1"/>
      <c r="O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U977" s="1"/>
      <c r="AW977" s="1"/>
      <c r="AY977" s="1"/>
    </row>
    <row r="978">
      <c r="A978" s="1"/>
      <c r="C978" s="1"/>
      <c r="E978" s="1"/>
      <c r="F978" s="1"/>
      <c r="G978" s="1"/>
      <c r="H978" s="1"/>
      <c r="I978" s="1"/>
      <c r="J978" s="1"/>
      <c r="K978" s="1"/>
      <c r="M978" s="1"/>
      <c r="N978" s="1"/>
      <c r="O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U978" s="1"/>
      <c r="AW978" s="1"/>
      <c r="AY978" s="1"/>
    </row>
    <row r="979">
      <c r="A979" s="1"/>
      <c r="C979" s="1"/>
      <c r="E979" s="1"/>
      <c r="F979" s="1"/>
      <c r="G979" s="1"/>
      <c r="H979" s="1"/>
      <c r="I979" s="1"/>
      <c r="J979" s="1"/>
      <c r="K979" s="1"/>
      <c r="M979" s="1"/>
      <c r="N979" s="1"/>
      <c r="O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U979" s="1"/>
      <c r="AW979" s="1"/>
      <c r="AY979" s="1"/>
    </row>
    <row r="980">
      <c r="A980" s="1"/>
      <c r="C980" s="1"/>
      <c r="E980" s="1"/>
      <c r="F980" s="1"/>
      <c r="G980" s="1"/>
      <c r="H980" s="1"/>
      <c r="I980" s="1"/>
      <c r="J980" s="1"/>
      <c r="K980" s="1"/>
      <c r="M980" s="1"/>
      <c r="N980" s="1"/>
      <c r="O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U980" s="1"/>
      <c r="AW980" s="1"/>
      <c r="AY980" s="1"/>
    </row>
    <row r="981">
      <c r="A981" s="1"/>
      <c r="C981" s="1"/>
      <c r="E981" s="1"/>
      <c r="F981" s="1"/>
      <c r="G981" s="1"/>
      <c r="H981" s="1"/>
      <c r="I981" s="1"/>
      <c r="J981" s="1"/>
      <c r="K981" s="1"/>
      <c r="M981" s="1"/>
      <c r="N981" s="1"/>
      <c r="O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U981" s="1"/>
      <c r="AW981" s="1"/>
      <c r="AY981" s="1"/>
    </row>
    <row r="982">
      <c r="A982" s="1"/>
      <c r="C982" s="1"/>
      <c r="E982" s="1"/>
      <c r="F982" s="1"/>
      <c r="G982" s="1"/>
      <c r="H982" s="1"/>
      <c r="I982" s="1"/>
      <c r="J982" s="1"/>
      <c r="K982" s="1"/>
      <c r="M982" s="1"/>
      <c r="N982" s="1"/>
      <c r="O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U982" s="1"/>
      <c r="AW982" s="1"/>
      <c r="AY982" s="1"/>
    </row>
    <row r="983">
      <c r="A983" s="1"/>
      <c r="C983" s="1"/>
      <c r="E983" s="1"/>
      <c r="F983" s="1"/>
      <c r="G983" s="1"/>
      <c r="H983" s="1"/>
      <c r="I983" s="1"/>
      <c r="J983" s="1"/>
      <c r="K983" s="1"/>
      <c r="M983" s="1"/>
      <c r="N983" s="1"/>
      <c r="O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U983" s="1"/>
      <c r="AW983" s="1"/>
      <c r="AY983" s="1"/>
    </row>
    <row r="984">
      <c r="A984" s="1"/>
      <c r="C984" s="1"/>
      <c r="E984" s="1"/>
      <c r="F984" s="1"/>
      <c r="G984" s="1"/>
      <c r="H984" s="1"/>
      <c r="I984" s="1"/>
      <c r="J984" s="1"/>
      <c r="K984" s="1"/>
      <c r="M984" s="1"/>
      <c r="N984" s="1"/>
      <c r="O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U984" s="1"/>
      <c r="AW984" s="1"/>
      <c r="AY984" s="1"/>
    </row>
    <row r="985">
      <c r="A985" s="1"/>
      <c r="C985" s="1"/>
      <c r="E985" s="1"/>
      <c r="F985" s="1"/>
      <c r="G985" s="1"/>
      <c r="H985" s="1"/>
      <c r="I985" s="1"/>
      <c r="J985" s="1"/>
      <c r="K985" s="1"/>
      <c r="M985" s="1"/>
      <c r="N985" s="1"/>
      <c r="O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U985" s="1"/>
      <c r="AW985" s="1"/>
      <c r="AY985" s="1"/>
    </row>
    <row r="986">
      <c r="A986" s="1"/>
      <c r="C986" s="1"/>
      <c r="E986" s="1"/>
      <c r="F986" s="1"/>
      <c r="G986" s="1"/>
      <c r="H986" s="1"/>
      <c r="I986" s="1"/>
      <c r="J986" s="1"/>
      <c r="K986" s="1"/>
      <c r="M986" s="1"/>
      <c r="N986" s="1"/>
      <c r="O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U986" s="1"/>
      <c r="AW986" s="1"/>
      <c r="AY986" s="1"/>
    </row>
    <row r="987">
      <c r="A987" s="1"/>
      <c r="C987" s="1"/>
      <c r="E987" s="1"/>
      <c r="F987" s="1"/>
      <c r="G987" s="1"/>
      <c r="H987" s="1"/>
      <c r="I987" s="1"/>
      <c r="J987" s="1"/>
      <c r="K987" s="1"/>
      <c r="M987" s="1"/>
      <c r="N987" s="1"/>
      <c r="O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U987" s="1"/>
      <c r="AW987" s="1"/>
      <c r="AY987" s="1"/>
    </row>
    <row r="988">
      <c r="A988" s="1"/>
      <c r="C988" s="1"/>
      <c r="E988" s="1"/>
      <c r="F988" s="1"/>
      <c r="G988" s="1"/>
      <c r="H988" s="1"/>
      <c r="I988" s="1"/>
      <c r="J988" s="1"/>
      <c r="K988" s="1"/>
      <c r="M988" s="1"/>
      <c r="N988" s="1"/>
      <c r="O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U988" s="1"/>
      <c r="AW988" s="1"/>
      <c r="AY988" s="1"/>
    </row>
    <row r="989">
      <c r="A989" s="1"/>
      <c r="C989" s="1"/>
      <c r="E989" s="1"/>
      <c r="F989" s="1"/>
      <c r="G989" s="1"/>
      <c r="H989" s="1"/>
      <c r="I989" s="1"/>
      <c r="J989" s="1"/>
      <c r="K989" s="1"/>
      <c r="M989" s="1"/>
      <c r="N989" s="1"/>
      <c r="O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U989" s="1"/>
      <c r="AW989" s="1"/>
      <c r="AY989" s="1"/>
    </row>
    <row r="990">
      <c r="A990" s="1"/>
      <c r="C990" s="1"/>
      <c r="E990" s="1"/>
      <c r="F990" s="1"/>
      <c r="G990" s="1"/>
      <c r="H990" s="1"/>
      <c r="I990" s="1"/>
      <c r="J990" s="1"/>
      <c r="K990" s="1"/>
      <c r="M990" s="1"/>
      <c r="N990" s="1"/>
      <c r="O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U990" s="1"/>
      <c r="AW990" s="1"/>
      <c r="AY990" s="1"/>
    </row>
    <row r="991">
      <c r="A991" s="1"/>
      <c r="C991" s="1"/>
      <c r="E991" s="1"/>
      <c r="F991" s="1"/>
      <c r="G991" s="1"/>
      <c r="H991" s="1"/>
      <c r="I991" s="1"/>
      <c r="J991" s="1"/>
      <c r="K991" s="1"/>
      <c r="M991" s="1"/>
      <c r="N991" s="1"/>
      <c r="O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P991" s="1"/>
      <c r="AQ991" s="1"/>
      <c r="AR991" s="1"/>
      <c r="AU991" s="1"/>
      <c r="AW991" s="1"/>
      <c r="AY991" s="1"/>
    </row>
    <row r="992">
      <c r="A992" s="1"/>
      <c r="C992" s="1"/>
      <c r="E992" s="1"/>
      <c r="F992" s="1"/>
      <c r="G992" s="1"/>
      <c r="H992" s="1"/>
      <c r="I992" s="1"/>
      <c r="J992" s="1"/>
      <c r="K992" s="1"/>
      <c r="M992" s="1"/>
      <c r="N992" s="1"/>
      <c r="O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P992" s="1"/>
      <c r="AQ992" s="1"/>
      <c r="AR992" s="1"/>
      <c r="AU992" s="1"/>
      <c r="AW992" s="1"/>
      <c r="AY992" s="1"/>
    </row>
    <row r="993">
      <c r="A993" s="1"/>
      <c r="C993" s="1"/>
      <c r="E993" s="1"/>
      <c r="F993" s="1"/>
      <c r="G993" s="1"/>
      <c r="H993" s="1"/>
      <c r="I993" s="1"/>
      <c r="J993" s="1"/>
      <c r="K993" s="1"/>
      <c r="M993" s="1"/>
      <c r="N993" s="1"/>
      <c r="O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P993" s="1"/>
      <c r="AQ993" s="1"/>
      <c r="AR993" s="1"/>
      <c r="AU993" s="1"/>
      <c r="AW993" s="1"/>
      <c r="AY993" s="1"/>
    </row>
    <row r="994">
      <c r="A994" s="1"/>
      <c r="C994" s="1"/>
      <c r="E994" s="1"/>
      <c r="F994" s="1"/>
      <c r="G994" s="1"/>
      <c r="H994" s="1"/>
      <c r="I994" s="1"/>
      <c r="J994" s="1"/>
      <c r="K994" s="1"/>
      <c r="M994" s="1"/>
      <c r="N994" s="1"/>
      <c r="O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P994" s="1"/>
      <c r="AQ994" s="1"/>
      <c r="AR994" s="1"/>
      <c r="AU994" s="1"/>
      <c r="AW994" s="1"/>
      <c r="AY994" s="1"/>
    </row>
    <row r="995">
      <c r="A995" s="1"/>
      <c r="C995" s="1"/>
      <c r="E995" s="1"/>
      <c r="F995" s="1"/>
      <c r="G995" s="1"/>
      <c r="H995" s="1"/>
      <c r="I995" s="1"/>
      <c r="J995" s="1"/>
      <c r="K995" s="1"/>
      <c r="M995" s="1"/>
      <c r="N995" s="1"/>
      <c r="O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P995" s="1"/>
      <c r="AQ995" s="1"/>
      <c r="AR995" s="1"/>
      <c r="AU995" s="1"/>
      <c r="AW995" s="1"/>
      <c r="AY995" s="1"/>
    </row>
    <row r="996">
      <c r="A996" s="1"/>
      <c r="C996" s="1"/>
      <c r="E996" s="1"/>
      <c r="F996" s="1"/>
      <c r="G996" s="1"/>
      <c r="H996" s="1"/>
      <c r="I996" s="1"/>
      <c r="J996" s="1"/>
      <c r="K996" s="1"/>
      <c r="M996" s="1"/>
      <c r="N996" s="1"/>
      <c r="O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P996" s="1"/>
      <c r="AQ996" s="1"/>
      <c r="AR996" s="1"/>
      <c r="AU996" s="1"/>
      <c r="AW996" s="1"/>
      <c r="AY996" s="1"/>
    </row>
    <row r="997">
      <c r="A997" s="1"/>
      <c r="C997" s="1"/>
      <c r="E997" s="1"/>
      <c r="F997" s="1"/>
      <c r="G997" s="1"/>
      <c r="H997" s="1"/>
      <c r="I997" s="1"/>
      <c r="J997" s="1"/>
      <c r="K997" s="1"/>
      <c r="M997" s="1"/>
      <c r="N997" s="1"/>
      <c r="O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P997" s="1"/>
      <c r="AQ997" s="1"/>
      <c r="AR997" s="1"/>
      <c r="AU997" s="1"/>
      <c r="AW997" s="1"/>
      <c r="AY997" s="1"/>
    </row>
    <row r="998">
      <c r="A998" s="1"/>
      <c r="C998" s="1"/>
      <c r="E998" s="1"/>
      <c r="F998" s="1"/>
      <c r="G998" s="1"/>
      <c r="H998" s="1"/>
      <c r="I998" s="1"/>
      <c r="J998" s="1"/>
      <c r="K998" s="1"/>
      <c r="M998" s="1"/>
      <c r="N998" s="1"/>
      <c r="O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P998" s="1"/>
      <c r="AQ998" s="1"/>
      <c r="AR998" s="1"/>
      <c r="AU998" s="1"/>
      <c r="AW998" s="1"/>
      <c r="AY998" s="1"/>
    </row>
    <row r="999">
      <c r="A999" s="1"/>
      <c r="C999" s="1"/>
      <c r="E999" s="1"/>
      <c r="F999" s="1"/>
      <c r="G999" s="1"/>
      <c r="H999" s="1"/>
      <c r="I999" s="1"/>
      <c r="J999" s="1"/>
      <c r="K999" s="1"/>
      <c r="M999" s="1"/>
      <c r="N999" s="1"/>
      <c r="O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P999" s="1"/>
      <c r="AQ999" s="1"/>
      <c r="AR999" s="1"/>
      <c r="AU999" s="1"/>
      <c r="AW999" s="1"/>
      <c r="AY999" s="1"/>
    </row>
    <row r="1000">
      <c r="A1000" s="1"/>
      <c r="C1000" s="1"/>
      <c r="E1000" s="1"/>
      <c r="F1000" s="1"/>
      <c r="G1000" s="1"/>
      <c r="H1000" s="1"/>
      <c r="I1000" s="1"/>
      <c r="J1000" s="1"/>
      <c r="K1000" s="1"/>
      <c r="M1000" s="1"/>
      <c r="N1000" s="1"/>
      <c r="O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P1000" s="1"/>
      <c r="AQ1000" s="1"/>
      <c r="AR1000" s="1"/>
      <c r="AU1000" s="1"/>
      <c r="AW1000" s="1"/>
      <c r="AY1000" s="1"/>
    </row>
    <row r="1001">
      <c r="A1001" s="1"/>
      <c r="C1001" s="1"/>
      <c r="E1001" s="1"/>
      <c r="F1001" s="1"/>
      <c r="G1001" s="1"/>
      <c r="H1001" s="1"/>
      <c r="I1001" s="1"/>
      <c r="J1001" s="1"/>
      <c r="K1001" s="1"/>
      <c r="M1001" s="1"/>
      <c r="N1001" s="1"/>
      <c r="O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P1001" s="1"/>
      <c r="AQ1001" s="1"/>
      <c r="AR1001" s="1"/>
      <c r="AU1001" s="1"/>
      <c r="AW1001" s="1"/>
      <c r="AY1001" s="1"/>
    </row>
    <row r="1002">
      <c r="A1002" s="1"/>
      <c r="C1002" s="1"/>
      <c r="E1002" s="1"/>
      <c r="F1002" s="1"/>
      <c r="G1002" s="1"/>
      <c r="H1002" s="1"/>
      <c r="I1002" s="1"/>
      <c r="J1002" s="1"/>
      <c r="K1002" s="1"/>
      <c r="M1002" s="1"/>
      <c r="N1002" s="1"/>
      <c r="O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P1002" s="1"/>
      <c r="AQ1002" s="1"/>
      <c r="AR1002" s="1"/>
      <c r="AU1002" s="1"/>
      <c r="AW1002" s="1"/>
      <c r="AY1002" s="1"/>
    </row>
    <row r="1003">
      <c r="A1003" s="1"/>
      <c r="C1003" s="1"/>
      <c r="E1003" s="1"/>
      <c r="F1003" s="1"/>
      <c r="G1003" s="1"/>
      <c r="H1003" s="1"/>
      <c r="I1003" s="1"/>
      <c r="J1003" s="1"/>
      <c r="K1003" s="1"/>
      <c r="M1003" s="1"/>
      <c r="N1003" s="1"/>
      <c r="O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P1003" s="1"/>
      <c r="AQ1003" s="1"/>
      <c r="AR1003" s="1"/>
      <c r="AU1003" s="1"/>
      <c r="AW1003" s="1"/>
      <c r="AY1003" s="1"/>
    </row>
    <row r="1004">
      <c r="A1004" s="1"/>
      <c r="C1004" s="1"/>
      <c r="E1004" s="1"/>
      <c r="F1004" s="1"/>
      <c r="G1004" s="1"/>
      <c r="H1004" s="1"/>
      <c r="I1004" s="1"/>
      <c r="J1004" s="1"/>
      <c r="K1004" s="1"/>
      <c r="M1004" s="1"/>
      <c r="N1004" s="1"/>
      <c r="O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P1004" s="1"/>
      <c r="AQ1004" s="1"/>
      <c r="AR1004" s="1"/>
      <c r="AU1004" s="1"/>
      <c r="AW1004" s="1"/>
      <c r="AY1004" s="1"/>
    </row>
    <row r="1005">
      <c r="A1005" s="1"/>
      <c r="C1005" s="1"/>
      <c r="E1005" s="1"/>
      <c r="F1005" s="1"/>
      <c r="G1005" s="1"/>
      <c r="H1005" s="1"/>
      <c r="I1005" s="1"/>
      <c r="J1005" s="1"/>
      <c r="K1005" s="1"/>
      <c r="M1005" s="1"/>
      <c r="N1005" s="1"/>
      <c r="O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P1005" s="1"/>
      <c r="AQ1005" s="1"/>
      <c r="AR1005" s="1"/>
      <c r="AU1005" s="1"/>
      <c r="AW1005" s="1"/>
      <c r="AY1005" s="1"/>
    </row>
    <row r="1006">
      <c r="A1006" s="1"/>
      <c r="C1006" s="1"/>
      <c r="E1006" s="1"/>
      <c r="F1006" s="1"/>
      <c r="G1006" s="1"/>
      <c r="H1006" s="1"/>
      <c r="I1006" s="1"/>
      <c r="J1006" s="1"/>
      <c r="K1006" s="1"/>
      <c r="M1006" s="1"/>
      <c r="N1006" s="1"/>
      <c r="O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P1006" s="1"/>
      <c r="AQ1006" s="1"/>
      <c r="AR1006" s="1"/>
      <c r="AU1006" s="1"/>
      <c r="AW1006" s="1"/>
      <c r="AY1006" s="1"/>
    </row>
    <row r="1007">
      <c r="A1007" s="1"/>
      <c r="C1007" s="1"/>
      <c r="E1007" s="1"/>
      <c r="F1007" s="1"/>
      <c r="G1007" s="1"/>
      <c r="H1007" s="1"/>
      <c r="I1007" s="1"/>
      <c r="J1007" s="1"/>
      <c r="K1007" s="1"/>
      <c r="M1007" s="1"/>
      <c r="N1007" s="1"/>
      <c r="O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P1007" s="1"/>
      <c r="AQ1007" s="1"/>
      <c r="AR1007" s="1"/>
      <c r="AU1007" s="1"/>
      <c r="AW1007" s="1"/>
      <c r="AY1007" s="1"/>
    </row>
    <row r="1008">
      <c r="A1008" s="1"/>
      <c r="C1008" s="1"/>
      <c r="E1008" s="1"/>
      <c r="F1008" s="1"/>
      <c r="G1008" s="1"/>
      <c r="H1008" s="1"/>
      <c r="I1008" s="1"/>
      <c r="J1008" s="1"/>
      <c r="K1008" s="1"/>
      <c r="M1008" s="1"/>
      <c r="N1008" s="1"/>
      <c r="O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P1008" s="1"/>
      <c r="AQ1008" s="1"/>
      <c r="AR1008" s="1"/>
      <c r="AU1008" s="1"/>
      <c r="AW1008" s="1"/>
      <c r="AY1008" s="1"/>
    </row>
    <row r="1009">
      <c r="A1009" s="1"/>
      <c r="C1009" s="1"/>
      <c r="E1009" s="1"/>
      <c r="F1009" s="1"/>
      <c r="G1009" s="1"/>
      <c r="H1009" s="1"/>
      <c r="I1009" s="1"/>
      <c r="J1009" s="1"/>
      <c r="K1009" s="1"/>
      <c r="M1009" s="1"/>
      <c r="N1009" s="1"/>
      <c r="O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P1009" s="1"/>
      <c r="AQ1009" s="1"/>
      <c r="AR1009" s="1"/>
      <c r="AU1009" s="1"/>
      <c r="AW1009" s="1"/>
      <c r="AY1009" s="1"/>
    </row>
    <row r="1010">
      <c r="A1010" s="1"/>
      <c r="C1010" s="1"/>
      <c r="E1010" s="1"/>
      <c r="F1010" s="1"/>
      <c r="G1010" s="1"/>
      <c r="H1010" s="1"/>
      <c r="I1010" s="1"/>
      <c r="J1010" s="1"/>
      <c r="K1010" s="1"/>
      <c r="M1010" s="1"/>
      <c r="N1010" s="1"/>
      <c r="O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P1010" s="1"/>
      <c r="AQ1010" s="1"/>
      <c r="AR1010" s="1"/>
      <c r="AU1010" s="1"/>
      <c r="AW1010" s="1"/>
      <c r="AY1010" s="1"/>
    </row>
    <row r="1011">
      <c r="A1011" s="1"/>
      <c r="C1011" s="1"/>
      <c r="E1011" s="1"/>
      <c r="F1011" s="1"/>
      <c r="G1011" s="1"/>
      <c r="H1011" s="1"/>
      <c r="I1011" s="1"/>
      <c r="J1011" s="1"/>
      <c r="K1011" s="1"/>
      <c r="M1011" s="1"/>
      <c r="N1011" s="1"/>
      <c r="O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P1011" s="1"/>
      <c r="AQ1011" s="1"/>
      <c r="AR1011" s="1"/>
      <c r="AU1011" s="1"/>
      <c r="AW1011" s="1"/>
      <c r="AY1011" s="1"/>
    </row>
    <row r="1012">
      <c r="A1012" s="1"/>
      <c r="C1012" s="1"/>
      <c r="E1012" s="1"/>
      <c r="F1012" s="1"/>
      <c r="G1012" s="1"/>
      <c r="H1012" s="1"/>
      <c r="I1012" s="1"/>
      <c r="J1012" s="1"/>
      <c r="K1012" s="1"/>
      <c r="M1012" s="1"/>
      <c r="N1012" s="1"/>
      <c r="O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P1012" s="1"/>
      <c r="AQ1012" s="1"/>
      <c r="AR1012" s="1"/>
      <c r="AU1012" s="1"/>
      <c r="AW1012" s="1"/>
      <c r="AY1012" s="1"/>
    </row>
    <row r="1013">
      <c r="A1013" s="1"/>
      <c r="C1013" s="1"/>
      <c r="E1013" s="1"/>
      <c r="F1013" s="1"/>
      <c r="G1013" s="1"/>
      <c r="H1013" s="1"/>
      <c r="I1013" s="1"/>
      <c r="J1013" s="1"/>
      <c r="K1013" s="1"/>
      <c r="M1013" s="1"/>
      <c r="N1013" s="1"/>
      <c r="O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P1013" s="1"/>
      <c r="AQ1013" s="1"/>
      <c r="AR1013" s="1"/>
      <c r="AU1013" s="1"/>
      <c r="AW1013" s="1"/>
      <c r="AY1013" s="1"/>
    </row>
    <row r="1014">
      <c r="A1014" s="1"/>
      <c r="C1014" s="1"/>
      <c r="E1014" s="1"/>
      <c r="F1014" s="1"/>
      <c r="G1014" s="1"/>
      <c r="H1014" s="1"/>
      <c r="I1014" s="1"/>
      <c r="J1014" s="1"/>
      <c r="K1014" s="1"/>
      <c r="M1014" s="1"/>
      <c r="N1014" s="1"/>
      <c r="O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P1014" s="1"/>
      <c r="AQ1014" s="1"/>
      <c r="AR1014" s="1"/>
      <c r="AU1014" s="1"/>
      <c r="AW1014" s="1"/>
      <c r="AY1014" s="1"/>
    </row>
    <row r="1015">
      <c r="A1015" s="1"/>
      <c r="C1015" s="1"/>
      <c r="E1015" s="1"/>
      <c r="F1015" s="1"/>
      <c r="G1015" s="1"/>
      <c r="H1015" s="1"/>
      <c r="I1015" s="1"/>
      <c r="J1015" s="1"/>
      <c r="K1015" s="1"/>
      <c r="M1015" s="1"/>
      <c r="N1015" s="1"/>
      <c r="O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P1015" s="1"/>
      <c r="AQ1015" s="1"/>
      <c r="AR1015" s="1"/>
      <c r="AU1015" s="1"/>
      <c r="AW1015" s="1"/>
      <c r="AY1015" s="1"/>
    </row>
    <row r="1016">
      <c r="A1016" s="1"/>
      <c r="C1016" s="1"/>
      <c r="E1016" s="1"/>
      <c r="F1016" s="1"/>
      <c r="G1016" s="1"/>
      <c r="H1016" s="1"/>
      <c r="I1016" s="1"/>
      <c r="J1016" s="1"/>
      <c r="K1016" s="1"/>
      <c r="M1016" s="1"/>
      <c r="N1016" s="1"/>
      <c r="O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P1016" s="1"/>
      <c r="AQ1016" s="1"/>
      <c r="AR1016" s="1"/>
      <c r="AU1016" s="1"/>
      <c r="AW1016" s="1"/>
      <c r="AY1016" s="1"/>
    </row>
    <row r="1017">
      <c r="A1017" s="1"/>
      <c r="C1017" s="1"/>
      <c r="E1017" s="1"/>
      <c r="F1017" s="1"/>
      <c r="G1017" s="1"/>
      <c r="H1017" s="1"/>
      <c r="I1017" s="1"/>
      <c r="J1017" s="1"/>
      <c r="K1017" s="1"/>
      <c r="M1017" s="1"/>
      <c r="N1017" s="1"/>
      <c r="O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P1017" s="1"/>
      <c r="AQ1017" s="1"/>
      <c r="AR1017" s="1"/>
      <c r="AU1017" s="1"/>
      <c r="AW1017" s="1"/>
      <c r="AY1017" s="1"/>
    </row>
    <row r="1018">
      <c r="A1018" s="1"/>
      <c r="C1018" s="1"/>
      <c r="E1018" s="1"/>
      <c r="F1018" s="1"/>
      <c r="G1018" s="1"/>
      <c r="H1018" s="1"/>
      <c r="I1018" s="1"/>
      <c r="J1018" s="1"/>
      <c r="K1018" s="1"/>
      <c r="M1018" s="1"/>
      <c r="N1018" s="1"/>
      <c r="O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P1018" s="1"/>
      <c r="AQ1018" s="1"/>
      <c r="AR1018" s="1"/>
      <c r="AU1018" s="1"/>
      <c r="AW1018" s="1"/>
      <c r="AY1018" s="1"/>
    </row>
    <row r="1019">
      <c r="A1019" s="1"/>
      <c r="C1019" s="1"/>
      <c r="E1019" s="1"/>
      <c r="F1019" s="1"/>
      <c r="G1019" s="1"/>
      <c r="H1019" s="1"/>
      <c r="I1019" s="1"/>
      <c r="J1019" s="1"/>
      <c r="K1019" s="1"/>
      <c r="M1019" s="1"/>
      <c r="N1019" s="1"/>
      <c r="O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P1019" s="1"/>
      <c r="AQ1019" s="1"/>
      <c r="AR1019" s="1"/>
      <c r="AU1019" s="1"/>
      <c r="AW1019" s="1"/>
      <c r="AY1019" s="1"/>
    </row>
    <row r="1020">
      <c r="A1020" s="1"/>
      <c r="C1020" s="1"/>
      <c r="E1020" s="1"/>
      <c r="F1020" s="1"/>
      <c r="G1020" s="1"/>
      <c r="H1020" s="1"/>
      <c r="I1020" s="1"/>
      <c r="J1020" s="1"/>
      <c r="K1020" s="1"/>
      <c r="M1020" s="1"/>
      <c r="N1020" s="1"/>
      <c r="O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P1020" s="1"/>
      <c r="AQ1020" s="1"/>
      <c r="AR1020" s="1"/>
      <c r="AU1020" s="1"/>
      <c r="AW1020" s="1"/>
      <c r="AY1020" s="1"/>
    </row>
    <row r="1021">
      <c r="A1021" s="1"/>
      <c r="C1021" s="1"/>
      <c r="E1021" s="1"/>
      <c r="F1021" s="1"/>
      <c r="G1021" s="1"/>
      <c r="H1021" s="1"/>
      <c r="I1021" s="1"/>
      <c r="J1021" s="1"/>
      <c r="K1021" s="1"/>
      <c r="M1021" s="1"/>
      <c r="N1021" s="1"/>
      <c r="O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P1021" s="1"/>
      <c r="AQ1021" s="1"/>
      <c r="AR1021" s="1"/>
      <c r="AU1021" s="1"/>
      <c r="AW1021" s="1"/>
      <c r="AY1021" s="1"/>
    </row>
    <row r="1022">
      <c r="A1022" s="1"/>
      <c r="C1022" s="1"/>
      <c r="E1022" s="1"/>
      <c r="F1022" s="1"/>
      <c r="G1022" s="1"/>
      <c r="H1022" s="1"/>
      <c r="I1022" s="1"/>
      <c r="J1022" s="1"/>
      <c r="K1022" s="1"/>
      <c r="M1022" s="1"/>
      <c r="N1022" s="1"/>
      <c r="O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P1022" s="1"/>
      <c r="AQ1022" s="1"/>
      <c r="AR1022" s="1"/>
      <c r="AU1022" s="1"/>
      <c r="AW1022" s="1"/>
      <c r="AY1022" s="1"/>
    </row>
    <row r="1023">
      <c r="A1023" s="1"/>
      <c r="C1023" s="1"/>
      <c r="E1023" s="1"/>
      <c r="F1023" s="1"/>
      <c r="G1023" s="1"/>
      <c r="H1023" s="1"/>
      <c r="I1023" s="1"/>
      <c r="J1023" s="1"/>
      <c r="K1023" s="1"/>
      <c r="M1023" s="1"/>
      <c r="N1023" s="1"/>
      <c r="O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P1023" s="1"/>
      <c r="AQ1023" s="1"/>
      <c r="AR1023" s="1"/>
      <c r="AU1023" s="1"/>
      <c r="AW1023" s="1"/>
      <c r="AY1023" s="1"/>
    </row>
    <row r="1024">
      <c r="A1024" s="1"/>
      <c r="C1024" s="1"/>
      <c r="E1024" s="1"/>
      <c r="F1024" s="1"/>
      <c r="G1024" s="1"/>
      <c r="H1024" s="1"/>
      <c r="I1024" s="1"/>
      <c r="J1024" s="1"/>
      <c r="K1024" s="1"/>
      <c r="M1024" s="1"/>
      <c r="N1024" s="1"/>
      <c r="O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P1024" s="1"/>
      <c r="AQ1024" s="1"/>
      <c r="AR1024" s="1"/>
      <c r="AU1024" s="1"/>
      <c r="AW1024" s="1"/>
      <c r="AY1024" s="1"/>
    </row>
    <row r="1025">
      <c r="A1025" s="1"/>
      <c r="C1025" s="1"/>
      <c r="E1025" s="1"/>
      <c r="F1025" s="1"/>
      <c r="G1025" s="1"/>
      <c r="H1025" s="1"/>
      <c r="I1025" s="1"/>
      <c r="J1025" s="1"/>
      <c r="K1025" s="1"/>
      <c r="M1025" s="1"/>
      <c r="N1025" s="1"/>
      <c r="O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P1025" s="1"/>
      <c r="AQ1025" s="1"/>
      <c r="AR1025" s="1"/>
      <c r="AU1025" s="1"/>
      <c r="AW1025" s="1"/>
      <c r="AY1025" s="1"/>
    </row>
    <row r="1026">
      <c r="A1026" s="1"/>
      <c r="C1026" s="1"/>
      <c r="E1026" s="1"/>
      <c r="F1026" s="1"/>
      <c r="G1026" s="1"/>
      <c r="H1026" s="1"/>
      <c r="I1026" s="1"/>
      <c r="J1026" s="1"/>
      <c r="K1026" s="1"/>
      <c r="M1026" s="1"/>
      <c r="N1026" s="1"/>
      <c r="O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P1026" s="1"/>
      <c r="AQ1026" s="1"/>
      <c r="AR1026" s="1"/>
      <c r="AU1026" s="1"/>
      <c r="AW1026" s="1"/>
      <c r="AY1026" s="1"/>
    </row>
    <row r="1027">
      <c r="A1027" s="1"/>
      <c r="C1027" s="1"/>
      <c r="E1027" s="1"/>
      <c r="F1027" s="1"/>
      <c r="G1027" s="1"/>
      <c r="H1027" s="1"/>
      <c r="I1027" s="1"/>
      <c r="J1027" s="1"/>
      <c r="K1027" s="1"/>
      <c r="M1027" s="1"/>
      <c r="N1027" s="1"/>
      <c r="O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P1027" s="1"/>
      <c r="AQ1027" s="1"/>
      <c r="AR1027" s="1"/>
      <c r="AU1027" s="1"/>
      <c r="AW1027" s="1"/>
      <c r="AY1027" s="1"/>
    </row>
    <row r="1028">
      <c r="A1028" s="1"/>
      <c r="C1028" s="1"/>
      <c r="E1028" s="1"/>
      <c r="F1028" s="1"/>
      <c r="G1028" s="1"/>
      <c r="H1028" s="1"/>
      <c r="I1028" s="1"/>
      <c r="J1028" s="1"/>
      <c r="K1028" s="1"/>
      <c r="M1028" s="1"/>
      <c r="N1028" s="1"/>
      <c r="O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P1028" s="1"/>
      <c r="AQ1028" s="1"/>
      <c r="AR1028" s="1"/>
      <c r="AU1028" s="1"/>
      <c r="AW1028" s="1"/>
      <c r="AY1028" s="1"/>
    </row>
    <row r="1029">
      <c r="A1029" s="1"/>
      <c r="C1029" s="1"/>
      <c r="E1029" s="1"/>
      <c r="F1029" s="1"/>
      <c r="G1029" s="1"/>
      <c r="H1029" s="1"/>
      <c r="I1029" s="1"/>
      <c r="J1029" s="1"/>
      <c r="K1029" s="1"/>
      <c r="M1029" s="1"/>
      <c r="N1029" s="1"/>
      <c r="O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P1029" s="1"/>
      <c r="AQ1029" s="1"/>
      <c r="AR1029" s="1"/>
      <c r="AU1029" s="1"/>
      <c r="AW1029" s="1"/>
      <c r="AY1029" s="1"/>
    </row>
    <row r="1030">
      <c r="A1030" s="1"/>
      <c r="C1030" s="1"/>
      <c r="E1030" s="1"/>
      <c r="F1030" s="1"/>
      <c r="G1030" s="1"/>
      <c r="H1030" s="1"/>
      <c r="I1030" s="1"/>
      <c r="J1030" s="1"/>
      <c r="K1030" s="1"/>
      <c r="M1030" s="1"/>
      <c r="N1030" s="1"/>
      <c r="O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P1030" s="1"/>
      <c r="AQ1030" s="1"/>
      <c r="AR1030" s="1"/>
      <c r="AU1030" s="1"/>
      <c r="AW1030" s="1"/>
      <c r="AY1030" s="1"/>
    </row>
    <row r="1031">
      <c r="A1031" s="1"/>
      <c r="C1031" s="1"/>
      <c r="E1031" s="1"/>
      <c r="F1031" s="1"/>
      <c r="G1031" s="1"/>
      <c r="H1031" s="1"/>
      <c r="I1031" s="1"/>
      <c r="J1031" s="1"/>
      <c r="K1031" s="1"/>
      <c r="M1031" s="1"/>
      <c r="N1031" s="1"/>
      <c r="O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P1031" s="1"/>
      <c r="AQ1031" s="1"/>
      <c r="AR1031" s="1"/>
      <c r="AU1031" s="1"/>
      <c r="AW1031" s="1"/>
      <c r="AY1031" s="1"/>
    </row>
    <row r="1032">
      <c r="A1032" s="1"/>
      <c r="C1032" s="1"/>
      <c r="E1032" s="1"/>
      <c r="F1032" s="1"/>
      <c r="G1032" s="1"/>
      <c r="H1032" s="1"/>
      <c r="I1032" s="1"/>
      <c r="J1032" s="1"/>
      <c r="K1032" s="1"/>
      <c r="M1032" s="1"/>
      <c r="N1032" s="1"/>
      <c r="O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P1032" s="1"/>
      <c r="AQ1032" s="1"/>
      <c r="AR1032" s="1"/>
      <c r="AU1032" s="1"/>
      <c r="AW1032" s="1"/>
      <c r="AY1032" s="1"/>
    </row>
    <row r="1033">
      <c r="A1033" s="1"/>
      <c r="C1033" s="1"/>
      <c r="E1033" s="1"/>
      <c r="F1033" s="1"/>
      <c r="G1033" s="1"/>
      <c r="H1033" s="1"/>
      <c r="I1033" s="1"/>
      <c r="J1033" s="1"/>
      <c r="K1033" s="1"/>
      <c r="M1033" s="1"/>
      <c r="N1033" s="1"/>
      <c r="O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P1033" s="1"/>
      <c r="AQ1033" s="1"/>
      <c r="AR1033" s="1"/>
      <c r="AU1033" s="1"/>
      <c r="AW1033" s="1"/>
      <c r="AY1033" s="1"/>
    </row>
    <row r="1034">
      <c r="A1034" s="1"/>
      <c r="C1034" s="1"/>
      <c r="E1034" s="1"/>
      <c r="F1034" s="1"/>
      <c r="G1034" s="1"/>
      <c r="H1034" s="1"/>
      <c r="I1034" s="1"/>
      <c r="J1034" s="1"/>
      <c r="K1034" s="1"/>
      <c r="M1034" s="1"/>
      <c r="N1034" s="1"/>
      <c r="O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P1034" s="1"/>
      <c r="AQ1034" s="1"/>
      <c r="AR1034" s="1"/>
      <c r="AU1034" s="1"/>
      <c r="AW1034" s="1"/>
      <c r="AY1034" s="1"/>
    </row>
    <row r="1035">
      <c r="A1035" s="1"/>
      <c r="C1035" s="1"/>
      <c r="E1035" s="1"/>
      <c r="F1035" s="1"/>
      <c r="G1035" s="1"/>
      <c r="H1035" s="1"/>
      <c r="I1035" s="1"/>
      <c r="J1035" s="1"/>
      <c r="K1035" s="1"/>
      <c r="M1035" s="1"/>
      <c r="N1035" s="1"/>
      <c r="O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P1035" s="1"/>
      <c r="AQ1035" s="1"/>
      <c r="AR1035" s="1"/>
      <c r="AU1035" s="1"/>
      <c r="AW1035" s="1"/>
      <c r="AY1035" s="1"/>
    </row>
    <row r="1036">
      <c r="A1036" s="1"/>
      <c r="C1036" s="1"/>
      <c r="E1036" s="1"/>
      <c r="F1036" s="1"/>
      <c r="G1036" s="1"/>
      <c r="H1036" s="1"/>
      <c r="I1036" s="1"/>
      <c r="J1036" s="1"/>
      <c r="K1036" s="1"/>
      <c r="M1036" s="1"/>
      <c r="N1036" s="1"/>
      <c r="O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P1036" s="1"/>
      <c r="AQ1036" s="1"/>
      <c r="AR1036" s="1"/>
      <c r="AU1036" s="1"/>
      <c r="AW1036" s="1"/>
      <c r="AY1036" s="1"/>
    </row>
    <row r="1037">
      <c r="A1037" s="1"/>
      <c r="C1037" s="1"/>
      <c r="E1037" s="1"/>
      <c r="F1037" s="1"/>
      <c r="G1037" s="1"/>
      <c r="H1037" s="1"/>
      <c r="I1037" s="1"/>
      <c r="J1037" s="1"/>
      <c r="K1037" s="1"/>
      <c r="M1037" s="1"/>
      <c r="N1037" s="1"/>
      <c r="O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P1037" s="1"/>
      <c r="AQ1037" s="1"/>
      <c r="AR1037" s="1"/>
      <c r="AU1037" s="1"/>
      <c r="AW1037" s="1"/>
      <c r="AY1037" s="1"/>
    </row>
    <row r="1038">
      <c r="A1038" s="1"/>
      <c r="C1038" s="1"/>
      <c r="E1038" s="1"/>
      <c r="F1038" s="1"/>
      <c r="G1038" s="1"/>
      <c r="H1038" s="1"/>
      <c r="I1038" s="1"/>
      <c r="J1038" s="1"/>
      <c r="K1038" s="1"/>
      <c r="M1038" s="1"/>
      <c r="N1038" s="1"/>
      <c r="O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P1038" s="1"/>
      <c r="AQ1038" s="1"/>
      <c r="AR1038" s="1"/>
      <c r="AU1038" s="1"/>
      <c r="AW1038" s="1"/>
      <c r="AY1038" s="1"/>
    </row>
    <row r="1039">
      <c r="A1039" s="1"/>
      <c r="C1039" s="1"/>
      <c r="E1039" s="1"/>
      <c r="F1039" s="1"/>
      <c r="G1039" s="1"/>
      <c r="H1039" s="1"/>
      <c r="I1039" s="1"/>
      <c r="J1039" s="1"/>
      <c r="K1039" s="1"/>
      <c r="M1039" s="1"/>
      <c r="N1039" s="1"/>
      <c r="O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P1039" s="1"/>
      <c r="AQ1039" s="1"/>
      <c r="AR1039" s="1"/>
      <c r="AU1039" s="1"/>
      <c r="AW1039" s="1"/>
      <c r="AY1039" s="1"/>
    </row>
    <row r="1040">
      <c r="A1040" s="1"/>
      <c r="C1040" s="1"/>
      <c r="E1040" s="1"/>
      <c r="F1040" s="1"/>
      <c r="G1040" s="1"/>
      <c r="H1040" s="1"/>
      <c r="I1040" s="1"/>
      <c r="J1040" s="1"/>
      <c r="K1040" s="1"/>
      <c r="M1040" s="1"/>
      <c r="N1040" s="1"/>
      <c r="O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P1040" s="1"/>
      <c r="AQ1040" s="1"/>
      <c r="AR1040" s="1"/>
      <c r="AU1040" s="1"/>
      <c r="AW1040" s="1"/>
      <c r="AY1040" s="1"/>
    </row>
    <row r="1041">
      <c r="A1041" s="1"/>
      <c r="C1041" s="1"/>
      <c r="E1041" s="1"/>
      <c r="F1041" s="1"/>
      <c r="G1041" s="1"/>
      <c r="H1041" s="1"/>
      <c r="I1041" s="1"/>
      <c r="J1041" s="1"/>
      <c r="K1041" s="1"/>
      <c r="M1041" s="1"/>
      <c r="N1041" s="1"/>
      <c r="O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P1041" s="1"/>
      <c r="AQ1041" s="1"/>
      <c r="AR1041" s="1"/>
      <c r="AU1041" s="1"/>
      <c r="AW1041" s="1"/>
      <c r="AY1041" s="1"/>
    </row>
    <row r="1042">
      <c r="A1042" s="1"/>
      <c r="C1042" s="1"/>
      <c r="E1042" s="1"/>
      <c r="F1042" s="1"/>
      <c r="G1042" s="1"/>
      <c r="H1042" s="1"/>
      <c r="I1042" s="1"/>
      <c r="J1042" s="1"/>
      <c r="K1042" s="1"/>
      <c r="M1042" s="1"/>
      <c r="N1042" s="1"/>
      <c r="O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P1042" s="1"/>
      <c r="AQ1042" s="1"/>
      <c r="AR1042" s="1"/>
      <c r="AU1042" s="1"/>
      <c r="AW1042" s="1"/>
      <c r="AY1042" s="1"/>
    </row>
    <row r="1043">
      <c r="A1043" s="1"/>
      <c r="C1043" s="1"/>
      <c r="E1043" s="1"/>
      <c r="F1043" s="1"/>
      <c r="G1043" s="1"/>
      <c r="H1043" s="1"/>
      <c r="I1043" s="1"/>
      <c r="J1043" s="1"/>
      <c r="K1043" s="1"/>
      <c r="M1043" s="1"/>
      <c r="N1043" s="1"/>
      <c r="O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P1043" s="1"/>
      <c r="AQ1043" s="1"/>
      <c r="AR1043" s="1"/>
      <c r="AU1043" s="1"/>
      <c r="AW1043" s="1"/>
      <c r="AY1043" s="1"/>
    </row>
    <row r="1044">
      <c r="A1044" s="1"/>
      <c r="C1044" s="1"/>
      <c r="E1044" s="1"/>
      <c r="F1044" s="1"/>
      <c r="G1044" s="1"/>
      <c r="H1044" s="1"/>
      <c r="I1044" s="1"/>
      <c r="J1044" s="1"/>
      <c r="K1044" s="1"/>
      <c r="M1044" s="1"/>
      <c r="N1044" s="1"/>
      <c r="O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P1044" s="1"/>
      <c r="AQ1044" s="1"/>
      <c r="AR1044" s="1"/>
      <c r="AU1044" s="1"/>
      <c r="AW1044" s="1"/>
      <c r="AY1044" s="1"/>
    </row>
    <row r="1045">
      <c r="A1045" s="1"/>
      <c r="C1045" s="1"/>
      <c r="E1045" s="1"/>
      <c r="F1045" s="1"/>
      <c r="G1045" s="1"/>
      <c r="H1045" s="1"/>
      <c r="I1045" s="1"/>
      <c r="J1045" s="1"/>
      <c r="K1045" s="1"/>
      <c r="M1045" s="1"/>
      <c r="N1045" s="1"/>
      <c r="O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P1045" s="1"/>
      <c r="AQ1045" s="1"/>
      <c r="AR1045" s="1"/>
      <c r="AU1045" s="1"/>
      <c r="AW1045" s="1"/>
      <c r="AY1045" s="1"/>
    </row>
    <row r="1046">
      <c r="A1046" s="1"/>
      <c r="C1046" s="1"/>
      <c r="E1046" s="1"/>
      <c r="F1046" s="1"/>
      <c r="G1046" s="1"/>
      <c r="H1046" s="1"/>
      <c r="I1046" s="1"/>
      <c r="J1046" s="1"/>
      <c r="K1046" s="1"/>
      <c r="M1046" s="1"/>
      <c r="N1046" s="1"/>
      <c r="O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P1046" s="1"/>
      <c r="AQ1046" s="1"/>
      <c r="AR1046" s="1"/>
      <c r="AU1046" s="1"/>
      <c r="AW1046" s="1"/>
      <c r="AY1046" s="1"/>
    </row>
    <row r="1047">
      <c r="A1047" s="1"/>
      <c r="C1047" s="1"/>
      <c r="E1047" s="1"/>
      <c r="F1047" s="1"/>
      <c r="G1047" s="1"/>
      <c r="H1047" s="1"/>
      <c r="I1047" s="1"/>
      <c r="J1047" s="1"/>
      <c r="K1047" s="1"/>
      <c r="M1047" s="1"/>
      <c r="N1047" s="1"/>
      <c r="O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P1047" s="1"/>
      <c r="AQ1047" s="1"/>
      <c r="AR1047" s="1"/>
      <c r="AU1047" s="1"/>
      <c r="AW1047" s="1"/>
      <c r="AY1047" s="1"/>
    </row>
    <row r="1048">
      <c r="A1048" s="1"/>
      <c r="C1048" s="1"/>
      <c r="E1048" s="1"/>
      <c r="F1048" s="1"/>
      <c r="G1048" s="1"/>
      <c r="H1048" s="1"/>
      <c r="I1048" s="1"/>
      <c r="J1048" s="1"/>
      <c r="K1048" s="1"/>
      <c r="M1048" s="1"/>
      <c r="N1048" s="1"/>
      <c r="O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P1048" s="1"/>
      <c r="AQ1048" s="1"/>
      <c r="AR1048" s="1"/>
      <c r="AU1048" s="1"/>
      <c r="AW1048" s="1"/>
      <c r="AY1048" s="1"/>
    </row>
    <row r="1049">
      <c r="A1049" s="1"/>
      <c r="C1049" s="1"/>
      <c r="E1049" s="1"/>
      <c r="F1049" s="1"/>
      <c r="G1049" s="1"/>
      <c r="H1049" s="1"/>
      <c r="I1049" s="1"/>
      <c r="J1049" s="1"/>
      <c r="K1049" s="1"/>
      <c r="M1049" s="1"/>
      <c r="N1049" s="1"/>
      <c r="O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P1049" s="1"/>
      <c r="AQ1049" s="1"/>
      <c r="AR1049" s="1"/>
      <c r="AU1049" s="1"/>
      <c r="AW1049" s="1"/>
      <c r="AY1049" s="1"/>
    </row>
    <row r="1050">
      <c r="A1050" s="1"/>
      <c r="C1050" s="1"/>
      <c r="E1050" s="1"/>
      <c r="F1050" s="1"/>
      <c r="G1050" s="1"/>
      <c r="H1050" s="1"/>
      <c r="I1050" s="1"/>
      <c r="J1050" s="1"/>
      <c r="K1050" s="1"/>
      <c r="M1050" s="1"/>
      <c r="N1050" s="1"/>
      <c r="O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P1050" s="1"/>
      <c r="AQ1050" s="1"/>
      <c r="AR1050" s="1"/>
      <c r="AU1050" s="1"/>
      <c r="AW1050" s="1"/>
      <c r="AY1050" s="1"/>
    </row>
    <row r="1051">
      <c r="A1051" s="1"/>
      <c r="C1051" s="1"/>
      <c r="E1051" s="1"/>
      <c r="F1051" s="1"/>
      <c r="G1051" s="1"/>
      <c r="H1051" s="1"/>
      <c r="I1051" s="1"/>
      <c r="J1051" s="1"/>
      <c r="K1051" s="1"/>
      <c r="M1051" s="1"/>
      <c r="N1051" s="1"/>
      <c r="O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P1051" s="1"/>
      <c r="AQ1051" s="1"/>
      <c r="AR1051" s="1"/>
      <c r="AU1051" s="1"/>
      <c r="AW1051" s="1"/>
      <c r="AY1051" s="1"/>
    </row>
    <row r="1052">
      <c r="A1052" s="1"/>
      <c r="C1052" s="1"/>
      <c r="E1052" s="1"/>
      <c r="F1052" s="1"/>
      <c r="G1052" s="1"/>
      <c r="H1052" s="1"/>
      <c r="I1052" s="1"/>
      <c r="J1052" s="1"/>
      <c r="K1052" s="1"/>
      <c r="M1052" s="1"/>
      <c r="N1052" s="1"/>
      <c r="O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P1052" s="1"/>
      <c r="AQ1052" s="1"/>
      <c r="AR1052" s="1"/>
      <c r="AU1052" s="1"/>
      <c r="AW1052" s="1"/>
      <c r="AY1052" s="1"/>
    </row>
    <row r="1053">
      <c r="A1053" s="1"/>
      <c r="C1053" s="1"/>
      <c r="E1053" s="1"/>
      <c r="F1053" s="1"/>
      <c r="G1053" s="1"/>
      <c r="H1053" s="1"/>
      <c r="I1053" s="1"/>
      <c r="J1053" s="1"/>
      <c r="K1053" s="1"/>
      <c r="M1053" s="1"/>
      <c r="N1053" s="1"/>
      <c r="O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P1053" s="1"/>
      <c r="AQ1053" s="1"/>
      <c r="AR1053" s="1"/>
      <c r="AU1053" s="1"/>
      <c r="AW1053" s="1"/>
      <c r="AY1053" s="1"/>
    </row>
    <row r="1054">
      <c r="A1054" s="1"/>
      <c r="C1054" s="1"/>
      <c r="E1054" s="1"/>
      <c r="F1054" s="1"/>
      <c r="G1054" s="1"/>
      <c r="H1054" s="1"/>
      <c r="I1054" s="1"/>
      <c r="J1054" s="1"/>
      <c r="K1054" s="1"/>
      <c r="M1054" s="1"/>
      <c r="N1054" s="1"/>
      <c r="O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P1054" s="1"/>
      <c r="AQ1054" s="1"/>
      <c r="AR1054" s="1"/>
      <c r="AU1054" s="1"/>
      <c r="AW1054" s="1"/>
      <c r="AY1054" s="1"/>
    </row>
    <row r="1055">
      <c r="A1055" s="1"/>
      <c r="C1055" s="1"/>
      <c r="E1055" s="1"/>
      <c r="F1055" s="1"/>
      <c r="G1055" s="1"/>
      <c r="H1055" s="1"/>
      <c r="I1055" s="1"/>
      <c r="J1055" s="1"/>
      <c r="K1055" s="1"/>
      <c r="M1055" s="1"/>
      <c r="N1055" s="1"/>
      <c r="O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P1055" s="1"/>
      <c r="AQ1055" s="1"/>
      <c r="AR1055" s="1"/>
      <c r="AU1055" s="1"/>
      <c r="AW1055" s="1"/>
      <c r="AY1055" s="1"/>
    </row>
    <row r="1056">
      <c r="A1056" s="1"/>
      <c r="C1056" s="1"/>
      <c r="E1056" s="1"/>
      <c r="F1056" s="1"/>
      <c r="G1056" s="1"/>
      <c r="H1056" s="1"/>
      <c r="I1056" s="1"/>
      <c r="J1056" s="1"/>
      <c r="K1056" s="1"/>
      <c r="M1056" s="1"/>
      <c r="N1056" s="1"/>
      <c r="O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P1056" s="1"/>
      <c r="AQ1056" s="1"/>
      <c r="AR1056" s="1"/>
      <c r="AU1056" s="1"/>
      <c r="AW1056" s="1"/>
      <c r="AY1056" s="1"/>
    </row>
    <row r="1057">
      <c r="A1057" s="1"/>
      <c r="C1057" s="1"/>
      <c r="E1057" s="1"/>
      <c r="F1057" s="1"/>
      <c r="G1057" s="1"/>
      <c r="H1057" s="1"/>
      <c r="I1057" s="1"/>
      <c r="J1057" s="1"/>
      <c r="K1057" s="1"/>
      <c r="M1057" s="1"/>
      <c r="N1057" s="1"/>
      <c r="O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P1057" s="1"/>
      <c r="AQ1057" s="1"/>
      <c r="AR1057" s="1"/>
      <c r="AU1057" s="1"/>
      <c r="AW1057" s="1"/>
      <c r="AY1057" s="1"/>
    </row>
    <row r="1058">
      <c r="A1058" s="1"/>
      <c r="C1058" s="1"/>
      <c r="E1058" s="1"/>
      <c r="F1058" s="1"/>
      <c r="G1058" s="1"/>
      <c r="H1058" s="1"/>
      <c r="I1058" s="1"/>
      <c r="J1058" s="1"/>
      <c r="K1058" s="1"/>
      <c r="M1058" s="1"/>
      <c r="N1058" s="1"/>
      <c r="O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P1058" s="1"/>
      <c r="AQ1058" s="1"/>
      <c r="AR1058" s="1"/>
      <c r="AU1058" s="1"/>
      <c r="AW1058" s="1"/>
      <c r="AY1058" s="1"/>
    </row>
    <row r="1059">
      <c r="A1059" s="1"/>
      <c r="C1059" s="1"/>
      <c r="E1059" s="1"/>
      <c r="F1059" s="1"/>
      <c r="G1059" s="1"/>
      <c r="H1059" s="1"/>
      <c r="I1059" s="1"/>
      <c r="J1059" s="1"/>
      <c r="K1059" s="1"/>
      <c r="M1059" s="1"/>
      <c r="N1059" s="1"/>
      <c r="O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P1059" s="1"/>
      <c r="AQ1059" s="1"/>
      <c r="AR1059" s="1"/>
      <c r="AU1059" s="1"/>
      <c r="AW1059" s="1"/>
      <c r="AY1059" s="1"/>
    </row>
    <row r="1060">
      <c r="A1060" s="1"/>
      <c r="C1060" s="1"/>
      <c r="E1060" s="1"/>
      <c r="F1060" s="1"/>
      <c r="G1060" s="1"/>
      <c r="H1060" s="1"/>
      <c r="I1060" s="1"/>
      <c r="J1060" s="1"/>
      <c r="K1060" s="1"/>
      <c r="M1060" s="1"/>
      <c r="N1060" s="1"/>
      <c r="O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P1060" s="1"/>
      <c r="AQ1060" s="1"/>
      <c r="AR1060" s="1"/>
      <c r="AU1060" s="1"/>
      <c r="AW1060" s="1"/>
      <c r="AY1060" s="1"/>
    </row>
    <row r="1061">
      <c r="A1061" s="1"/>
      <c r="C1061" s="1"/>
      <c r="E1061" s="1"/>
      <c r="F1061" s="1"/>
      <c r="G1061" s="1"/>
      <c r="H1061" s="1"/>
      <c r="I1061" s="1"/>
      <c r="J1061" s="1"/>
      <c r="K1061" s="1"/>
      <c r="M1061" s="1"/>
      <c r="N1061" s="1"/>
      <c r="O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P1061" s="1"/>
      <c r="AQ1061" s="1"/>
      <c r="AR1061" s="1"/>
      <c r="AU1061" s="1"/>
      <c r="AW1061" s="1"/>
      <c r="AY1061" s="1"/>
    </row>
    <row r="1062">
      <c r="A1062" s="1"/>
      <c r="C1062" s="1"/>
      <c r="E1062" s="1"/>
      <c r="F1062" s="1"/>
      <c r="G1062" s="1"/>
      <c r="H1062" s="1"/>
      <c r="I1062" s="1"/>
      <c r="J1062" s="1"/>
      <c r="K1062" s="1"/>
      <c r="M1062" s="1"/>
      <c r="N1062" s="1"/>
      <c r="O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P1062" s="1"/>
      <c r="AQ1062" s="1"/>
      <c r="AR1062" s="1"/>
      <c r="AU1062" s="1"/>
      <c r="AW1062" s="1"/>
      <c r="AY1062" s="1"/>
    </row>
    <row r="1063">
      <c r="A1063" s="1"/>
      <c r="C1063" s="1"/>
      <c r="E1063" s="1"/>
      <c r="F1063" s="1"/>
      <c r="G1063" s="1"/>
      <c r="H1063" s="1"/>
      <c r="I1063" s="1"/>
      <c r="J1063" s="1"/>
      <c r="K1063" s="1"/>
      <c r="M1063" s="1"/>
      <c r="N1063" s="1"/>
      <c r="O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P1063" s="1"/>
      <c r="AQ1063" s="1"/>
      <c r="AR1063" s="1"/>
      <c r="AU1063" s="1"/>
      <c r="AW1063" s="1"/>
      <c r="AY1063" s="1"/>
    </row>
    <row r="1064">
      <c r="A1064" s="1"/>
      <c r="C1064" s="1"/>
      <c r="E1064" s="1"/>
      <c r="F1064" s="1"/>
      <c r="G1064" s="1"/>
      <c r="H1064" s="1"/>
      <c r="I1064" s="1"/>
      <c r="J1064" s="1"/>
      <c r="K1064" s="1"/>
      <c r="M1064" s="1"/>
      <c r="N1064" s="1"/>
      <c r="O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P1064" s="1"/>
      <c r="AQ1064" s="1"/>
      <c r="AR1064" s="1"/>
      <c r="AU1064" s="1"/>
      <c r="AW1064" s="1"/>
      <c r="AY1064" s="1"/>
    </row>
    <row r="1065">
      <c r="A1065" s="1"/>
      <c r="C1065" s="1"/>
      <c r="E1065" s="1"/>
      <c r="F1065" s="1"/>
      <c r="G1065" s="1"/>
      <c r="H1065" s="1"/>
      <c r="I1065" s="1"/>
      <c r="J1065" s="1"/>
      <c r="K1065" s="1"/>
      <c r="M1065" s="1"/>
      <c r="N1065" s="1"/>
      <c r="O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P1065" s="1"/>
      <c r="AQ1065" s="1"/>
      <c r="AR1065" s="1"/>
      <c r="AU1065" s="1"/>
      <c r="AW1065" s="1"/>
      <c r="AY1065" s="1"/>
    </row>
    <row r="1066">
      <c r="A1066" s="1"/>
      <c r="C1066" s="1"/>
      <c r="E1066" s="1"/>
      <c r="F1066" s="1"/>
      <c r="G1066" s="1"/>
      <c r="H1066" s="1"/>
      <c r="I1066" s="1"/>
      <c r="J1066" s="1"/>
      <c r="K1066" s="1"/>
      <c r="M1066" s="1"/>
      <c r="N1066" s="1"/>
      <c r="O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P1066" s="1"/>
      <c r="AQ1066" s="1"/>
      <c r="AR1066" s="1"/>
      <c r="AU1066" s="1"/>
      <c r="AW1066" s="1"/>
      <c r="AY1066" s="1"/>
    </row>
    <row r="1067">
      <c r="A1067" s="1"/>
      <c r="C1067" s="1"/>
      <c r="E1067" s="1"/>
      <c r="F1067" s="1"/>
      <c r="G1067" s="1"/>
      <c r="H1067" s="1"/>
      <c r="I1067" s="1"/>
      <c r="J1067" s="1"/>
      <c r="K1067" s="1"/>
      <c r="M1067" s="1"/>
      <c r="N1067" s="1"/>
      <c r="O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P1067" s="1"/>
      <c r="AQ1067" s="1"/>
      <c r="AR1067" s="1"/>
      <c r="AU1067" s="1"/>
      <c r="AW1067" s="1"/>
      <c r="AY1067" s="1"/>
    </row>
    <row r="1068">
      <c r="A1068" s="1"/>
      <c r="C1068" s="1"/>
      <c r="E1068" s="1"/>
      <c r="F1068" s="1"/>
      <c r="G1068" s="1"/>
      <c r="H1068" s="1"/>
      <c r="I1068" s="1"/>
      <c r="J1068" s="1"/>
      <c r="K1068" s="1"/>
      <c r="M1068" s="1"/>
      <c r="N1068" s="1"/>
      <c r="O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P1068" s="1"/>
      <c r="AQ1068" s="1"/>
      <c r="AR1068" s="1"/>
      <c r="AU1068" s="1"/>
      <c r="AW1068" s="1"/>
      <c r="AY1068" s="1"/>
    </row>
    <row r="1069">
      <c r="A1069" s="1"/>
      <c r="C1069" s="1"/>
      <c r="E1069" s="1"/>
      <c r="F1069" s="1"/>
      <c r="G1069" s="1"/>
      <c r="H1069" s="1"/>
      <c r="I1069" s="1"/>
      <c r="J1069" s="1"/>
      <c r="K1069" s="1"/>
      <c r="M1069" s="1"/>
      <c r="N1069" s="1"/>
      <c r="O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P1069" s="1"/>
      <c r="AQ1069" s="1"/>
      <c r="AR1069" s="1"/>
      <c r="AU1069" s="1"/>
      <c r="AW1069" s="1"/>
      <c r="AY1069" s="1"/>
    </row>
    <row r="1070">
      <c r="A1070" s="1"/>
      <c r="C1070" s="1"/>
      <c r="E1070" s="1"/>
      <c r="F1070" s="1"/>
      <c r="G1070" s="1"/>
      <c r="H1070" s="1"/>
      <c r="I1070" s="1"/>
      <c r="J1070" s="1"/>
      <c r="K1070" s="1"/>
      <c r="M1070" s="1"/>
      <c r="N1070" s="1"/>
      <c r="O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P1070" s="1"/>
      <c r="AQ1070" s="1"/>
      <c r="AR1070" s="1"/>
      <c r="AU1070" s="1"/>
      <c r="AW1070" s="1"/>
      <c r="AY1070" s="1"/>
    </row>
    <row r="1071">
      <c r="A1071" s="1"/>
      <c r="C1071" s="1"/>
      <c r="E1071" s="1"/>
      <c r="F1071" s="1"/>
      <c r="G1071" s="1"/>
      <c r="H1071" s="1"/>
      <c r="I1071" s="1"/>
      <c r="J1071" s="1"/>
      <c r="K1071" s="1"/>
      <c r="M1071" s="1"/>
      <c r="N1071" s="1"/>
      <c r="O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P1071" s="1"/>
      <c r="AQ1071" s="1"/>
      <c r="AR1071" s="1"/>
      <c r="AU1071" s="1"/>
      <c r="AW1071" s="1"/>
      <c r="AY1071" s="1"/>
    </row>
    <row r="1072">
      <c r="A1072" s="1"/>
      <c r="C1072" s="1"/>
      <c r="E1072" s="1"/>
      <c r="F1072" s="1"/>
      <c r="G1072" s="1"/>
      <c r="H1072" s="1"/>
      <c r="I1072" s="1"/>
      <c r="J1072" s="1"/>
      <c r="K1072" s="1"/>
      <c r="M1072" s="1"/>
      <c r="N1072" s="1"/>
      <c r="O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P1072" s="1"/>
      <c r="AQ1072" s="1"/>
      <c r="AR1072" s="1"/>
      <c r="AU1072" s="1"/>
      <c r="AW1072" s="1"/>
      <c r="AY1072" s="1"/>
    </row>
    <row r="1073">
      <c r="A1073" s="1"/>
      <c r="C1073" s="1"/>
      <c r="E1073" s="1"/>
      <c r="F1073" s="1"/>
      <c r="G1073" s="1"/>
      <c r="H1073" s="1"/>
      <c r="I1073" s="1"/>
      <c r="J1073" s="1"/>
      <c r="K1073" s="1"/>
      <c r="M1073" s="1"/>
      <c r="N1073" s="1"/>
      <c r="O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P1073" s="1"/>
      <c r="AQ1073" s="1"/>
      <c r="AR1073" s="1"/>
      <c r="AU1073" s="1"/>
      <c r="AW1073" s="1"/>
      <c r="AY1073" s="1"/>
    </row>
    <row r="1074">
      <c r="A1074" s="1"/>
      <c r="C1074" s="1"/>
      <c r="E1074" s="1"/>
      <c r="F1074" s="1"/>
      <c r="G1074" s="1"/>
      <c r="H1074" s="1"/>
      <c r="I1074" s="1"/>
      <c r="J1074" s="1"/>
      <c r="K1074" s="1"/>
      <c r="M1074" s="1"/>
      <c r="N1074" s="1"/>
      <c r="O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P1074" s="1"/>
      <c r="AQ1074" s="1"/>
      <c r="AR1074" s="1"/>
      <c r="AU1074" s="1"/>
      <c r="AW1074" s="1"/>
      <c r="AY1074" s="1"/>
    </row>
    <row r="1075">
      <c r="A1075" s="1"/>
      <c r="C1075" s="1"/>
      <c r="E1075" s="1"/>
      <c r="F1075" s="1"/>
      <c r="G1075" s="1"/>
      <c r="H1075" s="1"/>
      <c r="I1075" s="1"/>
      <c r="J1075" s="1"/>
      <c r="K1075" s="1"/>
      <c r="M1075" s="1"/>
      <c r="N1075" s="1"/>
      <c r="O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P1075" s="1"/>
      <c r="AQ1075" s="1"/>
      <c r="AR1075" s="1"/>
      <c r="AU1075" s="1"/>
      <c r="AW1075" s="1"/>
      <c r="AY1075" s="1"/>
    </row>
    <row r="1076">
      <c r="A1076" s="1"/>
      <c r="C1076" s="1"/>
      <c r="E1076" s="1"/>
      <c r="F1076" s="1"/>
      <c r="G1076" s="1"/>
      <c r="H1076" s="1"/>
      <c r="I1076" s="1"/>
      <c r="J1076" s="1"/>
      <c r="K1076" s="1"/>
      <c r="M1076" s="1"/>
      <c r="N1076" s="1"/>
      <c r="O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P1076" s="1"/>
      <c r="AQ1076" s="1"/>
      <c r="AR1076" s="1"/>
      <c r="AU1076" s="1"/>
      <c r="AW1076" s="1"/>
      <c r="AY1076" s="1"/>
    </row>
    <row r="1077">
      <c r="A1077" s="1"/>
      <c r="C1077" s="1"/>
      <c r="E1077" s="1"/>
      <c r="F1077" s="1"/>
      <c r="G1077" s="1"/>
      <c r="H1077" s="1"/>
      <c r="I1077" s="1"/>
      <c r="J1077" s="1"/>
      <c r="K1077" s="1"/>
      <c r="M1077" s="1"/>
      <c r="N1077" s="1"/>
      <c r="O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P1077" s="1"/>
      <c r="AQ1077" s="1"/>
      <c r="AR1077" s="1"/>
      <c r="AU1077" s="1"/>
      <c r="AW1077" s="1"/>
      <c r="AY1077" s="1"/>
    </row>
    <row r="1078">
      <c r="A1078" s="1"/>
      <c r="C1078" s="1"/>
      <c r="E1078" s="1"/>
      <c r="F1078" s="1"/>
      <c r="G1078" s="1"/>
      <c r="H1078" s="1"/>
      <c r="I1078" s="1"/>
      <c r="J1078" s="1"/>
      <c r="K1078" s="1"/>
      <c r="M1078" s="1"/>
      <c r="N1078" s="1"/>
      <c r="O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P1078" s="1"/>
      <c r="AQ1078" s="1"/>
      <c r="AR1078" s="1"/>
      <c r="AU1078" s="1"/>
      <c r="AW1078" s="1"/>
      <c r="AY1078" s="1"/>
    </row>
    <row r="1079">
      <c r="A1079" s="1"/>
      <c r="C1079" s="1"/>
      <c r="E1079" s="1"/>
      <c r="F1079" s="1"/>
      <c r="G1079" s="1"/>
      <c r="H1079" s="1"/>
      <c r="I1079" s="1"/>
      <c r="J1079" s="1"/>
      <c r="K1079" s="1"/>
      <c r="M1079" s="1"/>
      <c r="N1079" s="1"/>
      <c r="O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P1079" s="1"/>
      <c r="AQ1079" s="1"/>
      <c r="AR1079" s="1"/>
      <c r="AU1079" s="1"/>
      <c r="AW1079" s="1"/>
      <c r="AY1079" s="1"/>
    </row>
    <row r="1080">
      <c r="A1080" s="1"/>
      <c r="C1080" s="1"/>
      <c r="E1080" s="1"/>
      <c r="F1080" s="1"/>
      <c r="G1080" s="1"/>
      <c r="H1080" s="1"/>
      <c r="I1080" s="1"/>
      <c r="J1080" s="1"/>
      <c r="K1080" s="1"/>
      <c r="M1080" s="1"/>
      <c r="N1080" s="1"/>
      <c r="O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P1080" s="1"/>
      <c r="AQ1080" s="1"/>
      <c r="AR1080" s="1"/>
      <c r="AU1080" s="1"/>
      <c r="AW1080" s="1"/>
      <c r="AY1080" s="1"/>
    </row>
    <row r="1081">
      <c r="A1081" s="1"/>
      <c r="C1081" s="1"/>
      <c r="E1081" s="1"/>
      <c r="F1081" s="1"/>
      <c r="G1081" s="1"/>
      <c r="H1081" s="1"/>
      <c r="I1081" s="1"/>
      <c r="J1081" s="1"/>
      <c r="K1081" s="1"/>
      <c r="M1081" s="1"/>
      <c r="N1081" s="1"/>
      <c r="O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P1081" s="1"/>
      <c r="AQ1081" s="1"/>
      <c r="AR1081" s="1"/>
      <c r="AU1081" s="1"/>
      <c r="AW1081" s="1"/>
      <c r="AY1081" s="1"/>
    </row>
    <row r="1082">
      <c r="A1082" s="1"/>
      <c r="C1082" s="1"/>
      <c r="E1082" s="1"/>
      <c r="F1082" s="1"/>
      <c r="G1082" s="1"/>
      <c r="H1082" s="1"/>
      <c r="I1082" s="1"/>
      <c r="J1082" s="1"/>
      <c r="K1082" s="1"/>
      <c r="M1082" s="1"/>
      <c r="N1082" s="1"/>
      <c r="O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P1082" s="1"/>
      <c r="AQ1082" s="1"/>
      <c r="AR1082" s="1"/>
      <c r="AU1082" s="1"/>
      <c r="AW1082" s="1"/>
      <c r="AY1082" s="1"/>
    </row>
    <row r="1083">
      <c r="A1083" s="1"/>
      <c r="C1083" s="1"/>
      <c r="E1083" s="1"/>
      <c r="F1083" s="1"/>
      <c r="G1083" s="1"/>
      <c r="H1083" s="1"/>
      <c r="I1083" s="1"/>
      <c r="J1083" s="1"/>
      <c r="K1083" s="1"/>
      <c r="M1083" s="1"/>
      <c r="N1083" s="1"/>
      <c r="O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P1083" s="1"/>
      <c r="AQ1083" s="1"/>
      <c r="AR1083" s="1"/>
      <c r="AU1083" s="1"/>
      <c r="AW1083" s="1"/>
      <c r="AY1083" s="1"/>
    </row>
    <row r="1084">
      <c r="A1084" s="1"/>
      <c r="C1084" s="1"/>
      <c r="E1084" s="1"/>
      <c r="F1084" s="1"/>
      <c r="G1084" s="1"/>
      <c r="H1084" s="1"/>
      <c r="I1084" s="1"/>
      <c r="J1084" s="1"/>
      <c r="K1084" s="1"/>
      <c r="M1084" s="1"/>
      <c r="N1084" s="1"/>
      <c r="O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P1084" s="1"/>
      <c r="AQ1084" s="1"/>
      <c r="AR1084" s="1"/>
      <c r="AU1084" s="1"/>
      <c r="AW1084" s="1"/>
      <c r="AY1084" s="1"/>
    </row>
    <row r="1085">
      <c r="A1085" s="1"/>
      <c r="C1085" s="1"/>
      <c r="E1085" s="1"/>
      <c r="F1085" s="1"/>
      <c r="G1085" s="1"/>
      <c r="H1085" s="1"/>
      <c r="I1085" s="1"/>
      <c r="J1085" s="1"/>
      <c r="K1085" s="1"/>
      <c r="M1085" s="1"/>
      <c r="N1085" s="1"/>
      <c r="O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P1085" s="1"/>
      <c r="AQ1085" s="1"/>
      <c r="AR1085" s="1"/>
      <c r="AU1085" s="1"/>
      <c r="AW1085" s="1"/>
      <c r="AY1085" s="1"/>
    </row>
    <row r="1086">
      <c r="A1086" s="1"/>
      <c r="C1086" s="1"/>
      <c r="E1086" s="1"/>
      <c r="F1086" s="1"/>
      <c r="G1086" s="1"/>
      <c r="H1086" s="1"/>
      <c r="I1086" s="1"/>
      <c r="J1086" s="1"/>
      <c r="K1086" s="1"/>
      <c r="M1086" s="1"/>
      <c r="N1086" s="1"/>
      <c r="O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P1086" s="1"/>
      <c r="AQ1086" s="1"/>
      <c r="AR1086" s="1"/>
      <c r="AU1086" s="1"/>
      <c r="AW1086" s="1"/>
      <c r="AY1086" s="1"/>
    </row>
    <row r="1087">
      <c r="A1087" s="1"/>
      <c r="C1087" s="1"/>
      <c r="E1087" s="1"/>
      <c r="F1087" s="1"/>
      <c r="G1087" s="1"/>
      <c r="H1087" s="1"/>
      <c r="I1087" s="1"/>
      <c r="J1087" s="1"/>
      <c r="K1087" s="1"/>
      <c r="M1087" s="1"/>
      <c r="N1087" s="1"/>
      <c r="O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P1087" s="1"/>
      <c r="AQ1087" s="1"/>
      <c r="AR1087" s="1"/>
      <c r="AU1087" s="1"/>
      <c r="AW1087" s="1"/>
      <c r="AY1087" s="1"/>
    </row>
    <row r="1088">
      <c r="A1088" s="1"/>
      <c r="C1088" s="1"/>
      <c r="E1088" s="1"/>
      <c r="F1088" s="1"/>
      <c r="G1088" s="1"/>
      <c r="H1088" s="1"/>
      <c r="I1088" s="1"/>
      <c r="J1088" s="1"/>
      <c r="K1088" s="1"/>
      <c r="M1088" s="1"/>
      <c r="N1088" s="1"/>
      <c r="O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P1088" s="1"/>
      <c r="AQ1088" s="1"/>
      <c r="AR1088" s="1"/>
      <c r="AU1088" s="1"/>
      <c r="AW1088" s="1"/>
      <c r="AY1088" s="1"/>
    </row>
    <row r="1089">
      <c r="A1089" s="1"/>
      <c r="C1089" s="1"/>
      <c r="E1089" s="1"/>
      <c r="F1089" s="1"/>
      <c r="G1089" s="1"/>
      <c r="H1089" s="1"/>
      <c r="I1089" s="1"/>
      <c r="J1089" s="1"/>
      <c r="K1089" s="1"/>
      <c r="M1089" s="1"/>
      <c r="N1089" s="1"/>
      <c r="O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P1089" s="1"/>
      <c r="AQ1089" s="1"/>
      <c r="AR1089" s="1"/>
      <c r="AU1089" s="1"/>
      <c r="AW1089" s="1"/>
      <c r="AY1089" s="1"/>
    </row>
    <row r="1090">
      <c r="A1090" s="1"/>
      <c r="C1090" s="1"/>
      <c r="E1090" s="1"/>
      <c r="F1090" s="1"/>
      <c r="G1090" s="1"/>
      <c r="H1090" s="1"/>
      <c r="I1090" s="1"/>
      <c r="J1090" s="1"/>
      <c r="K1090" s="1"/>
      <c r="M1090" s="1"/>
      <c r="N1090" s="1"/>
      <c r="O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P1090" s="1"/>
      <c r="AQ1090" s="1"/>
      <c r="AR1090" s="1"/>
      <c r="AU1090" s="1"/>
      <c r="AW1090" s="1"/>
      <c r="AY1090" s="1"/>
    </row>
    <row r="1091">
      <c r="A1091" s="1"/>
      <c r="C1091" s="1"/>
      <c r="E1091" s="1"/>
      <c r="F1091" s="1"/>
      <c r="G1091" s="1"/>
      <c r="H1091" s="1"/>
      <c r="I1091" s="1"/>
      <c r="J1091" s="1"/>
      <c r="K1091" s="1"/>
      <c r="M1091" s="1"/>
      <c r="N1091" s="1"/>
      <c r="O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P1091" s="1"/>
      <c r="AQ1091" s="1"/>
      <c r="AR1091" s="1"/>
      <c r="AU1091" s="1"/>
      <c r="AW1091" s="1"/>
      <c r="AY1091" s="1"/>
    </row>
    <row r="1092">
      <c r="A1092" s="1"/>
      <c r="C1092" s="1"/>
      <c r="E1092" s="1"/>
      <c r="F1092" s="1"/>
      <c r="G1092" s="1"/>
      <c r="H1092" s="1"/>
      <c r="I1092" s="1"/>
      <c r="J1092" s="1"/>
      <c r="K1092" s="1"/>
      <c r="M1092" s="1"/>
      <c r="N1092" s="1"/>
      <c r="O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P1092" s="1"/>
      <c r="AQ1092" s="1"/>
      <c r="AR1092" s="1"/>
      <c r="AU1092" s="1"/>
      <c r="AW1092" s="1"/>
      <c r="AY1092" s="1"/>
    </row>
    <row r="1093">
      <c r="A1093" s="1"/>
      <c r="C1093" s="1"/>
      <c r="E1093" s="1"/>
      <c r="F1093" s="1"/>
      <c r="G1093" s="1"/>
      <c r="H1093" s="1"/>
      <c r="I1093" s="1"/>
      <c r="J1093" s="1"/>
      <c r="K1093" s="1"/>
      <c r="M1093" s="1"/>
      <c r="N1093" s="1"/>
      <c r="O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P1093" s="1"/>
      <c r="AQ1093" s="1"/>
      <c r="AR1093" s="1"/>
      <c r="AU1093" s="1"/>
      <c r="AW1093" s="1"/>
      <c r="AY1093" s="1"/>
    </row>
    <row r="1094">
      <c r="A1094" s="1"/>
      <c r="C1094" s="1"/>
      <c r="E1094" s="1"/>
      <c r="F1094" s="1"/>
      <c r="G1094" s="1"/>
      <c r="H1094" s="1"/>
      <c r="I1094" s="1"/>
      <c r="J1094" s="1"/>
      <c r="K1094" s="1"/>
      <c r="M1094" s="1"/>
      <c r="N1094" s="1"/>
      <c r="O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P1094" s="1"/>
      <c r="AQ1094" s="1"/>
      <c r="AR1094" s="1"/>
      <c r="AU1094" s="1"/>
      <c r="AW1094" s="1"/>
      <c r="AY1094" s="1"/>
    </row>
    <row r="1095">
      <c r="A1095" s="1"/>
      <c r="C1095" s="1"/>
      <c r="E1095" s="1"/>
      <c r="F1095" s="1"/>
      <c r="G1095" s="1"/>
      <c r="H1095" s="1"/>
      <c r="I1095" s="1"/>
      <c r="J1095" s="1"/>
      <c r="K1095" s="1"/>
      <c r="M1095" s="1"/>
      <c r="N1095" s="1"/>
      <c r="O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P1095" s="1"/>
      <c r="AQ1095" s="1"/>
      <c r="AR1095" s="1"/>
      <c r="AU1095" s="1"/>
      <c r="AW1095" s="1"/>
      <c r="AY1095" s="1"/>
    </row>
    <row r="1096">
      <c r="A1096" s="1"/>
      <c r="C1096" s="1"/>
      <c r="E1096" s="1"/>
      <c r="F1096" s="1"/>
      <c r="G1096" s="1"/>
      <c r="H1096" s="1"/>
      <c r="I1096" s="1"/>
      <c r="J1096" s="1"/>
      <c r="K1096" s="1"/>
      <c r="M1096" s="1"/>
      <c r="N1096" s="1"/>
      <c r="O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P1096" s="1"/>
      <c r="AQ1096" s="1"/>
      <c r="AR1096" s="1"/>
      <c r="AU1096" s="1"/>
      <c r="AW1096" s="1"/>
      <c r="AY1096" s="1"/>
    </row>
    <row r="1097">
      <c r="A1097" s="1"/>
      <c r="C1097" s="1"/>
      <c r="E1097" s="1"/>
      <c r="F1097" s="1"/>
      <c r="G1097" s="1"/>
      <c r="H1097" s="1"/>
      <c r="I1097" s="1"/>
      <c r="J1097" s="1"/>
      <c r="K1097" s="1"/>
      <c r="M1097" s="1"/>
      <c r="N1097" s="1"/>
      <c r="O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P1097" s="1"/>
      <c r="AQ1097" s="1"/>
      <c r="AR1097" s="1"/>
      <c r="AU1097" s="1"/>
      <c r="AW1097" s="1"/>
      <c r="AY1097" s="1"/>
    </row>
    <row r="1098">
      <c r="A1098" s="1"/>
      <c r="C1098" s="1"/>
      <c r="E1098" s="1"/>
      <c r="F1098" s="1"/>
      <c r="G1098" s="1"/>
      <c r="H1098" s="1"/>
      <c r="I1098" s="1"/>
      <c r="J1098" s="1"/>
      <c r="K1098" s="1"/>
      <c r="M1098" s="1"/>
      <c r="N1098" s="1"/>
      <c r="O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P1098" s="1"/>
      <c r="AQ1098" s="1"/>
      <c r="AR1098" s="1"/>
      <c r="AU1098" s="1"/>
      <c r="AW1098" s="1"/>
      <c r="AY1098" s="1"/>
    </row>
    <row r="1099">
      <c r="A1099" s="1"/>
      <c r="C1099" s="1"/>
      <c r="E1099" s="1"/>
      <c r="F1099" s="1"/>
      <c r="G1099" s="1"/>
      <c r="H1099" s="1"/>
      <c r="I1099" s="1"/>
      <c r="J1099" s="1"/>
      <c r="K1099" s="1"/>
      <c r="M1099" s="1"/>
      <c r="N1099" s="1"/>
      <c r="O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P1099" s="1"/>
      <c r="AQ1099" s="1"/>
      <c r="AR1099" s="1"/>
      <c r="AU1099" s="1"/>
      <c r="AW1099" s="1"/>
      <c r="AY1099" s="1"/>
    </row>
    <row r="1100">
      <c r="A1100" s="1"/>
      <c r="C1100" s="1"/>
      <c r="E1100" s="1"/>
      <c r="F1100" s="1"/>
      <c r="G1100" s="1"/>
      <c r="H1100" s="1"/>
      <c r="I1100" s="1"/>
      <c r="J1100" s="1"/>
      <c r="K1100" s="1"/>
      <c r="M1100" s="1"/>
      <c r="N1100" s="1"/>
      <c r="O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P1100" s="1"/>
      <c r="AQ1100" s="1"/>
      <c r="AR1100" s="1"/>
      <c r="AU1100" s="1"/>
      <c r="AW1100" s="1"/>
      <c r="AY1100" s="1"/>
    </row>
    <row r="1101">
      <c r="A1101" s="1"/>
      <c r="C1101" s="1"/>
      <c r="E1101" s="1"/>
      <c r="F1101" s="1"/>
      <c r="G1101" s="1"/>
      <c r="H1101" s="1"/>
      <c r="I1101" s="1"/>
      <c r="J1101" s="1"/>
      <c r="K1101" s="1"/>
      <c r="M1101" s="1"/>
      <c r="N1101" s="1"/>
      <c r="O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P1101" s="1"/>
      <c r="AQ1101" s="1"/>
      <c r="AR1101" s="1"/>
      <c r="AU1101" s="1"/>
      <c r="AW1101" s="1"/>
      <c r="AY1101" s="1"/>
    </row>
    <row r="1102">
      <c r="A1102" s="1"/>
      <c r="C1102" s="1"/>
      <c r="E1102" s="1"/>
      <c r="F1102" s="1"/>
      <c r="G1102" s="1"/>
      <c r="H1102" s="1"/>
      <c r="I1102" s="1"/>
      <c r="J1102" s="1"/>
      <c r="K1102" s="1"/>
      <c r="M1102" s="1"/>
      <c r="N1102" s="1"/>
      <c r="O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P1102" s="1"/>
      <c r="AQ1102" s="1"/>
      <c r="AR1102" s="1"/>
      <c r="AU1102" s="1"/>
      <c r="AW1102" s="1"/>
      <c r="AY1102" s="1"/>
    </row>
    <row r="1103">
      <c r="A1103" s="1"/>
      <c r="C1103" s="1"/>
      <c r="E1103" s="1"/>
      <c r="F1103" s="1"/>
      <c r="G1103" s="1"/>
      <c r="H1103" s="1"/>
      <c r="I1103" s="1"/>
      <c r="J1103" s="1"/>
      <c r="K1103" s="1"/>
      <c r="M1103" s="1"/>
      <c r="N1103" s="1"/>
      <c r="O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P1103" s="1"/>
      <c r="AQ1103" s="1"/>
      <c r="AR1103" s="1"/>
      <c r="AU1103" s="1"/>
      <c r="AW1103" s="1"/>
      <c r="AY1103" s="1"/>
    </row>
    <row r="1104">
      <c r="A1104" s="1"/>
      <c r="C1104" s="1"/>
      <c r="E1104" s="1"/>
      <c r="F1104" s="1"/>
      <c r="G1104" s="1"/>
      <c r="H1104" s="1"/>
      <c r="I1104" s="1"/>
      <c r="J1104" s="1"/>
      <c r="K1104" s="1"/>
      <c r="M1104" s="1"/>
      <c r="N1104" s="1"/>
      <c r="O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P1104" s="1"/>
      <c r="AQ1104" s="1"/>
      <c r="AR1104" s="1"/>
      <c r="AU1104" s="1"/>
      <c r="AW1104" s="1"/>
      <c r="AY1104" s="1"/>
    </row>
    <row r="1105">
      <c r="A1105" s="1"/>
      <c r="C1105" s="1"/>
      <c r="E1105" s="1"/>
      <c r="F1105" s="1"/>
      <c r="G1105" s="1"/>
      <c r="H1105" s="1"/>
      <c r="I1105" s="1"/>
      <c r="J1105" s="1"/>
      <c r="K1105" s="1"/>
      <c r="M1105" s="1"/>
      <c r="N1105" s="1"/>
      <c r="O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P1105" s="1"/>
      <c r="AQ1105" s="1"/>
      <c r="AR1105" s="1"/>
      <c r="AU1105" s="1"/>
      <c r="AW1105" s="1"/>
      <c r="AY1105" s="1"/>
    </row>
    <row r="1106">
      <c r="A1106" s="1"/>
      <c r="C1106" s="1"/>
      <c r="E1106" s="1"/>
      <c r="F1106" s="1"/>
      <c r="G1106" s="1"/>
      <c r="H1106" s="1"/>
      <c r="I1106" s="1"/>
      <c r="J1106" s="1"/>
      <c r="K1106" s="1"/>
      <c r="M1106" s="1"/>
      <c r="N1106" s="1"/>
      <c r="O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P1106" s="1"/>
      <c r="AQ1106" s="1"/>
      <c r="AR1106" s="1"/>
      <c r="AU1106" s="1"/>
      <c r="AW1106" s="1"/>
      <c r="AY1106" s="1"/>
    </row>
    <row r="1107">
      <c r="A1107" s="1"/>
      <c r="C1107" s="1"/>
      <c r="E1107" s="1"/>
      <c r="F1107" s="1"/>
      <c r="G1107" s="1"/>
      <c r="H1107" s="1"/>
      <c r="I1107" s="1"/>
      <c r="J1107" s="1"/>
      <c r="K1107" s="1"/>
      <c r="M1107" s="1"/>
      <c r="N1107" s="1"/>
      <c r="O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P1107" s="1"/>
      <c r="AQ1107" s="1"/>
      <c r="AR1107" s="1"/>
      <c r="AU1107" s="1"/>
      <c r="AW1107" s="1"/>
      <c r="AY1107" s="1"/>
    </row>
    <row r="1108">
      <c r="A1108" s="1"/>
      <c r="C1108" s="1"/>
      <c r="E1108" s="1"/>
      <c r="F1108" s="1"/>
      <c r="G1108" s="1"/>
      <c r="H1108" s="1"/>
      <c r="I1108" s="1"/>
      <c r="J1108" s="1"/>
      <c r="K1108" s="1"/>
      <c r="M1108" s="1"/>
      <c r="N1108" s="1"/>
      <c r="O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P1108" s="1"/>
      <c r="AQ1108" s="1"/>
      <c r="AR1108" s="1"/>
      <c r="AU1108" s="1"/>
      <c r="AW1108" s="1"/>
      <c r="AY1108" s="1"/>
    </row>
    <row r="1109">
      <c r="A1109" s="1"/>
      <c r="C1109" s="1"/>
      <c r="E1109" s="1"/>
      <c r="F1109" s="1"/>
      <c r="G1109" s="1"/>
      <c r="H1109" s="1"/>
      <c r="I1109" s="1"/>
      <c r="J1109" s="1"/>
      <c r="K1109" s="1"/>
      <c r="M1109" s="1"/>
      <c r="N1109" s="1"/>
      <c r="O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P1109" s="1"/>
      <c r="AQ1109" s="1"/>
      <c r="AR1109" s="1"/>
      <c r="AU1109" s="1"/>
      <c r="AW1109" s="1"/>
      <c r="AY1109" s="1"/>
    </row>
    <row r="1110">
      <c r="A1110" s="1"/>
      <c r="C1110" s="1"/>
      <c r="E1110" s="1"/>
      <c r="F1110" s="1"/>
      <c r="G1110" s="1"/>
      <c r="H1110" s="1"/>
      <c r="I1110" s="1"/>
      <c r="J1110" s="1"/>
      <c r="K1110" s="1"/>
      <c r="M1110" s="1"/>
      <c r="N1110" s="1"/>
      <c r="O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P1110" s="1"/>
      <c r="AQ1110" s="1"/>
      <c r="AR1110" s="1"/>
      <c r="AU1110" s="1"/>
      <c r="AW1110" s="1"/>
      <c r="AY1110" s="1"/>
    </row>
    <row r="1111">
      <c r="A1111" s="1"/>
      <c r="C1111" s="1"/>
      <c r="E1111" s="1"/>
      <c r="F1111" s="1"/>
      <c r="G1111" s="1"/>
      <c r="H1111" s="1"/>
      <c r="I1111" s="1"/>
      <c r="J1111" s="1"/>
      <c r="K1111" s="1"/>
      <c r="M1111" s="1"/>
      <c r="N1111" s="1"/>
      <c r="O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P1111" s="1"/>
      <c r="AQ1111" s="1"/>
      <c r="AR1111" s="1"/>
      <c r="AU1111" s="1"/>
      <c r="AW1111" s="1"/>
      <c r="AY1111" s="1"/>
    </row>
    <row r="1112">
      <c r="A1112" s="1"/>
      <c r="C1112" s="1"/>
      <c r="E1112" s="1"/>
      <c r="F1112" s="1"/>
      <c r="G1112" s="1"/>
      <c r="H1112" s="1"/>
      <c r="I1112" s="1"/>
      <c r="J1112" s="1"/>
      <c r="K1112" s="1"/>
      <c r="M1112" s="1"/>
      <c r="N1112" s="1"/>
      <c r="O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P1112" s="1"/>
      <c r="AQ1112" s="1"/>
      <c r="AR1112" s="1"/>
      <c r="AU1112" s="1"/>
      <c r="AW1112" s="1"/>
      <c r="AY1112" s="1"/>
    </row>
    <row r="1113">
      <c r="A1113" s="1"/>
      <c r="C1113" s="1"/>
      <c r="E1113" s="1"/>
      <c r="F1113" s="1"/>
      <c r="G1113" s="1"/>
      <c r="H1113" s="1"/>
      <c r="I1113" s="1"/>
      <c r="J1113" s="1"/>
      <c r="K1113" s="1"/>
      <c r="M1113" s="1"/>
      <c r="N1113" s="1"/>
      <c r="O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P1113" s="1"/>
      <c r="AQ1113" s="1"/>
      <c r="AR1113" s="1"/>
      <c r="AU1113" s="1"/>
      <c r="AW1113" s="1"/>
      <c r="AY1113" s="1"/>
    </row>
    <row r="1114">
      <c r="A1114" s="1"/>
      <c r="C1114" s="1"/>
      <c r="E1114" s="1"/>
      <c r="F1114" s="1"/>
      <c r="G1114" s="1"/>
      <c r="H1114" s="1"/>
      <c r="I1114" s="1"/>
      <c r="J1114" s="1"/>
      <c r="K1114" s="1"/>
      <c r="M1114" s="1"/>
      <c r="N1114" s="1"/>
      <c r="O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P1114" s="1"/>
      <c r="AQ1114" s="1"/>
      <c r="AR1114" s="1"/>
      <c r="AU1114" s="1"/>
      <c r="AW1114" s="1"/>
      <c r="AY1114" s="1"/>
    </row>
    <row r="1115">
      <c r="A1115" s="1"/>
      <c r="C1115" s="1"/>
      <c r="E1115" s="1"/>
      <c r="F1115" s="1"/>
      <c r="G1115" s="1"/>
      <c r="H1115" s="1"/>
      <c r="I1115" s="1"/>
      <c r="J1115" s="1"/>
      <c r="K1115" s="1"/>
      <c r="M1115" s="1"/>
      <c r="N1115" s="1"/>
      <c r="O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P1115" s="1"/>
      <c r="AQ1115" s="1"/>
      <c r="AR1115" s="1"/>
      <c r="AU1115" s="1"/>
      <c r="AW1115" s="1"/>
      <c r="AY1115" s="1"/>
    </row>
    <row r="1116">
      <c r="A1116" s="1"/>
      <c r="C1116" s="1"/>
      <c r="E1116" s="1"/>
      <c r="F1116" s="1"/>
      <c r="G1116" s="1"/>
      <c r="H1116" s="1"/>
      <c r="I1116" s="1"/>
      <c r="J1116" s="1"/>
      <c r="K1116" s="1"/>
      <c r="M1116" s="1"/>
      <c r="N1116" s="1"/>
      <c r="O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P1116" s="1"/>
      <c r="AQ1116" s="1"/>
      <c r="AR1116" s="1"/>
      <c r="AU1116" s="1"/>
      <c r="AW1116" s="1"/>
      <c r="AY1116" s="1"/>
    </row>
    <row r="1117">
      <c r="A1117" s="1"/>
      <c r="C1117" s="1"/>
      <c r="E1117" s="1"/>
      <c r="F1117" s="1"/>
      <c r="G1117" s="1"/>
      <c r="H1117" s="1"/>
      <c r="I1117" s="1"/>
      <c r="J1117" s="1"/>
      <c r="K1117" s="1"/>
      <c r="M1117" s="1"/>
      <c r="N1117" s="1"/>
      <c r="O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P1117" s="1"/>
      <c r="AQ1117" s="1"/>
      <c r="AR1117" s="1"/>
      <c r="AU1117" s="1"/>
      <c r="AW1117" s="1"/>
      <c r="AY1117" s="1"/>
    </row>
    <row r="1118">
      <c r="A1118" s="1"/>
      <c r="C1118" s="1"/>
      <c r="E1118" s="1"/>
      <c r="F1118" s="1"/>
      <c r="G1118" s="1"/>
      <c r="H1118" s="1"/>
      <c r="I1118" s="1"/>
      <c r="J1118" s="1"/>
      <c r="K1118" s="1"/>
      <c r="M1118" s="1"/>
      <c r="N1118" s="1"/>
      <c r="O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P1118" s="1"/>
      <c r="AQ1118" s="1"/>
      <c r="AR1118" s="1"/>
      <c r="AU1118" s="1"/>
      <c r="AW1118" s="1"/>
      <c r="AY1118" s="1"/>
    </row>
    <row r="1119">
      <c r="A1119" s="1"/>
      <c r="C1119" s="1"/>
      <c r="E1119" s="1"/>
      <c r="F1119" s="1"/>
      <c r="G1119" s="1"/>
      <c r="H1119" s="1"/>
      <c r="I1119" s="1"/>
      <c r="J1119" s="1"/>
      <c r="K1119" s="1"/>
      <c r="M1119" s="1"/>
      <c r="N1119" s="1"/>
      <c r="O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P1119" s="1"/>
      <c r="AQ1119" s="1"/>
      <c r="AR1119" s="1"/>
      <c r="AU1119" s="1"/>
      <c r="AW1119" s="1"/>
      <c r="AY1119" s="1"/>
    </row>
    <row r="1120">
      <c r="A1120" s="1"/>
      <c r="C1120" s="1"/>
      <c r="E1120" s="1"/>
      <c r="F1120" s="1"/>
      <c r="G1120" s="1"/>
      <c r="H1120" s="1"/>
      <c r="I1120" s="1"/>
      <c r="J1120" s="1"/>
      <c r="K1120" s="1"/>
      <c r="M1120" s="1"/>
      <c r="N1120" s="1"/>
      <c r="O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P1120" s="1"/>
      <c r="AQ1120" s="1"/>
      <c r="AR1120" s="1"/>
      <c r="AU1120" s="1"/>
      <c r="AW1120" s="1"/>
      <c r="AY1120" s="1"/>
    </row>
    <row r="1121">
      <c r="A1121" s="1"/>
      <c r="C1121" s="1"/>
      <c r="E1121" s="1"/>
      <c r="F1121" s="1"/>
      <c r="G1121" s="1"/>
      <c r="H1121" s="1"/>
      <c r="I1121" s="1"/>
      <c r="J1121" s="1"/>
      <c r="K1121" s="1"/>
      <c r="M1121" s="1"/>
      <c r="N1121" s="1"/>
      <c r="O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P1121" s="1"/>
      <c r="AQ1121" s="1"/>
      <c r="AR1121" s="1"/>
      <c r="AU1121" s="1"/>
      <c r="AW1121" s="1"/>
      <c r="AY1121" s="1"/>
    </row>
    <row r="1122">
      <c r="A1122" s="1"/>
      <c r="C1122" s="1"/>
      <c r="E1122" s="1"/>
      <c r="F1122" s="1"/>
      <c r="G1122" s="1"/>
      <c r="H1122" s="1"/>
      <c r="I1122" s="1"/>
      <c r="J1122" s="1"/>
      <c r="K1122" s="1"/>
      <c r="M1122" s="1"/>
      <c r="N1122" s="1"/>
      <c r="O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P1122" s="1"/>
      <c r="AQ1122" s="1"/>
      <c r="AR1122" s="1"/>
      <c r="AU1122" s="1"/>
      <c r="AW1122" s="1"/>
      <c r="AY1122" s="1"/>
    </row>
    <row r="1123">
      <c r="A1123" s="1"/>
      <c r="C1123" s="1"/>
      <c r="E1123" s="1"/>
      <c r="F1123" s="1"/>
      <c r="G1123" s="1"/>
      <c r="H1123" s="1"/>
      <c r="I1123" s="1"/>
      <c r="J1123" s="1"/>
      <c r="K1123" s="1"/>
      <c r="M1123" s="1"/>
      <c r="N1123" s="1"/>
      <c r="O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P1123" s="1"/>
      <c r="AQ1123" s="1"/>
      <c r="AR1123" s="1"/>
      <c r="AU1123" s="1"/>
      <c r="AW1123" s="1"/>
      <c r="AY1123" s="1"/>
    </row>
    <row r="1124">
      <c r="A1124" s="1"/>
      <c r="C1124" s="1"/>
      <c r="E1124" s="1"/>
      <c r="F1124" s="1"/>
      <c r="G1124" s="1"/>
      <c r="H1124" s="1"/>
      <c r="I1124" s="1"/>
      <c r="J1124" s="1"/>
      <c r="K1124" s="1"/>
      <c r="M1124" s="1"/>
      <c r="N1124" s="1"/>
      <c r="O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P1124" s="1"/>
      <c r="AQ1124" s="1"/>
      <c r="AR1124" s="1"/>
      <c r="AU1124" s="1"/>
      <c r="AW1124" s="1"/>
      <c r="AY1124" s="1"/>
    </row>
    <row r="1125">
      <c r="A1125" s="1"/>
      <c r="C1125" s="1"/>
      <c r="E1125" s="1"/>
      <c r="F1125" s="1"/>
      <c r="G1125" s="1"/>
      <c r="H1125" s="1"/>
      <c r="I1125" s="1"/>
      <c r="J1125" s="1"/>
      <c r="K1125" s="1"/>
      <c r="M1125" s="1"/>
      <c r="N1125" s="1"/>
      <c r="O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P1125" s="1"/>
      <c r="AQ1125" s="1"/>
      <c r="AR1125" s="1"/>
      <c r="AU1125" s="1"/>
      <c r="AW1125" s="1"/>
      <c r="AY1125" s="1"/>
    </row>
    <row r="1126">
      <c r="A1126" s="1"/>
      <c r="C1126" s="1"/>
      <c r="E1126" s="1"/>
      <c r="F1126" s="1"/>
      <c r="G1126" s="1"/>
      <c r="H1126" s="1"/>
      <c r="I1126" s="1"/>
      <c r="J1126" s="1"/>
      <c r="K1126" s="1"/>
      <c r="M1126" s="1"/>
      <c r="N1126" s="1"/>
      <c r="O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P1126" s="1"/>
      <c r="AQ1126" s="1"/>
      <c r="AR1126" s="1"/>
      <c r="AU1126" s="1"/>
      <c r="AW1126" s="1"/>
      <c r="AY1126" s="1"/>
    </row>
    <row r="1127">
      <c r="A1127" s="1"/>
      <c r="C1127" s="1"/>
      <c r="E1127" s="1"/>
      <c r="F1127" s="1"/>
      <c r="G1127" s="1"/>
      <c r="H1127" s="1"/>
      <c r="I1127" s="1"/>
      <c r="J1127" s="1"/>
      <c r="K1127" s="1"/>
      <c r="M1127" s="1"/>
      <c r="N1127" s="1"/>
      <c r="O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P1127" s="1"/>
      <c r="AQ1127" s="1"/>
      <c r="AR1127" s="1"/>
      <c r="AU1127" s="1"/>
      <c r="AW1127" s="1"/>
      <c r="AY1127" s="1"/>
    </row>
    <row r="1128">
      <c r="A1128" s="1"/>
      <c r="C1128" s="1"/>
      <c r="E1128" s="1"/>
      <c r="F1128" s="1"/>
      <c r="G1128" s="1"/>
      <c r="H1128" s="1"/>
      <c r="I1128" s="1"/>
      <c r="J1128" s="1"/>
      <c r="K1128" s="1"/>
      <c r="M1128" s="1"/>
      <c r="N1128" s="1"/>
      <c r="O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P1128" s="1"/>
      <c r="AQ1128" s="1"/>
      <c r="AR1128" s="1"/>
      <c r="AU1128" s="1"/>
      <c r="AW1128" s="1"/>
      <c r="AY1128" s="1"/>
    </row>
    <row r="1129">
      <c r="A1129" s="1"/>
      <c r="C1129" s="1"/>
      <c r="E1129" s="1"/>
      <c r="F1129" s="1"/>
      <c r="G1129" s="1"/>
      <c r="H1129" s="1"/>
      <c r="I1129" s="1"/>
      <c r="J1129" s="1"/>
      <c r="K1129" s="1"/>
      <c r="M1129" s="1"/>
      <c r="N1129" s="1"/>
      <c r="O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P1129" s="1"/>
      <c r="AQ1129" s="1"/>
      <c r="AR1129" s="1"/>
      <c r="AU1129" s="1"/>
      <c r="AW1129" s="1"/>
      <c r="AY1129" s="1"/>
    </row>
    <row r="1130">
      <c r="A1130" s="1"/>
      <c r="C1130" s="1"/>
      <c r="E1130" s="1"/>
      <c r="F1130" s="1"/>
      <c r="G1130" s="1"/>
      <c r="H1130" s="1"/>
      <c r="I1130" s="1"/>
      <c r="J1130" s="1"/>
      <c r="K1130" s="1"/>
      <c r="M1130" s="1"/>
      <c r="N1130" s="1"/>
      <c r="O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P1130" s="1"/>
      <c r="AQ1130" s="1"/>
      <c r="AR1130" s="1"/>
      <c r="AU1130" s="1"/>
      <c r="AW1130" s="1"/>
      <c r="AY1130" s="1"/>
    </row>
    <row r="1131">
      <c r="A1131" s="1"/>
      <c r="C1131" s="1"/>
      <c r="E1131" s="1"/>
      <c r="F1131" s="1"/>
      <c r="G1131" s="1"/>
      <c r="H1131" s="1"/>
      <c r="I1131" s="1"/>
      <c r="J1131" s="1"/>
      <c r="K1131" s="1"/>
      <c r="M1131" s="1"/>
      <c r="N1131" s="1"/>
      <c r="O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P1131" s="1"/>
      <c r="AQ1131" s="1"/>
      <c r="AR1131" s="1"/>
      <c r="AU1131" s="1"/>
      <c r="AW1131" s="1"/>
      <c r="AY1131" s="1"/>
    </row>
    <row r="1132">
      <c r="A1132" s="1"/>
      <c r="C1132" s="1"/>
      <c r="E1132" s="1"/>
      <c r="F1132" s="1"/>
      <c r="G1132" s="1"/>
      <c r="H1132" s="1"/>
      <c r="I1132" s="1"/>
      <c r="J1132" s="1"/>
      <c r="K1132" s="1"/>
      <c r="M1132" s="1"/>
      <c r="N1132" s="1"/>
      <c r="O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P1132" s="1"/>
      <c r="AQ1132" s="1"/>
      <c r="AR1132" s="1"/>
      <c r="AU1132" s="1"/>
      <c r="AW1132" s="1"/>
      <c r="AY1132" s="1"/>
    </row>
    <row r="1133">
      <c r="A1133" s="1"/>
      <c r="C1133" s="1"/>
      <c r="E1133" s="1"/>
      <c r="F1133" s="1"/>
      <c r="G1133" s="1"/>
      <c r="H1133" s="1"/>
      <c r="I1133" s="1"/>
      <c r="J1133" s="1"/>
      <c r="K1133" s="1"/>
      <c r="M1133" s="1"/>
      <c r="N1133" s="1"/>
      <c r="O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P1133" s="1"/>
      <c r="AQ1133" s="1"/>
      <c r="AR1133" s="1"/>
      <c r="AU1133" s="1"/>
      <c r="AW1133" s="1"/>
      <c r="AY1133" s="1"/>
    </row>
    <row r="1134">
      <c r="A1134" s="1"/>
      <c r="C1134" s="1"/>
      <c r="E1134" s="1"/>
      <c r="F1134" s="1"/>
      <c r="G1134" s="1"/>
      <c r="H1134" s="1"/>
      <c r="I1134" s="1"/>
      <c r="J1134" s="1"/>
      <c r="K1134" s="1"/>
      <c r="M1134" s="1"/>
      <c r="N1134" s="1"/>
      <c r="O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P1134" s="1"/>
      <c r="AQ1134" s="1"/>
      <c r="AR1134" s="1"/>
      <c r="AU1134" s="1"/>
      <c r="AW1134" s="1"/>
      <c r="AY1134" s="1"/>
    </row>
    <row r="1135">
      <c r="A1135" s="1"/>
      <c r="C1135" s="1"/>
      <c r="E1135" s="1"/>
      <c r="F1135" s="1"/>
      <c r="G1135" s="1"/>
      <c r="H1135" s="1"/>
      <c r="I1135" s="1"/>
      <c r="J1135" s="1"/>
      <c r="K1135" s="1"/>
      <c r="M1135" s="1"/>
      <c r="N1135" s="1"/>
      <c r="O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P1135" s="1"/>
      <c r="AQ1135" s="1"/>
      <c r="AR1135" s="1"/>
      <c r="AU1135" s="1"/>
      <c r="AW1135" s="1"/>
      <c r="AY1135" s="1"/>
    </row>
    <row r="1136">
      <c r="A1136" s="1"/>
      <c r="C1136" s="1"/>
      <c r="E1136" s="1"/>
      <c r="F1136" s="1"/>
      <c r="G1136" s="1"/>
      <c r="H1136" s="1"/>
      <c r="I1136" s="1"/>
      <c r="J1136" s="1"/>
      <c r="K1136" s="1"/>
      <c r="M1136" s="1"/>
      <c r="N1136" s="1"/>
      <c r="O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P1136" s="1"/>
      <c r="AQ1136" s="1"/>
      <c r="AR1136" s="1"/>
      <c r="AU1136" s="1"/>
      <c r="AW1136" s="1"/>
      <c r="AY1136" s="1"/>
    </row>
    <row r="1137">
      <c r="A1137" s="1"/>
      <c r="C1137" s="1"/>
      <c r="E1137" s="1"/>
      <c r="F1137" s="1"/>
      <c r="G1137" s="1"/>
      <c r="H1137" s="1"/>
      <c r="I1137" s="1"/>
      <c r="J1137" s="1"/>
      <c r="K1137" s="1"/>
      <c r="M1137" s="1"/>
      <c r="N1137" s="1"/>
      <c r="O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P1137" s="1"/>
      <c r="AQ1137" s="1"/>
      <c r="AR1137" s="1"/>
      <c r="AU1137" s="1"/>
      <c r="AW1137" s="1"/>
      <c r="AY1137" s="1"/>
    </row>
    <row r="1138">
      <c r="A1138" s="1"/>
      <c r="C1138" s="1"/>
      <c r="E1138" s="1"/>
      <c r="F1138" s="1"/>
      <c r="G1138" s="1"/>
      <c r="H1138" s="1"/>
      <c r="I1138" s="1"/>
      <c r="J1138" s="1"/>
      <c r="K1138" s="1"/>
      <c r="M1138" s="1"/>
      <c r="N1138" s="1"/>
      <c r="O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P1138" s="1"/>
      <c r="AQ1138" s="1"/>
      <c r="AR1138" s="1"/>
      <c r="AU1138" s="1"/>
      <c r="AW1138" s="1"/>
      <c r="AY1138" s="1"/>
    </row>
    <row r="1139">
      <c r="A1139" s="1"/>
      <c r="C1139" s="1"/>
      <c r="E1139" s="1"/>
      <c r="F1139" s="1"/>
      <c r="G1139" s="1"/>
      <c r="H1139" s="1"/>
      <c r="I1139" s="1"/>
      <c r="J1139" s="1"/>
      <c r="K1139" s="1"/>
      <c r="M1139" s="1"/>
      <c r="N1139" s="1"/>
      <c r="O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P1139" s="1"/>
      <c r="AQ1139" s="1"/>
      <c r="AR1139" s="1"/>
      <c r="AU1139" s="1"/>
      <c r="AW1139" s="1"/>
      <c r="AY1139" s="1"/>
    </row>
    <row r="1140">
      <c r="A1140" s="1"/>
      <c r="C1140" s="1"/>
      <c r="E1140" s="1"/>
      <c r="F1140" s="1"/>
      <c r="G1140" s="1"/>
      <c r="H1140" s="1"/>
      <c r="I1140" s="1"/>
      <c r="J1140" s="1"/>
      <c r="K1140" s="1"/>
      <c r="M1140" s="1"/>
      <c r="N1140" s="1"/>
      <c r="O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P1140" s="1"/>
      <c r="AQ1140" s="1"/>
      <c r="AR1140" s="1"/>
      <c r="AU1140" s="1"/>
      <c r="AW1140" s="1"/>
      <c r="AY1140" s="1"/>
    </row>
    <row r="1141">
      <c r="A1141" s="1"/>
      <c r="C1141" s="1"/>
      <c r="E1141" s="1"/>
      <c r="F1141" s="1"/>
      <c r="G1141" s="1"/>
      <c r="H1141" s="1"/>
      <c r="I1141" s="1"/>
      <c r="J1141" s="1"/>
      <c r="K1141" s="1"/>
      <c r="M1141" s="1"/>
      <c r="N1141" s="1"/>
      <c r="O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P1141" s="1"/>
      <c r="AQ1141" s="1"/>
      <c r="AR1141" s="1"/>
      <c r="AU1141" s="1"/>
      <c r="AW1141" s="1"/>
      <c r="AY1141" s="1"/>
    </row>
    <row r="1142">
      <c r="A1142" s="1"/>
      <c r="C1142" s="1"/>
      <c r="E1142" s="1"/>
      <c r="F1142" s="1"/>
      <c r="G1142" s="1"/>
      <c r="H1142" s="1"/>
      <c r="I1142" s="1"/>
      <c r="J1142" s="1"/>
      <c r="K1142" s="1"/>
      <c r="M1142" s="1"/>
      <c r="N1142" s="1"/>
      <c r="O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P1142" s="1"/>
      <c r="AQ1142" s="1"/>
      <c r="AR1142" s="1"/>
      <c r="AU1142" s="1"/>
      <c r="AW1142" s="1"/>
      <c r="AY1142" s="1"/>
    </row>
    <row r="1143">
      <c r="A1143" s="1"/>
      <c r="C1143" s="1"/>
      <c r="E1143" s="1"/>
      <c r="F1143" s="1"/>
      <c r="G1143" s="1"/>
      <c r="H1143" s="1"/>
      <c r="I1143" s="1"/>
      <c r="J1143" s="1"/>
      <c r="K1143" s="1"/>
      <c r="M1143" s="1"/>
      <c r="N1143" s="1"/>
      <c r="O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P1143" s="1"/>
      <c r="AQ1143" s="1"/>
      <c r="AR1143" s="1"/>
      <c r="AU1143" s="1"/>
      <c r="AW1143" s="1"/>
      <c r="AY1143" s="1"/>
    </row>
    <row r="1144">
      <c r="A1144" s="1"/>
      <c r="C1144" s="1"/>
      <c r="E1144" s="1"/>
      <c r="F1144" s="1"/>
      <c r="G1144" s="1"/>
      <c r="H1144" s="1"/>
      <c r="I1144" s="1"/>
      <c r="J1144" s="1"/>
      <c r="K1144" s="1"/>
      <c r="M1144" s="1"/>
      <c r="N1144" s="1"/>
      <c r="O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P1144" s="1"/>
      <c r="AQ1144" s="1"/>
      <c r="AR1144" s="1"/>
      <c r="AU1144" s="1"/>
      <c r="AW1144" s="1"/>
      <c r="AY1144" s="1"/>
    </row>
    <row r="1145">
      <c r="A1145" s="1"/>
      <c r="C1145" s="1"/>
      <c r="E1145" s="1"/>
      <c r="F1145" s="1"/>
      <c r="G1145" s="1"/>
      <c r="H1145" s="1"/>
      <c r="I1145" s="1"/>
      <c r="J1145" s="1"/>
      <c r="K1145" s="1"/>
      <c r="M1145" s="1"/>
      <c r="N1145" s="1"/>
      <c r="O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P1145" s="1"/>
      <c r="AQ1145" s="1"/>
      <c r="AR1145" s="1"/>
      <c r="AU1145" s="1"/>
      <c r="AW1145" s="1"/>
      <c r="AY1145" s="1"/>
    </row>
    <row r="1146">
      <c r="A1146" s="1"/>
      <c r="C1146" s="1"/>
      <c r="E1146" s="1"/>
      <c r="F1146" s="1"/>
      <c r="G1146" s="1"/>
      <c r="H1146" s="1"/>
      <c r="I1146" s="1"/>
      <c r="J1146" s="1"/>
      <c r="K1146" s="1"/>
      <c r="M1146" s="1"/>
      <c r="N1146" s="1"/>
      <c r="O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P1146" s="1"/>
      <c r="AQ1146" s="1"/>
      <c r="AR1146" s="1"/>
      <c r="AU1146" s="1"/>
      <c r="AW1146" s="1"/>
      <c r="AY1146" s="1"/>
    </row>
    <row r="1147">
      <c r="A1147" s="1"/>
      <c r="C1147" s="1"/>
      <c r="E1147" s="1"/>
      <c r="F1147" s="1"/>
      <c r="G1147" s="1"/>
      <c r="H1147" s="1"/>
      <c r="I1147" s="1"/>
      <c r="J1147" s="1"/>
      <c r="K1147" s="1"/>
      <c r="M1147" s="1"/>
      <c r="N1147" s="1"/>
      <c r="O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P1147" s="1"/>
      <c r="AQ1147" s="1"/>
      <c r="AR1147" s="1"/>
      <c r="AU1147" s="1"/>
      <c r="AW1147" s="1"/>
      <c r="AY1147" s="1"/>
    </row>
    <row r="1148">
      <c r="A1148" s="1"/>
      <c r="C1148" s="1"/>
      <c r="E1148" s="1"/>
      <c r="F1148" s="1"/>
      <c r="G1148" s="1"/>
      <c r="H1148" s="1"/>
      <c r="I1148" s="1"/>
      <c r="J1148" s="1"/>
      <c r="K1148" s="1"/>
      <c r="M1148" s="1"/>
      <c r="N1148" s="1"/>
      <c r="O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P1148" s="1"/>
      <c r="AQ1148" s="1"/>
      <c r="AR1148" s="1"/>
      <c r="AU1148" s="1"/>
      <c r="AW1148" s="1"/>
      <c r="AY1148" s="1"/>
    </row>
    <row r="1149">
      <c r="A1149" s="1"/>
      <c r="C1149" s="1"/>
      <c r="E1149" s="1"/>
      <c r="F1149" s="1"/>
      <c r="G1149" s="1"/>
      <c r="H1149" s="1"/>
      <c r="I1149" s="1"/>
      <c r="J1149" s="1"/>
      <c r="K1149" s="1"/>
      <c r="M1149" s="1"/>
      <c r="N1149" s="1"/>
      <c r="O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P1149" s="1"/>
      <c r="AQ1149" s="1"/>
      <c r="AR1149" s="1"/>
      <c r="AU1149" s="1"/>
      <c r="AW1149" s="1"/>
      <c r="AY1149" s="1"/>
    </row>
    <row r="1150">
      <c r="A1150" s="1"/>
      <c r="C1150" s="1"/>
      <c r="E1150" s="1"/>
      <c r="F1150" s="1"/>
      <c r="G1150" s="1"/>
      <c r="H1150" s="1"/>
      <c r="I1150" s="1"/>
      <c r="J1150" s="1"/>
      <c r="K1150" s="1"/>
      <c r="M1150" s="1"/>
      <c r="N1150" s="1"/>
      <c r="O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P1150" s="1"/>
      <c r="AQ1150" s="1"/>
      <c r="AR1150" s="1"/>
      <c r="AU1150" s="1"/>
      <c r="AW1150" s="1"/>
      <c r="AY1150" s="1"/>
    </row>
    <row r="1151">
      <c r="A1151" s="1"/>
      <c r="C1151" s="1"/>
      <c r="E1151" s="1"/>
      <c r="F1151" s="1"/>
      <c r="G1151" s="1"/>
      <c r="H1151" s="1"/>
      <c r="I1151" s="1"/>
      <c r="J1151" s="1"/>
      <c r="K1151" s="1"/>
      <c r="M1151" s="1"/>
      <c r="N1151" s="1"/>
      <c r="O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P1151" s="1"/>
      <c r="AQ1151" s="1"/>
      <c r="AR1151" s="1"/>
      <c r="AU1151" s="1"/>
      <c r="AW1151" s="1"/>
      <c r="AY1151" s="1"/>
    </row>
    <row r="1152">
      <c r="A1152" s="1"/>
      <c r="C1152" s="1"/>
      <c r="E1152" s="1"/>
      <c r="F1152" s="1"/>
      <c r="G1152" s="1"/>
      <c r="H1152" s="1"/>
      <c r="I1152" s="1"/>
      <c r="J1152" s="1"/>
      <c r="K1152" s="1"/>
      <c r="M1152" s="1"/>
      <c r="N1152" s="1"/>
      <c r="O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P1152" s="1"/>
      <c r="AQ1152" s="1"/>
      <c r="AR1152" s="1"/>
      <c r="AU1152" s="1"/>
      <c r="AW1152" s="1"/>
      <c r="AY1152" s="1"/>
    </row>
    <row r="1153">
      <c r="A1153" s="1"/>
      <c r="C1153" s="1"/>
      <c r="E1153" s="1"/>
      <c r="F1153" s="1"/>
      <c r="G1153" s="1"/>
      <c r="H1153" s="1"/>
      <c r="I1153" s="1"/>
      <c r="J1153" s="1"/>
      <c r="K1153" s="1"/>
      <c r="M1153" s="1"/>
      <c r="N1153" s="1"/>
      <c r="O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P1153" s="1"/>
      <c r="AQ1153" s="1"/>
      <c r="AR1153" s="1"/>
      <c r="AU1153" s="1"/>
      <c r="AW1153" s="1"/>
      <c r="AY1153" s="1"/>
    </row>
    <row r="1154">
      <c r="A1154" s="1"/>
      <c r="C1154" s="1"/>
      <c r="E1154" s="1"/>
      <c r="F1154" s="1"/>
      <c r="G1154" s="1"/>
      <c r="H1154" s="1"/>
      <c r="I1154" s="1"/>
      <c r="J1154" s="1"/>
      <c r="K1154" s="1"/>
      <c r="M1154" s="1"/>
      <c r="N1154" s="1"/>
      <c r="O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P1154" s="1"/>
      <c r="AQ1154" s="1"/>
      <c r="AR1154" s="1"/>
      <c r="AU1154" s="1"/>
      <c r="AW1154" s="1"/>
      <c r="AY1154" s="1"/>
    </row>
    <row r="1155">
      <c r="A1155" s="1"/>
      <c r="C1155" s="1"/>
      <c r="E1155" s="1"/>
      <c r="F1155" s="1"/>
      <c r="G1155" s="1"/>
      <c r="H1155" s="1"/>
      <c r="I1155" s="1"/>
      <c r="J1155" s="1"/>
      <c r="K1155" s="1"/>
      <c r="M1155" s="1"/>
      <c r="N1155" s="1"/>
      <c r="O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P1155" s="1"/>
      <c r="AQ1155" s="1"/>
      <c r="AR1155" s="1"/>
      <c r="AU1155" s="1"/>
      <c r="AW1155" s="1"/>
      <c r="AY1155" s="1"/>
    </row>
    <row r="1156">
      <c r="A1156" s="1"/>
      <c r="C1156" s="1"/>
      <c r="E1156" s="1"/>
      <c r="F1156" s="1"/>
      <c r="G1156" s="1"/>
      <c r="H1156" s="1"/>
      <c r="I1156" s="1"/>
      <c r="J1156" s="1"/>
      <c r="K1156" s="1"/>
      <c r="M1156" s="1"/>
      <c r="N1156" s="1"/>
      <c r="O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P1156" s="1"/>
      <c r="AQ1156" s="1"/>
      <c r="AR1156" s="1"/>
      <c r="AU1156" s="1"/>
      <c r="AW1156" s="1"/>
      <c r="AY1156" s="1"/>
    </row>
    <row r="1157">
      <c r="A1157" s="1"/>
      <c r="C1157" s="1"/>
      <c r="E1157" s="1"/>
      <c r="F1157" s="1"/>
      <c r="G1157" s="1"/>
      <c r="H1157" s="1"/>
      <c r="I1157" s="1"/>
      <c r="J1157" s="1"/>
      <c r="K1157" s="1"/>
      <c r="M1157" s="1"/>
      <c r="N1157" s="1"/>
      <c r="O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P1157" s="1"/>
      <c r="AQ1157" s="1"/>
      <c r="AR1157" s="1"/>
      <c r="AU1157" s="1"/>
      <c r="AW1157" s="1"/>
      <c r="AY1157" s="1"/>
    </row>
    <row r="1158">
      <c r="A1158" s="1"/>
      <c r="C1158" s="1"/>
      <c r="E1158" s="1"/>
      <c r="F1158" s="1"/>
      <c r="G1158" s="1"/>
      <c r="H1158" s="1"/>
      <c r="I1158" s="1"/>
      <c r="J1158" s="1"/>
      <c r="K1158" s="1"/>
      <c r="M1158" s="1"/>
      <c r="N1158" s="1"/>
      <c r="O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P1158" s="1"/>
      <c r="AQ1158" s="1"/>
      <c r="AR1158" s="1"/>
      <c r="AU1158" s="1"/>
      <c r="AW1158" s="1"/>
      <c r="AY1158" s="1"/>
    </row>
    <row r="1159">
      <c r="A1159" s="1"/>
      <c r="C1159" s="1"/>
      <c r="E1159" s="1"/>
      <c r="F1159" s="1"/>
      <c r="G1159" s="1"/>
      <c r="H1159" s="1"/>
      <c r="I1159" s="1"/>
      <c r="J1159" s="1"/>
      <c r="K1159" s="1"/>
      <c r="M1159" s="1"/>
      <c r="N1159" s="1"/>
      <c r="O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P1159" s="1"/>
      <c r="AQ1159" s="1"/>
      <c r="AR1159" s="1"/>
      <c r="AU1159" s="1"/>
      <c r="AW1159" s="1"/>
      <c r="AY1159" s="1"/>
    </row>
    <row r="1160">
      <c r="A1160" s="1"/>
      <c r="C1160" s="1"/>
      <c r="E1160" s="1"/>
      <c r="F1160" s="1"/>
      <c r="G1160" s="1"/>
      <c r="H1160" s="1"/>
      <c r="I1160" s="1"/>
      <c r="J1160" s="1"/>
      <c r="K1160" s="1"/>
      <c r="M1160" s="1"/>
      <c r="N1160" s="1"/>
      <c r="O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P1160" s="1"/>
      <c r="AQ1160" s="1"/>
      <c r="AR1160" s="1"/>
      <c r="AU1160" s="1"/>
      <c r="AW1160" s="1"/>
      <c r="AY1160" s="1"/>
    </row>
    <row r="1161">
      <c r="A1161" s="1"/>
      <c r="C1161" s="1"/>
      <c r="E1161" s="1"/>
      <c r="F1161" s="1"/>
      <c r="G1161" s="1"/>
      <c r="H1161" s="1"/>
      <c r="I1161" s="1"/>
      <c r="J1161" s="1"/>
      <c r="K1161" s="1"/>
      <c r="M1161" s="1"/>
      <c r="N1161" s="1"/>
      <c r="O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P1161" s="1"/>
      <c r="AQ1161" s="1"/>
      <c r="AR1161" s="1"/>
      <c r="AU1161" s="1"/>
      <c r="AW1161" s="1"/>
      <c r="AY1161" s="1"/>
    </row>
    <row r="1162">
      <c r="A1162" s="1"/>
      <c r="C1162" s="1"/>
      <c r="E1162" s="1"/>
      <c r="F1162" s="1"/>
      <c r="G1162" s="1"/>
      <c r="H1162" s="1"/>
      <c r="I1162" s="1"/>
      <c r="J1162" s="1"/>
      <c r="K1162" s="1"/>
      <c r="M1162" s="1"/>
      <c r="N1162" s="1"/>
      <c r="O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P1162" s="1"/>
      <c r="AQ1162" s="1"/>
      <c r="AR1162" s="1"/>
      <c r="AU1162" s="1"/>
      <c r="AW1162" s="1"/>
      <c r="AY1162" s="1"/>
    </row>
    <row r="1163">
      <c r="A1163" s="1"/>
      <c r="C1163" s="1"/>
      <c r="E1163" s="1"/>
      <c r="F1163" s="1"/>
      <c r="G1163" s="1"/>
      <c r="H1163" s="1"/>
      <c r="I1163" s="1"/>
      <c r="J1163" s="1"/>
      <c r="K1163" s="1"/>
      <c r="M1163" s="1"/>
      <c r="N1163" s="1"/>
      <c r="O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P1163" s="1"/>
      <c r="AQ1163" s="1"/>
      <c r="AR1163" s="1"/>
      <c r="AU1163" s="1"/>
      <c r="AW1163" s="1"/>
      <c r="AY1163" s="1"/>
    </row>
    <row r="1164">
      <c r="A1164" s="1"/>
      <c r="C1164" s="1"/>
      <c r="E1164" s="1"/>
      <c r="F1164" s="1"/>
      <c r="G1164" s="1"/>
      <c r="H1164" s="1"/>
      <c r="I1164" s="1"/>
      <c r="J1164" s="1"/>
      <c r="K1164" s="1"/>
      <c r="M1164" s="1"/>
      <c r="N1164" s="1"/>
      <c r="O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P1164" s="1"/>
      <c r="AQ1164" s="1"/>
      <c r="AR1164" s="1"/>
      <c r="AU1164" s="1"/>
      <c r="AW1164" s="1"/>
      <c r="AY1164" s="1"/>
    </row>
    <row r="1165">
      <c r="A1165" s="1"/>
      <c r="C1165" s="1"/>
      <c r="E1165" s="1"/>
      <c r="F1165" s="1"/>
      <c r="G1165" s="1"/>
      <c r="H1165" s="1"/>
      <c r="I1165" s="1"/>
      <c r="J1165" s="1"/>
      <c r="K1165" s="1"/>
      <c r="M1165" s="1"/>
      <c r="N1165" s="1"/>
      <c r="O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P1165" s="1"/>
      <c r="AQ1165" s="1"/>
      <c r="AR1165" s="1"/>
      <c r="AU1165" s="1"/>
      <c r="AW1165" s="1"/>
      <c r="AY1165" s="1"/>
    </row>
    <row r="1166">
      <c r="A1166" s="1"/>
      <c r="C1166" s="1"/>
      <c r="E1166" s="1"/>
      <c r="F1166" s="1"/>
      <c r="G1166" s="1"/>
      <c r="H1166" s="1"/>
      <c r="I1166" s="1"/>
      <c r="J1166" s="1"/>
      <c r="K1166" s="1"/>
      <c r="M1166" s="1"/>
      <c r="N1166" s="1"/>
      <c r="O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P1166" s="1"/>
      <c r="AQ1166" s="1"/>
      <c r="AR1166" s="1"/>
      <c r="AU1166" s="1"/>
      <c r="AW1166" s="1"/>
      <c r="AY1166" s="1"/>
    </row>
    <row r="1167">
      <c r="A1167" s="1"/>
      <c r="C1167" s="1"/>
      <c r="E1167" s="1"/>
      <c r="F1167" s="1"/>
      <c r="G1167" s="1"/>
      <c r="H1167" s="1"/>
      <c r="I1167" s="1"/>
      <c r="J1167" s="1"/>
      <c r="K1167" s="1"/>
      <c r="M1167" s="1"/>
      <c r="N1167" s="1"/>
      <c r="O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P1167" s="1"/>
      <c r="AQ1167" s="1"/>
      <c r="AR1167" s="1"/>
      <c r="AU1167" s="1"/>
      <c r="AW1167" s="1"/>
      <c r="AY1167" s="1"/>
    </row>
    <row r="1168">
      <c r="A1168" s="1"/>
      <c r="C1168" s="1"/>
      <c r="E1168" s="1"/>
      <c r="F1168" s="1"/>
      <c r="G1168" s="1"/>
      <c r="H1168" s="1"/>
      <c r="I1168" s="1"/>
      <c r="J1168" s="1"/>
      <c r="K1168" s="1"/>
      <c r="M1168" s="1"/>
      <c r="N1168" s="1"/>
      <c r="O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P1168" s="1"/>
      <c r="AQ1168" s="1"/>
      <c r="AR1168" s="1"/>
      <c r="AU1168" s="1"/>
      <c r="AW1168" s="1"/>
      <c r="AY1168" s="1"/>
    </row>
    <row r="1169">
      <c r="A1169" s="1"/>
      <c r="C1169" s="1"/>
      <c r="E1169" s="1"/>
      <c r="F1169" s="1"/>
      <c r="G1169" s="1"/>
      <c r="H1169" s="1"/>
      <c r="I1169" s="1"/>
      <c r="J1169" s="1"/>
      <c r="K1169" s="1"/>
      <c r="M1169" s="1"/>
      <c r="N1169" s="1"/>
      <c r="O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P1169" s="1"/>
      <c r="AQ1169" s="1"/>
      <c r="AR1169" s="1"/>
      <c r="AU1169" s="1"/>
      <c r="AW1169" s="1"/>
      <c r="AY1169" s="1"/>
    </row>
    <row r="1170">
      <c r="A1170" s="1"/>
      <c r="C1170" s="1"/>
      <c r="E1170" s="1"/>
      <c r="F1170" s="1"/>
      <c r="G1170" s="1"/>
      <c r="H1170" s="1"/>
      <c r="I1170" s="1"/>
      <c r="J1170" s="1"/>
      <c r="K1170" s="1"/>
      <c r="M1170" s="1"/>
      <c r="N1170" s="1"/>
      <c r="O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P1170" s="1"/>
      <c r="AQ1170" s="1"/>
      <c r="AR1170" s="1"/>
      <c r="AU1170" s="1"/>
      <c r="AW1170" s="1"/>
      <c r="AY1170" s="1"/>
    </row>
    <row r="1171">
      <c r="A1171" s="1"/>
      <c r="C1171" s="1"/>
      <c r="E1171" s="1"/>
      <c r="F1171" s="1"/>
      <c r="G1171" s="1"/>
      <c r="H1171" s="1"/>
      <c r="I1171" s="1"/>
      <c r="J1171" s="1"/>
      <c r="K1171" s="1"/>
      <c r="M1171" s="1"/>
      <c r="N1171" s="1"/>
      <c r="O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P1171" s="1"/>
      <c r="AQ1171" s="1"/>
      <c r="AR1171" s="1"/>
      <c r="AU1171" s="1"/>
      <c r="AW1171" s="1"/>
      <c r="AY1171" s="1"/>
    </row>
    <row r="1172">
      <c r="A1172" s="1"/>
      <c r="C1172" s="1"/>
      <c r="E1172" s="1"/>
      <c r="F1172" s="1"/>
      <c r="G1172" s="1"/>
      <c r="H1172" s="1"/>
      <c r="I1172" s="1"/>
      <c r="J1172" s="1"/>
      <c r="K1172" s="1"/>
      <c r="M1172" s="1"/>
      <c r="N1172" s="1"/>
      <c r="O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P1172" s="1"/>
      <c r="AQ1172" s="1"/>
      <c r="AR1172" s="1"/>
      <c r="AU1172" s="1"/>
      <c r="AW1172" s="1"/>
      <c r="AY1172" s="1"/>
    </row>
    <row r="1173">
      <c r="A1173" s="1"/>
      <c r="C1173" s="1"/>
      <c r="E1173" s="1"/>
      <c r="F1173" s="1"/>
      <c r="G1173" s="1"/>
      <c r="H1173" s="1"/>
      <c r="I1173" s="1"/>
      <c r="J1173" s="1"/>
      <c r="K1173" s="1"/>
      <c r="M1173" s="1"/>
      <c r="N1173" s="1"/>
      <c r="O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P1173" s="1"/>
      <c r="AQ1173" s="1"/>
      <c r="AR1173" s="1"/>
      <c r="AU1173" s="1"/>
      <c r="AW1173" s="1"/>
      <c r="AY1173" s="1"/>
    </row>
    <row r="1174">
      <c r="A1174" s="1"/>
      <c r="C1174" s="1"/>
      <c r="E1174" s="1"/>
      <c r="F1174" s="1"/>
      <c r="G1174" s="1"/>
      <c r="H1174" s="1"/>
      <c r="I1174" s="1"/>
      <c r="J1174" s="1"/>
      <c r="K1174" s="1"/>
      <c r="M1174" s="1"/>
      <c r="N1174" s="1"/>
      <c r="O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P1174" s="1"/>
      <c r="AQ1174" s="1"/>
      <c r="AR1174" s="1"/>
      <c r="AU1174" s="1"/>
      <c r="AW1174" s="1"/>
      <c r="AY1174" s="1"/>
    </row>
    <row r="1175">
      <c r="A1175" s="1"/>
      <c r="C1175" s="1"/>
      <c r="E1175" s="1"/>
      <c r="F1175" s="1"/>
      <c r="G1175" s="1"/>
      <c r="H1175" s="1"/>
      <c r="I1175" s="1"/>
      <c r="J1175" s="1"/>
      <c r="K1175" s="1"/>
      <c r="M1175" s="1"/>
      <c r="N1175" s="1"/>
      <c r="O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P1175" s="1"/>
      <c r="AQ1175" s="1"/>
      <c r="AR1175" s="1"/>
      <c r="AU1175" s="1"/>
      <c r="AW1175" s="1"/>
      <c r="AY1175" s="1"/>
    </row>
    <row r="1176">
      <c r="A1176" s="1"/>
      <c r="C1176" s="1"/>
      <c r="E1176" s="1"/>
      <c r="F1176" s="1"/>
      <c r="G1176" s="1"/>
      <c r="H1176" s="1"/>
      <c r="I1176" s="1"/>
      <c r="J1176" s="1"/>
      <c r="K1176" s="1"/>
      <c r="M1176" s="1"/>
      <c r="N1176" s="1"/>
      <c r="O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P1176" s="1"/>
      <c r="AQ1176" s="1"/>
      <c r="AR1176" s="1"/>
      <c r="AU1176" s="1"/>
      <c r="AW1176" s="1"/>
      <c r="AY1176" s="1"/>
    </row>
    <row r="1177">
      <c r="A1177" s="1"/>
      <c r="C1177" s="1"/>
      <c r="E1177" s="1"/>
      <c r="F1177" s="1"/>
      <c r="G1177" s="1"/>
      <c r="H1177" s="1"/>
      <c r="I1177" s="1"/>
      <c r="J1177" s="1"/>
      <c r="K1177" s="1"/>
      <c r="M1177" s="1"/>
      <c r="N1177" s="1"/>
      <c r="O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P1177" s="1"/>
      <c r="AQ1177" s="1"/>
      <c r="AR1177" s="1"/>
      <c r="AU1177" s="1"/>
      <c r="AW1177" s="1"/>
      <c r="AY1177" s="1"/>
    </row>
    <row r="1178">
      <c r="A1178" s="1"/>
      <c r="C1178" s="1"/>
      <c r="E1178" s="1"/>
      <c r="F1178" s="1"/>
      <c r="G1178" s="1"/>
      <c r="H1178" s="1"/>
      <c r="I1178" s="1"/>
      <c r="J1178" s="1"/>
      <c r="K1178" s="1"/>
      <c r="M1178" s="1"/>
      <c r="N1178" s="1"/>
      <c r="O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P1178" s="1"/>
      <c r="AQ1178" s="1"/>
      <c r="AR1178" s="1"/>
      <c r="AU1178" s="1"/>
      <c r="AW1178" s="1"/>
      <c r="AY1178" s="1"/>
    </row>
    <row r="1179">
      <c r="A1179" s="1"/>
      <c r="C1179" s="1"/>
      <c r="E1179" s="1"/>
      <c r="F1179" s="1"/>
      <c r="G1179" s="1"/>
      <c r="H1179" s="1"/>
      <c r="I1179" s="1"/>
      <c r="J1179" s="1"/>
      <c r="K1179" s="1"/>
      <c r="M1179" s="1"/>
      <c r="N1179" s="1"/>
      <c r="O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P1179" s="1"/>
      <c r="AQ1179" s="1"/>
      <c r="AR1179" s="1"/>
      <c r="AU1179" s="1"/>
      <c r="AW1179" s="1"/>
      <c r="AY1179" s="1"/>
    </row>
    <row r="1180">
      <c r="A1180" s="1"/>
      <c r="C1180" s="1"/>
      <c r="E1180" s="1"/>
      <c r="F1180" s="1"/>
      <c r="G1180" s="1"/>
      <c r="H1180" s="1"/>
      <c r="I1180" s="1"/>
      <c r="J1180" s="1"/>
      <c r="K1180" s="1"/>
      <c r="M1180" s="1"/>
      <c r="N1180" s="1"/>
      <c r="O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P1180" s="1"/>
      <c r="AQ1180" s="1"/>
      <c r="AR1180" s="1"/>
      <c r="AU1180" s="1"/>
      <c r="AW1180" s="1"/>
      <c r="AY1180" s="1"/>
    </row>
    <row r="1181">
      <c r="A1181" s="1"/>
      <c r="C1181" s="1"/>
      <c r="E1181" s="1"/>
      <c r="F1181" s="1"/>
      <c r="G1181" s="1"/>
      <c r="H1181" s="1"/>
      <c r="I1181" s="1"/>
      <c r="J1181" s="1"/>
      <c r="K1181" s="1"/>
      <c r="M1181" s="1"/>
      <c r="N1181" s="1"/>
      <c r="O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P1181" s="1"/>
      <c r="AQ1181" s="1"/>
      <c r="AR1181" s="1"/>
      <c r="AU1181" s="1"/>
      <c r="AW1181" s="1"/>
      <c r="AY1181" s="1"/>
    </row>
    <row r="1182">
      <c r="A1182" s="1"/>
      <c r="C1182" s="1"/>
      <c r="E1182" s="1"/>
      <c r="F1182" s="1"/>
      <c r="G1182" s="1"/>
      <c r="H1182" s="1"/>
      <c r="I1182" s="1"/>
      <c r="J1182" s="1"/>
      <c r="K1182" s="1"/>
      <c r="M1182" s="1"/>
      <c r="N1182" s="1"/>
      <c r="O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P1182" s="1"/>
      <c r="AQ1182" s="1"/>
      <c r="AR1182" s="1"/>
      <c r="AU1182" s="1"/>
      <c r="AW1182" s="1"/>
      <c r="AY1182" s="1"/>
    </row>
    <row r="1183">
      <c r="A1183" s="1"/>
      <c r="C1183" s="1"/>
      <c r="E1183" s="1"/>
      <c r="F1183" s="1"/>
      <c r="G1183" s="1"/>
      <c r="H1183" s="1"/>
      <c r="I1183" s="1"/>
      <c r="J1183" s="1"/>
      <c r="K1183" s="1"/>
      <c r="M1183" s="1"/>
      <c r="N1183" s="1"/>
      <c r="O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P1183" s="1"/>
      <c r="AQ1183" s="1"/>
      <c r="AR1183" s="1"/>
      <c r="AU1183" s="1"/>
      <c r="AW1183" s="1"/>
      <c r="AY1183" s="1"/>
    </row>
    <row r="1184">
      <c r="A1184" s="1"/>
      <c r="C1184" s="1"/>
      <c r="E1184" s="1"/>
      <c r="F1184" s="1"/>
      <c r="G1184" s="1"/>
      <c r="H1184" s="1"/>
      <c r="I1184" s="1"/>
      <c r="J1184" s="1"/>
      <c r="K1184" s="1"/>
      <c r="M1184" s="1"/>
      <c r="N1184" s="1"/>
      <c r="O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P1184" s="1"/>
      <c r="AQ1184" s="1"/>
      <c r="AR1184" s="1"/>
      <c r="AU1184" s="1"/>
      <c r="AW1184" s="1"/>
      <c r="AY1184" s="1"/>
    </row>
    <row r="1185">
      <c r="A1185" s="1"/>
      <c r="C1185" s="1"/>
      <c r="E1185" s="1"/>
      <c r="F1185" s="1"/>
      <c r="G1185" s="1"/>
      <c r="H1185" s="1"/>
      <c r="I1185" s="1"/>
      <c r="J1185" s="1"/>
      <c r="K1185" s="1"/>
      <c r="M1185" s="1"/>
      <c r="N1185" s="1"/>
      <c r="O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P1185" s="1"/>
      <c r="AQ1185" s="1"/>
      <c r="AR1185" s="1"/>
      <c r="AU1185" s="1"/>
      <c r="AW1185" s="1"/>
      <c r="AY1185" s="1"/>
    </row>
    <row r="1186">
      <c r="A1186" s="1"/>
      <c r="C1186" s="1"/>
      <c r="E1186" s="1"/>
      <c r="F1186" s="1"/>
      <c r="G1186" s="1"/>
      <c r="H1186" s="1"/>
      <c r="I1186" s="1"/>
      <c r="J1186" s="1"/>
      <c r="K1186" s="1"/>
      <c r="M1186" s="1"/>
      <c r="N1186" s="1"/>
      <c r="O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P1186" s="1"/>
      <c r="AQ1186" s="1"/>
      <c r="AR1186" s="1"/>
      <c r="AU1186" s="1"/>
      <c r="AW1186" s="1"/>
      <c r="AY1186" s="1"/>
    </row>
    <row r="1187">
      <c r="A1187" s="1"/>
      <c r="C1187" s="1"/>
      <c r="E1187" s="1"/>
      <c r="F1187" s="1"/>
      <c r="G1187" s="1"/>
      <c r="H1187" s="1"/>
      <c r="I1187" s="1"/>
      <c r="J1187" s="1"/>
      <c r="K1187" s="1"/>
      <c r="M1187" s="1"/>
      <c r="N1187" s="1"/>
      <c r="O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P1187" s="1"/>
      <c r="AQ1187" s="1"/>
      <c r="AR1187" s="1"/>
      <c r="AU1187" s="1"/>
      <c r="AW1187" s="1"/>
      <c r="AY1187" s="1"/>
    </row>
    <row r="1188">
      <c r="A1188" s="1"/>
      <c r="C1188" s="1"/>
      <c r="E1188" s="1"/>
      <c r="F1188" s="1"/>
      <c r="G1188" s="1"/>
      <c r="H1188" s="1"/>
      <c r="I1188" s="1"/>
      <c r="J1188" s="1"/>
      <c r="K1188" s="1"/>
      <c r="M1188" s="1"/>
      <c r="N1188" s="1"/>
      <c r="O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P1188" s="1"/>
      <c r="AQ1188" s="1"/>
      <c r="AR1188" s="1"/>
      <c r="AU1188" s="1"/>
      <c r="AW1188" s="1"/>
      <c r="AY1188" s="1"/>
    </row>
    <row r="1189">
      <c r="A1189" s="1"/>
      <c r="C1189" s="1"/>
      <c r="E1189" s="1"/>
      <c r="F1189" s="1"/>
      <c r="G1189" s="1"/>
      <c r="H1189" s="1"/>
      <c r="I1189" s="1"/>
      <c r="J1189" s="1"/>
      <c r="K1189" s="1"/>
      <c r="M1189" s="1"/>
      <c r="N1189" s="1"/>
      <c r="O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P1189" s="1"/>
      <c r="AQ1189" s="1"/>
      <c r="AR1189" s="1"/>
      <c r="AU1189" s="1"/>
      <c r="AW1189" s="1"/>
      <c r="AY1189" s="1"/>
    </row>
    <row r="1190">
      <c r="A1190" s="1"/>
      <c r="C1190" s="1"/>
      <c r="E1190" s="1"/>
      <c r="F1190" s="1"/>
      <c r="G1190" s="1"/>
      <c r="H1190" s="1"/>
      <c r="I1190" s="1"/>
      <c r="J1190" s="1"/>
      <c r="K1190" s="1"/>
      <c r="M1190" s="1"/>
      <c r="N1190" s="1"/>
      <c r="O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P1190" s="1"/>
      <c r="AQ1190" s="1"/>
      <c r="AR1190" s="1"/>
      <c r="AU1190" s="1"/>
      <c r="AW1190" s="1"/>
      <c r="AY1190" s="1"/>
    </row>
    <row r="1191">
      <c r="A1191" s="1"/>
      <c r="C1191" s="1"/>
      <c r="E1191" s="1"/>
      <c r="F1191" s="1"/>
      <c r="G1191" s="1"/>
      <c r="H1191" s="1"/>
      <c r="I1191" s="1"/>
      <c r="J1191" s="1"/>
      <c r="K1191" s="1"/>
      <c r="M1191" s="1"/>
      <c r="N1191" s="1"/>
      <c r="O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P1191" s="1"/>
      <c r="AQ1191" s="1"/>
      <c r="AR1191" s="1"/>
      <c r="AU1191" s="1"/>
      <c r="AW1191" s="1"/>
      <c r="AY1191" s="1"/>
    </row>
    <row r="1192">
      <c r="A1192" s="1"/>
      <c r="C1192" s="1"/>
      <c r="E1192" s="1"/>
      <c r="F1192" s="1"/>
      <c r="G1192" s="1"/>
      <c r="H1192" s="1"/>
      <c r="I1192" s="1"/>
      <c r="J1192" s="1"/>
      <c r="K1192" s="1"/>
      <c r="M1192" s="1"/>
      <c r="N1192" s="1"/>
      <c r="O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P1192" s="1"/>
      <c r="AQ1192" s="1"/>
      <c r="AR1192" s="1"/>
      <c r="AU1192" s="1"/>
      <c r="AW1192" s="1"/>
      <c r="AY1192" s="1"/>
    </row>
    <row r="1193">
      <c r="A1193" s="1"/>
      <c r="C1193" s="1"/>
      <c r="E1193" s="1"/>
      <c r="F1193" s="1"/>
      <c r="G1193" s="1"/>
      <c r="H1193" s="1"/>
      <c r="I1193" s="1"/>
      <c r="J1193" s="1"/>
      <c r="K1193" s="1"/>
      <c r="M1193" s="1"/>
      <c r="N1193" s="1"/>
      <c r="O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P1193" s="1"/>
      <c r="AQ1193" s="1"/>
      <c r="AR1193" s="1"/>
      <c r="AU1193" s="1"/>
      <c r="AW1193" s="1"/>
      <c r="AY1193" s="1"/>
    </row>
    <row r="1194">
      <c r="A1194" s="1"/>
      <c r="C1194" s="1"/>
      <c r="E1194" s="1"/>
      <c r="F1194" s="1"/>
      <c r="G1194" s="1"/>
      <c r="H1194" s="1"/>
      <c r="I1194" s="1"/>
      <c r="J1194" s="1"/>
      <c r="K1194" s="1"/>
      <c r="M1194" s="1"/>
      <c r="N1194" s="1"/>
      <c r="O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P1194" s="1"/>
      <c r="AQ1194" s="1"/>
      <c r="AR1194" s="1"/>
      <c r="AU1194" s="1"/>
      <c r="AW1194" s="1"/>
      <c r="AY1194" s="1"/>
    </row>
    <row r="1195">
      <c r="A1195" s="1"/>
      <c r="C1195" s="1"/>
      <c r="E1195" s="1"/>
      <c r="F1195" s="1"/>
      <c r="G1195" s="1"/>
      <c r="H1195" s="1"/>
      <c r="I1195" s="1"/>
      <c r="J1195" s="1"/>
      <c r="K1195" s="1"/>
      <c r="M1195" s="1"/>
      <c r="N1195" s="1"/>
      <c r="O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P1195" s="1"/>
      <c r="AQ1195" s="1"/>
      <c r="AR1195" s="1"/>
      <c r="AU1195" s="1"/>
      <c r="AW1195" s="1"/>
      <c r="AY1195" s="1"/>
    </row>
    <row r="1196">
      <c r="A1196" s="1"/>
      <c r="C1196" s="1"/>
      <c r="E1196" s="1"/>
      <c r="F1196" s="1"/>
      <c r="G1196" s="1"/>
      <c r="H1196" s="1"/>
      <c r="I1196" s="1"/>
      <c r="J1196" s="1"/>
      <c r="K1196" s="1"/>
      <c r="M1196" s="1"/>
      <c r="N1196" s="1"/>
      <c r="O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P1196" s="1"/>
      <c r="AQ1196" s="1"/>
      <c r="AR1196" s="1"/>
      <c r="AU1196" s="1"/>
      <c r="AW1196" s="1"/>
      <c r="AY1196" s="1"/>
    </row>
    <row r="1197">
      <c r="A1197" s="1"/>
      <c r="C1197" s="1"/>
      <c r="E1197" s="1"/>
      <c r="F1197" s="1"/>
      <c r="G1197" s="1"/>
      <c r="H1197" s="1"/>
      <c r="I1197" s="1"/>
      <c r="J1197" s="1"/>
      <c r="K1197" s="1"/>
      <c r="M1197" s="1"/>
      <c r="N1197" s="1"/>
      <c r="O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P1197" s="1"/>
      <c r="AQ1197" s="1"/>
      <c r="AR1197" s="1"/>
      <c r="AU1197" s="1"/>
      <c r="AW1197" s="1"/>
      <c r="AY1197" s="1"/>
    </row>
    <row r="1198">
      <c r="A1198" s="1"/>
      <c r="C1198" s="1"/>
      <c r="E1198" s="1"/>
      <c r="F1198" s="1"/>
      <c r="G1198" s="1"/>
      <c r="H1198" s="1"/>
      <c r="I1198" s="1"/>
      <c r="J1198" s="1"/>
      <c r="K1198" s="1"/>
      <c r="M1198" s="1"/>
      <c r="N1198" s="1"/>
      <c r="O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P1198" s="1"/>
      <c r="AQ1198" s="1"/>
      <c r="AR1198" s="1"/>
      <c r="AU1198" s="1"/>
      <c r="AW1198" s="1"/>
      <c r="AY1198" s="1"/>
    </row>
    <row r="1199">
      <c r="A1199" s="1"/>
      <c r="C1199" s="1"/>
      <c r="E1199" s="1"/>
      <c r="F1199" s="1"/>
      <c r="G1199" s="1"/>
      <c r="H1199" s="1"/>
      <c r="I1199" s="1"/>
      <c r="J1199" s="1"/>
      <c r="K1199" s="1"/>
      <c r="M1199" s="1"/>
      <c r="N1199" s="1"/>
      <c r="O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P1199" s="1"/>
      <c r="AQ1199" s="1"/>
      <c r="AR1199" s="1"/>
      <c r="AU1199" s="1"/>
      <c r="AW1199" s="1"/>
      <c r="AY1199" s="1"/>
    </row>
    <row r="1200">
      <c r="A1200" s="1"/>
      <c r="C1200" s="1"/>
      <c r="E1200" s="1"/>
      <c r="F1200" s="1"/>
      <c r="G1200" s="1"/>
      <c r="H1200" s="1"/>
      <c r="I1200" s="1"/>
      <c r="J1200" s="1"/>
      <c r="K1200" s="1"/>
      <c r="M1200" s="1"/>
      <c r="N1200" s="1"/>
      <c r="O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P1200" s="1"/>
      <c r="AQ1200" s="1"/>
      <c r="AR1200" s="1"/>
      <c r="AU1200" s="1"/>
      <c r="AW1200" s="1"/>
      <c r="AY1200" s="1"/>
    </row>
    <row r="1201">
      <c r="A1201" s="1"/>
      <c r="C1201" s="1"/>
      <c r="E1201" s="1"/>
      <c r="F1201" s="1"/>
      <c r="G1201" s="1"/>
      <c r="H1201" s="1"/>
      <c r="I1201" s="1"/>
      <c r="J1201" s="1"/>
      <c r="K1201" s="1"/>
      <c r="M1201" s="1"/>
      <c r="N1201" s="1"/>
      <c r="O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P1201" s="1"/>
      <c r="AQ1201" s="1"/>
      <c r="AR1201" s="1"/>
      <c r="AU1201" s="1"/>
      <c r="AW1201" s="1"/>
      <c r="AY1201" s="1"/>
    </row>
    <row r="1202">
      <c r="A1202" s="1"/>
      <c r="C1202" s="1"/>
      <c r="E1202" s="1"/>
      <c r="F1202" s="1"/>
      <c r="G1202" s="1"/>
      <c r="H1202" s="1"/>
      <c r="I1202" s="1"/>
      <c r="J1202" s="1"/>
      <c r="K1202" s="1"/>
      <c r="M1202" s="1"/>
      <c r="N1202" s="1"/>
      <c r="O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P1202" s="1"/>
      <c r="AQ1202" s="1"/>
      <c r="AR1202" s="1"/>
      <c r="AU1202" s="1"/>
      <c r="AW1202" s="1"/>
      <c r="AY1202" s="1"/>
    </row>
    <row r="1203">
      <c r="A1203" s="1"/>
      <c r="C1203" s="1"/>
      <c r="E1203" s="1"/>
      <c r="F1203" s="1"/>
      <c r="G1203" s="1"/>
      <c r="H1203" s="1"/>
      <c r="I1203" s="1"/>
      <c r="J1203" s="1"/>
      <c r="K1203" s="1"/>
      <c r="M1203" s="1"/>
      <c r="N1203" s="1"/>
      <c r="O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P1203" s="1"/>
      <c r="AQ1203" s="1"/>
      <c r="AR1203" s="1"/>
      <c r="AU1203" s="1"/>
      <c r="AW1203" s="1"/>
      <c r="AY1203" s="1"/>
    </row>
    <row r="1204">
      <c r="A1204" s="1"/>
      <c r="C1204" s="1"/>
      <c r="E1204" s="1"/>
      <c r="F1204" s="1"/>
      <c r="G1204" s="1"/>
      <c r="H1204" s="1"/>
      <c r="I1204" s="1"/>
      <c r="J1204" s="1"/>
      <c r="K1204" s="1"/>
      <c r="M1204" s="1"/>
      <c r="N1204" s="1"/>
      <c r="O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P1204" s="1"/>
      <c r="AQ1204" s="1"/>
      <c r="AR1204" s="1"/>
      <c r="AU1204" s="1"/>
      <c r="AW1204" s="1"/>
      <c r="AY1204" s="1"/>
    </row>
    <row r="1205">
      <c r="A1205" s="1"/>
      <c r="C1205" s="1"/>
      <c r="E1205" s="1"/>
      <c r="F1205" s="1"/>
      <c r="G1205" s="1"/>
      <c r="H1205" s="1"/>
      <c r="I1205" s="1"/>
      <c r="J1205" s="1"/>
      <c r="K1205" s="1"/>
      <c r="M1205" s="1"/>
      <c r="N1205" s="1"/>
      <c r="O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P1205" s="1"/>
      <c r="AQ1205" s="1"/>
      <c r="AR1205" s="1"/>
      <c r="AU1205" s="1"/>
      <c r="AW1205" s="1"/>
      <c r="AY1205" s="1"/>
    </row>
    <row r="1206">
      <c r="A1206" s="1"/>
      <c r="C1206" s="1"/>
      <c r="E1206" s="1"/>
      <c r="F1206" s="1"/>
      <c r="G1206" s="1"/>
      <c r="H1206" s="1"/>
      <c r="I1206" s="1"/>
      <c r="J1206" s="1"/>
      <c r="K1206" s="1"/>
      <c r="M1206" s="1"/>
      <c r="N1206" s="1"/>
      <c r="O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P1206" s="1"/>
      <c r="AQ1206" s="1"/>
      <c r="AR1206" s="1"/>
      <c r="AU1206" s="1"/>
      <c r="AW1206" s="1"/>
      <c r="AY1206" s="1"/>
    </row>
    <row r="1207">
      <c r="A1207" s="1"/>
      <c r="C1207" s="1"/>
      <c r="E1207" s="1"/>
      <c r="F1207" s="1"/>
      <c r="G1207" s="1"/>
      <c r="H1207" s="1"/>
      <c r="I1207" s="1"/>
      <c r="J1207" s="1"/>
      <c r="K1207" s="1"/>
      <c r="M1207" s="1"/>
      <c r="N1207" s="1"/>
      <c r="O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P1207" s="1"/>
      <c r="AQ1207" s="1"/>
      <c r="AR1207" s="1"/>
      <c r="AU1207" s="1"/>
      <c r="AW1207" s="1"/>
      <c r="AY1207" s="1"/>
    </row>
    <row r="1208">
      <c r="A1208" s="1"/>
      <c r="C1208" s="1"/>
      <c r="E1208" s="1"/>
      <c r="F1208" s="1"/>
      <c r="G1208" s="1"/>
      <c r="H1208" s="1"/>
      <c r="I1208" s="1"/>
      <c r="J1208" s="1"/>
      <c r="K1208" s="1"/>
      <c r="M1208" s="1"/>
      <c r="N1208" s="1"/>
      <c r="O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P1208" s="1"/>
      <c r="AQ1208" s="1"/>
      <c r="AR1208" s="1"/>
      <c r="AU1208" s="1"/>
      <c r="AW1208" s="1"/>
      <c r="AY1208" s="1"/>
    </row>
    <row r="1209">
      <c r="A1209" s="1"/>
      <c r="C1209" s="1"/>
      <c r="E1209" s="1"/>
      <c r="F1209" s="1"/>
      <c r="G1209" s="1"/>
      <c r="H1209" s="1"/>
      <c r="I1209" s="1"/>
      <c r="J1209" s="1"/>
      <c r="K1209" s="1"/>
      <c r="M1209" s="1"/>
      <c r="N1209" s="1"/>
      <c r="O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P1209" s="1"/>
      <c r="AQ1209" s="1"/>
      <c r="AR1209" s="1"/>
      <c r="AU1209" s="1"/>
      <c r="AW1209" s="1"/>
      <c r="AY1209" s="1"/>
    </row>
    <row r="1210">
      <c r="A1210" s="1"/>
      <c r="C1210" s="1"/>
      <c r="E1210" s="1"/>
      <c r="F1210" s="1"/>
      <c r="G1210" s="1"/>
      <c r="H1210" s="1"/>
      <c r="I1210" s="1"/>
      <c r="J1210" s="1"/>
      <c r="K1210" s="1"/>
      <c r="M1210" s="1"/>
      <c r="N1210" s="1"/>
      <c r="O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P1210" s="1"/>
      <c r="AQ1210" s="1"/>
      <c r="AR1210" s="1"/>
      <c r="AU1210" s="1"/>
      <c r="AW1210" s="1"/>
      <c r="AY1210" s="1"/>
    </row>
    <row r="1211">
      <c r="A1211" s="1"/>
      <c r="C1211" s="1"/>
      <c r="E1211" s="1"/>
      <c r="F1211" s="1"/>
      <c r="G1211" s="1"/>
      <c r="H1211" s="1"/>
      <c r="I1211" s="1"/>
      <c r="J1211" s="1"/>
      <c r="K1211" s="1"/>
      <c r="M1211" s="1"/>
      <c r="N1211" s="1"/>
      <c r="O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P1211" s="1"/>
      <c r="AQ1211" s="1"/>
      <c r="AR1211" s="1"/>
      <c r="AU1211" s="1"/>
      <c r="AW1211" s="1"/>
      <c r="AY1211" s="1"/>
    </row>
    <row r="1212">
      <c r="A1212" s="1"/>
      <c r="C1212" s="1"/>
      <c r="E1212" s="1"/>
      <c r="F1212" s="1"/>
      <c r="G1212" s="1"/>
      <c r="H1212" s="1"/>
      <c r="I1212" s="1"/>
      <c r="J1212" s="1"/>
      <c r="K1212" s="1"/>
      <c r="M1212" s="1"/>
      <c r="N1212" s="1"/>
      <c r="O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P1212" s="1"/>
      <c r="AQ1212" s="1"/>
      <c r="AR1212" s="1"/>
      <c r="AU1212" s="1"/>
      <c r="AW1212" s="1"/>
      <c r="AY1212" s="1"/>
    </row>
    <row r="1213">
      <c r="A1213" s="1"/>
      <c r="C1213" s="1"/>
      <c r="E1213" s="1"/>
      <c r="F1213" s="1"/>
      <c r="G1213" s="1"/>
      <c r="H1213" s="1"/>
      <c r="I1213" s="1"/>
      <c r="J1213" s="1"/>
      <c r="K1213" s="1"/>
      <c r="M1213" s="1"/>
      <c r="N1213" s="1"/>
      <c r="O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P1213" s="1"/>
      <c r="AQ1213" s="1"/>
      <c r="AR1213" s="1"/>
      <c r="AU1213" s="1"/>
      <c r="AW1213" s="1"/>
      <c r="AY1213" s="1"/>
    </row>
    <row r="1214">
      <c r="A1214" s="1"/>
      <c r="C1214" s="1"/>
      <c r="E1214" s="1"/>
      <c r="F1214" s="1"/>
      <c r="G1214" s="1"/>
      <c r="H1214" s="1"/>
      <c r="I1214" s="1"/>
      <c r="J1214" s="1"/>
      <c r="K1214" s="1"/>
      <c r="M1214" s="1"/>
      <c r="N1214" s="1"/>
      <c r="O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P1214" s="1"/>
      <c r="AQ1214" s="1"/>
      <c r="AR1214" s="1"/>
      <c r="AU1214" s="1"/>
      <c r="AW1214" s="1"/>
      <c r="AY1214" s="1"/>
    </row>
    <row r="1215">
      <c r="A1215" s="1"/>
      <c r="C1215" s="1"/>
      <c r="E1215" s="1"/>
      <c r="F1215" s="1"/>
      <c r="G1215" s="1"/>
      <c r="H1215" s="1"/>
      <c r="I1215" s="1"/>
      <c r="J1215" s="1"/>
      <c r="K1215" s="1"/>
      <c r="M1215" s="1"/>
      <c r="N1215" s="1"/>
      <c r="O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P1215" s="1"/>
      <c r="AQ1215" s="1"/>
      <c r="AR1215" s="1"/>
      <c r="AU1215" s="1"/>
      <c r="AW1215" s="1"/>
      <c r="AY1215" s="1"/>
    </row>
    <row r="1216">
      <c r="A1216" s="1"/>
      <c r="C1216" s="1"/>
      <c r="E1216" s="1"/>
      <c r="F1216" s="1"/>
      <c r="G1216" s="1"/>
      <c r="H1216" s="1"/>
      <c r="I1216" s="1"/>
      <c r="J1216" s="1"/>
      <c r="K1216" s="1"/>
      <c r="M1216" s="1"/>
      <c r="N1216" s="1"/>
      <c r="O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P1216" s="1"/>
      <c r="AQ1216" s="1"/>
      <c r="AR1216" s="1"/>
      <c r="AU1216" s="1"/>
      <c r="AW1216" s="1"/>
      <c r="AY1216" s="1"/>
    </row>
    <row r="1217">
      <c r="A1217" s="1"/>
      <c r="C1217" s="1"/>
      <c r="E1217" s="1"/>
      <c r="F1217" s="1"/>
      <c r="G1217" s="1"/>
      <c r="H1217" s="1"/>
      <c r="I1217" s="1"/>
      <c r="J1217" s="1"/>
      <c r="K1217" s="1"/>
      <c r="M1217" s="1"/>
      <c r="N1217" s="1"/>
      <c r="O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P1217" s="1"/>
      <c r="AQ1217" s="1"/>
      <c r="AR1217" s="1"/>
      <c r="AU1217" s="1"/>
      <c r="AW1217" s="1"/>
      <c r="AY1217" s="1"/>
    </row>
    <row r="1218">
      <c r="A1218" s="1"/>
      <c r="C1218" s="1"/>
      <c r="E1218" s="1"/>
      <c r="F1218" s="1"/>
      <c r="G1218" s="1"/>
      <c r="H1218" s="1"/>
      <c r="I1218" s="1"/>
      <c r="J1218" s="1"/>
      <c r="K1218" s="1"/>
      <c r="M1218" s="1"/>
      <c r="N1218" s="1"/>
      <c r="O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P1218" s="1"/>
      <c r="AQ1218" s="1"/>
      <c r="AR1218" s="1"/>
      <c r="AU1218" s="1"/>
      <c r="AW1218" s="1"/>
      <c r="AY1218" s="1"/>
    </row>
    <row r="1219">
      <c r="A1219" s="1"/>
      <c r="C1219" s="1"/>
      <c r="E1219" s="1"/>
      <c r="F1219" s="1"/>
      <c r="G1219" s="1"/>
      <c r="H1219" s="1"/>
      <c r="I1219" s="1"/>
      <c r="J1219" s="1"/>
      <c r="K1219" s="1"/>
      <c r="M1219" s="1"/>
      <c r="N1219" s="1"/>
      <c r="O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P1219" s="1"/>
      <c r="AQ1219" s="1"/>
      <c r="AR1219" s="1"/>
      <c r="AU1219" s="1"/>
      <c r="AW1219" s="1"/>
      <c r="AY1219" s="1"/>
    </row>
    <row r="1220">
      <c r="A1220" s="1"/>
      <c r="C1220" s="1"/>
      <c r="E1220" s="1"/>
      <c r="F1220" s="1"/>
      <c r="G1220" s="1"/>
      <c r="H1220" s="1"/>
      <c r="I1220" s="1"/>
      <c r="J1220" s="1"/>
      <c r="K1220" s="1"/>
      <c r="M1220" s="1"/>
      <c r="N1220" s="1"/>
      <c r="O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P1220" s="1"/>
      <c r="AQ1220" s="1"/>
      <c r="AR1220" s="1"/>
      <c r="AU1220" s="1"/>
      <c r="AW1220" s="1"/>
      <c r="AY1220" s="1"/>
    </row>
    <row r="1221">
      <c r="A1221" s="1"/>
      <c r="C1221" s="1"/>
      <c r="E1221" s="1"/>
      <c r="F1221" s="1"/>
      <c r="G1221" s="1"/>
      <c r="H1221" s="1"/>
      <c r="I1221" s="1"/>
      <c r="J1221" s="1"/>
      <c r="K1221" s="1"/>
      <c r="M1221" s="1"/>
      <c r="N1221" s="1"/>
      <c r="O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P1221" s="1"/>
      <c r="AQ1221" s="1"/>
      <c r="AR1221" s="1"/>
      <c r="AU1221" s="1"/>
      <c r="AW1221" s="1"/>
      <c r="AY1221" s="1"/>
    </row>
    <row r="1222">
      <c r="A1222" s="1"/>
      <c r="C1222" s="1"/>
      <c r="E1222" s="1"/>
      <c r="F1222" s="1"/>
      <c r="G1222" s="1"/>
      <c r="H1222" s="1"/>
      <c r="I1222" s="1"/>
      <c r="J1222" s="1"/>
      <c r="K1222" s="1"/>
      <c r="M1222" s="1"/>
      <c r="N1222" s="1"/>
      <c r="O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P1222" s="1"/>
      <c r="AQ1222" s="1"/>
      <c r="AR1222" s="1"/>
      <c r="AU1222" s="1"/>
      <c r="AW1222" s="1"/>
      <c r="AY1222" s="1"/>
    </row>
    <row r="1223">
      <c r="A1223" s="1"/>
      <c r="C1223" s="1"/>
      <c r="E1223" s="1"/>
      <c r="F1223" s="1"/>
      <c r="G1223" s="1"/>
      <c r="H1223" s="1"/>
      <c r="I1223" s="1"/>
      <c r="J1223" s="1"/>
      <c r="K1223" s="1"/>
      <c r="M1223" s="1"/>
      <c r="N1223" s="1"/>
      <c r="O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P1223" s="1"/>
      <c r="AQ1223" s="1"/>
      <c r="AR1223" s="1"/>
      <c r="AU1223" s="1"/>
      <c r="AW1223" s="1"/>
      <c r="AY1223" s="1"/>
    </row>
    <row r="1224">
      <c r="A1224" s="1"/>
      <c r="C1224" s="1"/>
      <c r="E1224" s="1"/>
      <c r="F1224" s="1"/>
      <c r="G1224" s="1"/>
      <c r="H1224" s="1"/>
      <c r="I1224" s="1"/>
      <c r="J1224" s="1"/>
      <c r="K1224" s="1"/>
      <c r="M1224" s="1"/>
      <c r="N1224" s="1"/>
      <c r="O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P1224" s="1"/>
      <c r="AQ1224" s="1"/>
      <c r="AR1224" s="1"/>
      <c r="AU1224" s="1"/>
      <c r="AW1224" s="1"/>
      <c r="AY1224" s="1"/>
    </row>
    <row r="1225">
      <c r="A1225" s="1"/>
      <c r="C1225" s="1"/>
      <c r="E1225" s="1"/>
      <c r="F1225" s="1"/>
      <c r="G1225" s="1"/>
      <c r="H1225" s="1"/>
      <c r="I1225" s="1"/>
      <c r="J1225" s="1"/>
      <c r="K1225" s="1"/>
      <c r="M1225" s="1"/>
      <c r="N1225" s="1"/>
      <c r="O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P1225" s="1"/>
      <c r="AQ1225" s="1"/>
      <c r="AR1225" s="1"/>
      <c r="AU1225" s="1"/>
      <c r="AW1225" s="1"/>
      <c r="AY1225" s="1"/>
    </row>
    <row r="1226">
      <c r="A1226" s="1"/>
      <c r="C1226" s="1"/>
      <c r="E1226" s="1"/>
      <c r="F1226" s="1"/>
      <c r="G1226" s="1"/>
      <c r="H1226" s="1"/>
      <c r="I1226" s="1"/>
      <c r="J1226" s="1"/>
      <c r="K1226" s="1"/>
      <c r="M1226" s="1"/>
      <c r="N1226" s="1"/>
      <c r="O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P1226" s="1"/>
      <c r="AQ1226" s="1"/>
      <c r="AR1226" s="1"/>
      <c r="AU1226" s="1"/>
      <c r="AW1226" s="1"/>
      <c r="AY1226" s="1"/>
    </row>
    <row r="1227">
      <c r="A1227" s="1"/>
      <c r="C1227" s="1"/>
      <c r="E1227" s="1"/>
      <c r="F1227" s="1"/>
      <c r="G1227" s="1"/>
      <c r="H1227" s="1"/>
      <c r="I1227" s="1"/>
      <c r="J1227" s="1"/>
      <c r="K1227" s="1"/>
      <c r="M1227" s="1"/>
      <c r="N1227" s="1"/>
      <c r="O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P1227" s="1"/>
      <c r="AQ1227" s="1"/>
      <c r="AR1227" s="1"/>
      <c r="AU1227" s="1"/>
      <c r="AW1227" s="1"/>
      <c r="AY1227" s="1"/>
    </row>
    <row r="1228">
      <c r="A1228" s="1"/>
      <c r="C1228" s="1"/>
      <c r="E1228" s="1"/>
      <c r="F1228" s="1"/>
      <c r="G1228" s="1"/>
      <c r="H1228" s="1"/>
      <c r="I1228" s="1"/>
      <c r="J1228" s="1"/>
      <c r="K1228" s="1"/>
      <c r="M1228" s="1"/>
      <c r="N1228" s="1"/>
      <c r="O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P1228" s="1"/>
      <c r="AQ1228" s="1"/>
      <c r="AR1228" s="1"/>
      <c r="AU1228" s="1"/>
      <c r="AW1228" s="1"/>
      <c r="AY1228" s="1"/>
    </row>
    <row r="1229">
      <c r="A1229" s="1"/>
      <c r="C1229" s="1"/>
      <c r="E1229" s="1"/>
      <c r="F1229" s="1"/>
      <c r="G1229" s="1"/>
      <c r="H1229" s="1"/>
      <c r="I1229" s="1"/>
      <c r="J1229" s="1"/>
      <c r="K1229" s="1"/>
      <c r="M1229" s="1"/>
      <c r="N1229" s="1"/>
      <c r="O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P1229" s="1"/>
      <c r="AQ1229" s="1"/>
      <c r="AR1229" s="1"/>
      <c r="AU1229" s="1"/>
      <c r="AW1229" s="1"/>
      <c r="AY1229" s="1"/>
    </row>
    <row r="1230">
      <c r="A1230" s="1"/>
      <c r="C1230" s="1"/>
      <c r="E1230" s="1"/>
      <c r="F1230" s="1"/>
      <c r="G1230" s="1"/>
      <c r="H1230" s="1"/>
      <c r="I1230" s="1"/>
      <c r="J1230" s="1"/>
      <c r="K1230" s="1"/>
      <c r="M1230" s="1"/>
      <c r="N1230" s="1"/>
      <c r="O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P1230" s="1"/>
      <c r="AQ1230" s="1"/>
      <c r="AR1230" s="1"/>
      <c r="AU1230" s="1"/>
      <c r="AW1230" s="1"/>
      <c r="AY1230" s="1"/>
    </row>
    <row r="1231">
      <c r="A1231" s="1"/>
      <c r="C1231" s="1"/>
      <c r="E1231" s="1"/>
      <c r="F1231" s="1"/>
      <c r="G1231" s="1"/>
      <c r="H1231" s="1"/>
      <c r="I1231" s="1"/>
      <c r="J1231" s="1"/>
      <c r="K1231" s="1"/>
      <c r="M1231" s="1"/>
      <c r="N1231" s="1"/>
      <c r="O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P1231" s="1"/>
      <c r="AQ1231" s="1"/>
      <c r="AR1231" s="1"/>
      <c r="AU1231" s="1"/>
      <c r="AW1231" s="1"/>
      <c r="AY1231" s="1"/>
    </row>
    <row r="1232">
      <c r="A1232" s="1"/>
      <c r="C1232" s="1"/>
      <c r="E1232" s="1"/>
      <c r="F1232" s="1"/>
      <c r="G1232" s="1"/>
      <c r="H1232" s="1"/>
      <c r="I1232" s="1"/>
      <c r="J1232" s="1"/>
      <c r="K1232" s="1"/>
      <c r="M1232" s="1"/>
      <c r="N1232" s="1"/>
      <c r="O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P1232" s="1"/>
      <c r="AQ1232" s="1"/>
      <c r="AR1232" s="1"/>
      <c r="AU1232" s="1"/>
      <c r="AW1232" s="1"/>
      <c r="AY1232" s="1"/>
    </row>
    <row r="1233">
      <c r="A1233" s="1"/>
      <c r="C1233" s="1"/>
      <c r="E1233" s="1"/>
      <c r="F1233" s="1"/>
      <c r="G1233" s="1"/>
      <c r="H1233" s="1"/>
      <c r="I1233" s="1"/>
      <c r="J1233" s="1"/>
      <c r="K1233" s="1"/>
      <c r="M1233" s="1"/>
      <c r="N1233" s="1"/>
      <c r="O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P1233" s="1"/>
      <c r="AQ1233" s="1"/>
      <c r="AR1233" s="1"/>
      <c r="AU1233" s="1"/>
      <c r="AW1233" s="1"/>
      <c r="AY1233" s="1"/>
    </row>
    <row r="1234">
      <c r="A1234" s="1"/>
      <c r="C1234" s="1"/>
      <c r="E1234" s="1"/>
      <c r="F1234" s="1"/>
      <c r="G1234" s="1"/>
      <c r="H1234" s="1"/>
      <c r="I1234" s="1"/>
      <c r="J1234" s="1"/>
      <c r="K1234" s="1"/>
      <c r="M1234" s="1"/>
      <c r="N1234" s="1"/>
      <c r="O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P1234" s="1"/>
      <c r="AQ1234" s="1"/>
      <c r="AR1234" s="1"/>
      <c r="AU1234" s="1"/>
      <c r="AW1234" s="1"/>
      <c r="AY1234" s="1"/>
    </row>
    <row r="1235">
      <c r="A1235" s="1"/>
      <c r="C1235" s="1"/>
      <c r="E1235" s="1"/>
      <c r="F1235" s="1"/>
      <c r="G1235" s="1"/>
      <c r="H1235" s="1"/>
      <c r="I1235" s="1"/>
      <c r="J1235" s="1"/>
      <c r="K1235" s="1"/>
      <c r="M1235" s="1"/>
      <c r="N1235" s="1"/>
      <c r="O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P1235" s="1"/>
      <c r="AQ1235" s="1"/>
      <c r="AR1235" s="1"/>
      <c r="AU1235" s="1"/>
      <c r="AW1235" s="1"/>
      <c r="AY1235" s="1"/>
    </row>
    <row r="1236">
      <c r="A1236" s="1"/>
      <c r="C1236" s="1"/>
      <c r="E1236" s="1"/>
      <c r="F1236" s="1"/>
      <c r="G1236" s="1"/>
      <c r="H1236" s="1"/>
      <c r="I1236" s="1"/>
      <c r="J1236" s="1"/>
      <c r="K1236" s="1"/>
      <c r="M1236" s="1"/>
      <c r="N1236" s="1"/>
      <c r="O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P1236" s="1"/>
      <c r="AQ1236" s="1"/>
      <c r="AR1236" s="1"/>
      <c r="AU1236" s="1"/>
      <c r="AW1236" s="1"/>
      <c r="AY1236" s="1"/>
    </row>
    <row r="1237">
      <c r="A1237" s="1"/>
      <c r="C1237" s="1"/>
      <c r="E1237" s="1"/>
      <c r="F1237" s="1"/>
      <c r="G1237" s="1"/>
      <c r="H1237" s="1"/>
      <c r="I1237" s="1"/>
      <c r="J1237" s="1"/>
      <c r="K1237" s="1"/>
      <c r="M1237" s="1"/>
      <c r="N1237" s="1"/>
      <c r="O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P1237" s="1"/>
      <c r="AQ1237" s="1"/>
      <c r="AR1237" s="1"/>
      <c r="AU1237" s="1"/>
      <c r="AW1237" s="1"/>
      <c r="AY1237" s="1"/>
    </row>
    <row r="1238">
      <c r="A1238" s="1"/>
      <c r="C1238" s="1"/>
      <c r="E1238" s="1"/>
      <c r="F1238" s="1"/>
      <c r="G1238" s="1"/>
      <c r="H1238" s="1"/>
      <c r="I1238" s="1"/>
      <c r="J1238" s="1"/>
      <c r="K1238" s="1"/>
      <c r="M1238" s="1"/>
      <c r="N1238" s="1"/>
      <c r="O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P1238" s="1"/>
      <c r="AQ1238" s="1"/>
      <c r="AR1238" s="1"/>
      <c r="AU1238" s="1"/>
      <c r="AW1238" s="1"/>
      <c r="AY1238" s="1"/>
    </row>
    <row r="1239">
      <c r="A1239" s="1"/>
      <c r="C1239" s="1"/>
      <c r="E1239" s="1"/>
      <c r="F1239" s="1"/>
      <c r="G1239" s="1"/>
      <c r="H1239" s="1"/>
      <c r="I1239" s="1"/>
      <c r="J1239" s="1"/>
      <c r="K1239" s="1"/>
      <c r="M1239" s="1"/>
      <c r="N1239" s="1"/>
      <c r="O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P1239" s="1"/>
      <c r="AQ1239" s="1"/>
      <c r="AR1239" s="1"/>
      <c r="AU1239" s="1"/>
      <c r="AW1239" s="1"/>
      <c r="AY1239" s="1"/>
    </row>
    <row r="1240">
      <c r="A1240" s="1"/>
      <c r="C1240" s="1"/>
      <c r="E1240" s="1"/>
      <c r="F1240" s="1"/>
      <c r="G1240" s="1"/>
      <c r="H1240" s="1"/>
      <c r="I1240" s="1"/>
      <c r="J1240" s="1"/>
      <c r="K1240" s="1"/>
      <c r="M1240" s="1"/>
      <c r="N1240" s="1"/>
      <c r="O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P1240" s="1"/>
      <c r="AQ1240" s="1"/>
      <c r="AR1240" s="1"/>
      <c r="AU1240" s="1"/>
      <c r="AW1240" s="1"/>
      <c r="AY1240" s="1"/>
    </row>
    <row r="1241">
      <c r="A1241" s="1"/>
      <c r="C1241" s="1"/>
      <c r="E1241" s="1"/>
      <c r="F1241" s="1"/>
      <c r="G1241" s="1"/>
      <c r="H1241" s="1"/>
      <c r="I1241" s="1"/>
      <c r="J1241" s="1"/>
      <c r="K1241" s="1"/>
      <c r="M1241" s="1"/>
      <c r="N1241" s="1"/>
      <c r="O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P1241" s="1"/>
      <c r="AQ1241" s="1"/>
      <c r="AR1241" s="1"/>
      <c r="AU1241" s="1"/>
      <c r="AW1241" s="1"/>
      <c r="AY1241" s="1"/>
    </row>
    <row r="1242">
      <c r="A1242" s="1"/>
      <c r="C1242" s="1"/>
      <c r="E1242" s="1"/>
      <c r="F1242" s="1"/>
      <c r="G1242" s="1"/>
      <c r="H1242" s="1"/>
      <c r="I1242" s="1"/>
      <c r="J1242" s="1"/>
      <c r="K1242" s="1"/>
      <c r="M1242" s="1"/>
      <c r="N1242" s="1"/>
      <c r="O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P1242" s="1"/>
      <c r="AQ1242" s="1"/>
      <c r="AR1242" s="1"/>
      <c r="AU1242" s="1"/>
      <c r="AW1242" s="1"/>
      <c r="AY1242" s="1"/>
    </row>
    <row r="1243">
      <c r="A1243" s="1"/>
      <c r="C1243" s="1"/>
      <c r="E1243" s="1"/>
      <c r="F1243" s="1"/>
      <c r="G1243" s="1"/>
      <c r="H1243" s="1"/>
      <c r="I1243" s="1"/>
      <c r="J1243" s="1"/>
      <c r="K1243" s="1"/>
      <c r="M1243" s="1"/>
      <c r="N1243" s="1"/>
      <c r="O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P1243" s="1"/>
      <c r="AQ1243" s="1"/>
      <c r="AR1243" s="1"/>
      <c r="AU1243" s="1"/>
      <c r="AW1243" s="1"/>
      <c r="AY1243" s="1"/>
    </row>
    <row r="1244">
      <c r="A1244" s="1"/>
      <c r="C1244" s="1"/>
      <c r="E1244" s="1"/>
      <c r="F1244" s="1"/>
      <c r="G1244" s="1"/>
      <c r="H1244" s="1"/>
      <c r="I1244" s="1"/>
      <c r="J1244" s="1"/>
      <c r="K1244" s="1"/>
      <c r="M1244" s="1"/>
      <c r="N1244" s="1"/>
      <c r="O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P1244" s="1"/>
      <c r="AQ1244" s="1"/>
      <c r="AR1244" s="1"/>
      <c r="AU1244" s="1"/>
      <c r="AW1244" s="1"/>
      <c r="AY1244" s="1"/>
    </row>
    <row r="1245">
      <c r="A1245" s="1"/>
      <c r="C1245" s="1"/>
      <c r="E1245" s="1"/>
      <c r="F1245" s="1"/>
      <c r="G1245" s="1"/>
      <c r="H1245" s="1"/>
      <c r="I1245" s="1"/>
      <c r="J1245" s="1"/>
      <c r="K1245" s="1"/>
      <c r="M1245" s="1"/>
      <c r="N1245" s="1"/>
      <c r="O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P1245" s="1"/>
      <c r="AQ1245" s="1"/>
      <c r="AR1245" s="1"/>
      <c r="AU1245" s="1"/>
      <c r="AW1245" s="1"/>
      <c r="AY1245" s="1"/>
    </row>
    <row r="1246">
      <c r="A1246" s="1"/>
      <c r="C1246" s="1"/>
      <c r="E1246" s="1"/>
      <c r="F1246" s="1"/>
      <c r="G1246" s="1"/>
      <c r="H1246" s="1"/>
      <c r="I1246" s="1"/>
      <c r="J1246" s="1"/>
      <c r="K1246" s="1"/>
      <c r="M1246" s="1"/>
      <c r="N1246" s="1"/>
      <c r="O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P1246" s="1"/>
      <c r="AQ1246" s="1"/>
      <c r="AR1246" s="1"/>
      <c r="AU1246" s="1"/>
      <c r="AW1246" s="1"/>
      <c r="AY1246" s="1"/>
    </row>
    <row r="1247">
      <c r="A1247" s="1"/>
      <c r="C1247" s="1"/>
      <c r="E1247" s="1"/>
      <c r="F1247" s="1"/>
      <c r="G1247" s="1"/>
      <c r="H1247" s="1"/>
      <c r="I1247" s="1"/>
      <c r="J1247" s="1"/>
      <c r="K1247" s="1"/>
      <c r="M1247" s="1"/>
      <c r="N1247" s="1"/>
      <c r="O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P1247" s="1"/>
      <c r="AQ1247" s="1"/>
      <c r="AR1247" s="1"/>
      <c r="AU1247" s="1"/>
      <c r="AW1247" s="1"/>
      <c r="AY1247" s="1"/>
    </row>
    <row r="1248">
      <c r="A1248" s="1"/>
      <c r="C1248" s="1"/>
      <c r="E1248" s="1"/>
      <c r="F1248" s="1"/>
      <c r="G1248" s="1"/>
      <c r="H1248" s="1"/>
      <c r="I1248" s="1"/>
      <c r="J1248" s="1"/>
      <c r="K1248" s="1"/>
      <c r="M1248" s="1"/>
      <c r="N1248" s="1"/>
      <c r="O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P1248" s="1"/>
      <c r="AQ1248" s="1"/>
      <c r="AR1248" s="1"/>
      <c r="AU1248" s="1"/>
      <c r="AW1248" s="1"/>
      <c r="AY1248" s="1"/>
    </row>
    <row r="1249">
      <c r="A1249" s="1"/>
      <c r="C1249" s="1"/>
      <c r="E1249" s="1"/>
      <c r="F1249" s="1"/>
      <c r="G1249" s="1"/>
      <c r="H1249" s="1"/>
      <c r="I1249" s="1"/>
      <c r="J1249" s="1"/>
      <c r="K1249" s="1"/>
      <c r="M1249" s="1"/>
      <c r="N1249" s="1"/>
      <c r="O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P1249" s="1"/>
      <c r="AQ1249" s="1"/>
      <c r="AR1249" s="1"/>
      <c r="AU1249" s="1"/>
      <c r="AW1249" s="1"/>
      <c r="AY1249" s="1"/>
    </row>
    <row r="1250">
      <c r="A1250" s="1"/>
      <c r="C1250" s="1"/>
      <c r="E1250" s="1"/>
      <c r="F1250" s="1"/>
      <c r="G1250" s="1"/>
      <c r="H1250" s="1"/>
      <c r="I1250" s="1"/>
      <c r="J1250" s="1"/>
      <c r="K1250" s="1"/>
      <c r="M1250" s="1"/>
      <c r="N1250" s="1"/>
      <c r="O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P1250" s="1"/>
      <c r="AQ1250" s="1"/>
      <c r="AR1250" s="1"/>
      <c r="AU1250" s="1"/>
      <c r="AW1250" s="1"/>
      <c r="AY1250" s="1"/>
    </row>
    <row r="1251">
      <c r="A1251" s="1"/>
      <c r="C1251" s="1"/>
      <c r="E1251" s="1"/>
      <c r="F1251" s="1"/>
      <c r="G1251" s="1"/>
      <c r="H1251" s="1"/>
      <c r="I1251" s="1"/>
      <c r="J1251" s="1"/>
      <c r="K1251" s="1"/>
      <c r="M1251" s="1"/>
      <c r="N1251" s="1"/>
      <c r="O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P1251" s="1"/>
      <c r="AQ1251" s="1"/>
      <c r="AR1251" s="1"/>
      <c r="AU1251" s="1"/>
      <c r="AW1251" s="1"/>
      <c r="AY1251" s="1"/>
    </row>
    <row r="1252">
      <c r="A1252" s="1"/>
      <c r="C1252" s="1"/>
      <c r="E1252" s="1"/>
      <c r="F1252" s="1"/>
      <c r="G1252" s="1"/>
      <c r="H1252" s="1"/>
      <c r="I1252" s="1"/>
      <c r="J1252" s="1"/>
      <c r="K1252" s="1"/>
      <c r="M1252" s="1"/>
      <c r="N1252" s="1"/>
      <c r="O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P1252" s="1"/>
      <c r="AQ1252" s="1"/>
      <c r="AR1252" s="1"/>
      <c r="AU1252" s="1"/>
      <c r="AW1252" s="1"/>
      <c r="AY1252" s="1"/>
    </row>
    <row r="1253">
      <c r="A1253" s="1"/>
      <c r="C1253" s="1"/>
      <c r="E1253" s="1"/>
      <c r="F1253" s="1"/>
      <c r="G1253" s="1"/>
      <c r="H1253" s="1"/>
      <c r="I1253" s="1"/>
      <c r="J1253" s="1"/>
      <c r="K1253" s="1"/>
      <c r="M1253" s="1"/>
      <c r="N1253" s="1"/>
      <c r="O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P1253" s="1"/>
      <c r="AQ1253" s="1"/>
      <c r="AR1253" s="1"/>
      <c r="AU1253" s="1"/>
      <c r="AW1253" s="1"/>
      <c r="AY1253" s="1"/>
    </row>
    <row r="1254">
      <c r="A1254" s="1"/>
      <c r="C1254" s="1"/>
      <c r="E1254" s="1"/>
      <c r="F1254" s="1"/>
      <c r="G1254" s="1"/>
      <c r="H1254" s="1"/>
      <c r="I1254" s="1"/>
      <c r="J1254" s="1"/>
      <c r="K1254" s="1"/>
      <c r="M1254" s="1"/>
      <c r="N1254" s="1"/>
      <c r="O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P1254" s="1"/>
      <c r="AQ1254" s="1"/>
      <c r="AR1254" s="1"/>
      <c r="AU1254" s="1"/>
      <c r="AW1254" s="1"/>
      <c r="AY1254" s="1"/>
    </row>
    <row r="1255">
      <c r="A1255" s="1"/>
      <c r="C1255" s="1"/>
      <c r="E1255" s="1"/>
      <c r="F1255" s="1"/>
      <c r="G1255" s="1"/>
      <c r="H1255" s="1"/>
      <c r="I1255" s="1"/>
      <c r="J1255" s="1"/>
      <c r="K1255" s="1"/>
      <c r="M1255" s="1"/>
      <c r="N1255" s="1"/>
      <c r="O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P1255" s="1"/>
      <c r="AQ1255" s="1"/>
      <c r="AR1255" s="1"/>
      <c r="AU1255" s="1"/>
      <c r="AW1255" s="1"/>
      <c r="AY1255" s="1"/>
    </row>
    <row r="1256">
      <c r="A1256" s="1"/>
      <c r="C1256" s="1"/>
      <c r="E1256" s="1"/>
      <c r="F1256" s="1"/>
      <c r="G1256" s="1"/>
      <c r="H1256" s="1"/>
      <c r="I1256" s="1"/>
      <c r="J1256" s="1"/>
      <c r="K1256" s="1"/>
      <c r="M1256" s="1"/>
      <c r="N1256" s="1"/>
      <c r="O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P1256" s="1"/>
      <c r="AQ1256" s="1"/>
      <c r="AR1256" s="1"/>
      <c r="AU1256" s="1"/>
      <c r="AW1256" s="1"/>
      <c r="AY1256" s="1"/>
    </row>
    <row r="1257">
      <c r="A1257" s="1"/>
      <c r="C1257" s="1"/>
      <c r="E1257" s="1"/>
      <c r="F1257" s="1"/>
      <c r="G1257" s="1"/>
      <c r="H1257" s="1"/>
      <c r="I1257" s="1"/>
      <c r="J1257" s="1"/>
      <c r="K1257" s="1"/>
      <c r="M1257" s="1"/>
      <c r="N1257" s="1"/>
      <c r="O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P1257" s="1"/>
      <c r="AQ1257" s="1"/>
      <c r="AR1257" s="1"/>
      <c r="AU1257" s="1"/>
      <c r="AW1257" s="1"/>
      <c r="AY1257" s="1"/>
    </row>
    <row r="1258">
      <c r="A1258" s="1"/>
      <c r="C1258" s="1"/>
      <c r="E1258" s="1"/>
      <c r="F1258" s="1"/>
      <c r="G1258" s="1"/>
      <c r="H1258" s="1"/>
      <c r="I1258" s="1"/>
      <c r="J1258" s="1"/>
      <c r="K1258" s="1"/>
      <c r="M1258" s="1"/>
      <c r="N1258" s="1"/>
      <c r="O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P1258" s="1"/>
      <c r="AQ1258" s="1"/>
      <c r="AR1258" s="1"/>
      <c r="AU1258" s="1"/>
      <c r="AW1258" s="1"/>
      <c r="AY1258" s="1"/>
    </row>
    <row r="1259">
      <c r="A1259" s="1"/>
      <c r="C1259" s="1"/>
      <c r="E1259" s="1"/>
      <c r="F1259" s="1"/>
      <c r="G1259" s="1"/>
      <c r="H1259" s="1"/>
      <c r="I1259" s="1"/>
      <c r="J1259" s="1"/>
      <c r="K1259" s="1"/>
      <c r="M1259" s="1"/>
      <c r="N1259" s="1"/>
      <c r="O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P1259" s="1"/>
      <c r="AQ1259" s="1"/>
      <c r="AR1259" s="1"/>
      <c r="AU1259" s="1"/>
      <c r="AW1259" s="1"/>
      <c r="AY1259" s="1"/>
    </row>
    <row r="1260">
      <c r="A1260" s="1"/>
      <c r="C1260" s="1"/>
      <c r="E1260" s="1"/>
      <c r="F1260" s="1"/>
      <c r="G1260" s="1"/>
      <c r="H1260" s="1"/>
      <c r="I1260" s="1"/>
      <c r="J1260" s="1"/>
      <c r="K1260" s="1"/>
      <c r="M1260" s="1"/>
      <c r="N1260" s="1"/>
      <c r="O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P1260" s="1"/>
      <c r="AQ1260" s="1"/>
      <c r="AR1260" s="1"/>
      <c r="AU1260" s="1"/>
      <c r="AW1260" s="1"/>
      <c r="AY1260" s="1"/>
    </row>
    <row r="1261">
      <c r="A1261" s="1"/>
      <c r="C1261" s="1"/>
      <c r="E1261" s="1"/>
      <c r="F1261" s="1"/>
      <c r="G1261" s="1"/>
      <c r="H1261" s="1"/>
      <c r="I1261" s="1"/>
      <c r="J1261" s="1"/>
      <c r="K1261" s="1"/>
      <c r="M1261" s="1"/>
      <c r="N1261" s="1"/>
      <c r="O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P1261" s="1"/>
      <c r="AQ1261" s="1"/>
      <c r="AR1261" s="1"/>
      <c r="AU1261" s="1"/>
      <c r="AW1261" s="1"/>
      <c r="AY1261" s="1"/>
    </row>
    <row r="1262">
      <c r="A1262" s="1"/>
      <c r="C1262" s="1"/>
      <c r="E1262" s="1"/>
      <c r="F1262" s="1"/>
      <c r="G1262" s="1"/>
      <c r="H1262" s="1"/>
      <c r="I1262" s="1"/>
      <c r="J1262" s="1"/>
      <c r="K1262" s="1"/>
      <c r="M1262" s="1"/>
      <c r="N1262" s="1"/>
      <c r="O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P1262" s="1"/>
      <c r="AQ1262" s="1"/>
      <c r="AR1262" s="1"/>
      <c r="AU1262" s="1"/>
      <c r="AW1262" s="1"/>
      <c r="AY1262" s="1"/>
    </row>
    <row r="1263">
      <c r="A1263" s="1"/>
      <c r="C1263" s="1"/>
      <c r="E1263" s="1"/>
      <c r="F1263" s="1"/>
      <c r="G1263" s="1"/>
      <c r="H1263" s="1"/>
      <c r="I1263" s="1"/>
      <c r="J1263" s="1"/>
      <c r="K1263" s="1"/>
      <c r="M1263" s="1"/>
      <c r="N1263" s="1"/>
      <c r="O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P1263" s="1"/>
      <c r="AQ1263" s="1"/>
      <c r="AR1263" s="1"/>
      <c r="AU1263" s="1"/>
      <c r="AW1263" s="1"/>
      <c r="AY1263" s="1"/>
    </row>
    <row r="1264">
      <c r="A1264" s="1"/>
      <c r="C1264" s="1"/>
      <c r="E1264" s="1"/>
      <c r="F1264" s="1"/>
      <c r="G1264" s="1"/>
      <c r="H1264" s="1"/>
      <c r="I1264" s="1"/>
      <c r="J1264" s="1"/>
      <c r="K1264" s="1"/>
      <c r="M1264" s="1"/>
      <c r="N1264" s="1"/>
      <c r="O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P1264" s="1"/>
      <c r="AQ1264" s="1"/>
      <c r="AR1264" s="1"/>
      <c r="AU1264" s="1"/>
      <c r="AW1264" s="1"/>
      <c r="AY1264" s="1"/>
    </row>
    <row r="1265">
      <c r="A1265" s="1"/>
      <c r="C1265" s="1"/>
      <c r="E1265" s="1"/>
      <c r="F1265" s="1"/>
      <c r="G1265" s="1"/>
      <c r="H1265" s="1"/>
      <c r="I1265" s="1"/>
      <c r="J1265" s="1"/>
      <c r="K1265" s="1"/>
      <c r="M1265" s="1"/>
      <c r="N1265" s="1"/>
      <c r="O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P1265" s="1"/>
      <c r="AQ1265" s="1"/>
      <c r="AR1265" s="1"/>
      <c r="AU1265" s="1"/>
      <c r="AW1265" s="1"/>
      <c r="AY1265" s="1"/>
    </row>
    <row r="1266">
      <c r="A1266" s="1"/>
      <c r="C1266" s="1"/>
      <c r="E1266" s="1"/>
      <c r="F1266" s="1"/>
      <c r="G1266" s="1"/>
      <c r="H1266" s="1"/>
      <c r="I1266" s="1"/>
      <c r="J1266" s="1"/>
      <c r="K1266" s="1"/>
      <c r="M1266" s="1"/>
      <c r="N1266" s="1"/>
      <c r="O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P1266" s="1"/>
      <c r="AQ1266" s="1"/>
      <c r="AR1266" s="1"/>
      <c r="AU1266" s="1"/>
      <c r="AW1266" s="1"/>
      <c r="AY1266" s="1"/>
    </row>
    <row r="1267">
      <c r="A1267" s="1"/>
      <c r="C1267" s="1"/>
      <c r="E1267" s="1"/>
      <c r="F1267" s="1"/>
      <c r="G1267" s="1"/>
      <c r="H1267" s="1"/>
      <c r="I1267" s="1"/>
      <c r="J1267" s="1"/>
      <c r="K1267" s="1"/>
      <c r="M1267" s="1"/>
      <c r="N1267" s="1"/>
      <c r="O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P1267" s="1"/>
      <c r="AQ1267" s="1"/>
      <c r="AR1267" s="1"/>
      <c r="AU1267" s="1"/>
      <c r="AW1267" s="1"/>
      <c r="AY1267" s="1"/>
    </row>
    <row r="1268">
      <c r="A1268" s="1"/>
      <c r="C1268" s="1"/>
      <c r="E1268" s="1"/>
      <c r="F1268" s="1"/>
      <c r="G1268" s="1"/>
      <c r="H1268" s="1"/>
      <c r="I1268" s="1"/>
      <c r="J1268" s="1"/>
      <c r="K1268" s="1"/>
      <c r="M1268" s="1"/>
      <c r="N1268" s="1"/>
      <c r="O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P1268" s="1"/>
      <c r="AQ1268" s="1"/>
      <c r="AR1268" s="1"/>
      <c r="AU1268" s="1"/>
      <c r="AW1268" s="1"/>
      <c r="AY1268" s="1"/>
    </row>
    <row r="1269">
      <c r="A1269" s="1"/>
      <c r="C1269" s="1"/>
      <c r="E1269" s="1"/>
      <c r="F1269" s="1"/>
      <c r="G1269" s="1"/>
      <c r="H1269" s="1"/>
      <c r="I1269" s="1"/>
      <c r="J1269" s="1"/>
      <c r="K1269" s="1"/>
      <c r="M1269" s="1"/>
      <c r="N1269" s="1"/>
      <c r="O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P1269" s="1"/>
      <c r="AQ1269" s="1"/>
      <c r="AR1269" s="1"/>
      <c r="AU1269" s="1"/>
      <c r="AW1269" s="1"/>
      <c r="AY1269" s="1"/>
    </row>
    <row r="1270">
      <c r="A1270" s="1"/>
      <c r="C1270" s="1"/>
      <c r="E1270" s="1"/>
      <c r="F1270" s="1"/>
      <c r="G1270" s="1"/>
      <c r="H1270" s="1"/>
      <c r="I1270" s="1"/>
      <c r="J1270" s="1"/>
      <c r="K1270" s="1"/>
      <c r="M1270" s="1"/>
      <c r="N1270" s="1"/>
      <c r="O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P1270" s="1"/>
      <c r="AQ1270" s="1"/>
      <c r="AR1270" s="1"/>
      <c r="AU1270" s="1"/>
      <c r="AW1270" s="1"/>
      <c r="AY1270" s="1"/>
    </row>
    <row r="1271">
      <c r="A1271" s="1"/>
      <c r="C1271" s="1"/>
      <c r="E1271" s="1"/>
      <c r="F1271" s="1"/>
      <c r="G1271" s="1"/>
      <c r="H1271" s="1"/>
      <c r="I1271" s="1"/>
      <c r="J1271" s="1"/>
      <c r="K1271" s="1"/>
      <c r="M1271" s="1"/>
      <c r="N1271" s="1"/>
      <c r="O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P1271" s="1"/>
      <c r="AQ1271" s="1"/>
      <c r="AR1271" s="1"/>
      <c r="AU1271" s="1"/>
      <c r="AW1271" s="1"/>
      <c r="AY1271" s="1"/>
    </row>
    <row r="1272">
      <c r="A1272" s="1"/>
      <c r="C1272" s="1"/>
      <c r="E1272" s="1"/>
      <c r="F1272" s="1"/>
      <c r="G1272" s="1"/>
      <c r="H1272" s="1"/>
      <c r="I1272" s="1"/>
      <c r="J1272" s="1"/>
      <c r="K1272" s="1"/>
      <c r="M1272" s="1"/>
      <c r="N1272" s="1"/>
      <c r="O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P1272" s="1"/>
      <c r="AQ1272" s="1"/>
      <c r="AR1272" s="1"/>
      <c r="AU1272" s="1"/>
      <c r="AW1272" s="1"/>
      <c r="AY1272" s="1"/>
    </row>
    <row r="1273">
      <c r="A1273" s="1"/>
      <c r="C1273" s="1"/>
      <c r="E1273" s="1"/>
      <c r="F1273" s="1"/>
      <c r="G1273" s="1"/>
      <c r="H1273" s="1"/>
      <c r="I1273" s="1"/>
      <c r="J1273" s="1"/>
      <c r="K1273" s="1"/>
      <c r="M1273" s="1"/>
      <c r="N1273" s="1"/>
      <c r="O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P1273" s="1"/>
      <c r="AQ1273" s="1"/>
      <c r="AR1273" s="1"/>
      <c r="AU1273" s="1"/>
      <c r="AW1273" s="1"/>
      <c r="AY1273" s="1"/>
    </row>
    <row r="1274">
      <c r="A1274" s="1"/>
      <c r="C1274" s="1"/>
      <c r="E1274" s="1"/>
      <c r="F1274" s="1"/>
      <c r="G1274" s="1"/>
      <c r="H1274" s="1"/>
      <c r="I1274" s="1"/>
      <c r="J1274" s="1"/>
      <c r="K1274" s="1"/>
      <c r="M1274" s="1"/>
      <c r="N1274" s="1"/>
      <c r="O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P1274" s="1"/>
      <c r="AQ1274" s="1"/>
      <c r="AR1274" s="1"/>
      <c r="AU1274" s="1"/>
      <c r="AW1274" s="1"/>
      <c r="AY1274" s="1"/>
    </row>
    <row r="1275">
      <c r="A1275" s="1"/>
      <c r="C1275" s="1"/>
      <c r="E1275" s="1"/>
      <c r="F1275" s="1"/>
      <c r="G1275" s="1"/>
      <c r="H1275" s="1"/>
      <c r="I1275" s="1"/>
      <c r="J1275" s="1"/>
      <c r="K1275" s="1"/>
      <c r="M1275" s="1"/>
      <c r="N1275" s="1"/>
      <c r="O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P1275" s="1"/>
      <c r="AQ1275" s="1"/>
      <c r="AR1275" s="1"/>
      <c r="AU1275" s="1"/>
      <c r="AW1275" s="1"/>
      <c r="AY1275" s="1"/>
    </row>
    <row r="1276">
      <c r="A1276" s="1"/>
      <c r="C1276" s="1"/>
      <c r="E1276" s="1"/>
      <c r="F1276" s="1"/>
      <c r="G1276" s="1"/>
      <c r="H1276" s="1"/>
      <c r="I1276" s="1"/>
      <c r="J1276" s="1"/>
      <c r="K1276" s="1"/>
      <c r="M1276" s="1"/>
      <c r="N1276" s="1"/>
      <c r="O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P1276" s="1"/>
      <c r="AQ1276" s="1"/>
      <c r="AR1276" s="1"/>
      <c r="AU1276" s="1"/>
      <c r="AW1276" s="1"/>
      <c r="AY1276" s="1"/>
    </row>
    <row r="1277">
      <c r="A1277" s="1"/>
      <c r="C1277" s="1"/>
      <c r="E1277" s="1"/>
      <c r="F1277" s="1"/>
      <c r="G1277" s="1"/>
      <c r="H1277" s="1"/>
      <c r="I1277" s="1"/>
      <c r="J1277" s="1"/>
      <c r="K1277" s="1"/>
      <c r="M1277" s="1"/>
      <c r="N1277" s="1"/>
      <c r="O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P1277" s="1"/>
      <c r="AQ1277" s="1"/>
      <c r="AR1277" s="1"/>
      <c r="AU1277" s="1"/>
      <c r="AW1277" s="1"/>
      <c r="AY1277" s="1"/>
    </row>
    <row r="1278">
      <c r="A1278" s="1"/>
      <c r="C1278" s="1"/>
      <c r="E1278" s="1"/>
      <c r="F1278" s="1"/>
      <c r="G1278" s="1"/>
      <c r="H1278" s="1"/>
      <c r="I1278" s="1"/>
      <c r="J1278" s="1"/>
      <c r="K1278" s="1"/>
      <c r="M1278" s="1"/>
      <c r="N1278" s="1"/>
      <c r="O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P1278" s="1"/>
      <c r="AQ1278" s="1"/>
      <c r="AR1278" s="1"/>
      <c r="AU1278" s="1"/>
      <c r="AW1278" s="1"/>
      <c r="AY1278" s="1"/>
    </row>
    <row r="1279">
      <c r="A1279" s="1"/>
      <c r="C1279" s="1"/>
      <c r="E1279" s="1"/>
      <c r="F1279" s="1"/>
      <c r="G1279" s="1"/>
      <c r="H1279" s="1"/>
      <c r="I1279" s="1"/>
      <c r="J1279" s="1"/>
      <c r="K1279" s="1"/>
      <c r="M1279" s="1"/>
      <c r="N1279" s="1"/>
      <c r="O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P1279" s="1"/>
      <c r="AQ1279" s="1"/>
      <c r="AR1279" s="1"/>
      <c r="AU1279" s="1"/>
      <c r="AW1279" s="1"/>
      <c r="AY1279" s="1"/>
    </row>
    <row r="1280">
      <c r="A1280" s="1"/>
      <c r="C1280" s="1"/>
      <c r="E1280" s="1"/>
      <c r="F1280" s="1"/>
      <c r="G1280" s="1"/>
      <c r="H1280" s="1"/>
      <c r="I1280" s="1"/>
      <c r="J1280" s="1"/>
      <c r="K1280" s="1"/>
      <c r="M1280" s="1"/>
      <c r="N1280" s="1"/>
      <c r="O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P1280" s="1"/>
      <c r="AQ1280" s="1"/>
      <c r="AR1280" s="1"/>
      <c r="AU1280" s="1"/>
      <c r="AW1280" s="1"/>
      <c r="AY1280" s="1"/>
    </row>
    <row r="1281">
      <c r="A1281" s="1"/>
      <c r="C1281" s="1"/>
      <c r="E1281" s="1"/>
      <c r="F1281" s="1"/>
      <c r="G1281" s="1"/>
      <c r="H1281" s="1"/>
      <c r="I1281" s="1"/>
      <c r="J1281" s="1"/>
      <c r="K1281" s="1"/>
      <c r="M1281" s="1"/>
      <c r="N1281" s="1"/>
      <c r="O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P1281" s="1"/>
      <c r="AQ1281" s="1"/>
      <c r="AR1281" s="1"/>
      <c r="AU1281" s="1"/>
      <c r="AW1281" s="1"/>
      <c r="AY1281" s="1"/>
    </row>
    <row r="1282">
      <c r="A1282" s="1"/>
      <c r="C1282" s="1"/>
      <c r="E1282" s="1"/>
      <c r="F1282" s="1"/>
      <c r="G1282" s="1"/>
      <c r="H1282" s="1"/>
      <c r="I1282" s="1"/>
      <c r="J1282" s="1"/>
      <c r="K1282" s="1"/>
      <c r="M1282" s="1"/>
      <c r="N1282" s="1"/>
      <c r="O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P1282" s="1"/>
      <c r="AQ1282" s="1"/>
      <c r="AR1282" s="1"/>
      <c r="AU1282" s="1"/>
      <c r="AW1282" s="1"/>
      <c r="AY1282" s="1"/>
    </row>
    <row r="1283">
      <c r="A1283" s="1"/>
      <c r="C1283" s="1"/>
      <c r="E1283" s="1"/>
      <c r="F1283" s="1"/>
      <c r="G1283" s="1"/>
      <c r="H1283" s="1"/>
      <c r="I1283" s="1"/>
      <c r="J1283" s="1"/>
      <c r="K1283" s="1"/>
      <c r="M1283" s="1"/>
      <c r="N1283" s="1"/>
      <c r="O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P1283" s="1"/>
      <c r="AQ1283" s="1"/>
      <c r="AR1283" s="1"/>
      <c r="AU1283" s="1"/>
      <c r="AW1283" s="1"/>
      <c r="AY1283" s="1"/>
    </row>
    <row r="1284">
      <c r="A1284" s="1"/>
      <c r="C1284" s="1"/>
      <c r="E1284" s="1"/>
      <c r="F1284" s="1"/>
      <c r="G1284" s="1"/>
      <c r="H1284" s="1"/>
      <c r="I1284" s="1"/>
      <c r="J1284" s="1"/>
      <c r="K1284" s="1"/>
      <c r="M1284" s="1"/>
      <c r="N1284" s="1"/>
      <c r="O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P1284" s="1"/>
      <c r="AQ1284" s="1"/>
      <c r="AR1284" s="1"/>
      <c r="AU1284" s="1"/>
      <c r="AW1284" s="1"/>
      <c r="AY1284" s="1"/>
    </row>
    <row r="1285">
      <c r="A1285" s="1"/>
      <c r="C1285" s="1"/>
      <c r="E1285" s="1"/>
      <c r="F1285" s="1"/>
      <c r="G1285" s="1"/>
      <c r="H1285" s="1"/>
      <c r="I1285" s="1"/>
      <c r="J1285" s="1"/>
      <c r="K1285" s="1"/>
      <c r="M1285" s="1"/>
      <c r="N1285" s="1"/>
      <c r="O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P1285" s="1"/>
      <c r="AQ1285" s="1"/>
      <c r="AR1285" s="1"/>
      <c r="AU1285" s="1"/>
      <c r="AW1285" s="1"/>
      <c r="AY1285" s="1"/>
    </row>
    <row r="1286">
      <c r="A1286" s="1"/>
      <c r="C1286" s="1"/>
      <c r="E1286" s="1"/>
      <c r="F1286" s="1"/>
      <c r="G1286" s="1"/>
      <c r="H1286" s="1"/>
      <c r="I1286" s="1"/>
      <c r="J1286" s="1"/>
      <c r="K1286" s="1"/>
      <c r="M1286" s="1"/>
      <c r="N1286" s="1"/>
      <c r="O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P1286" s="1"/>
      <c r="AQ1286" s="1"/>
      <c r="AR1286" s="1"/>
      <c r="AU1286" s="1"/>
      <c r="AW1286" s="1"/>
      <c r="AY1286" s="1"/>
    </row>
    <row r="1287">
      <c r="A1287" s="1"/>
      <c r="C1287" s="1"/>
      <c r="E1287" s="1"/>
      <c r="F1287" s="1"/>
      <c r="G1287" s="1"/>
      <c r="H1287" s="1"/>
      <c r="I1287" s="1"/>
      <c r="J1287" s="1"/>
      <c r="K1287" s="1"/>
      <c r="M1287" s="1"/>
      <c r="N1287" s="1"/>
      <c r="O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P1287" s="1"/>
      <c r="AQ1287" s="1"/>
      <c r="AR1287" s="1"/>
      <c r="AU1287" s="1"/>
      <c r="AW1287" s="1"/>
      <c r="AY1287" s="1"/>
    </row>
    <row r="1288">
      <c r="A1288" s="1"/>
      <c r="C1288" s="1"/>
      <c r="E1288" s="1"/>
      <c r="F1288" s="1"/>
      <c r="G1288" s="1"/>
      <c r="H1288" s="1"/>
      <c r="I1288" s="1"/>
      <c r="J1288" s="1"/>
      <c r="K1288" s="1"/>
      <c r="M1288" s="1"/>
      <c r="N1288" s="1"/>
      <c r="O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P1288" s="1"/>
      <c r="AQ1288" s="1"/>
      <c r="AR1288" s="1"/>
      <c r="AU1288" s="1"/>
      <c r="AW1288" s="1"/>
      <c r="AY1288" s="1"/>
    </row>
    <row r="1289">
      <c r="A1289" s="1"/>
      <c r="C1289" s="1"/>
      <c r="E1289" s="1"/>
      <c r="F1289" s="1"/>
      <c r="G1289" s="1"/>
      <c r="H1289" s="1"/>
      <c r="I1289" s="1"/>
      <c r="J1289" s="1"/>
      <c r="K1289" s="1"/>
      <c r="M1289" s="1"/>
      <c r="N1289" s="1"/>
      <c r="O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P1289" s="1"/>
      <c r="AQ1289" s="1"/>
      <c r="AR1289" s="1"/>
      <c r="AU1289" s="1"/>
      <c r="AW1289" s="1"/>
      <c r="AY1289" s="1"/>
    </row>
    <row r="1290">
      <c r="A1290" s="1"/>
      <c r="C1290" s="1"/>
      <c r="E1290" s="1"/>
      <c r="F1290" s="1"/>
      <c r="G1290" s="1"/>
      <c r="H1290" s="1"/>
      <c r="I1290" s="1"/>
      <c r="J1290" s="1"/>
      <c r="K1290" s="1"/>
      <c r="M1290" s="1"/>
      <c r="N1290" s="1"/>
      <c r="O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P1290" s="1"/>
      <c r="AQ1290" s="1"/>
      <c r="AR1290" s="1"/>
      <c r="AU1290" s="1"/>
      <c r="AW1290" s="1"/>
      <c r="AY1290" s="1"/>
    </row>
    <row r="1291">
      <c r="A1291" s="1"/>
      <c r="C1291" s="1"/>
      <c r="E1291" s="1"/>
      <c r="F1291" s="1"/>
      <c r="G1291" s="1"/>
      <c r="H1291" s="1"/>
      <c r="I1291" s="1"/>
      <c r="J1291" s="1"/>
      <c r="K1291" s="1"/>
      <c r="M1291" s="1"/>
      <c r="N1291" s="1"/>
      <c r="O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P1291" s="1"/>
      <c r="AQ1291" s="1"/>
      <c r="AR1291" s="1"/>
      <c r="AU1291" s="1"/>
      <c r="AW1291" s="1"/>
      <c r="AY1291" s="1"/>
    </row>
    <row r="1292">
      <c r="A1292" s="1"/>
      <c r="C1292" s="1"/>
      <c r="E1292" s="1"/>
      <c r="F1292" s="1"/>
      <c r="G1292" s="1"/>
      <c r="H1292" s="1"/>
      <c r="I1292" s="1"/>
      <c r="J1292" s="1"/>
      <c r="K1292" s="1"/>
      <c r="M1292" s="1"/>
      <c r="N1292" s="1"/>
      <c r="O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P1292" s="1"/>
      <c r="AQ1292" s="1"/>
      <c r="AR1292" s="1"/>
      <c r="AU1292" s="1"/>
      <c r="AW1292" s="1"/>
      <c r="AY1292" s="1"/>
    </row>
    <row r="1293">
      <c r="A1293" s="1"/>
      <c r="C1293" s="1"/>
      <c r="E1293" s="1"/>
      <c r="F1293" s="1"/>
      <c r="G1293" s="1"/>
      <c r="H1293" s="1"/>
      <c r="I1293" s="1"/>
      <c r="J1293" s="1"/>
      <c r="K1293" s="1"/>
      <c r="M1293" s="1"/>
      <c r="N1293" s="1"/>
      <c r="O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P1293" s="1"/>
      <c r="AQ1293" s="1"/>
      <c r="AR1293" s="1"/>
      <c r="AU1293" s="1"/>
      <c r="AW1293" s="1"/>
      <c r="AY1293" s="1"/>
    </row>
    <row r="1294">
      <c r="A1294" s="1"/>
      <c r="C1294" s="1"/>
      <c r="E1294" s="1"/>
      <c r="F1294" s="1"/>
      <c r="G1294" s="1"/>
      <c r="H1294" s="1"/>
      <c r="I1294" s="1"/>
      <c r="J1294" s="1"/>
      <c r="K1294" s="1"/>
      <c r="M1294" s="1"/>
      <c r="N1294" s="1"/>
      <c r="O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P1294" s="1"/>
      <c r="AQ1294" s="1"/>
      <c r="AR1294" s="1"/>
      <c r="AU1294" s="1"/>
      <c r="AW1294" s="1"/>
      <c r="AY1294" s="1"/>
    </row>
    <row r="1295">
      <c r="A1295" s="1"/>
      <c r="C1295" s="1"/>
      <c r="E1295" s="1"/>
      <c r="F1295" s="1"/>
      <c r="G1295" s="1"/>
      <c r="H1295" s="1"/>
      <c r="I1295" s="1"/>
      <c r="J1295" s="1"/>
      <c r="K1295" s="1"/>
      <c r="M1295" s="1"/>
      <c r="N1295" s="1"/>
      <c r="O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P1295" s="1"/>
      <c r="AQ1295" s="1"/>
      <c r="AR1295" s="1"/>
      <c r="AU1295" s="1"/>
      <c r="AW1295" s="1"/>
      <c r="AY1295" s="1"/>
    </row>
    <row r="1296">
      <c r="A1296" s="1"/>
      <c r="C1296" s="1"/>
      <c r="E1296" s="1"/>
      <c r="F1296" s="1"/>
      <c r="G1296" s="1"/>
      <c r="H1296" s="1"/>
      <c r="I1296" s="1"/>
      <c r="J1296" s="1"/>
      <c r="K1296" s="1"/>
      <c r="M1296" s="1"/>
      <c r="N1296" s="1"/>
      <c r="O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P1296" s="1"/>
      <c r="AQ1296" s="1"/>
      <c r="AR1296" s="1"/>
      <c r="AU1296" s="1"/>
      <c r="AW1296" s="1"/>
      <c r="AY1296" s="1"/>
    </row>
    <row r="1297">
      <c r="A1297" s="1"/>
      <c r="C1297" s="1"/>
      <c r="E1297" s="1"/>
      <c r="F1297" s="1"/>
      <c r="G1297" s="1"/>
      <c r="H1297" s="1"/>
      <c r="I1297" s="1"/>
      <c r="J1297" s="1"/>
      <c r="K1297" s="1"/>
      <c r="M1297" s="1"/>
      <c r="N1297" s="1"/>
      <c r="O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P1297" s="1"/>
      <c r="AQ1297" s="1"/>
      <c r="AR1297" s="1"/>
      <c r="AU1297" s="1"/>
      <c r="AW1297" s="1"/>
      <c r="AY1297" s="1"/>
    </row>
    <row r="1298">
      <c r="A1298" s="1"/>
      <c r="C1298" s="1"/>
      <c r="E1298" s="1"/>
      <c r="F1298" s="1"/>
      <c r="G1298" s="1"/>
      <c r="H1298" s="1"/>
      <c r="I1298" s="1"/>
      <c r="J1298" s="1"/>
      <c r="K1298" s="1"/>
      <c r="M1298" s="1"/>
      <c r="N1298" s="1"/>
      <c r="O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P1298" s="1"/>
      <c r="AQ1298" s="1"/>
      <c r="AR1298" s="1"/>
      <c r="AU1298" s="1"/>
      <c r="AW1298" s="1"/>
      <c r="AY1298" s="1"/>
    </row>
    <row r="1299">
      <c r="A1299" s="1"/>
      <c r="C1299" s="1"/>
      <c r="E1299" s="1"/>
      <c r="F1299" s="1"/>
      <c r="G1299" s="1"/>
      <c r="H1299" s="1"/>
      <c r="I1299" s="1"/>
      <c r="J1299" s="1"/>
      <c r="K1299" s="1"/>
      <c r="M1299" s="1"/>
      <c r="N1299" s="1"/>
      <c r="O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P1299" s="1"/>
      <c r="AQ1299" s="1"/>
      <c r="AR1299" s="1"/>
      <c r="AU1299" s="1"/>
      <c r="AW1299" s="1"/>
      <c r="AY1299" s="1"/>
    </row>
    <row r="1300">
      <c r="A1300" s="1"/>
      <c r="C1300" s="1"/>
      <c r="E1300" s="1"/>
      <c r="F1300" s="1"/>
      <c r="G1300" s="1"/>
      <c r="H1300" s="1"/>
      <c r="I1300" s="1"/>
      <c r="J1300" s="1"/>
      <c r="K1300" s="1"/>
      <c r="M1300" s="1"/>
      <c r="N1300" s="1"/>
      <c r="O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P1300" s="1"/>
      <c r="AQ1300" s="1"/>
      <c r="AR1300" s="1"/>
      <c r="AU1300" s="1"/>
      <c r="AW1300" s="1"/>
      <c r="AY1300" s="1"/>
    </row>
    <row r="1301">
      <c r="A1301" s="1"/>
      <c r="C1301" s="1"/>
      <c r="E1301" s="1"/>
      <c r="F1301" s="1"/>
      <c r="G1301" s="1"/>
      <c r="H1301" s="1"/>
      <c r="I1301" s="1"/>
      <c r="J1301" s="1"/>
      <c r="K1301" s="1"/>
      <c r="M1301" s="1"/>
      <c r="N1301" s="1"/>
      <c r="O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P1301" s="1"/>
      <c r="AQ1301" s="1"/>
      <c r="AR1301" s="1"/>
      <c r="AU1301" s="1"/>
      <c r="AW1301" s="1"/>
      <c r="AY1301" s="1"/>
    </row>
    <row r="1302">
      <c r="A1302" s="1"/>
      <c r="C1302" s="1"/>
      <c r="E1302" s="1"/>
      <c r="F1302" s="1"/>
      <c r="G1302" s="1"/>
      <c r="H1302" s="1"/>
      <c r="I1302" s="1"/>
      <c r="J1302" s="1"/>
      <c r="K1302" s="1"/>
      <c r="M1302" s="1"/>
      <c r="N1302" s="1"/>
      <c r="O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P1302" s="1"/>
      <c r="AQ1302" s="1"/>
      <c r="AR1302" s="1"/>
      <c r="AU1302" s="1"/>
      <c r="AW1302" s="1"/>
      <c r="AY1302" s="1"/>
    </row>
    <row r="1303">
      <c r="A1303" s="1"/>
      <c r="C1303" s="1"/>
      <c r="E1303" s="1"/>
      <c r="F1303" s="1"/>
      <c r="G1303" s="1"/>
      <c r="H1303" s="1"/>
      <c r="I1303" s="1"/>
      <c r="J1303" s="1"/>
      <c r="K1303" s="1"/>
      <c r="M1303" s="1"/>
      <c r="N1303" s="1"/>
      <c r="O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P1303" s="1"/>
      <c r="AQ1303" s="1"/>
      <c r="AR1303" s="1"/>
      <c r="AU1303" s="1"/>
      <c r="AW1303" s="1"/>
      <c r="AY1303" s="1"/>
    </row>
    <row r="1304">
      <c r="A1304" s="1"/>
      <c r="C1304" s="1"/>
      <c r="E1304" s="1"/>
      <c r="F1304" s="1"/>
      <c r="G1304" s="1"/>
      <c r="H1304" s="1"/>
      <c r="I1304" s="1"/>
      <c r="J1304" s="1"/>
      <c r="K1304" s="1"/>
      <c r="M1304" s="1"/>
      <c r="N1304" s="1"/>
      <c r="O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P1304" s="1"/>
      <c r="AQ1304" s="1"/>
      <c r="AR1304" s="1"/>
      <c r="AU1304" s="1"/>
      <c r="AW1304" s="1"/>
      <c r="AY1304" s="1"/>
    </row>
    <row r="1305">
      <c r="A1305" s="1"/>
      <c r="C1305" s="1"/>
      <c r="E1305" s="1"/>
      <c r="F1305" s="1"/>
      <c r="G1305" s="1"/>
      <c r="H1305" s="1"/>
      <c r="I1305" s="1"/>
      <c r="J1305" s="1"/>
      <c r="K1305" s="1"/>
      <c r="M1305" s="1"/>
      <c r="N1305" s="1"/>
      <c r="O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P1305" s="1"/>
      <c r="AQ1305" s="1"/>
      <c r="AR1305" s="1"/>
      <c r="AU1305" s="1"/>
      <c r="AW1305" s="1"/>
      <c r="AY1305" s="1"/>
    </row>
    <row r="1306">
      <c r="A1306" s="1"/>
      <c r="C1306" s="1"/>
      <c r="E1306" s="1"/>
      <c r="F1306" s="1"/>
      <c r="G1306" s="1"/>
      <c r="H1306" s="1"/>
      <c r="I1306" s="1"/>
      <c r="J1306" s="1"/>
      <c r="K1306" s="1"/>
      <c r="M1306" s="1"/>
      <c r="N1306" s="1"/>
      <c r="O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P1306" s="1"/>
      <c r="AQ1306" s="1"/>
      <c r="AR1306" s="1"/>
      <c r="AU1306" s="1"/>
      <c r="AW1306" s="1"/>
      <c r="AY1306" s="1"/>
    </row>
    <row r="1307">
      <c r="A1307" s="1"/>
      <c r="C1307" s="1"/>
      <c r="E1307" s="1"/>
      <c r="F1307" s="1"/>
      <c r="G1307" s="1"/>
      <c r="H1307" s="1"/>
      <c r="I1307" s="1"/>
      <c r="J1307" s="1"/>
      <c r="K1307" s="1"/>
      <c r="M1307" s="1"/>
      <c r="N1307" s="1"/>
      <c r="O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P1307" s="1"/>
      <c r="AQ1307" s="1"/>
      <c r="AR1307" s="1"/>
      <c r="AU1307" s="1"/>
      <c r="AW1307" s="1"/>
      <c r="AY1307" s="1"/>
    </row>
    <row r="1308">
      <c r="A1308" s="1"/>
      <c r="C1308" s="1"/>
      <c r="E1308" s="1"/>
      <c r="F1308" s="1"/>
      <c r="G1308" s="1"/>
      <c r="H1308" s="1"/>
      <c r="I1308" s="1"/>
      <c r="J1308" s="1"/>
      <c r="K1308" s="1"/>
      <c r="M1308" s="1"/>
      <c r="N1308" s="1"/>
      <c r="O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P1308" s="1"/>
      <c r="AQ1308" s="1"/>
      <c r="AR1308" s="1"/>
      <c r="AU1308" s="1"/>
      <c r="AW1308" s="1"/>
      <c r="AY1308" s="1"/>
    </row>
    <row r="1309">
      <c r="A1309" s="1"/>
      <c r="C1309" s="1"/>
      <c r="E1309" s="1"/>
      <c r="F1309" s="1"/>
      <c r="G1309" s="1"/>
      <c r="H1309" s="1"/>
      <c r="I1309" s="1"/>
      <c r="J1309" s="1"/>
      <c r="K1309" s="1"/>
      <c r="M1309" s="1"/>
      <c r="N1309" s="1"/>
      <c r="O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P1309" s="1"/>
      <c r="AQ1309" s="1"/>
      <c r="AR1309" s="1"/>
      <c r="AU1309" s="1"/>
      <c r="AW1309" s="1"/>
      <c r="AY1309" s="1"/>
    </row>
    <row r="1310">
      <c r="A1310" s="1"/>
      <c r="C1310" s="1"/>
      <c r="E1310" s="1"/>
      <c r="F1310" s="1"/>
      <c r="G1310" s="1"/>
      <c r="H1310" s="1"/>
      <c r="I1310" s="1"/>
      <c r="J1310" s="1"/>
      <c r="K1310" s="1"/>
      <c r="M1310" s="1"/>
      <c r="N1310" s="1"/>
      <c r="O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P1310" s="1"/>
      <c r="AQ1310" s="1"/>
      <c r="AR1310" s="1"/>
      <c r="AU1310" s="1"/>
      <c r="AW1310" s="1"/>
      <c r="AY1310" s="1"/>
    </row>
    <row r="1311">
      <c r="A1311" s="1"/>
      <c r="C1311" s="1"/>
      <c r="E1311" s="1"/>
      <c r="F1311" s="1"/>
      <c r="G1311" s="1"/>
      <c r="H1311" s="1"/>
      <c r="I1311" s="1"/>
      <c r="J1311" s="1"/>
      <c r="K1311" s="1"/>
      <c r="M1311" s="1"/>
      <c r="N1311" s="1"/>
      <c r="O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P1311" s="1"/>
      <c r="AQ1311" s="1"/>
      <c r="AR1311" s="1"/>
      <c r="AU1311" s="1"/>
      <c r="AW1311" s="1"/>
      <c r="AY1311" s="1"/>
    </row>
    <row r="1312">
      <c r="A1312" s="1"/>
      <c r="C1312" s="1"/>
      <c r="E1312" s="1"/>
      <c r="F1312" s="1"/>
      <c r="G1312" s="1"/>
      <c r="H1312" s="1"/>
      <c r="I1312" s="1"/>
      <c r="J1312" s="1"/>
      <c r="K1312" s="1"/>
      <c r="M1312" s="1"/>
      <c r="N1312" s="1"/>
      <c r="O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P1312" s="1"/>
      <c r="AQ1312" s="1"/>
      <c r="AR1312" s="1"/>
      <c r="AU1312" s="1"/>
      <c r="AW1312" s="1"/>
      <c r="AY1312" s="1"/>
    </row>
    <row r="1313">
      <c r="A1313" s="1"/>
      <c r="C1313" s="1"/>
      <c r="E1313" s="1"/>
      <c r="F1313" s="1"/>
      <c r="G1313" s="1"/>
      <c r="H1313" s="1"/>
      <c r="I1313" s="1"/>
      <c r="J1313" s="1"/>
      <c r="K1313" s="1"/>
      <c r="M1313" s="1"/>
      <c r="N1313" s="1"/>
      <c r="O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P1313" s="1"/>
      <c r="AQ1313" s="1"/>
      <c r="AR1313" s="1"/>
      <c r="AU1313" s="1"/>
      <c r="AW1313" s="1"/>
      <c r="AY1313" s="1"/>
    </row>
    <row r="1314">
      <c r="A1314" s="1"/>
      <c r="C1314" s="1"/>
      <c r="E1314" s="1"/>
      <c r="F1314" s="1"/>
      <c r="G1314" s="1"/>
      <c r="H1314" s="1"/>
      <c r="I1314" s="1"/>
      <c r="J1314" s="1"/>
      <c r="K1314" s="1"/>
      <c r="M1314" s="1"/>
      <c r="N1314" s="1"/>
      <c r="O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P1314" s="1"/>
      <c r="AQ1314" s="1"/>
      <c r="AR1314" s="1"/>
      <c r="AU1314" s="1"/>
      <c r="AW1314" s="1"/>
      <c r="AY1314" s="1"/>
    </row>
    <row r="1315">
      <c r="A1315" s="1"/>
      <c r="C1315" s="1"/>
      <c r="E1315" s="1"/>
      <c r="F1315" s="1"/>
      <c r="G1315" s="1"/>
      <c r="H1315" s="1"/>
      <c r="I1315" s="1"/>
      <c r="J1315" s="1"/>
      <c r="K1315" s="1"/>
      <c r="M1315" s="1"/>
      <c r="N1315" s="1"/>
      <c r="O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P1315" s="1"/>
      <c r="AQ1315" s="1"/>
      <c r="AR1315" s="1"/>
      <c r="AU1315" s="1"/>
      <c r="AW1315" s="1"/>
      <c r="AY1315" s="1"/>
    </row>
    <row r="1316">
      <c r="A1316" s="1"/>
      <c r="C1316" s="1"/>
      <c r="E1316" s="1"/>
      <c r="F1316" s="1"/>
      <c r="G1316" s="1"/>
      <c r="H1316" s="1"/>
      <c r="I1316" s="1"/>
      <c r="J1316" s="1"/>
      <c r="K1316" s="1"/>
      <c r="M1316" s="1"/>
      <c r="N1316" s="1"/>
      <c r="O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P1316" s="1"/>
      <c r="AQ1316" s="1"/>
      <c r="AR1316" s="1"/>
      <c r="AU1316" s="1"/>
      <c r="AW1316" s="1"/>
      <c r="AY1316" s="1"/>
    </row>
    <row r="1317">
      <c r="A1317" s="1"/>
      <c r="C1317" s="1"/>
      <c r="E1317" s="1"/>
      <c r="F1317" s="1"/>
      <c r="G1317" s="1"/>
      <c r="H1317" s="1"/>
      <c r="I1317" s="1"/>
      <c r="J1317" s="1"/>
      <c r="K1317" s="1"/>
      <c r="M1317" s="1"/>
      <c r="N1317" s="1"/>
      <c r="O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P1317" s="1"/>
      <c r="AQ1317" s="1"/>
      <c r="AR1317" s="1"/>
      <c r="AU1317" s="1"/>
      <c r="AW1317" s="1"/>
      <c r="AY1317" s="1"/>
    </row>
    <row r="1318">
      <c r="A1318" s="1"/>
      <c r="C1318" s="1"/>
      <c r="E1318" s="1"/>
      <c r="F1318" s="1"/>
      <c r="G1318" s="1"/>
      <c r="H1318" s="1"/>
      <c r="I1318" s="1"/>
      <c r="J1318" s="1"/>
      <c r="K1318" s="1"/>
      <c r="M1318" s="1"/>
      <c r="N1318" s="1"/>
      <c r="O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P1318" s="1"/>
      <c r="AQ1318" s="1"/>
      <c r="AR1318" s="1"/>
      <c r="AU1318" s="1"/>
      <c r="AW1318" s="1"/>
      <c r="AY1318" s="1"/>
    </row>
    <row r="1319">
      <c r="A1319" s="1"/>
      <c r="C1319" s="1"/>
      <c r="E1319" s="1"/>
      <c r="F1319" s="1"/>
      <c r="G1319" s="1"/>
      <c r="H1319" s="1"/>
      <c r="I1319" s="1"/>
      <c r="J1319" s="1"/>
      <c r="K1319" s="1"/>
      <c r="M1319" s="1"/>
      <c r="N1319" s="1"/>
      <c r="O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P1319" s="1"/>
      <c r="AQ1319" s="1"/>
      <c r="AR1319" s="1"/>
      <c r="AU1319" s="1"/>
      <c r="AW1319" s="1"/>
      <c r="AY1319" s="1"/>
    </row>
    <row r="1320">
      <c r="A1320" s="1"/>
      <c r="C1320" s="1"/>
      <c r="E1320" s="1"/>
      <c r="F1320" s="1"/>
      <c r="G1320" s="1"/>
      <c r="H1320" s="1"/>
      <c r="I1320" s="1"/>
      <c r="J1320" s="1"/>
      <c r="K1320" s="1"/>
      <c r="M1320" s="1"/>
      <c r="N1320" s="1"/>
      <c r="O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P1320" s="1"/>
      <c r="AQ1320" s="1"/>
      <c r="AR1320" s="1"/>
      <c r="AU1320" s="1"/>
      <c r="AW1320" s="1"/>
      <c r="AY1320" s="1"/>
    </row>
    <row r="1321">
      <c r="A1321" s="1"/>
      <c r="C1321" s="1"/>
      <c r="E1321" s="1"/>
      <c r="F1321" s="1"/>
      <c r="G1321" s="1"/>
      <c r="H1321" s="1"/>
      <c r="I1321" s="1"/>
      <c r="J1321" s="1"/>
      <c r="K1321" s="1"/>
      <c r="M1321" s="1"/>
      <c r="N1321" s="1"/>
      <c r="O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P1321" s="1"/>
      <c r="AQ1321" s="1"/>
      <c r="AR1321" s="1"/>
      <c r="AU1321" s="1"/>
      <c r="AW1321" s="1"/>
      <c r="AY132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3E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hidden="1">
      <c r="A2" s="1" t="s">
        <v>51</v>
      </c>
      <c r="C2" s="1" t="s">
        <v>52</v>
      </c>
      <c r="E2" s="1" t="s">
        <v>53</v>
      </c>
      <c r="F2" s="1" t="s">
        <v>54</v>
      </c>
      <c r="G2" s="1">
        <v>45.0</v>
      </c>
      <c r="H2" s="1" t="s">
        <v>55</v>
      </c>
      <c r="J2" s="1" t="s">
        <v>56</v>
      </c>
      <c r="K2" s="1" t="s">
        <v>57</v>
      </c>
      <c r="M2" s="1" t="s">
        <v>58</v>
      </c>
      <c r="N2" s="1" t="s">
        <v>58</v>
      </c>
      <c r="O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59</v>
      </c>
      <c r="Y2" s="1" t="s">
        <v>60</v>
      </c>
      <c r="Z2" s="1" t="s">
        <v>61</v>
      </c>
      <c r="AA2" s="1">
        <v>20.0</v>
      </c>
      <c r="AB2" s="1" t="s">
        <v>62</v>
      </c>
      <c r="AC2" s="1" t="s">
        <v>51</v>
      </c>
      <c r="AD2" s="1" t="s">
        <v>59</v>
      </c>
      <c r="AE2" s="1" t="s">
        <v>51</v>
      </c>
      <c r="AF2" s="1" t="s">
        <v>51</v>
      </c>
      <c r="AG2" s="1" t="s">
        <v>51</v>
      </c>
      <c r="AH2" s="1">
        <v>20000.0</v>
      </c>
      <c r="AI2" s="1">
        <v>1.0</v>
      </c>
      <c r="AJ2" s="1">
        <v>0.0</v>
      </c>
      <c r="AK2" s="1">
        <v>0.0</v>
      </c>
      <c r="AL2" s="1">
        <v>0.0</v>
      </c>
      <c r="AM2" s="1" t="s">
        <v>51</v>
      </c>
      <c r="AN2" s="1">
        <v>7.440664E8</v>
      </c>
      <c r="AP2" s="1">
        <v>4.89854387E8</v>
      </c>
      <c r="AQ2" s="1" t="s">
        <v>63</v>
      </c>
      <c r="AR2" s="1">
        <v>45808.27971</v>
      </c>
      <c r="AU2" s="1" t="s">
        <v>64</v>
      </c>
      <c r="AW2" s="1" t="s">
        <v>65</v>
      </c>
      <c r="AY2" s="1">
        <v>1.0</v>
      </c>
    </row>
    <row r="3" hidden="1">
      <c r="A3" s="1" t="s">
        <v>51</v>
      </c>
      <c r="C3" s="1" t="s">
        <v>52</v>
      </c>
      <c r="E3" s="1" t="s">
        <v>53</v>
      </c>
      <c r="F3" s="1" t="s">
        <v>54</v>
      </c>
      <c r="G3" s="1">
        <v>38.0</v>
      </c>
      <c r="H3" s="1" t="s">
        <v>66</v>
      </c>
      <c r="I3" s="1" t="s">
        <v>67</v>
      </c>
      <c r="J3" s="1" t="s">
        <v>68</v>
      </c>
      <c r="K3" s="1" t="s">
        <v>57</v>
      </c>
      <c r="M3" s="1" t="s">
        <v>58</v>
      </c>
      <c r="N3" s="1" t="s">
        <v>58</v>
      </c>
      <c r="O3" s="1" t="s">
        <v>58</v>
      </c>
      <c r="Q3" s="1" t="s">
        <v>69</v>
      </c>
      <c r="R3" s="1" t="s">
        <v>69</v>
      </c>
      <c r="S3" s="1" t="s">
        <v>58</v>
      </c>
      <c r="T3" s="1" t="s">
        <v>58</v>
      </c>
      <c r="U3" s="1" t="s">
        <v>69</v>
      </c>
      <c r="V3" s="1" t="s">
        <v>70</v>
      </c>
      <c r="W3" s="1" t="s">
        <v>69</v>
      </c>
      <c r="X3" s="1" t="s">
        <v>59</v>
      </c>
      <c r="Y3" s="1" t="s">
        <v>60</v>
      </c>
      <c r="Z3" s="1" t="s">
        <v>61</v>
      </c>
      <c r="AA3" s="1">
        <v>30.0</v>
      </c>
      <c r="AB3" s="1" t="s">
        <v>62</v>
      </c>
      <c r="AC3" s="1" t="s">
        <v>71</v>
      </c>
      <c r="AF3" s="1" t="s">
        <v>51</v>
      </c>
      <c r="AG3" s="1" t="s">
        <v>72</v>
      </c>
      <c r="AI3" s="1">
        <v>1.0</v>
      </c>
      <c r="AJ3" s="1">
        <v>0.0</v>
      </c>
      <c r="AK3" s="1">
        <v>0.0</v>
      </c>
      <c r="AL3" s="1">
        <v>0.0</v>
      </c>
      <c r="AM3" s="1" t="s">
        <v>72</v>
      </c>
      <c r="AP3" s="1">
        <v>4.89889246E8</v>
      </c>
      <c r="AQ3" s="1" t="s">
        <v>73</v>
      </c>
      <c r="AR3" s="1">
        <v>45808.33772</v>
      </c>
      <c r="AU3" s="1" t="s">
        <v>64</v>
      </c>
      <c r="AW3" s="1" t="s">
        <v>65</v>
      </c>
      <c r="AY3" s="1">
        <v>2.0</v>
      </c>
    </row>
    <row r="4" hidden="1">
      <c r="A4" s="1" t="s">
        <v>51</v>
      </c>
      <c r="C4" s="1" t="s">
        <v>52</v>
      </c>
      <c r="E4" s="1" t="s">
        <v>53</v>
      </c>
      <c r="F4" s="1" t="s">
        <v>54</v>
      </c>
      <c r="G4" s="1">
        <v>39.0</v>
      </c>
      <c r="H4" s="1" t="s">
        <v>66</v>
      </c>
      <c r="I4" s="1" t="s">
        <v>67</v>
      </c>
      <c r="J4" s="1" t="s">
        <v>68</v>
      </c>
      <c r="K4" s="1" t="s">
        <v>74</v>
      </c>
      <c r="M4" s="1" t="s">
        <v>58</v>
      </c>
      <c r="N4" s="1" t="s">
        <v>58</v>
      </c>
      <c r="O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59</v>
      </c>
      <c r="Y4" s="1" t="s">
        <v>60</v>
      </c>
      <c r="Z4" s="1" t="s">
        <v>61</v>
      </c>
      <c r="AA4" s="1">
        <v>30.0</v>
      </c>
      <c r="AB4" s="1" t="s">
        <v>62</v>
      </c>
      <c r="AC4" s="1" t="s">
        <v>71</v>
      </c>
      <c r="AF4" s="1" t="s">
        <v>51</v>
      </c>
      <c r="AG4" s="1" t="s">
        <v>72</v>
      </c>
      <c r="AI4" s="1">
        <v>1.0</v>
      </c>
      <c r="AJ4" s="1">
        <v>0.0</v>
      </c>
      <c r="AK4" s="1">
        <v>0.0</v>
      </c>
      <c r="AL4" s="1">
        <v>0.0</v>
      </c>
      <c r="AM4" s="1" t="s">
        <v>72</v>
      </c>
      <c r="AP4" s="1">
        <v>4.89890054E8</v>
      </c>
      <c r="AQ4" s="1" t="s">
        <v>75</v>
      </c>
      <c r="AR4" s="1">
        <v>45808.33927</v>
      </c>
      <c r="AU4" s="1" t="s">
        <v>64</v>
      </c>
      <c r="AW4" s="1" t="s">
        <v>65</v>
      </c>
      <c r="AY4" s="1">
        <v>3.0</v>
      </c>
    </row>
    <row r="5" hidden="1">
      <c r="A5" s="1" t="s">
        <v>51</v>
      </c>
      <c r="C5" s="1" t="s">
        <v>52</v>
      </c>
      <c r="E5" s="1" t="s">
        <v>53</v>
      </c>
      <c r="F5" s="1" t="s">
        <v>54</v>
      </c>
      <c r="G5" s="1">
        <v>27.0</v>
      </c>
      <c r="H5" s="1" t="s">
        <v>66</v>
      </c>
      <c r="I5" s="1" t="s">
        <v>76</v>
      </c>
      <c r="J5" s="1" t="s">
        <v>68</v>
      </c>
      <c r="K5" s="1" t="s">
        <v>74</v>
      </c>
      <c r="M5" s="1" t="s">
        <v>58</v>
      </c>
      <c r="N5" s="1" t="s">
        <v>58</v>
      </c>
      <c r="O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59</v>
      </c>
      <c r="Y5" s="1" t="s">
        <v>60</v>
      </c>
      <c r="Z5" s="1" t="s">
        <v>61</v>
      </c>
      <c r="AA5" s="1">
        <v>40.0</v>
      </c>
      <c r="AB5" s="1" t="s">
        <v>62</v>
      </c>
      <c r="AC5" s="1" t="s">
        <v>71</v>
      </c>
      <c r="AF5" s="1" t="s">
        <v>51</v>
      </c>
      <c r="AG5" s="1" t="s">
        <v>72</v>
      </c>
      <c r="AI5" s="1">
        <v>1.0</v>
      </c>
      <c r="AJ5" s="1">
        <v>0.0</v>
      </c>
      <c r="AK5" s="1">
        <v>0.0</v>
      </c>
      <c r="AL5" s="1">
        <v>0.0</v>
      </c>
      <c r="AM5" s="1" t="s">
        <v>72</v>
      </c>
      <c r="AP5" s="1">
        <v>4.89890911E8</v>
      </c>
      <c r="AQ5" s="1" t="s">
        <v>77</v>
      </c>
      <c r="AR5" s="1">
        <v>45808.34058</v>
      </c>
      <c r="AU5" s="1" t="s">
        <v>64</v>
      </c>
      <c r="AW5" s="1" t="s">
        <v>65</v>
      </c>
      <c r="AY5" s="1">
        <v>4.0</v>
      </c>
    </row>
    <row r="6" hidden="1">
      <c r="A6" s="1" t="s">
        <v>51</v>
      </c>
      <c r="C6" s="1" t="s">
        <v>52</v>
      </c>
      <c r="E6" s="1" t="s">
        <v>52</v>
      </c>
      <c r="G6" s="1">
        <v>53.0</v>
      </c>
      <c r="H6" s="1" t="s">
        <v>66</v>
      </c>
      <c r="J6" s="1" t="s">
        <v>68</v>
      </c>
      <c r="K6" s="1" t="s">
        <v>78</v>
      </c>
      <c r="M6" s="1" t="s">
        <v>58</v>
      </c>
      <c r="N6" s="1" t="s">
        <v>58</v>
      </c>
      <c r="O6" s="1" t="s">
        <v>58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58</v>
      </c>
      <c r="W6" s="1" t="s">
        <v>58</v>
      </c>
      <c r="X6" s="1" t="s">
        <v>59</v>
      </c>
      <c r="Y6" s="1" t="s">
        <v>60</v>
      </c>
      <c r="Z6" s="1" t="s">
        <v>61</v>
      </c>
      <c r="AA6" s="1">
        <v>20.0</v>
      </c>
      <c r="AB6" s="1" t="s">
        <v>79</v>
      </c>
      <c r="AC6" s="1" t="s">
        <v>71</v>
      </c>
      <c r="AF6" s="1" t="s">
        <v>51</v>
      </c>
      <c r="AG6" s="1" t="s">
        <v>51</v>
      </c>
      <c r="AH6" s="1">
        <v>5000.0</v>
      </c>
      <c r="AI6" s="1">
        <v>1.0</v>
      </c>
      <c r="AJ6" s="1">
        <v>0.0</v>
      </c>
      <c r="AK6" s="1">
        <v>0.0</v>
      </c>
      <c r="AL6" s="1">
        <v>0.0</v>
      </c>
      <c r="AP6" s="1">
        <v>4.89891719E8</v>
      </c>
      <c r="AQ6" s="1" t="s">
        <v>80</v>
      </c>
      <c r="AR6" s="1">
        <v>45808.34218</v>
      </c>
      <c r="AU6" s="1" t="s">
        <v>64</v>
      </c>
      <c r="AW6" s="1" t="s">
        <v>65</v>
      </c>
      <c r="AY6" s="1">
        <v>5.0</v>
      </c>
    </row>
    <row r="7" hidden="1">
      <c r="A7" s="1" t="s">
        <v>51</v>
      </c>
      <c r="C7" s="1" t="s">
        <v>52</v>
      </c>
      <c r="E7" s="1" t="s">
        <v>53</v>
      </c>
      <c r="F7" s="1" t="s">
        <v>54</v>
      </c>
      <c r="G7" s="1">
        <v>36.0</v>
      </c>
      <c r="H7" s="1" t="s">
        <v>66</v>
      </c>
      <c r="I7" s="1" t="s">
        <v>67</v>
      </c>
      <c r="J7" s="1" t="s">
        <v>68</v>
      </c>
      <c r="K7" s="1" t="s">
        <v>74</v>
      </c>
      <c r="M7" s="1" t="s">
        <v>58</v>
      </c>
      <c r="N7" s="1" t="s">
        <v>58</v>
      </c>
      <c r="O7" s="1" t="s">
        <v>69</v>
      </c>
      <c r="Q7" s="1" t="s">
        <v>70</v>
      </c>
      <c r="R7" s="1" t="s">
        <v>58</v>
      </c>
      <c r="S7" s="1" t="s">
        <v>69</v>
      </c>
      <c r="T7" s="1" t="s">
        <v>69</v>
      </c>
      <c r="U7" s="1" t="s">
        <v>70</v>
      </c>
      <c r="V7" s="1" t="s">
        <v>69</v>
      </c>
      <c r="W7" s="1" t="s">
        <v>69</v>
      </c>
      <c r="X7" s="1" t="s">
        <v>81</v>
      </c>
      <c r="Y7" s="1" t="s">
        <v>82</v>
      </c>
      <c r="Z7" s="1" t="s">
        <v>61</v>
      </c>
      <c r="AA7" s="1">
        <v>100.0</v>
      </c>
      <c r="AB7" s="1" t="s">
        <v>79</v>
      </c>
      <c r="AC7" s="1" t="s">
        <v>71</v>
      </c>
      <c r="AF7" s="1" t="s">
        <v>51</v>
      </c>
      <c r="AG7" s="1" t="s">
        <v>51</v>
      </c>
      <c r="AH7" s="1">
        <v>20.0</v>
      </c>
      <c r="AI7" s="1">
        <v>0.0</v>
      </c>
      <c r="AJ7" s="1">
        <v>0.0</v>
      </c>
      <c r="AK7" s="1">
        <v>0.0</v>
      </c>
      <c r="AL7" s="1">
        <v>1.0</v>
      </c>
      <c r="AM7" s="1" t="s">
        <v>51</v>
      </c>
      <c r="AN7" s="1">
        <v>6.03855945E8</v>
      </c>
      <c r="AP7" s="1">
        <v>4.87549124E8</v>
      </c>
      <c r="AQ7" s="1" t="s">
        <v>83</v>
      </c>
      <c r="AR7" s="1">
        <v>45805.15648</v>
      </c>
      <c r="AU7" s="1" t="s">
        <v>64</v>
      </c>
      <c r="AW7" s="1" t="s">
        <v>84</v>
      </c>
      <c r="AY7" s="1">
        <v>1.0</v>
      </c>
    </row>
    <row r="8" hidden="1">
      <c r="A8" s="1" t="s">
        <v>51</v>
      </c>
      <c r="C8" s="1" t="s">
        <v>52</v>
      </c>
      <c r="E8" s="1" t="s">
        <v>53</v>
      </c>
      <c r="F8" s="1" t="s">
        <v>85</v>
      </c>
      <c r="G8" s="1">
        <v>41.0</v>
      </c>
      <c r="H8" s="1" t="s">
        <v>55</v>
      </c>
      <c r="I8" s="1" t="s">
        <v>67</v>
      </c>
      <c r="J8" s="1" t="s">
        <v>86</v>
      </c>
      <c r="K8" s="1" t="s">
        <v>87</v>
      </c>
      <c r="M8" s="1" t="s">
        <v>58</v>
      </c>
      <c r="N8" s="1" t="s">
        <v>70</v>
      </c>
      <c r="O8" s="1" t="s">
        <v>58</v>
      </c>
      <c r="Q8" s="1" t="s">
        <v>58</v>
      </c>
      <c r="R8" s="1" t="s">
        <v>58</v>
      </c>
      <c r="S8" s="1" t="s">
        <v>69</v>
      </c>
      <c r="T8" s="1" t="s">
        <v>70</v>
      </c>
      <c r="U8" s="1" t="s">
        <v>58</v>
      </c>
      <c r="V8" s="1" t="s">
        <v>58</v>
      </c>
      <c r="W8" s="1" t="s">
        <v>58</v>
      </c>
      <c r="X8" s="1" t="s">
        <v>88</v>
      </c>
      <c r="Y8" s="1" t="s">
        <v>60</v>
      </c>
      <c r="Z8" s="1" t="s">
        <v>89</v>
      </c>
      <c r="AA8" s="1">
        <v>100.0</v>
      </c>
      <c r="AB8" s="1" t="s">
        <v>62</v>
      </c>
      <c r="AC8" s="1" t="s">
        <v>51</v>
      </c>
      <c r="AD8" s="1" t="s">
        <v>59</v>
      </c>
      <c r="AE8" s="1" t="s">
        <v>51</v>
      </c>
      <c r="AF8" s="1" t="s">
        <v>51</v>
      </c>
      <c r="AG8" s="1" t="s">
        <v>72</v>
      </c>
      <c r="AI8" s="1">
        <v>0.0</v>
      </c>
      <c r="AJ8" s="1">
        <v>0.0</v>
      </c>
      <c r="AK8" s="1">
        <v>0.0</v>
      </c>
      <c r="AL8" s="1">
        <v>1.0</v>
      </c>
      <c r="AM8" s="1" t="s">
        <v>51</v>
      </c>
      <c r="AN8" s="1">
        <v>7.89114176E8</v>
      </c>
      <c r="AP8" s="1">
        <v>4.87569504E8</v>
      </c>
      <c r="AQ8" s="1" t="s">
        <v>90</v>
      </c>
      <c r="AR8" s="1">
        <v>45805.20499</v>
      </c>
      <c r="AU8" s="1" t="s">
        <v>64</v>
      </c>
      <c r="AW8" s="1" t="s">
        <v>84</v>
      </c>
      <c r="AY8" s="1">
        <v>2.0</v>
      </c>
    </row>
    <row r="9" hidden="1">
      <c r="A9" s="1" t="s">
        <v>72</v>
      </c>
      <c r="AP9" s="1">
        <v>4.87569554E8</v>
      </c>
      <c r="AQ9" s="1" t="s">
        <v>91</v>
      </c>
      <c r="AR9" s="1">
        <v>45805.20507</v>
      </c>
      <c r="AU9" s="1" t="s">
        <v>64</v>
      </c>
      <c r="AW9" s="1" t="s">
        <v>84</v>
      </c>
      <c r="AY9" s="1">
        <v>3.0</v>
      </c>
    </row>
    <row r="10" hidden="1">
      <c r="A10" s="1" t="s">
        <v>51</v>
      </c>
      <c r="C10" s="1" t="s">
        <v>52</v>
      </c>
      <c r="E10" s="1" t="s">
        <v>53</v>
      </c>
      <c r="F10" s="1" t="s">
        <v>54</v>
      </c>
      <c r="G10" s="1">
        <v>36.0</v>
      </c>
      <c r="H10" s="1" t="s">
        <v>55</v>
      </c>
      <c r="I10" s="1" t="s">
        <v>67</v>
      </c>
      <c r="J10" s="1" t="s">
        <v>68</v>
      </c>
      <c r="K10" s="1" t="s">
        <v>92</v>
      </c>
      <c r="M10" s="1" t="s">
        <v>58</v>
      </c>
      <c r="N10" s="1" t="s">
        <v>58</v>
      </c>
      <c r="O10" s="1" t="s">
        <v>58</v>
      </c>
      <c r="Q10" s="1" t="s">
        <v>69</v>
      </c>
      <c r="R10" s="1" t="s">
        <v>58</v>
      </c>
      <c r="S10" s="1" t="s">
        <v>69</v>
      </c>
      <c r="T10" s="1" t="s">
        <v>58</v>
      </c>
      <c r="U10" s="1" t="s">
        <v>58</v>
      </c>
      <c r="V10" s="1" t="s">
        <v>58</v>
      </c>
      <c r="W10" s="1" t="s">
        <v>69</v>
      </c>
      <c r="X10" s="1" t="s">
        <v>81</v>
      </c>
      <c r="Y10" s="1" t="s">
        <v>60</v>
      </c>
      <c r="Z10" s="1" t="s">
        <v>89</v>
      </c>
      <c r="AA10" s="1">
        <v>50.0</v>
      </c>
      <c r="AB10" s="1" t="s">
        <v>79</v>
      </c>
      <c r="AC10" s="1" t="s">
        <v>51</v>
      </c>
      <c r="AD10" s="1" t="s">
        <v>81</v>
      </c>
      <c r="AE10" s="1" t="s">
        <v>51</v>
      </c>
      <c r="AF10" s="1" t="s">
        <v>51</v>
      </c>
      <c r="AG10" s="1" t="s">
        <v>51</v>
      </c>
      <c r="AH10" s="1">
        <v>50.0</v>
      </c>
      <c r="AI10" s="1">
        <v>0.0</v>
      </c>
      <c r="AJ10" s="1">
        <v>0.0</v>
      </c>
      <c r="AK10" s="1">
        <v>0.0</v>
      </c>
      <c r="AL10" s="1">
        <v>1.0</v>
      </c>
      <c r="AM10" s="1" t="s">
        <v>51</v>
      </c>
      <c r="AN10" s="1">
        <v>7.85939885E8</v>
      </c>
      <c r="AP10" s="1">
        <v>4.87579768E8</v>
      </c>
      <c r="AQ10" s="1" t="s">
        <v>93</v>
      </c>
      <c r="AR10" s="1">
        <v>45805.22567</v>
      </c>
      <c r="AU10" s="1" t="s">
        <v>64</v>
      </c>
      <c r="AW10" s="1" t="s">
        <v>84</v>
      </c>
      <c r="AY10" s="1">
        <v>4.0</v>
      </c>
    </row>
    <row r="11" hidden="1">
      <c r="A11" s="1" t="s">
        <v>51</v>
      </c>
      <c r="C11" s="1" t="s">
        <v>52</v>
      </c>
      <c r="E11" s="1" t="s">
        <v>53</v>
      </c>
      <c r="F11" s="1" t="s">
        <v>94</v>
      </c>
      <c r="G11" s="1">
        <v>45.0</v>
      </c>
      <c r="H11" s="1" t="s">
        <v>66</v>
      </c>
      <c r="I11" s="1" t="s">
        <v>67</v>
      </c>
      <c r="J11" s="1" t="s">
        <v>86</v>
      </c>
      <c r="K11" s="1" t="s">
        <v>87</v>
      </c>
      <c r="M11" s="1" t="s">
        <v>58</v>
      </c>
      <c r="N11" s="1" t="s">
        <v>58</v>
      </c>
      <c r="O11" s="1" t="s">
        <v>69</v>
      </c>
      <c r="Q11" s="1" t="s">
        <v>69</v>
      </c>
      <c r="R11" s="1" t="s">
        <v>58</v>
      </c>
      <c r="S11" s="1" t="s">
        <v>58</v>
      </c>
      <c r="T11" s="1" t="s">
        <v>58</v>
      </c>
      <c r="U11" s="1" t="s">
        <v>69</v>
      </c>
      <c r="V11" s="1" t="s">
        <v>58</v>
      </c>
      <c r="W11" s="1" t="s">
        <v>58</v>
      </c>
      <c r="X11" s="1" t="s">
        <v>88</v>
      </c>
      <c r="Y11" s="1" t="s">
        <v>95</v>
      </c>
      <c r="Z11" s="1" t="s">
        <v>96</v>
      </c>
      <c r="AA11" s="1">
        <v>100.0</v>
      </c>
      <c r="AB11" s="1" t="s">
        <v>62</v>
      </c>
      <c r="AF11" s="1" t="s">
        <v>51</v>
      </c>
      <c r="AI11" s="1">
        <v>0.0</v>
      </c>
      <c r="AJ11" s="1">
        <v>0.0</v>
      </c>
      <c r="AK11" s="1">
        <v>0.0</v>
      </c>
      <c r="AL11" s="1">
        <v>1.0</v>
      </c>
      <c r="AM11" s="1" t="s">
        <v>51</v>
      </c>
      <c r="AP11" s="1">
        <v>4.87581103E8</v>
      </c>
      <c r="AQ11" s="1" t="s">
        <v>97</v>
      </c>
      <c r="AR11" s="1">
        <v>45805.22862</v>
      </c>
      <c r="AU11" s="1" t="s">
        <v>64</v>
      </c>
      <c r="AW11" s="1" t="s">
        <v>84</v>
      </c>
      <c r="AY11" s="1">
        <v>5.0</v>
      </c>
    </row>
    <row r="12" hidden="1">
      <c r="A12" s="1" t="s">
        <v>51</v>
      </c>
      <c r="C12" s="1" t="s">
        <v>52</v>
      </c>
      <c r="E12" s="1" t="s">
        <v>53</v>
      </c>
      <c r="F12" s="1" t="s">
        <v>54</v>
      </c>
      <c r="G12" s="1">
        <v>49.0</v>
      </c>
      <c r="H12" s="1" t="s">
        <v>55</v>
      </c>
      <c r="I12" s="1" t="s">
        <v>67</v>
      </c>
      <c r="J12" s="1" t="s">
        <v>86</v>
      </c>
      <c r="K12" s="1" t="s">
        <v>87</v>
      </c>
      <c r="M12" s="1" t="s">
        <v>58</v>
      </c>
      <c r="N12" s="1" t="s">
        <v>58</v>
      </c>
      <c r="O12" s="1" t="s">
        <v>58</v>
      </c>
      <c r="Q12" s="1" t="s">
        <v>58</v>
      </c>
      <c r="R12" s="1" t="s">
        <v>58</v>
      </c>
      <c r="S12" s="1" t="s">
        <v>58</v>
      </c>
      <c r="T12" s="1" t="s">
        <v>70</v>
      </c>
      <c r="U12" s="1" t="s">
        <v>58</v>
      </c>
      <c r="V12" s="1" t="s">
        <v>58</v>
      </c>
      <c r="W12" s="1" t="s">
        <v>58</v>
      </c>
      <c r="X12" s="1" t="s">
        <v>88</v>
      </c>
      <c r="Y12" s="1" t="s">
        <v>95</v>
      </c>
      <c r="Z12" s="1" t="s">
        <v>96</v>
      </c>
      <c r="AA12" s="1">
        <v>100.0</v>
      </c>
      <c r="AB12" s="1" t="s">
        <v>62</v>
      </c>
      <c r="AC12" s="1" t="s">
        <v>51</v>
      </c>
      <c r="AD12" s="1" t="s">
        <v>81</v>
      </c>
      <c r="AE12" s="1" t="s">
        <v>51</v>
      </c>
      <c r="AF12" s="1" t="s">
        <v>51</v>
      </c>
      <c r="AG12" s="1" t="s">
        <v>51</v>
      </c>
      <c r="AH12" s="1">
        <v>50.0</v>
      </c>
      <c r="AI12" s="1">
        <v>0.0</v>
      </c>
      <c r="AJ12" s="1">
        <v>0.0</v>
      </c>
      <c r="AK12" s="1">
        <v>1.0</v>
      </c>
      <c r="AL12" s="1">
        <v>0.0</v>
      </c>
      <c r="AM12" s="1" t="s">
        <v>51</v>
      </c>
      <c r="AN12" s="1">
        <v>6.80530886E8</v>
      </c>
      <c r="AP12" s="1">
        <v>4.87583535E8</v>
      </c>
      <c r="AQ12" s="1" t="s">
        <v>98</v>
      </c>
      <c r="AR12" s="1">
        <v>45805.2337</v>
      </c>
      <c r="AU12" s="1" t="s">
        <v>64</v>
      </c>
      <c r="AW12" s="1" t="s">
        <v>84</v>
      </c>
      <c r="AY12" s="1">
        <v>6.0</v>
      </c>
    </row>
    <row r="13" hidden="1">
      <c r="A13" s="1" t="s">
        <v>51</v>
      </c>
      <c r="C13" s="1" t="s">
        <v>52</v>
      </c>
      <c r="E13" s="1" t="s">
        <v>53</v>
      </c>
      <c r="F13" s="1" t="s">
        <v>54</v>
      </c>
      <c r="G13" s="1">
        <v>39.0</v>
      </c>
      <c r="H13" s="1" t="s">
        <v>55</v>
      </c>
      <c r="I13" s="1" t="s">
        <v>67</v>
      </c>
      <c r="J13" s="1" t="s">
        <v>86</v>
      </c>
      <c r="K13" s="1" t="s">
        <v>87</v>
      </c>
      <c r="M13" s="1" t="s">
        <v>58</v>
      </c>
      <c r="N13" s="1" t="s">
        <v>58</v>
      </c>
      <c r="O13" s="1" t="s">
        <v>69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88</v>
      </c>
      <c r="Y13" s="1" t="s">
        <v>95</v>
      </c>
      <c r="Z13" s="1" t="s">
        <v>89</v>
      </c>
      <c r="AA13" s="1">
        <v>50.0</v>
      </c>
      <c r="AB13" s="1" t="s">
        <v>62</v>
      </c>
      <c r="AC13" s="1" t="s">
        <v>51</v>
      </c>
      <c r="AD13" s="1" t="s">
        <v>81</v>
      </c>
      <c r="AE13" s="1" t="s">
        <v>51</v>
      </c>
      <c r="AF13" s="1" t="s">
        <v>51</v>
      </c>
      <c r="AG13" s="1" t="s">
        <v>72</v>
      </c>
      <c r="AI13" s="1">
        <v>0.0</v>
      </c>
      <c r="AJ13" s="1">
        <v>0.0</v>
      </c>
      <c r="AK13" s="1">
        <v>0.0</v>
      </c>
      <c r="AL13" s="1">
        <v>1.0</v>
      </c>
      <c r="AM13" s="1" t="s">
        <v>72</v>
      </c>
      <c r="AP13" s="1">
        <v>4.87584635E8</v>
      </c>
      <c r="AQ13" s="1" t="s">
        <v>99</v>
      </c>
      <c r="AR13" s="1">
        <v>45805.23601</v>
      </c>
      <c r="AU13" s="1" t="s">
        <v>64</v>
      </c>
      <c r="AW13" s="1" t="s">
        <v>84</v>
      </c>
      <c r="AY13" s="1">
        <v>7.0</v>
      </c>
    </row>
    <row r="14" hidden="1">
      <c r="A14" s="1" t="s">
        <v>51</v>
      </c>
      <c r="C14" s="1" t="s">
        <v>53</v>
      </c>
      <c r="E14" s="1" t="s">
        <v>53</v>
      </c>
      <c r="F14" s="1" t="s">
        <v>54</v>
      </c>
      <c r="G14" s="1">
        <v>19.0</v>
      </c>
      <c r="H14" s="1" t="s">
        <v>55</v>
      </c>
      <c r="I14" s="1" t="s">
        <v>100</v>
      </c>
      <c r="J14" s="1" t="s">
        <v>68</v>
      </c>
      <c r="K14" s="1" t="s">
        <v>92</v>
      </c>
      <c r="M14" s="1" t="s">
        <v>58</v>
      </c>
      <c r="N14" s="1" t="s">
        <v>58</v>
      </c>
      <c r="O14" s="1" t="s">
        <v>70</v>
      </c>
      <c r="Q14" s="1" t="s">
        <v>58</v>
      </c>
      <c r="R14" s="1" t="s">
        <v>58</v>
      </c>
      <c r="S14" s="1" t="s">
        <v>69</v>
      </c>
      <c r="T14" s="1" t="s">
        <v>69</v>
      </c>
      <c r="U14" s="1" t="s">
        <v>70</v>
      </c>
      <c r="V14" s="1" t="s">
        <v>58</v>
      </c>
      <c r="W14" s="1" t="s">
        <v>69</v>
      </c>
      <c r="X14" s="1" t="s">
        <v>88</v>
      </c>
      <c r="Y14" s="1" t="s">
        <v>82</v>
      </c>
      <c r="Z14" s="1" t="s">
        <v>89</v>
      </c>
      <c r="AA14" s="1">
        <v>40.0</v>
      </c>
      <c r="AB14" s="1" t="s">
        <v>28</v>
      </c>
      <c r="AC14" s="1" t="s">
        <v>72</v>
      </c>
      <c r="AF14" s="1" t="s">
        <v>51</v>
      </c>
      <c r="AG14" s="1" t="s">
        <v>51</v>
      </c>
      <c r="AH14" s="1">
        <v>20.0</v>
      </c>
      <c r="AI14" s="1">
        <v>0.0</v>
      </c>
      <c r="AJ14" s="1">
        <v>0.0</v>
      </c>
      <c r="AK14" s="1">
        <v>1.0</v>
      </c>
      <c r="AL14" s="1">
        <v>0.0</v>
      </c>
      <c r="AM14" s="1" t="s">
        <v>72</v>
      </c>
      <c r="AP14" s="1">
        <v>4.87590182E8</v>
      </c>
      <c r="AQ14" s="1" t="s">
        <v>101</v>
      </c>
      <c r="AR14" s="1">
        <v>45805.24519</v>
      </c>
      <c r="AU14" s="1" t="s">
        <v>64</v>
      </c>
      <c r="AW14" s="1" t="s">
        <v>84</v>
      </c>
      <c r="AY14" s="1">
        <v>8.0</v>
      </c>
    </row>
    <row r="15" hidden="1">
      <c r="A15" s="1" t="s">
        <v>51</v>
      </c>
      <c r="C15" s="1" t="s">
        <v>52</v>
      </c>
      <c r="E15" s="1" t="s">
        <v>53</v>
      </c>
      <c r="F15" s="1" t="s">
        <v>102</v>
      </c>
      <c r="G15" s="1">
        <v>41.0</v>
      </c>
      <c r="H15" s="1" t="s">
        <v>55</v>
      </c>
      <c r="I15" s="1" t="s">
        <v>67</v>
      </c>
      <c r="J15" s="1" t="s">
        <v>56</v>
      </c>
      <c r="K15" s="1" t="s">
        <v>87</v>
      </c>
      <c r="M15" s="1" t="s">
        <v>58</v>
      </c>
      <c r="N15" s="1" t="s">
        <v>58</v>
      </c>
      <c r="O15" s="1" t="s">
        <v>58</v>
      </c>
      <c r="Q15" s="1" t="s">
        <v>70</v>
      </c>
      <c r="R15" s="1" t="s">
        <v>58</v>
      </c>
      <c r="S15" s="1" t="s">
        <v>69</v>
      </c>
      <c r="T15" s="1" t="s">
        <v>69</v>
      </c>
      <c r="U15" s="1" t="s">
        <v>69</v>
      </c>
      <c r="V15" s="1" t="s">
        <v>58</v>
      </c>
      <c r="W15" s="1" t="s">
        <v>69</v>
      </c>
      <c r="X15" s="1" t="s">
        <v>103</v>
      </c>
      <c r="Y15" s="1" t="s">
        <v>95</v>
      </c>
      <c r="Z15" s="1" t="s">
        <v>89</v>
      </c>
      <c r="AA15" s="1">
        <v>100.0</v>
      </c>
      <c r="AB15" s="1" t="s">
        <v>62</v>
      </c>
      <c r="AC15" s="1" t="s">
        <v>71</v>
      </c>
      <c r="AF15" s="1" t="s">
        <v>72</v>
      </c>
      <c r="AG15" s="1" t="s">
        <v>51</v>
      </c>
      <c r="AH15" s="1">
        <v>15.0</v>
      </c>
      <c r="AI15" s="1">
        <v>0.0</v>
      </c>
      <c r="AJ15" s="1">
        <v>0.0</v>
      </c>
      <c r="AK15" s="1">
        <v>1.0</v>
      </c>
      <c r="AL15" s="1">
        <v>0.0</v>
      </c>
      <c r="AM15" s="1" t="s">
        <v>72</v>
      </c>
      <c r="AP15" s="1">
        <v>4.87597851E8</v>
      </c>
      <c r="AQ15" s="1" t="s">
        <v>104</v>
      </c>
      <c r="AR15" s="1">
        <v>45805.25703</v>
      </c>
      <c r="AU15" s="1" t="s">
        <v>64</v>
      </c>
      <c r="AW15" s="1" t="s">
        <v>84</v>
      </c>
      <c r="AY15" s="1">
        <v>9.0</v>
      </c>
    </row>
    <row r="16" hidden="1">
      <c r="A16" s="1" t="s">
        <v>51</v>
      </c>
      <c r="C16" s="1" t="s">
        <v>52</v>
      </c>
      <c r="E16" s="1" t="s">
        <v>105</v>
      </c>
      <c r="G16" s="1">
        <v>44.0</v>
      </c>
      <c r="H16" s="1" t="s">
        <v>66</v>
      </c>
      <c r="K16" s="1" t="s">
        <v>92</v>
      </c>
      <c r="M16" s="1" t="s">
        <v>58</v>
      </c>
      <c r="N16" s="1" t="s">
        <v>58</v>
      </c>
      <c r="O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88</v>
      </c>
      <c r="Y16" s="1" t="s">
        <v>95</v>
      </c>
      <c r="Z16" s="1" t="s">
        <v>89</v>
      </c>
      <c r="AA16" s="1">
        <v>100.0</v>
      </c>
      <c r="AB16" s="1" t="s">
        <v>79</v>
      </c>
      <c r="AF16" s="1" t="s">
        <v>51</v>
      </c>
      <c r="AG16" s="1" t="s">
        <v>51</v>
      </c>
      <c r="AI16" s="1">
        <v>0.0</v>
      </c>
      <c r="AJ16" s="1">
        <v>0.0</v>
      </c>
      <c r="AK16" s="1">
        <v>0.0</v>
      </c>
      <c r="AL16" s="1">
        <v>1.0</v>
      </c>
      <c r="AP16" s="1">
        <v>4.87598469E8</v>
      </c>
      <c r="AQ16" s="1" t="s">
        <v>106</v>
      </c>
      <c r="AR16" s="1">
        <v>45805.25779</v>
      </c>
      <c r="AU16" s="1" t="s">
        <v>64</v>
      </c>
      <c r="AW16" s="1" t="s">
        <v>84</v>
      </c>
      <c r="AY16" s="1">
        <v>10.0</v>
      </c>
    </row>
    <row r="17" hidden="1">
      <c r="A17" s="1" t="s">
        <v>51</v>
      </c>
      <c r="C17" s="1" t="s">
        <v>52</v>
      </c>
      <c r="E17" s="1" t="s">
        <v>107</v>
      </c>
      <c r="G17" s="1">
        <v>45.0</v>
      </c>
      <c r="H17" s="1" t="s">
        <v>55</v>
      </c>
      <c r="J17" s="1" t="s">
        <v>86</v>
      </c>
      <c r="K17" s="1" t="s">
        <v>87</v>
      </c>
      <c r="M17" s="1" t="s">
        <v>58</v>
      </c>
      <c r="N17" s="1" t="s">
        <v>58</v>
      </c>
      <c r="O17" s="1" t="s">
        <v>58</v>
      </c>
      <c r="Q17" s="1" t="s">
        <v>69</v>
      </c>
      <c r="R17" s="1" t="s">
        <v>58</v>
      </c>
      <c r="S17" s="1" t="s">
        <v>69</v>
      </c>
      <c r="T17" s="1" t="s">
        <v>58</v>
      </c>
      <c r="U17" s="1" t="s">
        <v>58</v>
      </c>
      <c r="V17" s="1" t="s">
        <v>58</v>
      </c>
      <c r="W17" s="1" t="s">
        <v>69</v>
      </c>
      <c r="X17" s="1" t="s">
        <v>103</v>
      </c>
      <c r="Y17" s="1" t="s">
        <v>95</v>
      </c>
      <c r="Z17" s="1" t="s">
        <v>108</v>
      </c>
      <c r="AA17" s="1">
        <v>100.0</v>
      </c>
      <c r="AB17" s="1" t="s">
        <v>62</v>
      </c>
      <c r="AC17" s="1" t="s">
        <v>71</v>
      </c>
      <c r="AF17" s="1" t="s">
        <v>51</v>
      </c>
      <c r="AG17" s="1" t="s">
        <v>72</v>
      </c>
      <c r="AI17" s="1">
        <v>0.0</v>
      </c>
      <c r="AJ17" s="1">
        <v>0.0</v>
      </c>
      <c r="AK17" s="1">
        <v>1.0</v>
      </c>
      <c r="AL17" s="1">
        <v>0.0</v>
      </c>
      <c r="AP17" s="1">
        <v>4.87601692E8</v>
      </c>
      <c r="AQ17" s="1" t="s">
        <v>109</v>
      </c>
      <c r="AR17" s="1">
        <v>45805.26286</v>
      </c>
      <c r="AU17" s="1" t="s">
        <v>64</v>
      </c>
      <c r="AW17" s="1" t="s">
        <v>84</v>
      </c>
      <c r="AY17" s="1">
        <v>11.0</v>
      </c>
    </row>
    <row r="18" hidden="1">
      <c r="A18" s="1" t="s">
        <v>51</v>
      </c>
      <c r="C18" s="1" t="s">
        <v>52</v>
      </c>
      <c r="E18" s="1" t="s">
        <v>53</v>
      </c>
      <c r="G18" s="1">
        <v>35.0</v>
      </c>
      <c r="H18" s="1" t="s">
        <v>66</v>
      </c>
      <c r="I18" s="1" t="s">
        <v>67</v>
      </c>
      <c r="J18" s="1" t="s">
        <v>68</v>
      </c>
      <c r="K18" s="1" t="s">
        <v>74</v>
      </c>
      <c r="M18" s="1" t="s">
        <v>58</v>
      </c>
      <c r="N18" s="1" t="s">
        <v>58</v>
      </c>
      <c r="O18" s="1" t="s">
        <v>58</v>
      </c>
      <c r="Q18" s="1" t="s">
        <v>58</v>
      </c>
      <c r="R18" s="1" t="s">
        <v>58</v>
      </c>
      <c r="S18" s="1" t="s">
        <v>69</v>
      </c>
      <c r="T18" s="1" t="s">
        <v>69</v>
      </c>
      <c r="U18" s="1" t="s">
        <v>58</v>
      </c>
      <c r="V18" s="1" t="s">
        <v>58</v>
      </c>
      <c r="W18" s="1" t="s">
        <v>69</v>
      </c>
      <c r="X18" s="1" t="s">
        <v>59</v>
      </c>
      <c r="Y18" s="1" t="s">
        <v>82</v>
      </c>
      <c r="Z18" s="1" t="s">
        <v>108</v>
      </c>
      <c r="AA18" s="1">
        <v>10.0</v>
      </c>
      <c r="AB18" s="1" t="s">
        <v>79</v>
      </c>
      <c r="AC18" s="1" t="s">
        <v>51</v>
      </c>
      <c r="AD18" s="1" t="s">
        <v>81</v>
      </c>
      <c r="AE18" s="1" t="s">
        <v>51</v>
      </c>
      <c r="AF18" s="1" t="s">
        <v>51</v>
      </c>
      <c r="AG18" s="1" t="s">
        <v>51</v>
      </c>
      <c r="AH18" s="1">
        <v>6000.0</v>
      </c>
      <c r="AI18" s="1">
        <v>0.0</v>
      </c>
      <c r="AJ18" s="1">
        <v>1.0</v>
      </c>
      <c r="AK18" s="1">
        <v>0.0</v>
      </c>
      <c r="AL18" s="1">
        <v>0.0</v>
      </c>
      <c r="AM18" s="1" t="s">
        <v>51</v>
      </c>
      <c r="AN18" s="1">
        <v>7.80638071E8</v>
      </c>
      <c r="AP18" s="1">
        <v>4.87603844E8</v>
      </c>
      <c r="AQ18" s="1" t="s">
        <v>110</v>
      </c>
      <c r="AR18" s="1">
        <v>45805.26619</v>
      </c>
      <c r="AU18" s="1" t="s">
        <v>64</v>
      </c>
      <c r="AW18" s="1" t="s">
        <v>84</v>
      </c>
      <c r="AY18" s="1">
        <v>12.0</v>
      </c>
    </row>
    <row r="19" hidden="1">
      <c r="A19" s="1" t="s">
        <v>51</v>
      </c>
      <c r="C19" s="1" t="s">
        <v>52</v>
      </c>
      <c r="E19" s="1" t="s">
        <v>53</v>
      </c>
      <c r="F19" s="1" t="s">
        <v>102</v>
      </c>
      <c r="G19" s="1">
        <v>43.0</v>
      </c>
      <c r="H19" s="1" t="s">
        <v>66</v>
      </c>
      <c r="I19" s="1" t="s">
        <v>67</v>
      </c>
      <c r="J19" s="1" t="s">
        <v>111</v>
      </c>
      <c r="K19" s="1" t="s">
        <v>87</v>
      </c>
      <c r="M19" s="1" t="s">
        <v>58</v>
      </c>
      <c r="N19" s="1" t="s">
        <v>58</v>
      </c>
      <c r="O19" s="1" t="s">
        <v>69</v>
      </c>
      <c r="Q19" s="1" t="s">
        <v>69</v>
      </c>
      <c r="R19" s="1" t="s">
        <v>58</v>
      </c>
      <c r="S19" s="1" t="s">
        <v>69</v>
      </c>
      <c r="T19" s="1" t="s">
        <v>69</v>
      </c>
      <c r="U19" s="1" t="s">
        <v>69</v>
      </c>
      <c r="V19" s="1" t="s">
        <v>58</v>
      </c>
      <c r="W19" s="1" t="s">
        <v>70</v>
      </c>
      <c r="X19" s="1" t="s">
        <v>59</v>
      </c>
      <c r="Y19" s="1" t="s">
        <v>95</v>
      </c>
      <c r="Z19" s="1" t="s">
        <v>61</v>
      </c>
      <c r="AA19" s="1">
        <v>10.0</v>
      </c>
      <c r="AB19" s="1" t="s">
        <v>79</v>
      </c>
      <c r="AC19" s="1" t="s">
        <v>51</v>
      </c>
      <c r="AD19" s="1" t="s">
        <v>81</v>
      </c>
      <c r="AE19" s="1" t="s">
        <v>51</v>
      </c>
      <c r="AF19" s="1" t="s">
        <v>51</v>
      </c>
      <c r="AG19" s="1" t="s">
        <v>51</v>
      </c>
      <c r="AH19" s="1">
        <v>100.0</v>
      </c>
      <c r="AI19" s="1">
        <v>0.0</v>
      </c>
      <c r="AJ19" s="1">
        <v>0.0</v>
      </c>
      <c r="AK19" s="1">
        <v>1.0</v>
      </c>
      <c r="AL19" s="1">
        <v>0.0</v>
      </c>
      <c r="AM19" s="1" t="s">
        <v>51</v>
      </c>
      <c r="AN19" s="1">
        <v>7.42878903E8</v>
      </c>
      <c r="AP19" s="1">
        <v>4.8760696E8</v>
      </c>
      <c r="AQ19" s="1" t="s">
        <v>112</v>
      </c>
      <c r="AR19" s="1">
        <v>45805.27038</v>
      </c>
      <c r="AU19" s="1" t="s">
        <v>64</v>
      </c>
      <c r="AW19" s="1" t="s">
        <v>84</v>
      </c>
      <c r="AY19" s="1">
        <v>13.0</v>
      </c>
    </row>
    <row r="20" hidden="1">
      <c r="A20" s="1" t="s">
        <v>51</v>
      </c>
      <c r="C20" s="1" t="s">
        <v>52</v>
      </c>
      <c r="E20" s="1" t="s">
        <v>52</v>
      </c>
      <c r="G20" s="1">
        <v>36.0</v>
      </c>
      <c r="H20" s="1" t="s">
        <v>55</v>
      </c>
      <c r="J20" s="1" t="s">
        <v>111</v>
      </c>
      <c r="K20" s="1" t="s">
        <v>87</v>
      </c>
      <c r="M20" s="1" t="s">
        <v>58</v>
      </c>
      <c r="N20" s="1" t="s">
        <v>58</v>
      </c>
      <c r="O20" s="1" t="s">
        <v>69</v>
      </c>
      <c r="Q20" s="1" t="s">
        <v>58</v>
      </c>
      <c r="R20" s="1" t="s">
        <v>58</v>
      </c>
      <c r="S20" s="1" t="s">
        <v>69</v>
      </c>
      <c r="T20" s="1" t="s">
        <v>58</v>
      </c>
      <c r="U20" s="1" t="s">
        <v>58</v>
      </c>
      <c r="V20" s="1" t="s">
        <v>58</v>
      </c>
      <c r="W20" s="1" t="s">
        <v>69</v>
      </c>
      <c r="X20" s="1" t="s">
        <v>88</v>
      </c>
      <c r="Y20" s="1" t="s">
        <v>95</v>
      </c>
      <c r="Z20" s="1" t="s">
        <v>89</v>
      </c>
      <c r="AA20" s="1">
        <v>50.0</v>
      </c>
      <c r="AB20" s="1" t="s">
        <v>79</v>
      </c>
      <c r="AC20" s="1" t="s">
        <v>71</v>
      </c>
      <c r="AF20" s="1" t="s">
        <v>51</v>
      </c>
      <c r="AG20" s="1" t="s">
        <v>51</v>
      </c>
      <c r="AH20" s="1">
        <v>50.0</v>
      </c>
      <c r="AI20" s="1">
        <v>0.0</v>
      </c>
      <c r="AJ20" s="1">
        <v>0.0</v>
      </c>
      <c r="AK20" s="1">
        <v>0.0</v>
      </c>
      <c r="AL20" s="1">
        <v>1.0</v>
      </c>
      <c r="AP20" s="1">
        <v>4.87608107E8</v>
      </c>
      <c r="AQ20" s="1" t="s">
        <v>113</v>
      </c>
      <c r="AR20" s="1">
        <v>45805.27188</v>
      </c>
      <c r="AU20" s="1" t="s">
        <v>64</v>
      </c>
      <c r="AW20" s="1" t="s">
        <v>84</v>
      </c>
      <c r="AY20" s="1">
        <v>14.0</v>
      </c>
    </row>
    <row r="21" hidden="1">
      <c r="A21" s="1" t="s">
        <v>51</v>
      </c>
      <c r="C21" s="1" t="s">
        <v>52</v>
      </c>
      <c r="E21" s="1" t="s">
        <v>52</v>
      </c>
      <c r="G21" s="1">
        <v>30.0</v>
      </c>
      <c r="H21" s="1" t="s">
        <v>55</v>
      </c>
      <c r="J21" s="1" t="s">
        <v>86</v>
      </c>
      <c r="K21" s="1" t="s">
        <v>87</v>
      </c>
      <c r="M21" s="1" t="s">
        <v>58</v>
      </c>
      <c r="N21" s="1" t="s">
        <v>58</v>
      </c>
      <c r="O21" s="1" t="s">
        <v>70</v>
      </c>
      <c r="Q21" s="1" t="s">
        <v>58</v>
      </c>
      <c r="R21" s="1" t="s">
        <v>70</v>
      </c>
      <c r="S21" s="1" t="s">
        <v>69</v>
      </c>
      <c r="T21" s="1" t="s">
        <v>69</v>
      </c>
      <c r="U21" s="1" t="s">
        <v>58</v>
      </c>
      <c r="V21" s="1" t="s">
        <v>58</v>
      </c>
      <c r="W21" s="1" t="s">
        <v>69</v>
      </c>
      <c r="X21" s="1" t="s">
        <v>81</v>
      </c>
      <c r="Y21" s="1" t="s">
        <v>95</v>
      </c>
      <c r="Z21" s="1" t="s">
        <v>89</v>
      </c>
      <c r="AA21" s="1">
        <v>40.0</v>
      </c>
      <c r="AB21" s="1" t="s">
        <v>62</v>
      </c>
      <c r="AC21" s="1" t="s">
        <v>51</v>
      </c>
      <c r="AD21" s="1" t="s">
        <v>81</v>
      </c>
      <c r="AE21" s="1" t="s">
        <v>51</v>
      </c>
      <c r="AF21" s="1" t="s">
        <v>51</v>
      </c>
      <c r="AG21" s="1" t="s">
        <v>51</v>
      </c>
      <c r="AH21" s="1">
        <v>20.0</v>
      </c>
      <c r="AI21" s="1">
        <v>1.0</v>
      </c>
      <c r="AJ21" s="1">
        <v>1.0</v>
      </c>
      <c r="AK21" s="1">
        <v>1.0</v>
      </c>
      <c r="AL21" s="1">
        <v>0.0</v>
      </c>
      <c r="AP21" s="1">
        <v>4.87609783E8</v>
      </c>
      <c r="AQ21" s="1" t="s">
        <v>114</v>
      </c>
      <c r="AR21" s="1">
        <v>45805.27391</v>
      </c>
      <c r="AU21" s="1" t="s">
        <v>64</v>
      </c>
      <c r="AW21" s="1" t="s">
        <v>84</v>
      </c>
      <c r="AY21" s="1">
        <v>15.0</v>
      </c>
    </row>
    <row r="22" hidden="1">
      <c r="A22" s="1" t="s">
        <v>51</v>
      </c>
      <c r="C22" s="1" t="s">
        <v>52</v>
      </c>
      <c r="E22" s="1" t="s">
        <v>53</v>
      </c>
      <c r="F22" s="1" t="s">
        <v>115</v>
      </c>
      <c r="G22" s="1">
        <v>44.0</v>
      </c>
      <c r="H22" s="1" t="s">
        <v>55</v>
      </c>
      <c r="I22" s="1" t="s">
        <v>67</v>
      </c>
      <c r="J22" s="1" t="s">
        <v>86</v>
      </c>
      <c r="K22" s="1" t="s">
        <v>87</v>
      </c>
      <c r="M22" s="1" t="s">
        <v>58</v>
      </c>
      <c r="N22" s="1" t="s">
        <v>58</v>
      </c>
      <c r="O22" s="1" t="s">
        <v>69</v>
      </c>
      <c r="Q22" s="1" t="s">
        <v>69</v>
      </c>
      <c r="R22" s="1" t="s">
        <v>70</v>
      </c>
      <c r="S22" s="1" t="s">
        <v>69</v>
      </c>
      <c r="T22" s="1" t="s">
        <v>69</v>
      </c>
      <c r="U22" s="1" t="s">
        <v>70</v>
      </c>
      <c r="V22" s="1" t="s">
        <v>58</v>
      </c>
      <c r="W22" s="1" t="s">
        <v>70</v>
      </c>
      <c r="X22" s="1" t="s">
        <v>88</v>
      </c>
      <c r="Y22" s="1" t="s">
        <v>82</v>
      </c>
      <c r="Z22" s="1" t="s">
        <v>89</v>
      </c>
      <c r="AA22" s="1">
        <v>50.0</v>
      </c>
      <c r="AB22" s="1" t="s">
        <v>62</v>
      </c>
      <c r="AC22" s="1" t="s">
        <v>71</v>
      </c>
      <c r="AF22" s="1" t="s">
        <v>51</v>
      </c>
      <c r="AG22" s="1" t="s">
        <v>51</v>
      </c>
      <c r="AH22" s="1">
        <v>50.0</v>
      </c>
      <c r="AI22" s="1">
        <v>0.0</v>
      </c>
      <c r="AJ22" s="1">
        <v>0.0</v>
      </c>
      <c r="AK22" s="1">
        <v>0.0</v>
      </c>
      <c r="AL22" s="1">
        <v>1.0</v>
      </c>
      <c r="AM22" s="1" t="s">
        <v>51</v>
      </c>
      <c r="AN22" s="1">
        <v>8.35757654E8</v>
      </c>
      <c r="AP22" s="1">
        <v>4.87612881E8</v>
      </c>
      <c r="AQ22" s="1" t="s">
        <v>116</v>
      </c>
      <c r="AR22" s="1">
        <v>45805.27794</v>
      </c>
      <c r="AU22" s="1" t="s">
        <v>64</v>
      </c>
      <c r="AW22" s="1" t="s">
        <v>84</v>
      </c>
      <c r="AY22" s="1">
        <v>16.0</v>
      </c>
    </row>
    <row r="23" hidden="1">
      <c r="A23" s="1" t="s">
        <v>51</v>
      </c>
      <c r="Q23" s="1" t="s">
        <v>69</v>
      </c>
      <c r="R23" s="1" t="s">
        <v>70</v>
      </c>
      <c r="S23" s="1" t="s">
        <v>70</v>
      </c>
      <c r="T23" s="1" t="s">
        <v>58</v>
      </c>
      <c r="U23" s="1" t="s">
        <v>58</v>
      </c>
      <c r="V23" s="1" t="s">
        <v>58</v>
      </c>
      <c r="W23" s="1" t="s">
        <v>70</v>
      </c>
      <c r="X23" s="1" t="s">
        <v>88</v>
      </c>
      <c r="Y23" s="1" t="s">
        <v>95</v>
      </c>
      <c r="Z23" s="1" t="s">
        <v>89</v>
      </c>
      <c r="AA23" s="1">
        <v>100.0</v>
      </c>
      <c r="AB23" s="1" t="s">
        <v>79</v>
      </c>
      <c r="AC23" s="1" t="s">
        <v>71</v>
      </c>
      <c r="AF23" s="1" t="s">
        <v>51</v>
      </c>
      <c r="AG23" s="1" t="s">
        <v>72</v>
      </c>
      <c r="AI23" s="1">
        <v>0.0</v>
      </c>
      <c r="AJ23" s="1">
        <v>0.0</v>
      </c>
      <c r="AK23" s="1">
        <v>1.0</v>
      </c>
      <c r="AL23" s="1">
        <v>0.0</v>
      </c>
      <c r="AP23" s="1">
        <v>4.87617465E8</v>
      </c>
      <c r="AQ23" s="1" t="s">
        <v>117</v>
      </c>
      <c r="AR23" s="1">
        <v>45805.2839</v>
      </c>
      <c r="AU23" s="1" t="s">
        <v>64</v>
      </c>
      <c r="AW23" s="1" t="s">
        <v>84</v>
      </c>
      <c r="AY23" s="1">
        <v>17.0</v>
      </c>
    </row>
    <row r="24" hidden="1">
      <c r="A24" s="1" t="s">
        <v>51</v>
      </c>
      <c r="C24" s="1" t="s">
        <v>118</v>
      </c>
      <c r="E24" s="1" t="s">
        <v>105</v>
      </c>
      <c r="G24" s="1">
        <v>38.0</v>
      </c>
      <c r="H24" s="1" t="s">
        <v>66</v>
      </c>
      <c r="J24" s="1" t="s">
        <v>86</v>
      </c>
      <c r="K24" s="1" t="s">
        <v>92</v>
      </c>
      <c r="M24" s="1" t="s">
        <v>58</v>
      </c>
      <c r="N24" s="1" t="s">
        <v>58</v>
      </c>
      <c r="O24" s="1" t="s">
        <v>69</v>
      </c>
      <c r="Q24" s="1" t="s">
        <v>69</v>
      </c>
      <c r="R24" s="1" t="s">
        <v>58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81</v>
      </c>
      <c r="Y24" s="1" t="s">
        <v>95</v>
      </c>
      <c r="Z24" s="1" t="s">
        <v>89</v>
      </c>
      <c r="AA24" s="1">
        <v>10.0</v>
      </c>
      <c r="AB24" s="1" t="s">
        <v>28</v>
      </c>
      <c r="AC24" s="1" t="s">
        <v>51</v>
      </c>
      <c r="AD24" s="1" t="s">
        <v>81</v>
      </c>
      <c r="AE24" s="1" t="s">
        <v>51</v>
      </c>
      <c r="AF24" s="1" t="s">
        <v>51</v>
      </c>
      <c r="AG24" s="1" t="s">
        <v>51</v>
      </c>
      <c r="AH24" s="1">
        <v>300.0</v>
      </c>
      <c r="AI24" s="1">
        <v>0.0</v>
      </c>
      <c r="AJ24" s="1">
        <v>0.0</v>
      </c>
      <c r="AK24" s="1">
        <v>0.0</v>
      </c>
      <c r="AL24" s="1">
        <v>1.0</v>
      </c>
      <c r="AP24" s="1">
        <v>4.87617819E8</v>
      </c>
      <c r="AQ24" s="1" t="s">
        <v>119</v>
      </c>
      <c r="AR24" s="1">
        <v>45805.28432</v>
      </c>
      <c r="AU24" s="1" t="s">
        <v>64</v>
      </c>
      <c r="AW24" s="1" t="s">
        <v>84</v>
      </c>
      <c r="AY24" s="1">
        <v>18.0</v>
      </c>
    </row>
    <row r="25" hidden="1">
      <c r="A25" s="1" t="s">
        <v>51</v>
      </c>
      <c r="C25" s="1" t="s">
        <v>52</v>
      </c>
      <c r="E25" s="1" t="s">
        <v>52</v>
      </c>
      <c r="G25" s="1">
        <v>48.0</v>
      </c>
      <c r="H25" s="1" t="s">
        <v>66</v>
      </c>
      <c r="J25" s="1" t="s">
        <v>86</v>
      </c>
      <c r="K25" s="1" t="s">
        <v>87</v>
      </c>
      <c r="M25" s="1" t="s">
        <v>58</v>
      </c>
      <c r="N25" s="1" t="s">
        <v>58</v>
      </c>
      <c r="O25" s="1" t="s">
        <v>70</v>
      </c>
      <c r="Q25" s="1" t="s">
        <v>69</v>
      </c>
      <c r="R25" s="1" t="s">
        <v>58</v>
      </c>
      <c r="S25" s="1" t="s">
        <v>69</v>
      </c>
      <c r="T25" s="1" t="s">
        <v>69</v>
      </c>
      <c r="U25" s="1" t="s">
        <v>69</v>
      </c>
      <c r="V25" s="1" t="s">
        <v>58</v>
      </c>
      <c r="W25" s="1" t="s">
        <v>69</v>
      </c>
      <c r="X25" s="1" t="s">
        <v>59</v>
      </c>
      <c r="Y25" s="1" t="s">
        <v>95</v>
      </c>
      <c r="Z25" s="1" t="s">
        <v>89</v>
      </c>
      <c r="AA25" s="1">
        <v>40.0</v>
      </c>
      <c r="AB25" s="1" t="s">
        <v>62</v>
      </c>
      <c r="AC25" s="1" t="s">
        <v>71</v>
      </c>
      <c r="AF25" s="1" t="s">
        <v>51</v>
      </c>
      <c r="AG25" s="1" t="s">
        <v>72</v>
      </c>
      <c r="AI25" s="1">
        <v>1.0</v>
      </c>
      <c r="AJ25" s="1">
        <v>0.0</v>
      </c>
      <c r="AK25" s="1">
        <v>1.0</v>
      </c>
      <c r="AL25" s="1">
        <v>0.0</v>
      </c>
      <c r="AP25" s="1">
        <v>4.87617916E8</v>
      </c>
      <c r="AQ25" s="1" t="s">
        <v>120</v>
      </c>
      <c r="AR25" s="1">
        <v>45805.28444</v>
      </c>
      <c r="AU25" s="1" t="s">
        <v>64</v>
      </c>
      <c r="AW25" s="1" t="s">
        <v>84</v>
      </c>
      <c r="AY25" s="1">
        <v>19.0</v>
      </c>
    </row>
    <row r="26" hidden="1">
      <c r="A26" s="1" t="s">
        <v>51</v>
      </c>
      <c r="C26" s="1" t="s">
        <v>53</v>
      </c>
      <c r="E26" s="1" t="s">
        <v>53</v>
      </c>
      <c r="F26" s="1" t="s">
        <v>102</v>
      </c>
      <c r="G26" s="1">
        <v>57.0</v>
      </c>
      <c r="H26" s="1" t="s">
        <v>66</v>
      </c>
      <c r="I26" s="1" t="s">
        <v>121</v>
      </c>
      <c r="J26" s="1" t="s">
        <v>111</v>
      </c>
      <c r="K26" s="1" t="s">
        <v>87</v>
      </c>
      <c r="M26" s="1" t="s">
        <v>58</v>
      </c>
      <c r="N26" s="1" t="s">
        <v>58</v>
      </c>
      <c r="O26" s="1" t="s">
        <v>58</v>
      </c>
      <c r="Q26" s="1" t="s">
        <v>69</v>
      </c>
      <c r="R26" s="1" t="s">
        <v>58</v>
      </c>
      <c r="S26" s="1" t="s">
        <v>70</v>
      </c>
      <c r="T26" s="1" t="s">
        <v>58</v>
      </c>
      <c r="U26" s="1" t="s">
        <v>58</v>
      </c>
      <c r="V26" s="1" t="s">
        <v>58</v>
      </c>
      <c r="W26" s="1" t="s">
        <v>69</v>
      </c>
      <c r="X26" s="1" t="s">
        <v>88</v>
      </c>
      <c r="Y26" s="1" t="s">
        <v>95</v>
      </c>
      <c r="Z26" s="1" t="s">
        <v>89</v>
      </c>
      <c r="AA26" s="1">
        <v>100.0</v>
      </c>
      <c r="AB26" s="1" t="s">
        <v>79</v>
      </c>
      <c r="AC26" s="1" t="s">
        <v>71</v>
      </c>
      <c r="AF26" s="1" t="s">
        <v>51</v>
      </c>
      <c r="AG26" s="1" t="s">
        <v>72</v>
      </c>
      <c r="AI26" s="1">
        <v>0.0</v>
      </c>
      <c r="AJ26" s="1">
        <v>0.0</v>
      </c>
      <c r="AK26" s="1">
        <v>1.0</v>
      </c>
      <c r="AL26" s="1">
        <v>0.0</v>
      </c>
      <c r="AM26" s="1" t="s">
        <v>72</v>
      </c>
      <c r="AP26" s="1">
        <v>4.87618968E8</v>
      </c>
      <c r="AQ26" s="1" t="s">
        <v>122</v>
      </c>
      <c r="AR26" s="1">
        <v>45805.28564</v>
      </c>
      <c r="AU26" s="1" t="s">
        <v>64</v>
      </c>
      <c r="AW26" s="1" t="s">
        <v>84</v>
      </c>
      <c r="AY26" s="1">
        <v>20.0</v>
      </c>
    </row>
    <row r="27" hidden="1">
      <c r="A27" s="1" t="s">
        <v>51</v>
      </c>
      <c r="C27" s="1" t="s">
        <v>52</v>
      </c>
      <c r="E27" s="1" t="s">
        <v>53</v>
      </c>
      <c r="F27" s="1" t="s">
        <v>54</v>
      </c>
      <c r="G27" s="1">
        <v>50.0</v>
      </c>
      <c r="H27" s="1" t="s">
        <v>55</v>
      </c>
      <c r="I27" s="1" t="s">
        <v>100</v>
      </c>
      <c r="J27" s="1" t="s">
        <v>111</v>
      </c>
      <c r="K27" s="1" t="s">
        <v>87</v>
      </c>
      <c r="M27" s="1" t="s">
        <v>58</v>
      </c>
      <c r="N27" s="1" t="s">
        <v>58</v>
      </c>
      <c r="O27" s="1" t="s">
        <v>69</v>
      </c>
      <c r="Q27" s="1" t="s">
        <v>70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69</v>
      </c>
      <c r="X27" s="1" t="s">
        <v>59</v>
      </c>
      <c r="Y27" s="1" t="s">
        <v>95</v>
      </c>
      <c r="Z27" s="1" t="s">
        <v>89</v>
      </c>
      <c r="AA27" s="1">
        <v>100.0</v>
      </c>
      <c r="AB27" s="1" t="s">
        <v>79</v>
      </c>
      <c r="AC27" s="1" t="s">
        <v>51</v>
      </c>
      <c r="AD27" s="1" t="s">
        <v>59</v>
      </c>
      <c r="AE27" s="1" t="s">
        <v>51</v>
      </c>
      <c r="AF27" s="1" t="s">
        <v>51</v>
      </c>
      <c r="AG27" s="1" t="s">
        <v>51</v>
      </c>
      <c r="AH27" s="1">
        <v>200.0</v>
      </c>
      <c r="AI27" s="1">
        <v>0.0</v>
      </c>
      <c r="AJ27" s="1">
        <v>0.0</v>
      </c>
      <c r="AK27" s="1">
        <v>0.0</v>
      </c>
      <c r="AL27" s="1">
        <v>1.0</v>
      </c>
      <c r="AM27" s="1" t="s">
        <v>51</v>
      </c>
      <c r="AN27" s="1">
        <v>7.10864009E8</v>
      </c>
      <c r="AP27" s="1">
        <v>4.87620011E8</v>
      </c>
      <c r="AQ27" s="1" t="s">
        <v>123</v>
      </c>
      <c r="AR27" s="1">
        <v>45805.28686</v>
      </c>
      <c r="AU27" s="1" t="s">
        <v>64</v>
      </c>
      <c r="AW27" s="1" t="s">
        <v>84</v>
      </c>
      <c r="AY27" s="1">
        <v>21.0</v>
      </c>
    </row>
    <row r="28" hidden="1">
      <c r="A28" s="1" t="s">
        <v>51</v>
      </c>
      <c r="C28" s="1" t="s">
        <v>52</v>
      </c>
      <c r="E28" s="1" t="s">
        <v>53</v>
      </c>
      <c r="F28" s="1" t="s">
        <v>102</v>
      </c>
      <c r="G28" s="1">
        <v>42.0</v>
      </c>
      <c r="H28" s="1" t="s">
        <v>66</v>
      </c>
      <c r="I28" s="1" t="s">
        <v>67</v>
      </c>
      <c r="J28" s="1" t="s">
        <v>86</v>
      </c>
      <c r="K28" s="1" t="s">
        <v>87</v>
      </c>
      <c r="M28" s="1" t="s">
        <v>58</v>
      </c>
      <c r="N28" s="1" t="s">
        <v>58</v>
      </c>
      <c r="O28" s="1" t="s">
        <v>58</v>
      </c>
      <c r="Q28" s="1" t="s">
        <v>69</v>
      </c>
      <c r="R28" s="1" t="s">
        <v>58</v>
      </c>
      <c r="S28" s="1" t="s">
        <v>69</v>
      </c>
      <c r="T28" s="1" t="s">
        <v>58</v>
      </c>
      <c r="U28" s="1" t="s">
        <v>69</v>
      </c>
      <c r="V28" s="1" t="s">
        <v>58</v>
      </c>
      <c r="W28" s="1" t="s">
        <v>58</v>
      </c>
      <c r="X28" s="1" t="s">
        <v>88</v>
      </c>
      <c r="Y28" s="1" t="s">
        <v>95</v>
      </c>
      <c r="Z28" s="1" t="s">
        <v>89</v>
      </c>
      <c r="AA28" s="1">
        <v>40.0</v>
      </c>
      <c r="AB28" s="1" t="s">
        <v>62</v>
      </c>
      <c r="AC28" s="1" t="s">
        <v>71</v>
      </c>
      <c r="AF28" s="1" t="s">
        <v>51</v>
      </c>
      <c r="AG28" s="1" t="s">
        <v>51</v>
      </c>
      <c r="AH28" s="1">
        <v>20.0</v>
      </c>
      <c r="AI28" s="1">
        <v>0.0</v>
      </c>
      <c r="AJ28" s="1">
        <v>0.0</v>
      </c>
      <c r="AK28" s="1">
        <v>0.0</v>
      </c>
      <c r="AL28" s="1">
        <v>1.0</v>
      </c>
      <c r="AM28" s="1" t="s">
        <v>51</v>
      </c>
      <c r="AN28" s="1">
        <v>7.11170838E8</v>
      </c>
      <c r="AP28" s="1">
        <v>4.87629939E8</v>
      </c>
      <c r="AQ28" s="1" t="s">
        <v>124</v>
      </c>
      <c r="AR28" s="1">
        <v>45805.29897</v>
      </c>
      <c r="AU28" s="1" t="s">
        <v>64</v>
      </c>
      <c r="AW28" s="1" t="s">
        <v>84</v>
      </c>
      <c r="AY28" s="1">
        <v>22.0</v>
      </c>
    </row>
    <row r="29" hidden="1">
      <c r="A29" s="1" t="s">
        <v>51</v>
      </c>
      <c r="C29" s="1" t="s">
        <v>52</v>
      </c>
      <c r="E29" s="1" t="s">
        <v>53</v>
      </c>
      <c r="F29" s="1" t="s">
        <v>102</v>
      </c>
      <c r="G29" s="1">
        <v>45.0</v>
      </c>
      <c r="H29" s="1" t="s">
        <v>55</v>
      </c>
      <c r="I29" s="1" t="s">
        <v>67</v>
      </c>
      <c r="J29" s="1" t="s">
        <v>86</v>
      </c>
      <c r="K29" s="1" t="s">
        <v>87</v>
      </c>
      <c r="M29" s="1" t="s">
        <v>58</v>
      </c>
      <c r="N29" s="1" t="s">
        <v>58</v>
      </c>
      <c r="O29" s="1" t="s">
        <v>69</v>
      </c>
      <c r="Q29" s="1" t="s">
        <v>69</v>
      </c>
      <c r="R29" s="1" t="s">
        <v>58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88</v>
      </c>
      <c r="Y29" s="1" t="s">
        <v>95</v>
      </c>
      <c r="Z29" s="1" t="s">
        <v>89</v>
      </c>
      <c r="AA29" s="1">
        <v>100.0</v>
      </c>
      <c r="AB29" s="1" t="s">
        <v>62</v>
      </c>
      <c r="AC29" s="1" t="s">
        <v>71</v>
      </c>
      <c r="AF29" s="1" t="s">
        <v>51</v>
      </c>
      <c r="AG29" s="1" t="s">
        <v>72</v>
      </c>
      <c r="AI29" s="1">
        <v>1.0</v>
      </c>
      <c r="AJ29" s="1">
        <v>1.0</v>
      </c>
      <c r="AK29" s="1">
        <v>1.0</v>
      </c>
      <c r="AL29" s="1">
        <v>0.0</v>
      </c>
      <c r="AM29" s="1" t="s">
        <v>72</v>
      </c>
      <c r="AP29" s="1">
        <v>4.87630267E8</v>
      </c>
      <c r="AQ29" s="1" t="s">
        <v>125</v>
      </c>
      <c r="AR29" s="1">
        <v>45805.29935</v>
      </c>
      <c r="AU29" s="1" t="s">
        <v>64</v>
      </c>
      <c r="AW29" s="1" t="s">
        <v>84</v>
      </c>
      <c r="AY29" s="1">
        <v>23.0</v>
      </c>
    </row>
    <row r="30" hidden="1">
      <c r="A30" s="1" t="s">
        <v>51</v>
      </c>
      <c r="C30" s="1" t="s">
        <v>118</v>
      </c>
      <c r="E30" s="1" t="s">
        <v>53</v>
      </c>
      <c r="F30" s="1" t="s">
        <v>102</v>
      </c>
      <c r="G30" s="1">
        <v>44.0</v>
      </c>
      <c r="H30" s="1" t="s">
        <v>55</v>
      </c>
      <c r="I30" s="1" t="s">
        <v>67</v>
      </c>
      <c r="J30" s="1" t="s">
        <v>86</v>
      </c>
      <c r="K30" s="1" t="s">
        <v>87</v>
      </c>
      <c r="M30" s="1" t="s">
        <v>58</v>
      </c>
      <c r="N30" s="1" t="s">
        <v>58</v>
      </c>
      <c r="O30" s="1" t="s">
        <v>58</v>
      </c>
      <c r="Q30" s="1" t="s">
        <v>69</v>
      </c>
      <c r="R30" s="1" t="s">
        <v>58</v>
      </c>
      <c r="S30" s="1" t="s">
        <v>69</v>
      </c>
      <c r="T30" s="1" t="s">
        <v>58</v>
      </c>
      <c r="U30" s="1" t="s">
        <v>58</v>
      </c>
      <c r="V30" s="1" t="s">
        <v>58</v>
      </c>
      <c r="W30" s="1" t="s">
        <v>69</v>
      </c>
      <c r="X30" s="1" t="s">
        <v>103</v>
      </c>
      <c r="Y30" s="1" t="s">
        <v>95</v>
      </c>
      <c r="Z30" s="1" t="s">
        <v>89</v>
      </c>
      <c r="AA30" s="1">
        <v>100.0</v>
      </c>
      <c r="AB30" s="1" t="s">
        <v>62</v>
      </c>
      <c r="AC30" s="1" t="s">
        <v>71</v>
      </c>
      <c r="AF30" s="1" t="s">
        <v>51</v>
      </c>
      <c r="AG30" s="1" t="s">
        <v>72</v>
      </c>
      <c r="AI30" s="1">
        <v>0.0</v>
      </c>
      <c r="AJ30" s="1">
        <v>0.0</v>
      </c>
      <c r="AK30" s="1">
        <v>1.0</v>
      </c>
      <c r="AL30" s="1">
        <v>0.0</v>
      </c>
      <c r="AM30" s="1" t="s">
        <v>72</v>
      </c>
      <c r="AP30" s="1">
        <v>4.87631676E8</v>
      </c>
      <c r="AQ30" s="1" t="s">
        <v>126</v>
      </c>
      <c r="AR30" s="1">
        <v>45805.30094</v>
      </c>
      <c r="AU30" s="1" t="s">
        <v>64</v>
      </c>
      <c r="AW30" s="1" t="s">
        <v>84</v>
      </c>
      <c r="AY30" s="1">
        <v>24.0</v>
      </c>
    </row>
    <row r="31" hidden="1">
      <c r="A31" s="1" t="s">
        <v>51</v>
      </c>
      <c r="C31" s="1" t="s">
        <v>52</v>
      </c>
      <c r="E31" s="1" t="s">
        <v>107</v>
      </c>
      <c r="G31" s="1">
        <v>40.0</v>
      </c>
      <c r="H31" s="1" t="s">
        <v>66</v>
      </c>
      <c r="J31" s="1" t="s">
        <v>86</v>
      </c>
      <c r="K31" s="1" t="s">
        <v>87</v>
      </c>
      <c r="M31" s="1" t="s">
        <v>58</v>
      </c>
      <c r="N31" s="1" t="s">
        <v>58</v>
      </c>
      <c r="O31" s="1" t="s">
        <v>58</v>
      </c>
      <c r="Q31" s="1" t="s">
        <v>70</v>
      </c>
      <c r="R31" s="1" t="s">
        <v>58</v>
      </c>
      <c r="S31" s="1" t="s">
        <v>69</v>
      </c>
      <c r="T31" s="1" t="s">
        <v>69</v>
      </c>
      <c r="U31" s="1" t="s">
        <v>58</v>
      </c>
      <c r="V31" s="1" t="s">
        <v>58</v>
      </c>
      <c r="W31" s="1" t="s">
        <v>69</v>
      </c>
      <c r="X31" s="1" t="s">
        <v>59</v>
      </c>
      <c r="Y31" s="1" t="s">
        <v>60</v>
      </c>
      <c r="Z31" s="1" t="s">
        <v>127</v>
      </c>
      <c r="AA31" s="1">
        <v>40.0</v>
      </c>
      <c r="AB31" s="1" t="s">
        <v>62</v>
      </c>
      <c r="AC31" s="1" t="s">
        <v>71</v>
      </c>
      <c r="AF31" s="1" t="s">
        <v>51</v>
      </c>
      <c r="AG31" s="1" t="s">
        <v>72</v>
      </c>
      <c r="AI31" s="1">
        <v>0.0</v>
      </c>
      <c r="AJ31" s="1">
        <v>0.0</v>
      </c>
      <c r="AK31" s="1">
        <v>0.0</v>
      </c>
      <c r="AL31" s="1">
        <v>1.0</v>
      </c>
      <c r="AP31" s="1">
        <v>4.87633386E8</v>
      </c>
      <c r="AQ31" s="1" t="s">
        <v>128</v>
      </c>
      <c r="AR31" s="1">
        <v>45805.30301</v>
      </c>
      <c r="AU31" s="1" t="s">
        <v>64</v>
      </c>
      <c r="AW31" s="1" t="s">
        <v>84</v>
      </c>
      <c r="AY31" s="1">
        <v>25.0</v>
      </c>
    </row>
    <row r="32" hidden="1">
      <c r="A32" s="1" t="s">
        <v>51</v>
      </c>
      <c r="C32" s="1" t="s">
        <v>53</v>
      </c>
      <c r="E32" s="1" t="s">
        <v>53</v>
      </c>
      <c r="F32" s="1" t="s">
        <v>94</v>
      </c>
      <c r="G32" s="1">
        <v>48.0</v>
      </c>
      <c r="H32" s="1" t="s">
        <v>55</v>
      </c>
      <c r="I32" s="1" t="s">
        <v>121</v>
      </c>
      <c r="J32" s="1" t="s">
        <v>86</v>
      </c>
      <c r="K32" s="1" t="s">
        <v>87</v>
      </c>
      <c r="M32" s="1" t="s">
        <v>58</v>
      </c>
      <c r="N32" s="1" t="s">
        <v>58</v>
      </c>
      <c r="O32" s="1" t="s">
        <v>58</v>
      </c>
      <c r="Q32" s="1" t="s">
        <v>69</v>
      </c>
      <c r="R32" s="1" t="s">
        <v>58</v>
      </c>
      <c r="S32" s="1" t="s">
        <v>69</v>
      </c>
      <c r="T32" s="1" t="s">
        <v>58</v>
      </c>
      <c r="U32" s="1" t="s">
        <v>58</v>
      </c>
      <c r="V32" s="1" t="s">
        <v>58</v>
      </c>
      <c r="W32" s="1" t="s">
        <v>69</v>
      </c>
      <c r="X32" s="1" t="s">
        <v>103</v>
      </c>
      <c r="Y32" s="1" t="s">
        <v>60</v>
      </c>
      <c r="Z32" s="1" t="s">
        <v>61</v>
      </c>
      <c r="AA32" s="1">
        <v>100.0</v>
      </c>
      <c r="AB32" s="1" t="s">
        <v>79</v>
      </c>
      <c r="AC32" s="1" t="s">
        <v>71</v>
      </c>
      <c r="AF32" s="1" t="s">
        <v>51</v>
      </c>
      <c r="AG32" s="1" t="s">
        <v>51</v>
      </c>
      <c r="AH32" s="1">
        <v>500.0</v>
      </c>
      <c r="AI32" s="1">
        <v>0.0</v>
      </c>
      <c r="AJ32" s="1">
        <v>0.0</v>
      </c>
      <c r="AK32" s="1">
        <v>0.0</v>
      </c>
      <c r="AL32" s="1">
        <v>1.0</v>
      </c>
      <c r="AM32" s="1" t="s">
        <v>51</v>
      </c>
      <c r="AN32" s="1">
        <v>7.11468867E8</v>
      </c>
      <c r="AP32" s="1">
        <v>4.87636484E8</v>
      </c>
      <c r="AQ32" s="1" t="s">
        <v>129</v>
      </c>
      <c r="AR32" s="1">
        <v>45805.30628</v>
      </c>
      <c r="AU32" s="1" t="s">
        <v>64</v>
      </c>
      <c r="AW32" s="1" t="s">
        <v>84</v>
      </c>
      <c r="AY32" s="1">
        <v>26.0</v>
      </c>
    </row>
    <row r="33" hidden="1">
      <c r="A33" s="1" t="s">
        <v>51</v>
      </c>
      <c r="C33" s="1" t="s">
        <v>52</v>
      </c>
      <c r="E33" s="1" t="s">
        <v>107</v>
      </c>
      <c r="G33" s="1">
        <v>44.0</v>
      </c>
      <c r="H33" s="1" t="s">
        <v>55</v>
      </c>
      <c r="J33" s="1" t="s">
        <v>86</v>
      </c>
      <c r="K33" s="1" t="s">
        <v>87</v>
      </c>
      <c r="M33" s="1" t="s">
        <v>58</v>
      </c>
      <c r="N33" s="1" t="s">
        <v>58</v>
      </c>
      <c r="O33" s="1" t="s">
        <v>69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103</v>
      </c>
      <c r="Y33" s="1" t="s">
        <v>95</v>
      </c>
      <c r="Z33" s="1" t="s">
        <v>89</v>
      </c>
      <c r="AA33" s="1">
        <v>100.0</v>
      </c>
      <c r="AB33" s="1" t="s">
        <v>28</v>
      </c>
      <c r="AC33" s="1" t="s">
        <v>51</v>
      </c>
      <c r="AD33" s="1" t="s">
        <v>103</v>
      </c>
      <c r="AE33" s="1" t="s">
        <v>51</v>
      </c>
      <c r="AF33" s="1" t="s">
        <v>51</v>
      </c>
      <c r="AG33" s="1" t="s">
        <v>51</v>
      </c>
      <c r="AH33" s="1">
        <v>50.0</v>
      </c>
      <c r="AI33" s="1">
        <v>1.0</v>
      </c>
      <c r="AJ33" s="1">
        <v>0.0</v>
      </c>
      <c r="AK33" s="1">
        <v>1.0</v>
      </c>
      <c r="AL33" s="1">
        <v>0.0</v>
      </c>
      <c r="AP33" s="1">
        <v>4.87637677E8</v>
      </c>
      <c r="AQ33" s="1" t="s">
        <v>130</v>
      </c>
      <c r="AR33" s="1">
        <v>45805.30784</v>
      </c>
      <c r="AU33" s="1" t="s">
        <v>64</v>
      </c>
      <c r="AW33" s="1" t="s">
        <v>84</v>
      </c>
      <c r="AY33" s="1">
        <v>27.0</v>
      </c>
    </row>
    <row r="34" hidden="1">
      <c r="A34" s="1" t="s">
        <v>51</v>
      </c>
      <c r="C34" s="1" t="s">
        <v>131</v>
      </c>
      <c r="E34" s="1" t="s">
        <v>131</v>
      </c>
      <c r="G34" s="1">
        <v>42.0</v>
      </c>
      <c r="H34" s="1" t="s">
        <v>66</v>
      </c>
      <c r="J34" s="1" t="s">
        <v>56</v>
      </c>
      <c r="K34" s="1" t="s">
        <v>87</v>
      </c>
      <c r="M34" s="1" t="s">
        <v>58</v>
      </c>
      <c r="N34" s="1" t="s">
        <v>58</v>
      </c>
      <c r="O34" s="1" t="s">
        <v>69</v>
      </c>
      <c r="Q34" s="1" t="s">
        <v>69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69</v>
      </c>
      <c r="X34" s="1" t="s">
        <v>59</v>
      </c>
      <c r="Y34" s="1" t="s">
        <v>95</v>
      </c>
      <c r="Z34" s="1" t="s">
        <v>96</v>
      </c>
      <c r="AA34" s="1">
        <v>30.0</v>
      </c>
      <c r="AB34" s="1" t="s">
        <v>79</v>
      </c>
      <c r="AC34" s="1" t="s">
        <v>71</v>
      </c>
      <c r="AF34" s="1" t="s">
        <v>51</v>
      </c>
      <c r="AG34" s="1" t="s">
        <v>72</v>
      </c>
      <c r="AI34" s="1">
        <v>1.0</v>
      </c>
      <c r="AJ34" s="1">
        <v>0.0</v>
      </c>
      <c r="AK34" s="1">
        <v>0.0</v>
      </c>
      <c r="AL34" s="1">
        <v>0.0</v>
      </c>
      <c r="AP34" s="1">
        <v>4.87637735E8</v>
      </c>
      <c r="AQ34" s="1" t="s">
        <v>132</v>
      </c>
      <c r="AR34" s="1">
        <v>45805.30793</v>
      </c>
      <c r="AU34" s="1" t="s">
        <v>64</v>
      </c>
      <c r="AW34" s="1" t="s">
        <v>84</v>
      </c>
      <c r="AY34" s="1">
        <v>28.0</v>
      </c>
    </row>
    <row r="35" hidden="1">
      <c r="A35" s="1" t="s">
        <v>51</v>
      </c>
      <c r="C35" s="1" t="s">
        <v>52</v>
      </c>
      <c r="E35" s="1" t="s">
        <v>53</v>
      </c>
      <c r="F35" s="1" t="s">
        <v>54</v>
      </c>
      <c r="G35" s="1">
        <v>28.0</v>
      </c>
      <c r="H35" s="1" t="s">
        <v>66</v>
      </c>
      <c r="I35" s="1" t="s">
        <v>67</v>
      </c>
      <c r="J35" s="1" t="s">
        <v>68</v>
      </c>
      <c r="K35" s="1" t="s">
        <v>74</v>
      </c>
      <c r="M35" s="1" t="s">
        <v>58</v>
      </c>
      <c r="N35" s="1" t="s">
        <v>58</v>
      </c>
      <c r="O35" s="1" t="s">
        <v>69</v>
      </c>
      <c r="Q35" s="1" t="s">
        <v>58</v>
      </c>
      <c r="R35" s="1" t="s">
        <v>58</v>
      </c>
      <c r="S35" s="1" t="s">
        <v>69</v>
      </c>
      <c r="T35" s="1" t="s">
        <v>69</v>
      </c>
      <c r="U35" s="1" t="s">
        <v>58</v>
      </c>
      <c r="V35" s="1" t="s">
        <v>58</v>
      </c>
      <c r="W35" s="1" t="s">
        <v>58</v>
      </c>
      <c r="X35" s="1" t="s">
        <v>88</v>
      </c>
      <c r="Y35" s="1" t="s">
        <v>82</v>
      </c>
      <c r="Z35" s="1" t="s">
        <v>61</v>
      </c>
      <c r="AA35" s="1">
        <v>100.0</v>
      </c>
      <c r="AB35" s="1" t="s">
        <v>79</v>
      </c>
      <c r="AC35" s="1" t="s">
        <v>71</v>
      </c>
      <c r="AF35" s="1" t="s">
        <v>51</v>
      </c>
      <c r="AG35" s="1" t="s">
        <v>51</v>
      </c>
      <c r="AH35" s="1">
        <v>500.0</v>
      </c>
      <c r="AI35" s="1">
        <v>0.0</v>
      </c>
      <c r="AJ35" s="1">
        <v>0.0</v>
      </c>
      <c r="AK35" s="1">
        <v>0.0</v>
      </c>
      <c r="AL35" s="1">
        <v>1.0</v>
      </c>
      <c r="AM35" s="1" t="s">
        <v>51</v>
      </c>
      <c r="AP35" s="1">
        <v>4.87640213E8</v>
      </c>
      <c r="AQ35" s="1" t="s">
        <v>133</v>
      </c>
      <c r="AR35" s="1">
        <v>45805.31078</v>
      </c>
      <c r="AU35" s="1" t="s">
        <v>64</v>
      </c>
      <c r="AW35" s="1" t="s">
        <v>84</v>
      </c>
      <c r="AY35" s="1">
        <v>29.0</v>
      </c>
    </row>
    <row r="36" hidden="1">
      <c r="A36" s="1" t="s">
        <v>51</v>
      </c>
      <c r="C36" s="1" t="s">
        <v>52</v>
      </c>
      <c r="E36" s="1" t="s">
        <v>107</v>
      </c>
      <c r="G36" s="1">
        <v>37.0</v>
      </c>
      <c r="H36" s="1" t="s">
        <v>66</v>
      </c>
      <c r="J36" s="1" t="s">
        <v>86</v>
      </c>
      <c r="K36" s="1" t="s">
        <v>87</v>
      </c>
      <c r="M36" s="1" t="s">
        <v>58</v>
      </c>
      <c r="N36" s="1" t="s">
        <v>58</v>
      </c>
      <c r="O36" s="1" t="s">
        <v>70</v>
      </c>
      <c r="Q36" s="1" t="s">
        <v>69</v>
      </c>
      <c r="R36" s="1" t="s">
        <v>70</v>
      </c>
      <c r="S36" s="1" t="s">
        <v>69</v>
      </c>
      <c r="T36" s="1" t="s">
        <v>69</v>
      </c>
      <c r="U36" s="1" t="s">
        <v>70</v>
      </c>
      <c r="V36" s="1" t="s">
        <v>58</v>
      </c>
      <c r="W36" s="1" t="s">
        <v>69</v>
      </c>
      <c r="X36" s="1" t="s">
        <v>81</v>
      </c>
      <c r="Y36" s="1" t="s">
        <v>95</v>
      </c>
      <c r="Z36" s="1" t="s">
        <v>108</v>
      </c>
      <c r="AA36" s="1">
        <v>100.0</v>
      </c>
      <c r="AB36" s="1" t="s">
        <v>62</v>
      </c>
      <c r="AC36" s="1" t="s">
        <v>51</v>
      </c>
      <c r="AD36" s="1" t="s">
        <v>81</v>
      </c>
      <c r="AE36" s="1" t="s">
        <v>51</v>
      </c>
      <c r="AF36" s="1" t="s">
        <v>51</v>
      </c>
      <c r="AG36" s="1" t="s">
        <v>72</v>
      </c>
      <c r="AI36" s="1">
        <v>0.0</v>
      </c>
      <c r="AJ36" s="1">
        <v>0.0</v>
      </c>
      <c r="AK36" s="1">
        <v>0.0</v>
      </c>
      <c r="AL36" s="1">
        <v>1.0</v>
      </c>
      <c r="AP36" s="1">
        <v>4.87640652E8</v>
      </c>
      <c r="AQ36" s="1" t="s">
        <v>134</v>
      </c>
      <c r="AR36" s="1">
        <v>45805.3113</v>
      </c>
      <c r="AU36" s="1" t="s">
        <v>64</v>
      </c>
      <c r="AW36" s="1" t="s">
        <v>84</v>
      </c>
      <c r="AY36" s="1">
        <v>30.0</v>
      </c>
    </row>
    <row r="37" hidden="1">
      <c r="A37" s="1" t="s">
        <v>51</v>
      </c>
      <c r="C37" s="1" t="s">
        <v>52</v>
      </c>
      <c r="E37" s="1" t="s">
        <v>53</v>
      </c>
      <c r="F37" s="1" t="s">
        <v>102</v>
      </c>
      <c r="G37" s="1">
        <v>21.0</v>
      </c>
      <c r="H37" s="1" t="s">
        <v>55</v>
      </c>
      <c r="I37" s="1" t="s">
        <v>100</v>
      </c>
      <c r="J37" s="1" t="s">
        <v>86</v>
      </c>
      <c r="K37" s="1" t="s">
        <v>87</v>
      </c>
      <c r="M37" s="1" t="s">
        <v>58</v>
      </c>
      <c r="N37" s="1" t="s">
        <v>58</v>
      </c>
      <c r="O37" s="1" t="s">
        <v>69</v>
      </c>
      <c r="Q37" s="1" t="s">
        <v>58</v>
      </c>
      <c r="R37" s="1" t="s">
        <v>58</v>
      </c>
      <c r="S37" s="1" t="s">
        <v>58</v>
      </c>
      <c r="T37" s="1" t="s">
        <v>69</v>
      </c>
      <c r="U37" s="1" t="s">
        <v>70</v>
      </c>
      <c r="V37" s="1" t="s">
        <v>58</v>
      </c>
      <c r="W37" s="1" t="s">
        <v>69</v>
      </c>
      <c r="X37" s="1" t="s">
        <v>81</v>
      </c>
      <c r="Y37" s="1" t="s">
        <v>60</v>
      </c>
      <c r="Z37" s="1" t="s">
        <v>89</v>
      </c>
      <c r="AA37" s="1">
        <v>50.0</v>
      </c>
      <c r="AB37" s="1" t="s">
        <v>79</v>
      </c>
      <c r="AC37" s="1" t="s">
        <v>71</v>
      </c>
      <c r="AF37" s="1" t="s">
        <v>51</v>
      </c>
      <c r="AG37" s="1" t="s">
        <v>51</v>
      </c>
      <c r="AH37" s="1">
        <v>50.0</v>
      </c>
      <c r="AI37" s="1">
        <v>1.0</v>
      </c>
      <c r="AJ37" s="1">
        <v>0.0</v>
      </c>
      <c r="AK37" s="1">
        <v>0.0</v>
      </c>
      <c r="AL37" s="1">
        <v>0.0</v>
      </c>
      <c r="AM37" s="1" t="s">
        <v>51</v>
      </c>
      <c r="AN37" s="1">
        <v>6.01072833E8</v>
      </c>
      <c r="AP37" s="1">
        <v>4.87644284E8</v>
      </c>
      <c r="AQ37" s="1" t="s">
        <v>135</v>
      </c>
      <c r="AR37" s="1">
        <v>45805.31497</v>
      </c>
      <c r="AU37" s="1" t="s">
        <v>64</v>
      </c>
      <c r="AW37" s="1" t="s">
        <v>84</v>
      </c>
      <c r="AY37" s="1">
        <v>31.0</v>
      </c>
    </row>
    <row r="38" hidden="1">
      <c r="A38" s="1" t="s">
        <v>51</v>
      </c>
      <c r="C38" s="1" t="s">
        <v>52</v>
      </c>
      <c r="E38" s="1" t="s">
        <v>53</v>
      </c>
      <c r="F38" s="1" t="s">
        <v>136</v>
      </c>
      <c r="G38" s="1">
        <v>28.0</v>
      </c>
      <c r="H38" s="1" t="s">
        <v>66</v>
      </c>
      <c r="I38" s="1" t="s">
        <v>67</v>
      </c>
      <c r="J38" s="1" t="s">
        <v>56</v>
      </c>
      <c r="K38" s="1" t="s">
        <v>74</v>
      </c>
      <c r="M38" s="1" t="s">
        <v>58</v>
      </c>
      <c r="N38" s="1" t="s">
        <v>58</v>
      </c>
      <c r="O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59</v>
      </c>
      <c r="Y38" s="1" t="s">
        <v>82</v>
      </c>
      <c r="Z38" s="1" t="s">
        <v>61</v>
      </c>
      <c r="AA38" s="1">
        <v>100.0</v>
      </c>
      <c r="AB38" s="1" t="s">
        <v>28</v>
      </c>
      <c r="AC38" s="1" t="s">
        <v>71</v>
      </c>
      <c r="AF38" s="1" t="s">
        <v>51</v>
      </c>
      <c r="AG38" s="1" t="s">
        <v>51</v>
      </c>
      <c r="AH38" s="1">
        <v>3000.0</v>
      </c>
      <c r="AI38" s="1">
        <v>0.0</v>
      </c>
      <c r="AJ38" s="1">
        <v>1.0</v>
      </c>
      <c r="AK38" s="1">
        <v>0.0</v>
      </c>
      <c r="AL38" s="1">
        <v>0.0</v>
      </c>
      <c r="AM38" s="1" t="s">
        <v>51</v>
      </c>
      <c r="AN38" s="1">
        <v>7.32575737E8</v>
      </c>
      <c r="AP38" s="1">
        <v>4.87651294E8</v>
      </c>
      <c r="AQ38" s="1" t="s">
        <v>137</v>
      </c>
      <c r="AR38" s="1">
        <v>45805.3244</v>
      </c>
      <c r="AU38" s="1" t="s">
        <v>64</v>
      </c>
      <c r="AW38" s="1" t="s">
        <v>84</v>
      </c>
      <c r="AY38" s="1">
        <v>32.0</v>
      </c>
    </row>
    <row r="39" hidden="1">
      <c r="A39" s="1" t="s">
        <v>51</v>
      </c>
      <c r="C39" s="1" t="s">
        <v>52</v>
      </c>
      <c r="E39" s="1" t="s">
        <v>52</v>
      </c>
      <c r="G39" s="1">
        <v>59.0</v>
      </c>
      <c r="H39" s="1" t="s">
        <v>55</v>
      </c>
      <c r="J39" s="1" t="s">
        <v>111</v>
      </c>
      <c r="K39" s="1" t="s">
        <v>87</v>
      </c>
      <c r="M39" s="1" t="s">
        <v>58</v>
      </c>
      <c r="N39" s="1" t="s">
        <v>58</v>
      </c>
      <c r="O39" s="1" t="s">
        <v>58</v>
      </c>
      <c r="Q39" s="1" t="s">
        <v>69</v>
      </c>
      <c r="R39" s="1" t="s">
        <v>58</v>
      </c>
      <c r="S39" s="1" t="s">
        <v>69</v>
      </c>
      <c r="T39" s="1" t="s">
        <v>70</v>
      </c>
      <c r="U39" s="1" t="s">
        <v>58</v>
      </c>
      <c r="V39" s="1" t="s">
        <v>58</v>
      </c>
      <c r="W39" s="1" t="s">
        <v>58</v>
      </c>
      <c r="X39" s="1" t="s">
        <v>103</v>
      </c>
      <c r="Y39" s="1" t="s">
        <v>95</v>
      </c>
      <c r="Z39" s="1" t="s">
        <v>89</v>
      </c>
      <c r="AA39" s="1">
        <v>100.0</v>
      </c>
      <c r="AB39" s="1" t="s">
        <v>62</v>
      </c>
      <c r="AC39" s="1" t="s">
        <v>71</v>
      </c>
      <c r="AF39" s="1" t="s">
        <v>51</v>
      </c>
      <c r="AI39" s="1">
        <v>0.0</v>
      </c>
      <c r="AJ39" s="1">
        <v>0.0</v>
      </c>
      <c r="AK39" s="1">
        <v>1.0</v>
      </c>
      <c r="AL39" s="1">
        <v>0.0</v>
      </c>
      <c r="AP39" s="1">
        <v>4.87664993E8</v>
      </c>
      <c r="AQ39" s="1" t="s">
        <v>138</v>
      </c>
      <c r="AR39" s="1">
        <v>45805.3364</v>
      </c>
      <c r="AU39" s="1" t="s">
        <v>64</v>
      </c>
      <c r="AW39" s="1" t="s">
        <v>84</v>
      </c>
      <c r="AY39" s="1">
        <v>33.0</v>
      </c>
    </row>
    <row r="40" hidden="1">
      <c r="A40" s="1" t="s">
        <v>51</v>
      </c>
      <c r="C40" s="1" t="s">
        <v>52</v>
      </c>
      <c r="E40" s="1" t="s">
        <v>53</v>
      </c>
      <c r="F40" s="1" t="s">
        <v>54</v>
      </c>
      <c r="G40" s="1">
        <v>44.0</v>
      </c>
      <c r="H40" s="1" t="s">
        <v>55</v>
      </c>
      <c r="I40" s="1" t="s">
        <v>100</v>
      </c>
      <c r="J40" s="1" t="s">
        <v>86</v>
      </c>
      <c r="K40" s="1" t="s">
        <v>87</v>
      </c>
      <c r="M40" s="1" t="s">
        <v>58</v>
      </c>
      <c r="N40" s="1" t="s">
        <v>58</v>
      </c>
      <c r="O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59</v>
      </c>
      <c r="Y40" s="1" t="s">
        <v>60</v>
      </c>
      <c r="Z40" s="1" t="s">
        <v>89</v>
      </c>
      <c r="AA40" s="1">
        <v>100.0</v>
      </c>
      <c r="AB40" s="1" t="s">
        <v>79</v>
      </c>
      <c r="AC40" s="1" t="s">
        <v>71</v>
      </c>
      <c r="AF40" s="1" t="s">
        <v>51</v>
      </c>
      <c r="AG40" s="1" t="s">
        <v>72</v>
      </c>
      <c r="AI40" s="1">
        <v>1.0</v>
      </c>
      <c r="AJ40" s="1">
        <v>1.0</v>
      </c>
      <c r="AK40" s="1">
        <v>1.0</v>
      </c>
      <c r="AL40" s="1">
        <v>0.0</v>
      </c>
      <c r="AM40" s="1" t="s">
        <v>51</v>
      </c>
      <c r="AN40" s="1">
        <v>7.19465454E8</v>
      </c>
      <c r="AP40" s="1">
        <v>4.87674106E8</v>
      </c>
      <c r="AQ40" s="1" t="s">
        <v>139</v>
      </c>
      <c r="AR40" s="1">
        <v>45805.34544</v>
      </c>
      <c r="AU40" s="1" t="s">
        <v>64</v>
      </c>
      <c r="AW40" s="1" t="s">
        <v>84</v>
      </c>
      <c r="AY40" s="1">
        <v>34.0</v>
      </c>
    </row>
    <row r="41" hidden="1">
      <c r="A41" s="1" t="s">
        <v>51</v>
      </c>
      <c r="C41" s="1" t="s">
        <v>52</v>
      </c>
      <c r="E41" s="1" t="s">
        <v>53</v>
      </c>
      <c r="F41" s="1" t="s">
        <v>54</v>
      </c>
      <c r="G41" s="1">
        <v>42.0</v>
      </c>
      <c r="H41" s="1" t="s">
        <v>66</v>
      </c>
      <c r="I41" s="1" t="s">
        <v>67</v>
      </c>
      <c r="J41" s="1" t="s">
        <v>86</v>
      </c>
      <c r="K41" s="1" t="s">
        <v>87</v>
      </c>
      <c r="M41" s="1" t="s">
        <v>58</v>
      </c>
      <c r="N41" s="1" t="s">
        <v>58</v>
      </c>
      <c r="O41" s="1" t="s">
        <v>58</v>
      </c>
      <c r="Q41" s="1" t="s">
        <v>69</v>
      </c>
      <c r="R41" s="1" t="s">
        <v>58</v>
      </c>
      <c r="S41" s="1" t="s">
        <v>69</v>
      </c>
      <c r="T41" s="1" t="s">
        <v>69</v>
      </c>
      <c r="U41" s="1" t="s">
        <v>58</v>
      </c>
      <c r="V41" s="1" t="s">
        <v>58</v>
      </c>
      <c r="W41" s="1" t="s">
        <v>69</v>
      </c>
      <c r="X41" s="1" t="s">
        <v>59</v>
      </c>
      <c r="Y41" s="1" t="s">
        <v>95</v>
      </c>
      <c r="Z41" s="1" t="s">
        <v>89</v>
      </c>
      <c r="AA41" s="1">
        <v>50.0</v>
      </c>
      <c r="AB41" s="1" t="s">
        <v>62</v>
      </c>
      <c r="AC41" s="1" t="s">
        <v>51</v>
      </c>
      <c r="AD41" s="1" t="s">
        <v>81</v>
      </c>
      <c r="AE41" s="1" t="s">
        <v>51</v>
      </c>
      <c r="AF41" s="1" t="s">
        <v>51</v>
      </c>
      <c r="AG41" s="1" t="s">
        <v>51</v>
      </c>
      <c r="AH41" s="1">
        <v>4000.0</v>
      </c>
      <c r="AI41" s="1">
        <v>0.0</v>
      </c>
      <c r="AJ41" s="1">
        <v>0.0</v>
      </c>
      <c r="AK41" s="1">
        <v>0.0</v>
      </c>
      <c r="AL41" s="1">
        <v>1.0</v>
      </c>
      <c r="AM41" s="1" t="s">
        <v>51</v>
      </c>
      <c r="AN41" s="1">
        <v>7.18013824E8</v>
      </c>
      <c r="AP41" s="1">
        <v>4.87690832E8</v>
      </c>
      <c r="AQ41" s="1" t="s">
        <v>140</v>
      </c>
      <c r="AR41" s="1">
        <v>45805.36303</v>
      </c>
      <c r="AU41" s="1" t="s">
        <v>64</v>
      </c>
      <c r="AW41" s="1" t="s">
        <v>84</v>
      </c>
      <c r="AY41" s="1">
        <v>35.0</v>
      </c>
    </row>
    <row r="42" hidden="1">
      <c r="A42" s="1" t="s">
        <v>51</v>
      </c>
      <c r="C42" s="1" t="s">
        <v>52</v>
      </c>
      <c r="E42" s="1" t="s">
        <v>52</v>
      </c>
      <c r="G42" s="1">
        <v>55.0</v>
      </c>
      <c r="H42" s="1" t="s">
        <v>55</v>
      </c>
      <c r="J42" s="1" t="s">
        <v>86</v>
      </c>
      <c r="K42" s="1" t="s">
        <v>87</v>
      </c>
      <c r="M42" s="1" t="s">
        <v>58</v>
      </c>
      <c r="N42" s="1" t="s">
        <v>58</v>
      </c>
      <c r="O42" s="1" t="s">
        <v>58</v>
      </c>
      <c r="Q42" s="1" t="s">
        <v>69</v>
      </c>
      <c r="R42" s="1" t="s">
        <v>58</v>
      </c>
      <c r="S42" s="1" t="s">
        <v>69</v>
      </c>
      <c r="T42" s="1" t="s">
        <v>69</v>
      </c>
      <c r="U42" s="1" t="s">
        <v>69</v>
      </c>
      <c r="V42" s="1" t="s">
        <v>58</v>
      </c>
      <c r="W42" s="1" t="s">
        <v>69</v>
      </c>
      <c r="X42" s="1" t="s">
        <v>59</v>
      </c>
      <c r="Y42" s="1" t="s">
        <v>95</v>
      </c>
      <c r="Z42" s="1" t="s">
        <v>89</v>
      </c>
      <c r="AA42" s="1">
        <v>100.0</v>
      </c>
      <c r="AB42" s="1" t="s">
        <v>79</v>
      </c>
      <c r="AC42" s="1" t="s">
        <v>51</v>
      </c>
      <c r="AD42" s="1" t="s">
        <v>59</v>
      </c>
      <c r="AE42" s="1" t="s">
        <v>51</v>
      </c>
      <c r="AF42" s="1" t="s">
        <v>51</v>
      </c>
      <c r="AG42" s="1" t="s">
        <v>72</v>
      </c>
      <c r="AI42" s="1">
        <v>0.0</v>
      </c>
      <c r="AJ42" s="1">
        <v>0.0</v>
      </c>
      <c r="AK42" s="1">
        <v>0.0</v>
      </c>
      <c r="AL42" s="1">
        <v>1.0</v>
      </c>
      <c r="AP42" s="1">
        <v>4.8770913E8</v>
      </c>
      <c r="AQ42" s="1" t="s">
        <v>141</v>
      </c>
      <c r="AR42" s="1">
        <v>45805.38169</v>
      </c>
      <c r="AU42" s="1" t="s">
        <v>64</v>
      </c>
      <c r="AW42" s="1" t="s">
        <v>84</v>
      </c>
      <c r="AY42" s="1">
        <v>36.0</v>
      </c>
    </row>
    <row r="43" hidden="1">
      <c r="A43" s="1" t="s">
        <v>51</v>
      </c>
      <c r="C43" s="1" t="s">
        <v>53</v>
      </c>
      <c r="E43" s="1" t="s">
        <v>53</v>
      </c>
      <c r="F43" s="1" t="s">
        <v>54</v>
      </c>
      <c r="G43" s="1">
        <v>51.0</v>
      </c>
      <c r="H43" s="1" t="s">
        <v>66</v>
      </c>
      <c r="I43" s="1" t="s">
        <v>121</v>
      </c>
      <c r="J43" s="1" t="s">
        <v>111</v>
      </c>
      <c r="K43" s="1" t="s">
        <v>87</v>
      </c>
      <c r="M43" s="1" t="s">
        <v>58</v>
      </c>
      <c r="N43" s="1" t="s">
        <v>58</v>
      </c>
      <c r="O43" s="1" t="s">
        <v>58</v>
      </c>
      <c r="Q43" s="1" t="s">
        <v>58</v>
      </c>
      <c r="R43" s="1" t="s">
        <v>58</v>
      </c>
      <c r="S43" s="1" t="s">
        <v>58</v>
      </c>
      <c r="T43" s="1" t="s">
        <v>70</v>
      </c>
      <c r="U43" s="1" t="s">
        <v>69</v>
      </c>
      <c r="V43" s="1" t="s">
        <v>69</v>
      </c>
      <c r="W43" s="1" t="s">
        <v>69</v>
      </c>
      <c r="X43" s="1" t="s">
        <v>59</v>
      </c>
      <c r="Y43" s="1" t="s">
        <v>60</v>
      </c>
      <c r="AC43" s="1" t="s">
        <v>51</v>
      </c>
      <c r="AD43" s="1" t="s">
        <v>59</v>
      </c>
      <c r="AE43" s="1" t="s">
        <v>72</v>
      </c>
      <c r="AF43" s="1" t="s">
        <v>72</v>
      </c>
      <c r="AG43" s="1" t="s">
        <v>72</v>
      </c>
      <c r="AI43" s="1">
        <v>0.0</v>
      </c>
      <c r="AJ43" s="1">
        <v>0.0</v>
      </c>
      <c r="AK43" s="1">
        <v>0.0</v>
      </c>
      <c r="AL43" s="1">
        <v>1.0</v>
      </c>
      <c r="AM43" s="1" t="s">
        <v>72</v>
      </c>
      <c r="AP43" s="1">
        <v>4.87711757E8</v>
      </c>
      <c r="AQ43" s="1" t="s">
        <v>142</v>
      </c>
      <c r="AR43" s="1">
        <v>45805.38399</v>
      </c>
      <c r="AU43" s="1" t="s">
        <v>64</v>
      </c>
      <c r="AW43" s="1" t="s">
        <v>84</v>
      </c>
      <c r="AY43" s="1">
        <v>37.0</v>
      </c>
    </row>
    <row r="44" hidden="1">
      <c r="A44" s="1" t="s">
        <v>51</v>
      </c>
      <c r="C44" s="1" t="s">
        <v>107</v>
      </c>
      <c r="E44" s="1" t="s">
        <v>53</v>
      </c>
      <c r="F44" s="1" t="s">
        <v>102</v>
      </c>
      <c r="G44" s="1">
        <v>44.0</v>
      </c>
      <c r="H44" s="1" t="s">
        <v>55</v>
      </c>
      <c r="I44" s="1" t="s">
        <v>67</v>
      </c>
      <c r="J44" s="1" t="s">
        <v>111</v>
      </c>
      <c r="K44" s="1" t="s">
        <v>87</v>
      </c>
      <c r="M44" s="1" t="s">
        <v>58</v>
      </c>
      <c r="N44" s="1" t="s">
        <v>58</v>
      </c>
      <c r="O44" s="1" t="s">
        <v>69</v>
      </c>
      <c r="Q44" s="1" t="s">
        <v>58</v>
      </c>
      <c r="R44" s="1" t="s">
        <v>70</v>
      </c>
      <c r="S44" s="1" t="s">
        <v>69</v>
      </c>
      <c r="T44" s="1" t="s">
        <v>69</v>
      </c>
      <c r="U44" s="1" t="s">
        <v>69</v>
      </c>
      <c r="V44" s="1" t="s">
        <v>58</v>
      </c>
      <c r="W44" s="1" t="s">
        <v>69</v>
      </c>
      <c r="X44" s="1" t="s">
        <v>88</v>
      </c>
      <c r="Y44" s="1" t="s">
        <v>82</v>
      </c>
      <c r="Z44" s="1" t="s">
        <v>61</v>
      </c>
      <c r="AA44" s="1">
        <v>100.0</v>
      </c>
      <c r="AB44" s="1" t="s">
        <v>79</v>
      </c>
      <c r="AC44" s="1" t="s">
        <v>51</v>
      </c>
      <c r="AD44" s="1" t="s">
        <v>59</v>
      </c>
      <c r="AE44" s="1" t="s">
        <v>51</v>
      </c>
      <c r="AF44" s="1" t="s">
        <v>51</v>
      </c>
      <c r="AG44" s="1" t="s">
        <v>72</v>
      </c>
      <c r="AI44" s="1">
        <v>0.0</v>
      </c>
      <c r="AJ44" s="1">
        <v>0.0</v>
      </c>
      <c r="AK44" s="1">
        <v>1.0</v>
      </c>
      <c r="AL44" s="1">
        <v>0.0</v>
      </c>
      <c r="AM44" s="1" t="s">
        <v>51</v>
      </c>
      <c r="AN44" s="1">
        <v>7.24087235E8</v>
      </c>
      <c r="AP44" s="1">
        <v>4.87711791E8</v>
      </c>
      <c r="AQ44" s="1" t="s">
        <v>143</v>
      </c>
      <c r="AR44" s="1">
        <v>45805.38402</v>
      </c>
      <c r="AU44" s="1" t="s">
        <v>64</v>
      </c>
      <c r="AW44" s="1" t="s">
        <v>84</v>
      </c>
      <c r="AY44" s="1">
        <v>38.0</v>
      </c>
    </row>
    <row r="45" hidden="1">
      <c r="A45" s="1" t="s">
        <v>51</v>
      </c>
      <c r="C45" s="1" t="s">
        <v>52</v>
      </c>
      <c r="E45" s="1" t="s">
        <v>53</v>
      </c>
      <c r="F45" s="1" t="s">
        <v>85</v>
      </c>
      <c r="G45" s="1">
        <v>43.0</v>
      </c>
      <c r="H45" s="1" t="s">
        <v>55</v>
      </c>
      <c r="I45" s="1" t="s">
        <v>67</v>
      </c>
      <c r="J45" s="1" t="s">
        <v>86</v>
      </c>
      <c r="K45" s="1" t="s">
        <v>87</v>
      </c>
      <c r="M45" s="1" t="s">
        <v>58</v>
      </c>
      <c r="N45" s="1" t="s">
        <v>58</v>
      </c>
      <c r="O45" s="1" t="s">
        <v>69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69</v>
      </c>
      <c r="X45" s="1" t="s">
        <v>59</v>
      </c>
      <c r="Y45" s="1" t="s">
        <v>95</v>
      </c>
      <c r="Z45" s="1" t="s">
        <v>89</v>
      </c>
      <c r="AA45" s="1">
        <v>30.0</v>
      </c>
      <c r="AB45" s="1" t="s">
        <v>62</v>
      </c>
      <c r="AC45" s="1" t="s">
        <v>71</v>
      </c>
      <c r="AF45" s="1" t="s">
        <v>51</v>
      </c>
      <c r="AG45" s="1" t="s">
        <v>72</v>
      </c>
      <c r="AI45" s="1">
        <v>0.0</v>
      </c>
      <c r="AJ45" s="1">
        <v>0.0</v>
      </c>
      <c r="AK45" s="1">
        <v>0.0</v>
      </c>
      <c r="AL45" s="1">
        <v>1.0</v>
      </c>
      <c r="AM45" s="1" t="s">
        <v>72</v>
      </c>
      <c r="AP45" s="1">
        <v>4.8771705E8</v>
      </c>
      <c r="AQ45" s="1" t="s">
        <v>144</v>
      </c>
      <c r="AR45" s="1">
        <v>45805.38848</v>
      </c>
      <c r="AU45" s="1" t="s">
        <v>64</v>
      </c>
      <c r="AW45" s="1" t="s">
        <v>84</v>
      </c>
      <c r="AY45" s="1">
        <v>39.0</v>
      </c>
    </row>
    <row r="46" hidden="1">
      <c r="A46" s="1" t="s">
        <v>51</v>
      </c>
      <c r="C46" s="1" t="s">
        <v>53</v>
      </c>
      <c r="E46" s="1" t="s">
        <v>53</v>
      </c>
      <c r="F46" s="1" t="s">
        <v>102</v>
      </c>
      <c r="G46" s="1">
        <v>39.0</v>
      </c>
      <c r="H46" s="1" t="s">
        <v>55</v>
      </c>
      <c r="I46" s="1" t="s">
        <v>121</v>
      </c>
      <c r="J46" s="1" t="s">
        <v>56</v>
      </c>
      <c r="K46" s="1" t="s">
        <v>87</v>
      </c>
      <c r="M46" s="1" t="s">
        <v>58</v>
      </c>
      <c r="N46" s="1" t="s">
        <v>58</v>
      </c>
      <c r="O46" s="1" t="s">
        <v>58</v>
      </c>
      <c r="Q46" s="1" t="s">
        <v>58</v>
      </c>
      <c r="R46" s="1" t="s">
        <v>58</v>
      </c>
      <c r="S46" s="1" t="s">
        <v>69</v>
      </c>
      <c r="T46" s="1" t="s">
        <v>69</v>
      </c>
      <c r="U46" s="1" t="s">
        <v>58</v>
      </c>
      <c r="V46" s="1" t="s">
        <v>69</v>
      </c>
      <c r="W46" s="1" t="s">
        <v>69</v>
      </c>
      <c r="X46" s="1" t="s">
        <v>81</v>
      </c>
      <c r="Y46" s="1" t="s">
        <v>60</v>
      </c>
      <c r="Z46" s="1" t="s">
        <v>61</v>
      </c>
      <c r="AA46" s="1">
        <v>100.0</v>
      </c>
      <c r="AB46" s="1" t="s">
        <v>79</v>
      </c>
      <c r="AC46" s="1" t="s">
        <v>72</v>
      </c>
      <c r="AF46" s="1" t="s">
        <v>51</v>
      </c>
      <c r="AG46" s="1" t="s">
        <v>72</v>
      </c>
      <c r="AI46" s="1">
        <v>0.0</v>
      </c>
      <c r="AJ46" s="1">
        <v>1.0</v>
      </c>
      <c r="AK46" s="1">
        <v>0.0</v>
      </c>
      <c r="AL46" s="1">
        <v>0.0</v>
      </c>
      <c r="AM46" s="1" t="s">
        <v>51</v>
      </c>
      <c r="AP46" s="1">
        <v>4.87749469E8</v>
      </c>
      <c r="AQ46" s="1" t="s">
        <v>145</v>
      </c>
      <c r="AR46" s="1">
        <v>45805.4219</v>
      </c>
      <c r="AU46" s="1" t="s">
        <v>64</v>
      </c>
      <c r="AW46" s="1" t="s">
        <v>84</v>
      </c>
      <c r="AY46" s="1">
        <v>40.0</v>
      </c>
    </row>
    <row r="47" hidden="1">
      <c r="A47" s="1" t="s">
        <v>51</v>
      </c>
      <c r="C47" s="1" t="s">
        <v>52</v>
      </c>
      <c r="E47" s="1" t="s">
        <v>53</v>
      </c>
      <c r="F47" s="1" t="s">
        <v>94</v>
      </c>
      <c r="G47" s="1">
        <v>42.0</v>
      </c>
      <c r="H47" s="1" t="s">
        <v>66</v>
      </c>
      <c r="I47" s="1" t="s">
        <v>67</v>
      </c>
      <c r="J47" s="1" t="s">
        <v>56</v>
      </c>
      <c r="K47" s="1" t="s">
        <v>87</v>
      </c>
      <c r="M47" s="1" t="s">
        <v>58</v>
      </c>
      <c r="N47" s="1" t="s">
        <v>58</v>
      </c>
      <c r="O47" s="1" t="s">
        <v>69</v>
      </c>
      <c r="Q47" s="1" t="s">
        <v>69</v>
      </c>
      <c r="R47" s="1" t="s">
        <v>69</v>
      </c>
      <c r="S47" s="1" t="s">
        <v>70</v>
      </c>
      <c r="T47" s="1" t="s">
        <v>69</v>
      </c>
      <c r="U47" s="1" t="s">
        <v>58</v>
      </c>
      <c r="V47" s="1" t="s">
        <v>58</v>
      </c>
      <c r="W47" s="1" t="s">
        <v>69</v>
      </c>
      <c r="X47" s="1" t="s">
        <v>59</v>
      </c>
      <c r="Y47" s="1" t="s">
        <v>60</v>
      </c>
      <c r="Z47" s="1" t="s">
        <v>89</v>
      </c>
      <c r="AA47" s="1">
        <v>100.0</v>
      </c>
      <c r="AB47" s="1" t="s">
        <v>62</v>
      </c>
      <c r="AC47" s="1" t="s">
        <v>71</v>
      </c>
      <c r="AF47" s="1" t="s">
        <v>51</v>
      </c>
      <c r="AG47" s="1" t="s">
        <v>51</v>
      </c>
      <c r="AH47" s="1">
        <v>50.0</v>
      </c>
      <c r="AI47" s="1">
        <v>1.0</v>
      </c>
      <c r="AJ47" s="1">
        <v>0.0</v>
      </c>
      <c r="AK47" s="1">
        <v>1.0</v>
      </c>
      <c r="AL47" s="1">
        <v>0.0</v>
      </c>
      <c r="AM47" s="1" t="s">
        <v>72</v>
      </c>
      <c r="AP47" s="1">
        <v>4.87750454E8</v>
      </c>
      <c r="AQ47" s="1" t="s">
        <v>146</v>
      </c>
      <c r="AR47" s="1">
        <v>45805.42289</v>
      </c>
      <c r="AU47" s="1" t="s">
        <v>64</v>
      </c>
      <c r="AW47" s="1" t="s">
        <v>84</v>
      </c>
      <c r="AY47" s="1">
        <v>41.0</v>
      </c>
    </row>
    <row r="48" hidden="1">
      <c r="A48" s="1" t="s">
        <v>51</v>
      </c>
      <c r="C48" s="1" t="s">
        <v>53</v>
      </c>
      <c r="E48" s="1" t="s">
        <v>53</v>
      </c>
      <c r="F48" s="1" t="s">
        <v>54</v>
      </c>
      <c r="G48" s="1">
        <v>55.0</v>
      </c>
      <c r="H48" s="1" t="s">
        <v>66</v>
      </c>
      <c r="I48" s="1" t="s">
        <v>121</v>
      </c>
      <c r="J48" s="1" t="s">
        <v>56</v>
      </c>
      <c r="K48" s="1" t="s">
        <v>87</v>
      </c>
      <c r="M48" s="1" t="s">
        <v>58</v>
      </c>
      <c r="N48" s="1" t="s">
        <v>58</v>
      </c>
      <c r="O48" s="1" t="s">
        <v>58</v>
      </c>
      <c r="Q48" s="1" t="s">
        <v>70</v>
      </c>
      <c r="R48" s="1" t="s">
        <v>58</v>
      </c>
      <c r="S48" s="1" t="s">
        <v>58</v>
      </c>
      <c r="T48" s="1" t="s">
        <v>69</v>
      </c>
      <c r="U48" s="1" t="s">
        <v>70</v>
      </c>
      <c r="V48" s="1" t="s">
        <v>58</v>
      </c>
      <c r="W48" s="1" t="s">
        <v>69</v>
      </c>
      <c r="X48" s="1" t="s">
        <v>59</v>
      </c>
      <c r="Y48" s="1" t="s">
        <v>60</v>
      </c>
      <c r="Z48" s="1" t="s">
        <v>89</v>
      </c>
      <c r="AA48" s="1">
        <v>40.0</v>
      </c>
      <c r="AB48" s="1" t="s">
        <v>79</v>
      </c>
      <c r="AC48" s="1" t="s">
        <v>71</v>
      </c>
      <c r="AF48" s="1" t="s">
        <v>51</v>
      </c>
      <c r="AG48" s="1" t="s">
        <v>72</v>
      </c>
      <c r="AI48" s="1">
        <v>0.0</v>
      </c>
      <c r="AJ48" s="1">
        <v>0.0</v>
      </c>
      <c r="AK48" s="1">
        <v>0.0</v>
      </c>
      <c r="AL48" s="1">
        <v>1.0</v>
      </c>
      <c r="AM48" s="1" t="s">
        <v>51</v>
      </c>
      <c r="AN48" s="1">
        <v>8.27701274E8</v>
      </c>
      <c r="AP48" s="1">
        <v>4.87757298E8</v>
      </c>
      <c r="AQ48" s="1" t="s">
        <v>147</v>
      </c>
      <c r="AR48" s="1">
        <v>45805.43036</v>
      </c>
      <c r="AU48" s="1" t="s">
        <v>64</v>
      </c>
      <c r="AW48" s="1" t="s">
        <v>84</v>
      </c>
      <c r="AY48" s="1">
        <v>42.0</v>
      </c>
    </row>
    <row r="49" hidden="1">
      <c r="A49" s="1" t="s">
        <v>51</v>
      </c>
      <c r="C49" s="1" t="s">
        <v>52</v>
      </c>
      <c r="E49" s="1" t="s">
        <v>53</v>
      </c>
      <c r="F49" s="1" t="s">
        <v>85</v>
      </c>
      <c r="G49" s="1">
        <v>42.0</v>
      </c>
      <c r="H49" s="1" t="s">
        <v>55</v>
      </c>
      <c r="I49" s="1" t="s">
        <v>67</v>
      </c>
      <c r="J49" s="1" t="s">
        <v>86</v>
      </c>
      <c r="K49" s="1" t="s">
        <v>87</v>
      </c>
      <c r="M49" s="1" t="s">
        <v>69</v>
      </c>
      <c r="N49" s="1" t="s">
        <v>69</v>
      </c>
      <c r="O49" s="1" t="s">
        <v>69</v>
      </c>
      <c r="Q49" s="1" t="s">
        <v>69</v>
      </c>
      <c r="R49" s="1" t="s">
        <v>58</v>
      </c>
      <c r="S49" s="1" t="s">
        <v>58</v>
      </c>
      <c r="T49" s="1" t="s">
        <v>69</v>
      </c>
      <c r="U49" s="1" t="s">
        <v>58</v>
      </c>
      <c r="V49" s="1" t="s">
        <v>58</v>
      </c>
      <c r="W49" s="1" t="s">
        <v>69</v>
      </c>
      <c r="X49" s="1" t="s">
        <v>81</v>
      </c>
      <c r="Y49" s="1" t="s">
        <v>60</v>
      </c>
      <c r="Z49" s="1" t="s">
        <v>61</v>
      </c>
      <c r="AA49" s="1">
        <v>50.0</v>
      </c>
      <c r="AB49" s="1" t="s">
        <v>62</v>
      </c>
      <c r="AC49" s="1" t="s">
        <v>71</v>
      </c>
      <c r="AF49" s="1" t="s">
        <v>51</v>
      </c>
      <c r="AG49" s="1" t="s">
        <v>72</v>
      </c>
      <c r="AI49" s="1">
        <v>1.0</v>
      </c>
      <c r="AJ49" s="1">
        <v>0.0</v>
      </c>
      <c r="AK49" s="1">
        <v>0.0</v>
      </c>
      <c r="AL49" s="1">
        <v>0.0</v>
      </c>
      <c r="AM49" s="1" t="s">
        <v>72</v>
      </c>
      <c r="AP49" s="1">
        <v>4.87766407E8</v>
      </c>
      <c r="AQ49" s="1" t="s">
        <v>148</v>
      </c>
      <c r="AR49" s="1">
        <v>45805.4399</v>
      </c>
      <c r="AU49" s="1" t="s">
        <v>64</v>
      </c>
      <c r="AW49" s="1" t="s">
        <v>84</v>
      </c>
      <c r="AY49" s="1">
        <v>43.0</v>
      </c>
    </row>
    <row r="50" hidden="1">
      <c r="A50" s="1" t="s">
        <v>51</v>
      </c>
      <c r="C50" s="1" t="s">
        <v>52</v>
      </c>
      <c r="E50" s="1" t="s">
        <v>53</v>
      </c>
      <c r="F50" s="1" t="s">
        <v>149</v>
      </c>
      <c r="G50" s="1">
        <v>46.0</v>
      </c>
      <c r="H50" s="1" t="s">
        <v>55</v>
      </c>
      <c r="I50" s="1" t="s">
        <v>67</v>
      </c>
      <c r="J50" s="1" t="s">
        <v>86</v>
      </c>
      <c r="K50" s="1" t="s">
        <v>87</v>
      </c>
      <c r="M50" s="1" t="s">
        <v>58</v>
      </c>
      <c r="N50" s="1" t="s">
        <v>58</v>
      </c>
      <c r="O50" s="1" t="s">
        <v>58</v>
      </c>
      <c r="Q50" s="1" t="s">
        <v>69</v>
      </c>
      <c r="R50" s="1" t="s">
        <v>58</v>
      </c>
      <c r="S50" s="1" t="s">
        <v>69</v>
      </c>
      <c r="T50" s="1" t="s">
        <v>69</v>
      </c>
      <c r="U50" s="1" t="s">
        <v>58</v>
      </c>
      <c r="V50" s="1" t="s">
        <v>58</v>
      </c>
      <c r="W50" s="1" t="s">
        <v>69</v>
      </c>
      <c r="X50" s="1" t="s">
        <v>88</v>
      </c>
      <c r="Y50" s="1" t="s">
        <v>95</v>
      </c>
      <c r="Z50" s="1" t="s">
        <v>89</v>
      </c>
      <c r="AA50" s="1">
        <v>100.0</v>
      </c>
      <c r="AB50" s="1" t="s">
        <v>28</v>
      </c>
      <c r="AC50" s="1" t="s">
        <v>71</v>
      </c>
      <c r="AF50" s="1" t="s">
        <v>51</v>
      </c>
      <c r="AG50" s="1" t="s">
        <v>72</v>
      </c>
      <c r="AI50" s="1">
        <v>0.0</v>
      </c>
      <c r="AJ50" s="1">
        <v>0.0</v>
      </c>
      <c r="AK50" s="1">
        <v>1.0</v>
      </c>
      <c r="AL50" s="1">
        <v>0.0</v>
      </c>
      <c r="AM50" s="1" t="s">
        <v>72</v>
      </c>
      <c r="AP50" s="1">
        <v>4.87788797E8</v>
      </c>
      <c r="AQ50" s="1" t="s">
        <v>150</v>
      </c>
      <c r="AR50" s="1">
        <v>45805.4602</v>
      </c>
      <c r="AU50" s="1" t="s">
        <v>64</v>
      </c>
      <c r="AW50" s="1" t="s">
        <v>84</v>
      </c>
      <c r="AY50" s="1">
        <v>44.0</v>
      </c>
    </row>
    <row r="51">
      <c r="A51" s="1" t="s">
        <v>51</v>
      </c>
      <c r="C51" s="1" t="s">
        <v>151</v>
      </c>
      <c r="E51" s="1" t="s">
        <v>53</v>
      </c>
      <c r="F51" s="1" t="s">
        <v>54</v>
      </c>
      <c r="G51" s="1">
        <v>43.0</v>
      </c>
      <c r="H51" s="1" t="s">
        <v>55</v>
      </c>
      <c r="I51" s="1" t="s">
        <v>67</v>
      </c>
      <c r="J51" s="1" t="s">
        <v>56</v>
      </c>
      <c r="K51" s="1" t="s">
        <v>78</v>
      </c>
      <c r="M51" s="1" t="s">
        <v>58</v>
      </c>
      <c r="N51" s="1" t="s">
        <v>58</v>
      </c>
      <c r="O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81</v>
      </c>
      <c r="Y51" s="1" t="s">
        <v>82</v>
      </c>
      <c r="Z51" s="1" t="s">
        <v>89</v>
      </c>
      <c r="AA51" s="1">
        <v>50.0</v>
      </c>
      <c r="AB51" s="1" t="s">
        <v>79</v>
      </c>
      <c r="AC51" s="1" t="s">
        <v>71</v>
      </c>
      <c r="AF51" s="1" t="s">
        <v>51</v>
      </c>
      <c r="AG51" s="1" t="s">
        <v>51</v>
      </c>
      <c r="AH51" s="1">
        <v>40.0</v>
      </c>
      <c r="AI51" s="1">
        <v>0.0</v>
      </c>
      <c r="AJ51" s="1">
        <v>0.0</v>
      </c>
      <c r="AK51" s="1">
        <v>0.0</v>
      </c>
      <c r="AL51" s="1">
        <v>1.0</v>
      </c>
      <c r="AM51" s="1" t="s">
        <v>51</v>
      </c>
      <c r="AN51" s="1">
        <v>8.39756269E8</v>
      </c>
      <c r="AP51" s="1">
        <v>4.87797842E8</v>
      </c>
      <c r="AQ51" s="1" t="s">
        <v>152</v>
      </c>
      <c r="AR51" s="1">
        <v>45805.46944</v>
      </c>
      <c r="AU51" s="1" t="s">
        <v>64</v>
      </c>
      <c r="AW51" s="1" t="s">
        <v>84</v>
      </c>
      <c r="AY51" s="1">
        <v>45.0</v>
      </c>
    </row>
    <row r="52" hidden="1">
      <c r="A52" s="1" t="s">
        <v>51</v>
      </c>
      <c r="C52" s="1" t="s">
        <v>118</v>
      </c>
      <c r="E52" s="1" t="s">
        <v>53</v>
      </c>
      <c r="F52" s="1" t="s">
        <v>85</v>
      </c>
      <c r="G52" s="1">
        <v>39.0</v>
      </c>
      <c r="H52" s="1" t="s">
        <v>55</v>
      </c>
      <c r="I52" s="1" t="s">
        <v>67</v>
      </c>
      <c r="J52" s="1" t="s">
        <v>86</v>
      </c>
      <c r="K52" s="1" t="s">
        <v>87</v>
      </c>
      <c r="M52" s="1" t="s">
        <v>58</v>
      </c>
      <c r="N52" s="1" t="s">
        <v>58</v>
      </c>
      <c r="O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58</v>
      </c>
      <c r="W52" s="1" t="s">
        <v>69</v>
      </c>
      <c r="X52" s="1" t="s">
        <v>88</v>
      </c>
      <c r="Y52" s="1" t="s">
        <v>95</v>
      </c>
      <c r="Z52" s="1" t="s">
        <v>89</v>
      </c>
      <c r="AA52" s="1">
        <v>100.0</v>
      </c>
      <c r="AB52" s="1" t="s">
        <v>62</v>
      </c>
      <c r="AC52" s="1" t="s">
        <v>71</v>
      </c>
      <c r="AF52" s="1" t="s">
        <v>51</v>
      </c>
      <c r="AG52" s="1" t="s">
        <v>72</v>
      </c>
      <c r="AI52" s="1">
        <v>0.0</v>
      </c>
      <c r="AJ52" s="1">
        <v>0.0</v>
      </c>
      <c r="AK52" s="1">
        <v>0.0</v>
      </c>
      <c r="AL52" s="1">
        <v>1.0</v>
      </c>
      <c r="AM52" s="1" t="s">
        <v>72</v>
      </c>
      <c r="AP52" s="1">
        <v>4.87805968E8</v>
      </c>
      <c r="AQ52" s="1" t="s">
        <v>153</v>
      </c>
      <c r="AR52" s="1">
        <v>45805.47704</v>
      </c>
      <c r="AU52" s="1" t="s">
        <v>64</v>
      </c>
      <c r="AW52" s="1" t="s">
        <v>84</v>
      </c>
      <c r="AY52" s="1">
        <v>46.0</v>
      </c>
    </row>
    <row r="53" hidden="1">
      <c r="A53" s="1" t="s">
        <v>51</v>
      </c>
      <c r="C53" s="1" t="s">
        <v>52</v>
      </c>
      <c r="E53" s="1" t="s">
        <v>154</v>
      </c>
      <c r="G53" s="1">
        <v>45.0</v>
      </c>
      <c r="H53" s="1" t="s">
        <v>66</v>
      </c>
      <c r="J53" s="1" t="s">
        <v>86</v>
      </c>
      <c r="K53" s="1" t="s">
        <v>87</v>
      </c>
      <c r="M53" s="1" t="s">
        <v>69</v>
      </c>
      <c r="N53" s="1" t="s">
        <v>58</v>
      </c>
      <c r="O53" s="1" t="s">
        <v>69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69</v>
      </c>
      <c r="X53" s="1" t="s">
        <v>59</v>
      </c>
      <c r="Y53" s="1" t="s">
        <v>60</v>
      </c>
      <c r="Z53" s="1" t="s">
        <v>127</v>
      </c>
      <c r="AA53" s="1">
        <v>100.0</v>
      </c>
      <c r="AB53" s="1" t="s">
        <v>28</v>
      </c>
      <c r="AC53" s="1" t="s">
        <v>51</v>
      </c>
      <c r="AD53" s="1" t="s">
        <v>59</v>
      </c>
      <c r="AE53" s="1" t="s">
        <v>51</v>
      </c>
      <c r="AF53" s="1" t="s">
        <v>51</v>
      </c>
      <c r="AG53" s="1" t="s">
        <v>51</v>
      </c>
      <c r="AH53" s="1">
        <v>200.0</v>
      </c>
      <c r="AI53" s="1">
        <v>0.0</v>
      </c>
      <c r="AJ53" s="1">
        <v>0.0</v>
      </c>
      <c r="AK53" s="1">
        <v>0.0</v>
      </c>
      <c r="AL53" s="1">
        <v>1.0</v>
      </c>
      <c r="AP53" s="1">
        <v>4.87813566E8</v>
      </c>
      <c r="AQ53" s="1" t="s">
        <v>155</v>
      </c>
      <c r="AR53" s="1">
        <v>45805.48422</v>
      </c>
      <c r="AU53" s="1" t="s">
        <v>64</v>
      </c>
      <c r="AW53" s="1" t="s">
        <v>84</v>
      </c>
      <c r="AY53" s="1">
        <v>47.0</v>
      </c>
    </row>
    <row r="54" hidden="1">
      <c r="A54" s="1" t="s">
        <v>51</v>
      </c>
      <c r="C54" s="1" t="s">
        <v>52</v>
      </c>
      <c r="E54" s="1" t="s">
        <v>154</v>
      </c>
      <c r="G54" s="1">
        <v>55.0</v>
      </c>
      <c r="H54" s="1" t="s">
        <v>66</v>
      </c>
      <c r="J54" s="1" t="s">
        <v>86</v>
      </c>
      <c r="K54" s="1" t="s">
        <v>87</v>
      </c>
      <c r="M54" s="1" t="s">
        <v>58</v>
      </c>
      <c r="N54" s="1" t="s">
        <v>58</v>
      </c>
      <c r="O54" s="1" t="s">
        <v>58</v>
      </c>
      <c r="Q54" s="1" t="s">
        <v>58</v>
      </c>
      <c r="R54" s="1" t="s">
        <v>58</v>
      </c>
      <c r="S54" s="1" t="s">
        <v>69</v>
      </c>
      <c r="T54" s="1" t="s">
        <v>70</v>
      </c>
      <c r="U54" s="1" t="s">
        <v>70</v>
      </c>
      <c r="V54" s="1" t="s">
        <v>58</v>
      </c>
      <c r="W54" s="1" t="s">
        <v>70</v>
      </c>
      <c r="X54" s="1" t="s">
        <v>81</v>
      </c>
      <c r="Y54" s="1" t="s">
        <v>95</v>
      </c>
      <c r="Z54" s="1" t="s">
        <v>96</v>
      </c>
      <c r="AA54" s="1">
        <v>100.0</v>
      </c>
      <c r="AB54" s="1" t="s">
        <v>62</v>
      </c>
      <c r="AC54" s="1" t="s">
        <v>71</v>
      </c>
      <c r="AF54" s="1" t="s">
        <v>51</v>
      </c>
      <c r="AG54" s="1" t="s">
        <v>51</v>
      </c>
      <c r="AP54" s="1">
        <v>4.878188E8</v>
      </c>
      <c r="AQ54" s="1" t="s">
        <v>156</v>
      </c>
      <c r="AR54" s="1">
        <v>45805.48888</v>
      </c>
      <c r="AU54" s="1" t="s">
        <v>64</v>
      </c>
      <c r="AW54" s="1" t="s">
        <v>84</v>
      </c>
      <c r="AY54" s="1">
        <v>48.0</v>
      </c>
    </row>
    <row r="55" hidden="1">
      <c r="A55" s="1" t="s">
        <v>51</v>
      </c>
      <c r="C55" s="1" t="s">
        <v>52</v>
      </c>
      <c r="E55" s="1" t="s">
        <v>154</v>
      </c>
      <c r="G55" s="1">
        <v>47.0</v>
      </c>
      <c r="H55" s="1" t="s">
        <v>55</v>
      </c>
      <c r="J55" s="1" t="s">
        <v>86</v>
      </c>
      <c r="K55" s="1" t="s">
        <v>87</v>
      </c>
      <c r="M55" s="1" t="s">
        <v>58</v>
      </c>
      <c r="N55" s="1" t="s">
        <v>58</v>
      </c>
      <c r="O55" s="1" t="s">
        <v>58</v>
      </c>
      <c r="Q55" s="1" t="s">
        <v>69</v>
      </c>
      <c r="R55" s="1" t="s">
        <v>58</v>
      </c>
      <c r="S55" s="1" t="s">
        <v>69</v>
      </c>
      <c r="T55" s="1" t="s">
        <v>69</v>
      </c>
      <c r="U55" s="1" t="s">
        <v>58</v>
      </c>
      <c r="V55" s="1" t="s">
        <v>58</v>
      </c>
      <c r="W55" s="1" t="s">
        <v>69</v>
      </c>
      <c r="X55" s="1" t="s">
        <v>88</v>
      </c>
      <c r="Y55" s="1" t="s">
        <v>95</v>
      </c>
      <c r="Z55" s="1" t="s">
        <v>89</v>
      </c>
      <c r="AA55" s="1">
        <v>100.0</v>
      </c>
      <c r="AB55" s="1" t="s">
        <v>62</v>
      </c>
      <c r="AC55" s="1" t="s">
        <v>51</v>
      </c>
      <c r="AD55" s="1" t="s">
        <v>88</v>
      </c>
      <c r="AE55" s="1" t="s">
        <v>51</v>
      </c>
      <c r="AF55" s="1" t="s">
        <v>51</v>
      </c>
      <c r="AG55" s="1" t="s">
        <v>51</v>
      </c>
      <c r="AH55" s="1">
        <v>30.0</v>
      </c>
      <c r="AI55" s="1">
        <v>0.0</v>
      </c>
      <c r="AJ55" s="1">
        <v>0.0</v>
      </c>
      <c r="AK55" s="1">
        <v>0.0</v>
      </c>
      <c r="AL55" s="1">
        <v>1.0</v>
      </c>
      <c r="AP55" s="1">
        <v>4.87826428E8</v>
      </c>
      <c r="AQ55" s="1" t="s">
        <v>157</v>
      </c>
      <c r="AR55" s="1">
        <v>45805.4961</v>
      </c>
      <c r="AU55" s="1" t="s">
        <v>64</v>
      </c>
      <c r="AW55" s="1" t="s">
        <v>84</v>
      </c>
      <c r="AY55" s="1">
        <v>49.0</v>
      </c>
    </row>
    <row r="56" hidden="1">
      <c r="A56" s="1" t="s">
        <v>51</v>
      </c>
      <c r="C56" s="1" t="s">
        <v>53</v>
      </c>
      <c r="E56" s="1" t="s">
        <v>53</v>
      </c>
      <c r="F56" s="1" t="s">
        <v>158</v>
      </c>
      <c r="G56" s="1">
        <v>45.0</v>
      </c>
      <c r="H56" s="1" t="s">
        <v>66</v>
      </c>
      <c r="I56" s="1" t="s">
        <v>121</v>
      </c>
      <c r="J56" s="1" t="s">
        <v>86</v>
      </c>
      <c r="K56" s="1" t="s">
        <v>87</v>
      </c>
      <c r="M56" s="1" t="s">
        <v>58</v>
      </c>
      <c r="N56" s="1" t="s">
        <v>58</v>
      </c>
      <c r="O56" s="1" t="s">
        <v>70</v>
      </c>
      <c r="Q56" s="1" t="s">
        <v>58</v>
      </c>
      <c r="R56" s="1" t="s">
        <v>58</v>
      </c>
      <c r="S56" s="1" t="s">
        <v>58</v>
      </c>
      <c r="T56" s="1" t="s">
        <v>69</v>
      </c>
      <c r="U56" s="1" t="s">
        <v>70</v>
      </c>
      <c r="V56" s="1" t="s">
        <v>69</v>
      </c>
      <c r="W56" s="1" t="s">
        <v>69</v>
      </c>
      <c r="X56" s="1" t="s">
        <v>59</v>
      </c>
      <c r="Y56" s="1" t="s">
        <v>82</v>
      </c>
      <c r="Z56" s="1" t="s">
        <v>89</v>
      </c>
      <c r="AA56" s="1">
        <v>10.0</v>
      </c>
      <c r="AB56" s="1" t="s">
        <v>79</v>
      </c>
      <c r="AC56" s="1" t="s">
        <v>71</v>
      </c>
      <c r="AF56" s="1" t="s">
        <v>51</v>
      </c>
      <c r="AG56" s="1" t="s">
        <v>51</v>
      </c>
      <c r="AH56" s="1">
        <v>250.0</v>
      </c>
      <c r="AI56" s="1">
        <v>0.0</v>
      </c>
      <c r="AJ56" s="1">
        <v>0.0</v>
      </c>
      <c r="AK56" s="1">
        <v>0.0</v>
      </c>
      <c r="AL56" s="1">
        <v>1.0</v>
      </c>
      <c r="AM56" s="1" t="s">
        <v>72</v>
      </c>
      <c r="AP56" s="1">
        <v>4.87873583E8</v>
      </c>
      <c r="AQ56" s="1" t="s">
        <v>159</v>
      </c>
      <c r="AR56" s="1">
        <v>45805.53353</v>
      </c>
      <c r="AU56" s="1" t="s">
        <v>64</v>
      </c>
      <c r="AW56" s="1" t="s">
        <v>84</v>
      </c>
      <c r="AY56" s="1">
        <v>50.0</v>
      </c>
    </row>
    <row r="57" hidden="1">
      <c r="A57" s="1" t="s">
        <v>51</v>
      </c>
      <c r="C57" s="1" t="s">
        <v>52</v>
      </c>
      <c r="E57" s="1" t="s">
        <v>105</v>
      </c>
      <c r="G57" s="1">
        <v>44.0</v>
      </c>
      <c r="H57" s="1" t="s">
        <v>66</v>
      </c>
      <c r="J57" s="1" t="s">
        <v>86</v>
      </c>
      <c r="K57" s="1" t="s">
        <v>87</v>
      </c>
      <c r="M57" s="1" t="s">
        <v>58</v>
      </c>
      <c r="N57" s="1" t="s">
        <v>58</v>
      </c>
      <c r="O57" s="1" t="s">
        <v>69</v>
      </c>
      <c r="Q57" s="1" t="s">
        <v>58</v>
      </c>
      <c r="R57" s="1" t="s">
        <v>58</v>
      </c>
      <c r="S57" s="1" t="s">
        <v>69</v>
      </c>
      <c r="T57" s="1" t="s">
        <v>70</v>
      </c>
      <c r="U57" s="1" t="s">
        <v>70</v>
      </c>
      <c r="V57" s="1" t="s">
        <v>70</v>
      </c>
      <c r="W57" s="1" t="s">
        <v>69</v>
      </c>
      <c r="X57" s="1" t="s">
        <v>81</v>
      </c>
      <c r="Y57" s="1" t="s">
        <v>95</v>
      </c>
      <c r="Z57" s="1" t="s">
        <v>89</v>
      </c>
      <c r="AA57" s="1">
        <v>100.0</v>
      </c>
      <c r="AB57" s="1" t="s">
        <v>62</v>
      </c>
      <c r="AC57" s="1" t="s">
        <v>71</v>
      </c>
      <c r="AF57" s="1" t="s">
        <v>51</v>
      </c>
      <c r="AG57" s="1" t="s">
        <v>72</v>
      </c>
      <c r="AI57" s="1">
        <v>0.0</v>
      </c>
      <c r="AJ57" s="1">
        <v>0.0</v>
      </c>
      <c r="AK57" s="1">
        <v>0.0</v>
      </c>
      <c r="AL57" s="1">
        <v>1.0</v>
      </c>
      <c r="AP57" s="1">
        <v>4.87902328E8</v>
      </c>
      <c r="AQ57" s="1" t="s">
        <v>160</v>
      </c>
      <c r="AR57" s="1">
        <v>45805.55344</v>
      </c>
      <c r="AU57" s="1" t="s">
        <v>64</v>
      </c>
      <c r="AW57" s="1" t="s">
        <v>84</v>
      </c>
      <c r="AY57" s="1">
        <v>51.0</v>
      </c>
    </row>
    <row r="58" hidden="1">
      <c r="A58" s="1" t="s">
        <v>51</v>
      </c>
      <c r="C58" s="1" t="s">
        <v>53</v>
      </c>
      <c r="E58" s="1" t="s">
        <v>53</v>
      </c>
      <c r="F58" s="1" t="s">
        <v>161</v>
      </c>
      <c r="G58" s="1">
        <v>41.0</v>
      </c>
      <c r="H58" s="1" t="s">
        <v>66</v>
      </c>
      <c r="I58" s="1" t="s">
        <v>121</v>
      </c>
      <c r="J58" s="1" t="s">
        <v>111</v>
      </c>
      <c r="K58" s="1" t="s">
        <v>87</v>
      </c>
      <c r="M58" s="1" t="s">
        <v>58</v>
      </c>
      <c r="N58" s="1" t="s">
        <v>58</v>
      </c>
      <c r="O58" s="1" t="s">
        <v>69</v>
      </c>
      <c r="Q58" s="1" t="s">
        <v>58</v>
      </c>
      <c r="R58" s="1" t="s">
        <v>58</v>
      </c>
      <c r="S58" s="1" t="s">
        <v>58</v>
      </c>
      <c r="T58" s="1" t="s">
        <v>69</v>
      </c>
      <c r="U58" s="1" t="s">
        <v>69</v>
      </c>
      <c r="V58" s="1" t="s">
        <v>58</v>
      </c>
      <c r="W58" s="1" t="s">
        <v>69</v>
      </c>
      <c r="X58" s="1" t="s">
        <v>88</v>
      </c>
      <c r="Y58" s="1" t="s">
        <v>95</v>
      </c>
      <c r="Z58" s="1" t="s">
        <v>61</v>
      </c>
      <c r="AA58" s="1">
        <v>100.0</v>
      </c>
      <c r="AB58" s="1" t="s">
        <v>62</v>
      </c>
      <c r="AC58" s="1" t="s">
        <v>72</v>
      </c>
      <c r="AF58" s="1" t="s">
        <v>51</v>
      </c>
      <c r="AG58" s="1" t="s">
        <v>51</v>
      </c>
      <c r="AH58" s="1">
        <v>50.0</v>
      </c>
      <c r="AI58" s="1">
        <v>0.0</v>
      </c>
      <c r="AJ58" s="1">
        <v>0.0</v>
      </c>
      <c r="AK58" s="1">
        <v>0.0</v>
      </c>
      <c r="AL58" s="1">
        <v>1.0</v>
      </c>
      <c r="AM58" s="1" t="s">
        <v>51</v>
      </c>
      <c r="AN58" s="1">
        <v>7.16262093E8</v>
      </c>
      <c r="AP58" s="1">
        <v>4.87913501E8</v>
      </c>
      <c r="AQ58" s="1" t="s">
        <v>162</v>
      </c>
      <c r="AR58" s="1">
        <v>45805.56046</v>
      </c>
      <c r="AU58" s="1" t="s">
        <v>64</v>
      </c>
      <c r="AW58" s="1" t="s">
        <v>84</v>
      </c>
      <c r="AY58" s="1">
        <v>52.0</v>
      </c>
    </row>
    <row r="59" hidden="1">
      <c r="A59" s="1" t="s">
        <v>51</v>
      </c>
      <c r="C59" s="1" t="s">
        <v>52</v>
      </c>
      <c r="E59" s="1" t="s">
        <v>53</v>
      </c>
      <c r="F59" s="1" t="s">
        <v>102</v>
      </c>
      <c r="G59" s="1">
        <v>45.0</v>
      </c>
      <c r="H59" s="1" t="s">
        <v>55</v>
      </c>
      <c r="I59" s="1" t="s">
        <v>67</v>
      </c>
      <c r="J59" s="1" t="s">
        <v>86</v>
      </c>
      <c r="K59" s="1" t="s">
        <v>87</v>
      </c>
      <c r="M59" s="1" t="s">
        <v>58</v>
      </c>
      <c r="N59" s="1" t="s">
        <v>58</v>
      </c>
      <c r="O59" s="1" t="s">
        <v>58</v>
      </c>
      <c r="Q59" s="1" t="s">
        <v>70</v>
      </c>
      <c r="R59" s="1" t="s">
        <v>58</v>
      </c>
      <c r="S59" s="1" t="s">
        <v>69</v>
      </c>
      <c r="T59" s="1" t="s">
        <v>58</v>
      </c>
      <c r="U59" s="1" t="s">
        <v>70</v>
      </c>
      <c r="V59" s="1" t="s">
        <v>58</v>
      </c>
      <c r="W59" s="1" t="s">
        <v>69</v>
      </c>
      <c r="X59" s="1" t="s">
        <v>81</v>
      </c>
      <c r="Y59" s="1" t="s">
        <v>95</v>
      </c>
      <c r="Z59" s="1" t="s">
        <v>89</v>
      </c>
      <c r="AA59" s="1">
        <v>50.0</v>
      </c>
      <c r="AB59" s="1" t="s">
        <v>62</v>
      </c>
      <c r="AC59" s="1" t="s">
        <v>71</v>
      </c>
      <c r="AF59" s="1" t="s">
        <v>51</v>
      </c>
      <c r="AG59" s="1" t="s">
        <v>72</v>
      </c>
      <c r="AI59" s="1">
        <v>0.0</v>
      </c>
      <c r="AJ59" s="1">
        <v>0.0</v>
      </c>
      <c r="AK59" s="1">
        <v>0.0</v>
      </c>
      <c r="AL59" s="1">
        <v>1.0</v>
      </c>
      <c r="AM59" s="1" t="s">
        <v>72</v>
      </c>
      <c r="AP59" s="1">
        <v>4.87937854E8</v>
      </c>
      <c r="AQ59" s="1" t="s">
        <v>163</v>
      </c>
      <c r="AR59" s="1">
        <v>45805.57583</v>
      </c>
      <c r="AU59" s="1" t="s">
        <v>64</v>
      </c>
      <c r="AW59" s="1" t="s">
        <v>84</v>
      </c>
      <c r="AY59" s="1">
        <v>53.0</v>
      </c>
    </row>
    <row r="60" hidden="1">
      <c r="A60" s="1" t="s">
        <v>51</v>
      </c>
      <c r="C60" s="1" t="s">
        <v>52</v>
      </c>
      <c r="E60" s="1" t="s">
        <v>53</v>
      </c>
      <c r="F60" s="1" t="s">
        <v>102</v>
      </c>
      <c r="G60" s="1">
        <v>37.0</v>
      </c>
      <c r="H60" s="1" t="s">
        <v>55</v>
      </c>
      <c r="I60" s="1" t="s">
        <v>67</v>
      </c>
      <c r="J60" s="1" t="s">
        <v>86</v>
      </c>
      <c r="K60" s="1" t="s">
        <v>87</v>
      </c>
      <c r="M60" s="1" t="s">
        <v>58</v>
      </c>
      <c r="N60" s="1" t="s">
        <v>58</v>
      </c>
      <c r="O60" s="1" t="s">
        <v>58</v>
      </c>
      <c r="Q60" s="1" t="s">
        <v>69</v>
      </c>
      <c r="R60" s="1" t="s">
        <v>58</v>
      </c>
      <c r="S60" s="1" t="s">
        <v>69</v>
      </c>
      <c r="T60" s="1" t="s">
        <v>69</v>
      </c>
      <c r="U60" s="1" t="s">
        <v>69</v>
      </c>
      <c r="V60" s="1" t="s">
        <v>70</v>
      </c>
      <c r="W60" s="1" t="s">
        <v>69</v>
      </c>
      <c r="X60" s="1" t="s">
        <v>88</v>
      </c>
      <c r="Y60" s="1" t="s">
        <v>95</v>
      </c>
      <c r="Z60" s="1" t="s">
        <v>89</v>
      </c>
      <c r="AA60" s="1">
        <v>50.0</v>
      </c>
      <c r="AB60" s="1" t="s">
        <v>62</v>
      </c>
      <c r="AC60" s="1" t="s">
        <v>71</v>
      </c>
      <c r="AF60" s="1" t="s">
        <v>51</v>
      </c>
      <c r="AG60" s="1" t="s">
        <v>72</v>
      </c>
      <c r="AI60" s="1">
        <v>0.0</v>
      </c>
      <c r="AJ60" s="1">
        <v>0.0</v>
      </c>
      <c r="AK60" s="1">
        <v>1.0</v>
      </c>
      <c r="AL60" s="1">
        <v>0.0</v>
      </c>
      <c r="AM60" s="1" t="s">
        <v>72</v>
      </c>
      <c r="AP60" s="1">
        <v>4.87977877E8</v>
      </c>
      <c r="AQ60" s="1" t="s">
        <v>164</v>
      </c>
      <c r="AR60" s="1">
        <v>45805.59932</v>
      </c>
      <c r="AU60" s="1" t="s">
        <v>64</v>
      </c>
      <c r="AW60" s="1" t="s">
        <v>165</v>
      </c>
      <c r="AY60" s="1">
        <v>54.0</v>
      </c>
    </row>
    <row r="61" hidden="1">
      <c r="A61" s="1" t="s">
        <v>51</v>
      </c>
      <c r="C61" s="1" t="s">
        <v>52</v>
      </c>
      <c r="E61" s="1" t="s">
        <v>53</v>
      </c>
      <c r="F61" s="1" t="s">
        <v>102</v>
      </c>
      <c r="G61" s="1">
        <v>44.0</v>
      </c>
      <c r="H61" s="1" t="s">
        <v>66</v>
      </c>
      <c r="I61" s="1" t="s">
        <v>67</v>
      </c>
      <c r="J61" s="1" t="s">
        <v>111</v>
      </c>
      <c r="K61" s="1" t="s">
        <v>87</v>
      </c>
      <c r="M61" s="1" t="s">
        <v>58</v>
      </c>
      <c r="N61" s="1" t="s">
        <v>58</v>
      </c>
      <c r="O61" s="1" t="s">
        <v>58</v>
      </c>
      <c r="Q61" s="1" t="s">
        <v>69</v>
      </c>
      <c r="R61" s="1" t="s">
        <v>58</v>
      </c>
      <c r="S61" s="1" t="s">
        <v>69</v>
      </c>
      <c r="T61" s="1" t="s">
        <v>69</v>
      </c>
      <c r="U61" s="1" t="s">
        <v>58</v>
      </c>
      <c r="V61" s="1" t="s">
        <v>58</v>
      </c>
      <c r="W61" s="1" t="s">
        <v>69</v>
      </c>
      <c r="X61" s="1" t="s">
        <v>88</v>
      </c>
      <c r="Y61" s="1" t="s">
        <v>95</v>
      </c>
      <c r="Z61" s="1" t="s">
        <v>89</v>
      </c>
      <c r="AA61" s="1">
        <v>100.0</v>
      </c>
      <c r="AB61" s="1" t="s">
        <v>79</v>
      </c>
      <c r="AC61" s="1" t="s">
        <v>71</v>
      </c>
      <c r="AF61" s="1" t="s">
        <v>51</v>
      </c>
      <c r="AG61" s="1" t="s">
        <v>72</v>
      </c>
      <c r="AI61" s="1">
        <v>0.0</v>
      </c>
      <c r="AJ61" s="1">
        <v>1.0</v>
      </c>
      <c r="AK61" s="1">
        <v>1.0</v>
      </c>
      <c r="AL61" s="1">
        <v>0.0</v>
      </c>
      <c r="AM61" s="1" t="s">
        <v>72</v>
      </c>
      <c r="AP61" s="1">
        <v>4.88028391E8</v>
      </c>
      <c r="AQ61" s="1" t="s">
        <v>166</v>
      </c>
      <c r="AR61" s="1">
        <v>45805.62756</v>
      </c>
      <c r="AU61" s="1" t="s">
        <v>64</v>
      </c>
      <c r="AW61" s="1" t="s">
        <v>165</v>
      </c>
      <c r="AY61" s="1">
        <v>55.0</v>
      </c>
    </row>
    <row r="62" hidden="1">
      <c r="A62" s="1" t="s">
        <v>51</v>
      </c>
      <c r="C62" s="1" t="s">
        <v>52</v>
      </c>
      <c r="E62" s="1" t="s">
        <v>53</v>
      </c>
      <c r="F62" s="1" t="s">
        <v>54</v>
      </c>
      <c r="G62" s="1">
        <v>45.0</v>
      </c>
      <c r="H62" s="1" t="s">
        <v>66</v>
      </c>
      <c r="I62" s="1" t="s">
        <v>67</v>
      </c>
      <c r="J62" s="1" t="s">
        <v>111</v>
      </c>
      <c r="K62" s="1" t="s">
        <v>87</v>
      </c>
      <c r="M62" s="1" t="s">
        <v>58</v>
      </c>
      <c r="N62" s="1" t="s">
        <v>58</v>
      </c>
      <c r="O62" s="1" t="s">
        <v>69</v>
      </c>
      <c r="Q62" s="1" t="s">
        <v>58</v>
      </c>
      <c r="R62" s="1" t="s">
        <v>58</v>
      </c>
      <c r="S62" s="1" t="s">
        <v>69</v>
      </c>
      <c r="T62" s="1" t="s">
        <v>58</v>
      </c>
      <c r="U62" s="1" t="s">
        <v>58</v>
      </c>
      <c r="V62" s="1" t="s">
        <v>58</v>
      </c>
      <c r="W62" s="1" t="s">
        <v>69</v>
      </c>
      <c r="X62" s="1" t="s">
        <v>81</v>
      </c>
      <c r="Y62" s="1" t="s">
        <v>82</v>
      </c>
      <c r="Z62" s="1" t="s">
        <v>61</v>
      </c>
      <c r="AA62" s="1">
        <v>100.0</v>
      </c>
      <c r="AB62" s="1" t="s">
        <v>79</v>
      </c>
      <c r="AC62" s="1" t="s">
        <v>71</v>
      </c>
      <c r="AF62" s="1" t="s">
        <v>51</v>
      </c>
      <c r="AG62" s="1" t="s">
        <v>51</v>
      </c>
      <c r="AI62" s="1">
        <v>0.0</v>
      </c>
      <c r="AJ62" s="1">
        <v>0.0</v>
      </c>
      <c r="AK62" s="1">
        <v>0.0</v>
      </c>
      <c r="AL62" s="1">
        <v>1.0</v>
      </c>
      <c r="AM62" s="1" t="s">
        <v>51</v>
      </c>
      <c r="AN62" s="1">
        <v>7.39553284E8</v>
      </c>
      <c r="AP62" s="1">
        <v>4.8804228E8</v>
      </c>
      <c r="AQ62" s="1" t="s">
        <v>167</v>
      </c>
      <c r="AR62" s="1">
        <v>45805.63536</v>
      </c>
      <c r="AU62" s="1" t="s">
        <v>64</v>
      </c>
      <c r="AW62" s="1" t="s">
        <v>165</v>
      </c>
      <c r="AY62" s="1">
        <v>56.0</v>
      </c>
    </row>
    <row r="63" hidden="1">
      <c r="A63" s="1" t="s">
        <v>51</v>
      </c>
      <c r="C63" s="1" t="s">
        <v>131</v>
      </c>
      <c r="E63" s="1" t="s">
        <v>131</v>
      </c>
      <c r="G63" s="1">
        <v>53.0</v>
      </c>
      <c r="H63" s="1" t="s">
        <v>55</v>
      </c>
      <c r="J63" s="1" t="s">
        <v>86</v>
      </c>
      <c r="K63" s="1" t="s">
        <v>87</v>
      </c>
      <c r="M63" s="1" t="s">
        <v>58</v>
      </c>
      <c r="N63" s="1" t="s">
        <v>58</v>
      </c>
      <c r="O63" s="1" t="s">
        <v>70</v>
      </c>
      <c r="Q63" s="1" t="s">
        <v>69</v>
      </c>
      <c r="R63" s="1" t="s">
        <v>58</v>
      </c>
      <c r="S63" s="1" t="s">
        <v>69</v>
      </c>
      <c r="T63" s="1" t="s">
        <v>69</v>
      </c>
      <c r="U63" s="1" t="s">
        <v>70</v>
      </c>
      <c r="V63" s="1" t="s">
        <v>58</v>
      </c>
      <c r="W63" s="1" t="s">
        <v>69</v>
      </c>
      <c r="X63" s="1" t="s">
        <v>59</v>
      </c>
      <c r="Z63" s="1" t="s">
        <v>108</v>
      </c>
      <c r="AA63" s="1">
        <v>10.0</v>
      </c>
      <c r="AB63" s="1" t="s">
        <v>62</v>
      </c>
      <c r="AF63" s="1" t="s">
        <v>51</v>
      </c>
      <c r="AG63" s="1" t="s">
        <v>72</v>
      </c>
      <c r="AI63" s="1">
        <v>0.0</v>
      </c>
      <c r="AJ63" s="1">
        <v>0.0</v>
      </c>
      <c r="AK63" s="1">
        <v>0.0</v>
      </c>
      <c r="AL63" s="1">
        <v>1.0</v>
      </c>
      <c r="AP63" s="1">
        <v>4.88064602E8</v>
      </c>
      <c r="AQ63" s="1" t="s">
        <v>168</v>
      </c>
      <c r="AR63" s="1">
        <v>45805.64787</v>
      </c>
      <c r="AU63" s="1" t="s">
        <v>64</v>
      </c>
      <c r="AW63" s="1" t="s">
        <v>165</v>
      </c>
      <c r="AY63" s="1">
        <v>57.0</v>
      </c>
    </row>
    <row r="64" hidden="1">
      <c r="A64" s="1" t="s">
        <v>51</v>
      </c>
      <c r="C64" s="1" t="s">
        <v>52</v>
      </c>
      <c r="E64" s="1" t="s">
        <v>53</v>
      </c>
      <c r="F64" s="1" t="s">
        <v>161</v>
      </c>
      <c r="G64" s="1">
        <v>45.0</v>
      </c>
      <c r="H64" s="1" t="s">
        <v>55</v>
      </c>
      <c r="I64" s="1" t="s">
        <v>67</v>
      </c>
      <c r="J64" s="1" t="s">
        <v>86</v>
      </c>
      <c r="K64" s="1" t="s">
        <v>87</v>
      </c>
      <c r="M64" s="1" t="s">
        <v>58</v>
      </c>
      <c r="N64" s="1" t="s">
        <v>58</v>
      </c>
      <c r="O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103</v>
      </c>
      <c r="Y64" s="1" t="s">
        <v>95</v>
      </c>
      <c r="Z64" s="1" t="s">
        <v>96</v>
      </c>
      <c r="AA64" s="1">
        <v>100.0</v>
      </c>
      <c r="AB64" s="1" t="s">
        <v>28</v>
      </c>
      <c r="AC64" s="1" t="s">
        <v>51</v>
      </c>
      <c r="AD64" s="1" t="s">
        <v>88</v>
      </c>
      <c r="AE64" s="1" t="s">
        <v>51</v>
      </c>
      <c r="AF64" s="1" t="s">
        <v>51</v>
      </c>
      <c r="AG64" s="1" t="s">
        <v>72</v>
      </c>
      <c r="AI64" s="1">
        <v>0.0</v>
      </c>
      <c r="AJ64" s="1">
        <v>0.0</v>
      </c>
      <c r="AK64" s="1">
        <v>1.0</v>
      </c>
      <c r="AL64" s="1">
        <v>0.0</v>
      </c>
      <c r="AM64" s="1" t="s">
        <v>72</v>
      </c>
      <c r="AP64" s="1">
        <v>4.88106386E8</v>
      </c>
      <c r="AQ64" s="1" t="s">
        <v>169</v>
      </c>
      <c r="AR64" s="1">
        <v>45805.67096</v>
      </c>
      <c r="AU64" s="1" t="s">
        <v>64</v>
      </c>
      <c r="AW64" s="1" t="s">
        <v>165</v>
      </c>
      <c r="AY64" s="1">
        <v>58.0</v>
      </c>
    </row>
    <row r="65" hidden="1">
      <c r="A65" s="1" t="s">
        <v>51</v>
      </c>
      <c r="C65" s="1" t="s">
        <v>170</v>
      </c>
      <c r="E65" s="1" t="s">
        <v>53</v>
      </c>
      <c r="F65" s="1" t="s">
        <v>54</v>
      </c>
      <c r="G65" s="1">
        <v>51.0</v>
      </c>
      <c r="H65" s="1" t="s">
        <v>55</v>
      </c>
      <c r="I65" s="1" t="s">
        <v>67</v>
      </c>
      <c r="J65" s="1" t="s">
        <v>68</v>
      </c>
      <c r="K65" s="1" t="s">
        <v>74</v>
      </c>
      <c r="M65" s="1" t="s">
        <v>58</v>
      </c>
      <c r="N65" s="1" t="s">
        <v>58</v>
      </c>
      <c r="O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81</v>
      </c>
      <c r="Y65" s="1" t="s">
        <v>82</v>
      </c>
      <c r="Z65" s="1" t="s">
        <v>89</v>
      </c>
      <c r="AA65" s="1">
        <v>20.0</v>
      </c>
      <c r="AB65" s="1" t="s">
        <v>79</v>
      </c>
      <c r="AC65" s="1" t="s">
        <v>51</v>
      </c>
      <c r="AM65" s="1" t="s">
        <v>51</v>
      </c>
      <c r="AN65" s="1">
        <v>6.4483844E8</v>
      </c>
      <c r="AP65" s="1">
        <v>4.88131078E8</v>
      </c>
      <c r="AQ65" s="1" t="s">
        <v>171</v>
      </c>
      <c r="AR65" s="1">
        <v>45805.68455</v>
      </c>
      <c r="AU65" s="1" t="s">
        <v>64</v>
      </c>
      <c r="AW65" s="1" t="s">
        <v>165</v>
      </c>
      <c r="AY65" s="1">
        <v>59.0</v>
      </c>
    </row>
    <row r="66" hidden="1">
      <c r="A66" s="1" t="s">
        <v>51</v>
      </c>
      <c r="C66" s="1" t="s">
        <v>170</v>
      </c>
      <c r="E66" s="1" t="s">
        <v>53</v>
      </c>
      <c r="F66" s="1" t="s">
        <v>54</v>
      </c>
      <c r="H66" s="1" t="s">
        <v>66</v>
      </c>
      <c r="I66" s="1" t="s">
        <v>100</v>
      </c>
      <c r="J66" s="1" t="s">
        <v>56</v>
      </c>
      <c r="K66" s="1" t="s">
        <v>74</v>
      </c>
      <c r="M66" s="1" t="s">
        <v>58</v>
      </c>
      <c r="N66" s="1" t="s">
        <v>58</v>
      </c>
      <c r="O66" s="1" t="s">
        <v>69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103</v>
      </c>
      <c r="Y66" s="1" t="s">
        <v>172</v>
      </c>
      <c r="Z66" s="1" t="s">
        <v>89</v>
      </c>
      <c r="AA66" s="1">
        <v>30.0</v>
      </c>
      <c r="AB66" s="1" t="s">
        <v>28</v>
      </c>
      <c r="AC66" s="1" t="s">
        <v>72</v>
      </c>
      <c r="AF66" s="1" t="s">
        <v>51</v>
      </c>
      <c r="AG66" s="1" t="s">
        <v>51</v>
      </c>
      <c r="AI66" s="1">
        <v>1.0</v>
      </c>
      <c r="AJ66" s="1">
        <v>1.0</v>
      </c>
      <c r="AK66" s="1">
        <v>1.0</v>
      </c>
      <c r="AL66" s="1">
        <v>0.0</v>
      </c>
      <c r="AM66" s="1" t="s">
        <v>72</v>
      </c>
      <c r="AP66" s="1">
        <v>4.88133757E8</v>
      </c>
      <c r="AQ66" s="1" t="s">
        <v>173</v>
      </c>
      <c r="AR66" s="1">
        <v>45805.68609</v>
      </c>
      <c r="AU66" s="1" t="s">
        <v>64</v>
      </c>
      <c r="AW66" s="1" t="s">
        <v>165</v>
      </c>
      <c r="AY66" s="1">
        <v>60.0</v>
      </c>
    </row>
    <row r="67" hidden="1">
      <c r="A67" s="1" t="s">
        <v>51</v>
      </c>
      <c r="C67" s="1" t="s">
        <v>52</v>
      </c>
      <c r="E67" s="1" t="s">
        <v>52</v>
      </c>
      <c r="G67" s="1">
        <v>45.0</v>
      </c>
      <c r="H67" s="1" t="s">
        <v>55</v>
      </c>
      <c r="J67" s="1" t="s">
        <v>86</v>
      </c>
      <c r="K67" s="1" t="s">
        <v>87</v>
      </c>
      <c r="M67" s="1" t="s">
        <v>58</v>
      </c>
      <c r="N67" s="1" t="s">
        <v>58</v>
      </c>
      <c r="O67" s="1" t="s">
        <v>58</v>
      </c>
      <c r="Q67" s="1" t="s">
        <v>58</v>
      </c>
      <c r="R67" s="1" t="s">
        <v>58</v>
      </c>
      <c r="S67" s="1" t="s">
        <v>58</v>
      </c>
      <c r="T67" s="1" t="s">
        <v>69</v>
      </c>
      <c r="U67" s="1" t="s">
        <v>58</v>
      </c>
      <c r="V67" s="1" t="s">
        <v>58</v>
      </c>
      <c r="W67" s="1" t="s">
        <v>58</v>
      </c>
      <c r="X67" s="1" t="s">
        <v>88</v>
      </c>
      <c r="Y67" s="1" t="s">
        <v>60</v>
      </c>
      <c r="Z67" s="1" t="s">
        <v>89</v>
      </c>
      <c r="AA67" s="1">
        <v>100.0</v>
      </c>
      <c r="AB67" s="1" t="s">
        <v>62</v>
      </c>
      <c r="AC67" s="1" t="s">
        <v>71</v>
      </c>
      <c r="AF67" s="1" t="s">
        <v>51</v>
      </c>
      <c r="AG67" s="1" t="s">
        <v>72</v>
      </c>
      <c r="AI67" s="1">
        <v>0.0</v>
      </c>
      <c r="AJ67" s="1">
        <v>0.0</v>
      </c>
      <c r="AK67" s="1">
        <v>0.0</v>
      </c>
      <c r="AL67" s="1">
        <v>1.0</v>
      </c>
      <c r="AP67" s="1">
        <v>4.88135385E8</v>
      </c>
      <c r="AQ67" s="1" t="s">
        <v>174</v>
      </c>
      <c r="AR67" s="1">
        <v>45805.68712</v>
      </c>
      <c r="AU67" s="1" t="s">
        <v>64</v>
      </c>
      <c r="AW67" s="1" t="s">
        <v>165</v>
      </c>
      <c r="AY67" s="1">
        <v>61.0</v>
      </c>
    </row>
    <row r="68" hidden="1">
      <c r="A68" s="1" t="s">
        <v>51</v>
      </c>
      <c r="C68" s="1" t="s">
        <v>52</v>
      </c>
      <c r="E68" s="1" t="s">
        <v>53</v>
      </c>
      <c r="F68" s="1" t="s">
        <v>54</v>
      </c>
      <c r="G68" s="1">
        <v>47.0</v>
      </c>
      <c r="H68" s="1" t="s">
        <v>66</v>
      </c>
      <c r="I68" s="1" t="s">
        <v>67</v>
      </c>
      <c r="J68" s="1" t="s">
        <v>86</v>
      </c>
      <c r="K68" s="1" t="s">
        <v>74</v>
      </c>
      <c r="M68" s="1" t="s">
        <v>58</v>
      </c>
      <c r="N68" s="1" t="s">
        <v>58</v>
      </c>
      <c r="O68" s="1" t="s">
        <v>69</v>
      </c>
      <c r="Q68" s="1" t="s">
        <v>69</v>
      </c>
      <c r="R68" s="1" t="s">
        <v>58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81</v>
      </c>
      <c r="Y68" s="1" t="s">
        <v>82</v>
      </c>
      <c r="Z68" s="1" t="s">
        <v>89</v>
      </c>
      <c r="AA68" s="1">
        <v>10.0</v>
      </c>
      <c r="AB68" s="1" t="s">
        <v>79</v>
      </c>
      <c r="AC68" s="1" t="s">
        <v>71</v>
      </c>
      <c r="AF68" s="1" t="s">
        <v>51</v>
      </c>
      <c r="AG68" s="1" t="s">
        <v>51</v>
      </c>
      <c r="AH68" s="1">
        <v>100.0</v>
      </c>
      <c r="AI68" s="1">
        <v>0.0</v>
      </c>
      <c r="AJ68" s="1">
        <v>0.0</v>
      </c>
      <c r="AK68" s="1">
        <v>0.0</v>
      </c>
      <c r="AL68" s="1">
        <v>1.0</v>
      </c>
      <c r="AM68" s="1" t="s">
        <v>51</v>
      </c>
      <c r="AN68" s="1">
        <v>6.10832654E8</v>
      </c>
      <c r="AP68" s="1">
        <v>4.88197952E8</v>
      </c>
      <c r="AQ68" s="1" t="s">
        <v>175</v>
      </c>
      <c r="AR68" s="1">
        <v>45805.72736</v>
      </c>
      <c r="AU68" s="1" t="s">
        <v>64</v>
      </c>
      <c r="AW68" s="1" t="s">
        <v>165</v>
      </c>
      <c r="AY68" s="1">
        <v>62.0</v>
      </c>
    </row>
    <row r="69" hidden="1">
      <c r="A69" s="1" t="s">
        <v>51</v>
      </c>
      <c r="C69" s="1" t="s">
        <v>53</v>
      </c>
      <c r="E69" s="1" t="s">
        <v>53</v>
      </c>
      <c r="F69" s="1" t="s">
        <v>102</v>
      </c>
      <c r="G69" s="1">
        <v>32.0</v>
      </c>
      <c r="H69" s="1" t="s">
        <v>55</v>
      </c>
      <c r="I69" s="1" t="s">
        <v>121</v>
      </c>
      <c r="J69" s="1" t="s">
        <v>86</v>
      </c>
      <c r="K69" s="1" t="s">
        <v>87</v>
      </c>
      <c r="M69" s="1" t="s">
        <v>58</v>
      </c>
      <c r="N69" s="1" t="s">
        <v>58</v>
      </c>
      <c r="O69" s="1" t="s">
        <v>69</v>
      </c>
      <c r="Q69" s="1" t="s">
        <v>58</v>
      </c>
      <c r="R69" s="1" t="s">
        <v>58</v>
      </c>
      <c r="S69" s="1" t="s">
        <v>69</v>
      </c>
      <c r="T69" s="1" t="s">
        <v>69</v>
      </c>
      <c r="U69" s="1" t="s">
        <v>58</v>
      </c>
      <c r="V69" s="1" t="s">
        <v>58</v>
      </c>
      <c r="W69" s="1" t="s">
        <v>69</v>
      </c>
      <c r="X69" s="1" t="s">
        <v>81</v>
      </c>
      <c r="Y69" s="1" t="s">
        <v>82</v>
      </c>
      <c r="Z69" s="1" t="s">
        <v>89</v>
      </c>
      <c r="AA69" s="1">
        <v>10.0</v>
      </c>
      <c r="AB69" s="1" t="s">
        <v>79</v>
      </c>
      <c r="AC69" s="1" t="s">
        <v>71</v>
      </c>
      <c r="AF69" s="1" t="s">
        <v>51</v>
      </c>
      <c r="AG69" s="1" t="s">
        <v>72</v>
      </c>
      <c r="AI69" s="1">
        <v>1.0</v>
      </c>
      <c r="AJ69" s="1">
        <v>1.0</v>
      </c>
      <c r="AK69" s="1">
        <v>1.0</v>
      </c>
      <c r="AL69" s="1">
        <v>0.0</v>
      </c>
      <c r="AM69" s="1" t="s">
        <v>72</v>
      </c>
      <c r="AP69" s="1">
        <v>4.88202438E8</v>
      </c>
      <c r="AQ69" s="1" t="s">
        <v>176</v>
      </c>
      <c r="AR69" s="1">
        <v>45805.7312</v>
      </c>
      <c r="AU69" s="1" t="s">
        <v>64</v>
      </c>
      <c r="AW69" s="1" t="s">
        <v>165</v>
      </c>
      <c r="AY69" s="1">
        <v>63.0</v>
      </c>
    </row>
    <row r="70" hidden="1">
      <c r="A70" s="1" t="s">
        <v>51</v>
      </c>
      <c r="C70" s="1" t="s">
        <v>170</v>
      </c>
      <c r="E70" s="1" t="s">
        <v>53</v>
      </c>
      <c r="F70" s="1" t="s">
        <v>54</v>
      </c>
      <c r="G70" s="1">
        <v>27.0</v>
      </c>
      <c r="H70" s="1" t="s">
        <v>66</v>
      </c>
      <c r="I70" s="1" t="s">
        <v>67</v>
      </c>
      <c r="J70" s="1" t="s">
        <v>68</v>
      </c>
      <c r="K70" s="1" t="s">
        <v>74</v>
      </c>
      <c r="M70" s="1" t="s">
        <v>58</v>
      </c>
      <c r="N70" s="1" t="s">
        <v>58</v>
      </c>
      <c r="O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59</v>
      </c>
      <c r="Y70" s="1" t="s">
        <v>82</v>
      </c>
      <c r="Z70" s="1" t="s">
        <v>89</v>
      </c>
      <c r="AA70" s="1">
        <v>10.0</v>
      </c>
      <c r="AB70" s="1" t="s">
        <v>79</v>
      </c>
      <c r="AC70" s="1" t="s">
        <v>51</v>
      </c>
      <c r="AD70" s="1" t="s">
        <v>81</v>
      </c>
      <c r="AE70" s="1" t="s">
        <v>51</v>
      </c>
      <c r="AF70" s="1" t="s">
        <v>51</v>
      </c>
      <c r="AG70" s="1" t="s">
        <v>51</v>
      </c>
      <c r="AH70" s="1">
        <v>350.0</v>
      </c>
      <c r="AI70" s="1">
        <v>0.0</v>
      </c>
      <c r="AJ70" s="1">
        <v>1.0</v>
      </c>
      <c r="AK70" s="1">
        <v>0.0</v>
      </c>
      <c r="AL70" s="1">
        <v>0.0</v>
      </c>
      <c r="AM70" s="1" t="s">
        <v>51</v>
      </c>
      <c r="AN70" s="1">
        <v>6.59857007E8</v>
      </c>
      <c r="AP70" s="1">
        <v>4.88227278E8</v>
      </c>
      <c r="AQ70" s="1" t="s">
        <v>177</v>
      </c>
      <c r="AR70" s="1">
        <v>45805.75213</v>
      </c>
      <c r="AU70" s="1" t="s">
        <v>64</v>
      </c>
      <c r="AW70" s="1" t="s">
        <v>165</v>
      </c>
      <c r="AY70" s="1">
        <v>64.0</v>
      </c>
    </row>
    <row r="71">
      <c r="A71" s="1" t="s">
        <v>51</v>
      </c>
      <c r="C71" s="1" t="s">
        <v>151</v>
      </c>
      <c r="E71" s="1" t="s">
        <v>151</v>
      </c>
      <c r="G71" s="1">
        <v>52.0</v>
      </c>
      <c r="H71" s="1" t="s">
        <v>66</v>
      </c>
      <c r="J71" s="1" t="s">
        <v>86</v>
      </c>
      <c r="K71" s="1" t="s">
        <v>87</v>
      </c>
      <c r="M71" s="1" t="s">
        <v>58</v>
      </c>
      <c r="N71" s="1" t="s">
        <v>58</v>
      </c>
      <c r="O71" s="1" t="s">
        <v>58</v>
      </c>
      <c r="Q71" s="1" t="s">
        <v>69</v>
      </c>
      <c r="R71" s="1" t="s">
        <v>58</v>
      </c>
      <c r="S71" s="1" t="s">
        <v>69</v>
      </c>
      <c r="T71" s="1" t="s">
        <v>69</v>
      </c>
      <c r="U71" s="1" t="s">
        <v>58</v>
      </c>
      <c r="V71" s="1" t="s">
        <v>58</v>
      </c>
      <c r="W71" s="1" t="s">
        <v>69</v>
      </c>
      <c r="X71" s="1" t="s">
        <v>88</v>
      </c>
      <c r="Y71" s="1" t="s">
        <v>95</v>
      </c>
      <c r="Z71" s="1" t="s">
        <v>89</v>
      </c>
      <c r="AA71" s="1">
        <v>100.0</v>
      </c>
      <c r="AB71" s="1" t="s">
        <v>28</v>
      </c>
      <c r="AC71" s="1" t="s">
        <v>51</v>
      </c>
      <c r="AD71" s="1" t="s">
        <v>88</v>
      </c>
      <c r="AE71" s="1" t="s">
        <v>51</v>
      </c>
      <c r="AF71" s="1" t="s">
        <v>51</v>
      </c>
      <c r="AG71" s="1" t="s">
        <v>51</v>
      </c>
      <c r="AI71" s="1">
        <v>1.0</v>
      </c>
      <c r="AJ71" s="1">
        <v>1.0</v>
      </c>
      <c r="AK71" s="1">
        <v>1.0</v>
      </c>
      <c r="AL71" s="1">
        <v>0.0</v>
      </c>
      <c r="AP71" s="1">
        <v>4.8823866E8</v>
      </c>
      <c r="AQ71" s="1" t="s">
        <v>178</v>
      </c>
      <c r="AR71" s="1">
        <v>45805.76369</v>
      </c>
      <c r="AU71" s="1" t="s">
        <v>64</v>
      </c>
      <c r="AW71" s="1" t="s">
        <v>165</v>
      </c>
      <c r="AY71" s="1">
        <v>65.0</v>
      </c>
    </row>
    <row r="72">
      <c r="A72" s="1" t="s">
        <v>51</v>
      </c>
      <c r="C72" s="1" t="s">
        <v>151</v>
      </c>
      <c r="E72" s="1" t="s">
        <v>151</v>
      </c>
      <c r="G72" s="1">
        <v>44.0</v>
      </c>
      <c r="H72" s="1" t="s">
        <v>66</v>
      </c>
      <c r="J72" s="1" t="s">
        <v>86</v>
      </c>
      <c r="K72" s="1" t="s">
        <v>87</v>
      </c>
      <c r="M72" s="1" t="s">
        <v>58</v>
      </c>
      <c r="N72" s="1" t="s">
        <v>58</v>
      </c>
      <c r="O72" s="1" t="s">
        <v>58</v>
      </c>
      <c r="Q72" s="1" t="s">
        <v>69</v>
      </c>
      <c r="R72" s="1" t="s">
        <v>58</v>
      </c>
      <c r="S72" s="1" t="s">
        <v>58</v>
      </c>
      <c r="T72" s="1" t="s">
        <v>70</v>
      </c>
      <c r="U72" s="1" t="s">
        <v>69</v>
      </c>
      <c r="V72" s="1" t="s">
        <v>58</v>
      </c>
      <c r="W72" s="1" t="s">
        <v>70</v>
      </c>
      <c r="X72" s="1" t="s">
        <v>59</v>
      </c>
      <c r="Y72" s="1" t="s">
        <v>60</v>
      </c>
      <c r="Z72" s="1" t="s">
        <v>89</v>
      </c>
      <c r="AA72" s="1">
        <v>100.0</v>
      </c>
      <c r="AB72" s="1" t="s">
        <v>62</v>
      </c>
      <c r="AC72" s="1" t="s">
        <v>71</v>
      </c>
      <c r="AF72" s="1" t="s">
        <v>51</v>
      </c>
      <c r="AG72" s="1" t="s">
        <v>51</v>
      </c>
      <c r="AI72" s="1">
        <v>0.0</v>
      </c>
      <c r="AJ72" s="1">
        <v>0.0</v>
      </c>
      <c r="AK72" s="1">
        <v>1.0</v>
      </c>
      <c r="AL72" s="1">
        <v>0.0</v>
      </c>
      <c r="AP72" s="1">
        <v>4.88239373E8</v>
      </c>
      <c r="AQ72" s="1" t="s">
        <v>179</v>
      </c>
      <c r="AR72" s="1">
        <v>45805.76443</v>
      </c>
      <c r="AU72" s="1" t="s">
        <v>64</v>
      </c>
      <c r="AW72" s="1" t="s">
        <v>165</v>
      </c>
      <c r="AY72" s="1">
        <v>66.0</v>
      </c>
    </row>
    <row r="73">
      <c r="A73" s="1" t="s">
        <v>51</v>
      </c>
      <c r="C73" s="1" t="s">
        <v>151</v>
      </c>
      <c r="E73" s="1" t="s">
        <v>151</v>
      </c>
      <c r="G73" s="1">
        <v>41.0</v>
      </c>
      <c r="H73" s="1" t="s">
        <v>55</v>
      </c>
      <c r="J73" s="1" t="s">
        <v>86</v>
      </c>
      <c r="K73" s="1" t="s">
        <v>87</v>
      </c>
      <c r="M73" s="1" t="s">
        <v>58</v>
      </c>
      <c r="N73" s="1" t="s">
        <v>58</v>
      </c>
      <c r="O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81</v>
      </c>
      <c r="Y73" s="1" t="s">
        <v>95</v>
      </c>
      <c r="Z73" s="1" t="s">
        <v>96</v>
      </c>
      <c r="AA73" s="1">
        <v>100.0</v>
      </c>
      <c r="AB73" s="1" t="s">
        <v>62</v>
      </c>
      <c r="AC73" s="1" t="s">
        <v>51</v>
      </c>
      <c r="AD73" s="1" t="s">
        <v>81</v>
      </c>
      <c r="AE73" s="1" t="s">
        <v>51</v>
      </c>
      <c r="AF73" s="1" t="s">
        <v>51</v>
      </c>
      <c r="AG73" s="1" t="s">
        <v>51</v>
      </c>
      <c r="AH73" s="1">
        <v>200.0</v>
      </c>
      <c r="AI73" s="1">
        <v>1.0</v>
      </c>
      <c r="AJ73" s="1">
        <v>0.0</v>
      </c>
      <c r="AK73" s="1">
        <v>0.0</v>
      </c>
      <c r="AL73" s="1">
        <v>0.0</v>
      </c>
      <c r="AP73" s="1">
        <v>4.88239828E8</v>
      </c>
      <c r="AQ73" s="1" t="s">
        <v>180</v>
      </c>
      <c r="AR73" s="1">
        <v>45805.76498</v>
      </c>
      <c r="AU73" s="1" t="s">
        <v>64</v>
      </c>
      <c r="AW73" s="1" t="s">
        <v>165</v>
      </c>
      <c r="AY73" s="1">
        <v>67.0</v>
      </c>
    </row>
    <row r="74" hidden="1">
      <c r="A74" s="1" t="s">
        <v>51</v>
      </c>
      <c r="C74" s="1" t="s">
        <v>52</v>
      </c>
      <c r="E74" s="1" t="s">
        <v>151</v>
      </c>
      <c r="G74" s="1">
        <v>47.0</v>
      </c>
      <c r="H74" s="1" t="s">
        <v>55</v>
      </c>
      <c r="J74" s="1" t="s">
        <v>86</v>
      </c>
      <c r="K74" s="1" t="s">
        <v>87</v>
      </c>
      <c r="M74" s="1" t="s">
        <v>58</v>
      </c>
      <c r="N74" s="1" t="s">
        <v>58</v>
      </c>
      <c r="O74" s="1" t="s">
        <v>69</v>
      </c>
      <c r="Q74" s="1" t="s">
        <v>69</v>
      </c>
      <c r="R74" s="1" t="s">
        <v>58</v>
      </c>
      <c r="S74" s="1" t="s">
        <v>69</v>
      </c>
      <c r="T74" s="1" t="s">
        <v>69</v>
      </c>
      <c r="U74" s="1" t="s">
        <v>58</v>
      </c>
      <c r="V74" s="1" t="s">
        <v>58</v>
      </c>
      <c r="W74" s="1" t="s">
        <v>69</v>
      </c>
      <c r="X74" s="1" t="s">
        <v>103</v>
      </c>
      <c r="Y74" s="1" t="s">
        <v>60</v>
      </c>
      <c r="Z74" s="1" t="s">
        <v>89</v>
      </c>
      <c r="AA74" s="1">
        <v>100.0</v>
      </c>
      <c r="AB74" s="1" t="s">
        <v>62</v>
      </c>
      <c r="AC74" s="1" t="s">
        <v>71</v>
      </c>
      <c r="AF74" s="1" t="s">
        <v>51</v>
      </c>
      <c r="AG74" s="1" t="s">
        <v>72</v>
      </c>
      <c r="AI74" s="1">
        <v>0.0</v>
      </c>
      <c r="AJ74" s="1">
        <v>0.0</v>
      </c>
      <c r="AK74" s="1">
        <v>0.0</v>
      </c>
      <c r="AL74" s="1">
        <v>1.0</v>
      </c>
      <c r="AP74" s="1">
        <v>4.8824426E8</v>
      </c>
      <c r="AQ74" s="1" t="s">
        <v>181</v>
      </c>
      <c r="AR74" s="1">
        <v>45805.76895</v>
      </c>
      <c r="AU74" s="1" t="s">
        <v>64</v>
      </c>
      <c r="AW74" s="1" t="s">
        <v>165</v>
      </c>
      <c r="AY74" s="1">
        <v>68.0</v>
      </c>
    </row>
    <row r="75">
      <c r="A75" s="1" t="s">
        <v>51</v>
      </c>
      <c r="C75" s="1" t="s">
        <v>151</v>
      </c>
      <c r="E75" s="1" t="s">
        <v>151</v>
      </c>
      <c r="G75" s="1">
        <v>39.0</v>
      </c>
      <c r="H75" s="1" t="s">
        <v>66</v>
      </c>
      <c r="J75" s="1" t="s">
        <v>86</v>
      </c>
      <c r="K75" s="1" t="s">
        <v>87</v>
      </c>
      <c r="M75" s="1" t="s">
        <v>58</v>
      </c>
      <c r="N75" s="1" t="s">
        <v>58</v>
      </c>
      <c r="O75" s="1" t="s">
        <v>69</v>
      </c>
      <c r="Q75" s="1" t="s">
        <v>58</v>
      </c>
      <c r="R75" s="1" t="s">
        <v>58</v>
      </c>
      <c r="S75" s="1" t="s">
        <v>69</v>
      </c>
      <c r="T75" s="1" t="s">
        <v>69</v>
      </c>
      <c r="U75" s="1" t="s">
        <v>69</v>
      </c>
      <c r="V75" s="1" t="s">
        <v>58</v>
      </c>
      <c r="W75" s="1" t="s">
        <v>69</v>
      </c>
      <c r="X75" s="1" t="s">
        <v>88</v>
      </c>
      <c r="Y75" s="1" t="s">
        <v>95</v>
      </c>
      <c r="Z75" s="1" t="s">
        <v>89</v>
      </c>
      <c r="AA75" s="1">
        <v>100.0</v>
      </c>
      <c r="AB75" s="1" t="s">
        <v>62</v>
      </c>
      <c r="AC75" s="1" t="s">
        <v>71</v>
      </c>
      <c r="AF75" s="1" t="s">
        <v>51</v>
      </c>
      <c r="AG75" s="1" t="s">
        <v>72</v>
      </c>
      <c r="AI75" s="1">
        <v>1.0</v>
      </c>
      <c r="AJ75" s="1">
        <v>0.0</v>
      </c>
      <c r="AK75" s="1">
        <v>0.0</v>
      </c>
      <c r="AL75" s="1">
        <v>0.0</v>
      </c>
      <c r="AP75" s="1">
        <v>4.88245531E8</v>
      </c>
      <c r="AQ75" s="1" t="s">
        <v>182</v>
      </c>
      <c r="AR75" s="1">
        <v>45805.77047</v>
      </c>
      <c r="AU75" s="1" t="s">
        <v>64</v>
      </c>
      <c r="AW75" s="1" t="s">
        <v>165</v>
      </c>
      <c r="AY75" s="1">
        <v>69.0</v>
      </c>
    </row>
    <row r="76" hidden="1">
      <c r="A76" s="1" t="s">
        <v>51</v>
      </c>
      <c r="C76" s="1" t="s">
        <v>52</v>
      </c>
      <c r="E76" s="1" t="s">
        <v>53</v>
      </c>
      <c r="F76" s="1" t="s">
        <v>183</v>
      </c>
      <c r="H76" s="1" t="s">
        <v>55</v>
      </c>
      <c r="I76" s="1" t="s">
        <v>67</v>
      </c>
      <c r="J76" s="1" t="s">
        <v>86</v>
      </c>
      <c r="K76" s="1" t="s">
        <v>87</v>
      </c>
      <c r="M76" s="1" t="s">
        <v>58</v>
      </c>
      <c r="N76" s="1" t="s">
        <v>58</v>
      </c>
      <c r="O76" s="1" t="s">
        <v>58</v>
      </c>
      <c r="Q76" s="1" t="s">
        <v>69</v>
      </c>
      <c r="R76" s="1" t="s">
        <v>58</v>
      </c>
      <c r="S76" s="1" t="s">
        <v>69</v>
      </c>
      <c r="T76" s="1" t="s">
        <v>69</v>
      </c>
      <c r="U76" s="1" t="s">
        <v>70</v>
      </c>
      <c r="V76" s="1" t="s">
        <v>69</v>
      </c>
      <c r="W76" s="1" t="s">
        <v>69</v>
      </c>
      <c r="X76" s="1" t="s">
        <v>103</v>
      </c>
      <c r="Y76" s="1" t="s">
        <v>95</v>
      </c>
      <c r="Z76" s="1" t="s">
        <v>89</v>
      </c>
      <c r="AA76" s="1">
        <v>100.0</v>
      </c>
      <c r="AB76" s="1" t="s">
        <v>62</v>
      </c>
      <c r="AC76" s="1" t="s">
        <v>51</v>
      </c>
      <c r="AD76" s="1" t="s">
        <v>103</v>
      </c>
      <c r="AE76" s="1" t="s">
        <v>51</v>
      </c>
      <c r="AF76" s="1" t="s">
        <v>51</v>
      </c>
      <c r="AG76" s="1" t="s">
        <v>51</v>
      </c>
      <c r="AH76" s="1">
        <v>20.0</v>
      </c>
      <c r="AI76" s="1">
        <v>0.0</v>
      </c>
      <c r="AJ76" s="1">
        <v>0.0</v>
      </c>
      <c r="AK76" s="1">
        <v>1.0</v>
      </c>
      <c r="AL76" s="1">
        <v>0.0</v>
      </c>
      <c r="AM76" s="1" t="s">
        <v>51</v>
      </c>
      <c r="AN76" s="1">
        <v>7.24419895E8</v>
      </c>
      <c r="AP76" s="1">
        <v>4.88246175E8</v>
      </c>
      <c r="AQ76" s="1" t="s">
        <v>184</v>
      </c>
      <c r="AR76" s="1">
        <v>45805.77132</v>
      </c>
      <c r="AU76" s="1" t="s">
        <v>64</v>
      </c>
      <c r="AW76" s="1" t="s">
        <v>165</v>
      </c>
      <c r="AY76" s="1">
        <v>70.0</v>
      </c>
    </row>
    <row r="77">
      <c r="A77" s="1" t="s">
        <v>51</v>
      </c>
      <c r="C77" s="1" t="s">
        <v>151</v>
      </c>
      <c r="E77" s="1" t="s">
        <v>151</v>
      </c>
      <c r="G77" s="1">
        <v>51.0</v>
      </c>
      <c r="H77" s="1" t="s">
        <v>66</v>
      </c>
      <c r="J77" s="1" t="s">
        <v>56</v>
      </c>
      <c r="K77" s="1" t="s">
        <v>87</v>
      </c>
      <c r="M77" s="1" t="s">
        <v>58</v>
      </c>
      <c r="N77" s="1" t="s">
        <v>58</v>
      </c>
      <c r="O77" s="1" t="s">
        <v>58</v>
      </c>
      <c r="Q77" s="1" t="s">
        <v>69</v>
      </c>
      <c r="R77" s="1" t="s">
        <v>58</v>
      </c>
      <c r="S77" s="1" t="s">
        <v>69</v>
      </c>
      <c r="T77" s="1" t="s">
        <v>69</v>
      </c>
      <c r="U77" s="1" t="s">
        <v>70</v>
      </c>
      <c r="V77" s="1" t="s">
        <v>58</v>
      </c>
      <c r="W77" s="1" t="s">
        <v>69</v>
      </c>
      <c r="X77" s="1" t="s">
        <v>59</v>
      </c>
      <c r="Y77" s="1" t="s">
        <v>95</v>
      </c>
      <c r="Z77" s="1" t="s">
        <v>61</v>
      </c>
      <c r="AA77" s="1">
        <v>100.0</v>
      </c>
      <c r="AB77" s="1" t="s">
        <v>79</v>
      </c>
      <c r="AC77" s="1" t="s">
        <v>71</v>
      </c>
      <c r="AF77" s="1" t="s">
        <v>51</v>
      </c>
      <c r="AG77" s="1" t="s">
        <v>72</v>
      </c>
      <c r="AI77" s="1">
        <v>1.0</v>
      </c>
      <c r="AJ77" s="1">
        <v>0.0</v>
      </c>
      <c r="AK77" s="1">
        <v>0.0</v>
      </c>
      <c r="AL77" s="1">
        <v>0.0</v>
      </c>
      <c r="AP77" s="1">
        <v>4.882564E8</v>
      </c>
      <c r="AQ77" s="1" t="s">
        <v>185</v>
      </c>
      <c r="AR77" s="1">
        <v>45805.78273</v>
      </c>
      <c r="AU77" s="1" t="s">
        <v>64</v>
      </c>
      <c r="AW77" s="1" t="s">
        <v>165</v>
      </c>
      <c r="AY77" s="1">
        <v>71.0</v>
      </c>
    </row>
    <row r="78" hidden="1">
      <c r="A78" s="1" t="s">
        <v>51</v>
      </c>
      <c r="C78" s="1" t="s">
        <v>53</v>
      </c>
      <c r="E78" s="1" t="s">
        <v>53</v>
      </c>
      <c r="F78" s="1" t="s">
        <v>102</v>
      </c>
      <c r="G78" s="1">
        <v>60.0</v>
      </c>
      <c r="H78" s="1" t="s">
        <v>66</v>
      </c>
      <c r="I78" s="1" t="s">
        <v>121</v>
      </c>
      <c r="J78" s="1" t="s">
        <v>111</v>
      </c>
      <c r="K78" s="1" t="s">
        <v>87</v>
      </c>
      <c r="M78" s="1" t="s">
        <v>58</v>
      </c>
      <c r="N78" s="1" t="s">
        <v>58</v>
      </c>
      <c r="O78" s="1" t="s">
        <v>69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 t="s">
        <v>69</v>
      </c>
      <c r="X78" s="1" t="s">
        <v>88</v>
      </c>
      <c r="Y78" s="1" t="s">
        <v>172</v>
      </c>
      <c r="Z78" s="1" t="s">
        <v>89</v>
      </c>
      <c r="AA78" s="1">
        <v>100.0</v>
      </c>
      <c r="AB78" s="1" t="s">
        <v>62</v>
      </c>
      <c r="AC78" s="1" t="s">
        <v>51</v>
      </c>
      <c r="AD78" s="1" t="s">
        <v>88</v>
      </c>
      <c r="AE78" s="1" t="s">
        <v>51</v>
      </c>
      <c r="AF78" s="1" t="s">
        <v>51</v>
      </c>
      <c r="AG78" s="1" t="s">
        <v>72</v>
      </c>
      <c r="AI78" s="1">
        <v>0.0</v>
      </c>
      <c r="AJ78" s="1">
        <v>0.0</v>
      </c>
      <c r="AK78" s="1">
        <v>0.0</v>
      </c>
      <c r="AL78" s="1">
        <v>1.0</v>
      </c>
      <c r="AM78" s="1" t="s">
        <v>72</v>
      </c>
      <c r="AP78" s="1">
        <v>4.88303256E8</v>
      </c>
      <c r="AQ78" s="1" t="s">
        <v>186</v>
      </c>
      <c r="AR78" s="1">
        <v>45805.84951</v>
      </c>
      <c r="AU78" s="1" t="s">
        <v>64</v>
      </c>
      <c r="AW78" s="1" t="s">
        <v>165</v>
      </c>
      <c r="AY78" s="1">
        <v>72.0</v>
      </c>
    </row>
    <row r="79" hidden="1">
      <c r="A79" s="1" t="s">
        <v>51</v>
      </c>
      <c r="C79" s="1" t="s">
        <v>52</v>
      </c>
      <c r="E79" s="1" t="s">
        <v>53</v>
      </c>
      <c r="F79" s="1" t="s">
        <v>54</v>
      </c>
      <c r="G79" s="1">
        <v>47.0</v>
      </c>
      <c r="H79" s="1" t="s">
        <v>55</v>
      </c>
      <c r="I79" s="1" t="s">
        <v>67</v>
      </c>
      <c r="J79" s="1" t="s">
        <v>86</v>
      </c>
      <c r="K79" s="1" t="s">
        <v>87</v>
      </c>
      <c r="M79" s="1" t="s">
        <v>58</v>
      </c>
      <c r="N79" s="1" t="s">
        <v>58</v>
      </c>
      <c r="O79" s="1" t="s">
        <v>58</v>
      </c>
      <c r="Q79" s="1" t="s">
        <v>70</v>
      </c>
      <c r="R79" s="1" t="s">
        <v>58</v>
      </c>
      <c r="S79" s="1" t="s">
        <v>69</v>
      </c>
      <c r="T79" s="1" t="s">
        <v>69</v>
      </c>
      <c r="U79" s="1" t="s">
        <v>58</v>
      </c>
      <c r="V79" s="1" t="s">
        <v>58</v>
      </c>
      <c r="W79" s="1" t="s">
        <v>69</v>
      </c>
      <c r="X79" s="1" t="s">
        <v>88</v>
      </c>
      <c r="Y79" s="1" t="s">
        <v>95</v>
      </c>
      <c r="Z79" s="1" t="s">
        <v>89</v>
      </c>
      <c r="AA79" s="1">
        <v>50.0</v>
      </c>
      <c r="AB79" s="1" t="s">
        <v>62</v>
      </c>
      <c r="AC79" s="1" t="s">
        <v>71</v>
      </c>
      <c r="AF79" s="1" t="s">
        <v>51</v>
      </c>
      <c r="AG79" s="1" t="s">
        <v>72</v>
      </c>
      <c r="AI79" s="1">
        <v>0.0</v>
      </c>
      <c r="AJ79" s="1">
        <v>0.0</v>
      </c>
      <c r="AK79" s="1">
        <v>0.0</v>
      </c>
      <c r="AL79" s="1">
        <v>1.0</v>
      </c>
      <c r="AM79" s="1" t="s">
        <v>51</v>
      </c>
      <c r="AN79" s="1">
        <v>8.10323079E8</v>
      </c>
      <c r="AP79" s="1">
        <v>4.88304149E8</v>
      </c>
      <c r="AQ79" s="1" t="s">
        <v>187</v>
      </c>
      <c r="AR79" s="1">
        <v>45805.85111</v>
      </c>
      <c r="AU79" s="1" t="s">
        <v>64</v>
      </c>
      <c r="AW79" s="1" t="s">
        <v>165</v>
      </c>
      <c r="AY79" s="1">
        <v>73.0</v>
      </c>
    </row>
    <row r="80" hidden="1">
      <c r="A80" s="1" t="s">
        <v>51</v>
      </c>
      <c r="C80" s="1" t="s">
        <v>188</v>
      </c>
      <c r="E80" s="1" t="s">
        <v>53</v>
      </c>
      <c r="F80" s="1" t="s">
        <v>102</v>
      </c>
      <c r="G80" s="1">
        <v>31.0</v>
      </c>
      <c r="H80" s="1" t="s">
        <v>55</v>
      </c>
      <c r="I80" s="1" t="s">
        <v>100</v>
      </c>
      <c r="J80" s="1" t="s">
        <v>86</v>
      </c>
      <c r="K80" s="1" t="s">
        <v>87</v>
      </c>
      <c r="M80" s="1" t="s">
        <v>58</v>
      </c>
      <c r="N80" s="1" t="s">
        <v>58</v>
      </c>
      <c r="O80" s="1" t="s">
        <v>58</v>
      </c>
      <c r="Q80" s="1" t="s">
        <v>69</v>
      </c>
      <c r="R80" s="1" t="s">
        <v>58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81</v>
      </c>
      <c r="Y80" s="1" t="s">
        <v>60</v>
      </c>
      <c r="Z80" s="1" t="s">
        <v>96</v>
      </c>
      <c r="AA80" s="1">
        <v>100.0</v>
      </c>
      <c r="AB80" s="1" t="s">
        <v>28</v>
      </c>
      <c r="AC80" s="1" t="s">
        <v>71</v>
      </c>
      <c r="AF80" s="1" t="s">
        <v>51</v>
      </c>
      <c r="AG80" s="1" t="s">
        <v>72</v>
      </c>
      <c r="AI80" s="1">
        <v>0.0</v>
      </c>
      <c r="AJ80" s="1">
        <v>0.0</v>
      </c>
      <c r="AK80" s="1">
        <v>0.0</v>
      </c>
      <c r="AL80" s="1">
        <v>1.0</v>
      </c>
      <c r="AM80" s="1" t="s">
        <v>72</v>
      </c>
      <c r="AP80" s="1">
        <v>4.88356383E8</v>
      </c>
      <c r="AQ80" s="1" t="s">
        <v>189</v>
      </c>
      <c r="AR80" s="1">
        <v>45805.99693</v>
      </c>
      <c r="AU80" s="1" t="s">
        <v>64</v>
      </c>
      <c r="AW80" s="1" t="s">
        <v>165</v>
      </c>
      <c r="AY80" s="1">
        <v>74.0</v>
      </c>
    </row>
    <row r="81" hidden="1">
      <c r="A81" s="1" t="s">
        <v>51</v>
      </c>
      <c r="C81" s="1" t="s">
        <v>131</v>
      </c>
      <c r="E81" s="1" t="s">
        <v>131</v>
      </c>
      <c r="G81" s="1">
        <v>30.0</v>
      </c>
      <c r="H81" s="1" t="s">
        <v>55</v>
      </c>
      <c r="J81" s="1" t="s">
        <v>111</v>
      </c>
      <c r="K81" s="1" t="s">
        <v>87</v>
      </c>
      <c r="M81" s="1" t="s">
        <v>58</v>
      </c>
      <c r="N81" s="1" t="s">
        <v>58</v>
      </c>
      <c r="O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69</v>
      </c>
      <c r="X81" s="1" t="s">
        <v>103</v>
      </c>
      <c r="Y81" s="1" t="s">
        <v>82</v>
      </c>
      <c r="Z81" s="1" t="s">
        <v>96</v>
      </c>
      <c r="AA81" s="1">
        <v>100.0</v>
      </c>
      <c r="AB81" s="1" t="s">
        <v>28</v>
      </c>
      <c r="AC81" s="1" t="s">
        <v>51</v>
      </c>
      <c r="AD81" s="1" t="s">
        <v>103</v>
      </c>
      <c r="AE81" s="1" t="s">
        <v>51</v>
      </c>
      <c r="AF81" s="1" t="s">
        <v>51</v>
      </c>
      <c r="AG81" s="1" t="s">
        <v>51</v>
      </c>
      <c r="AH81" s="1">
        <v>20.0</v>
      </c>
      <c r="AI81" s="1">
        <v>1.0</v>
      </c>
      <c r="AJ81" s="1">
        <v>1.0</v>
      </c>
      <c r="AK81" s="1">
        <v>1.0</v>
      </c>
      <c r="AL81" s="1">
        <v>0.0</v>
      </c>
      <c r="AP81" s="1">
        <v>4.88401783E8</v>
      </c>
      <c r="AQ81" s="1" t="s">
        <v>190</v>
      </c>
      <c r="AR81" s="1">
        <v>45806.18826</v>
      </c>
      <c r="AU81" s="1" t="s">
        <v>64</v>
      </c>
      <c r="AW81" s="1" t="s">
        <v>191</v>
      </c>
      <c r="AY81" s="1">
        <v>75.0</v>
      </c>
    </row>
    <row r="82">
      <c r="A82" s="1" t="s">
        <v>51</v>
      </c>
      <c r="C82" s="1" t="s">
        <v>151</v>
      </c>
      <c r="E82" s="1" t="s">
        <v>151</v>
      </c>
      <c r="G82" s="1">
        <v>42.0</v>
      </c>
      <c r="H82" s="1" t="s">
        <v>55</v>
      </c>
      <c r="J82" s="1" t="s">
        <v>86</v>
      </c>
      <c r="K82" s="1" t="s">
        <v>87</v>
      </c>
      <c r="M82" s="1" t="s">
        <v>58</v>
      </c>
      <c r="N82" s="1" t="s">
        <v>58</v>
      </c>
      <c r="O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58</v>
      </c>
      <c r="V82" s="1" t="s">
        <v>69</v>
      </c>
      <c r="W82" s="1" t="s">
        <v>69</v>
      </c>
      <c r="X82" s="1" t="s">
        <v>81</v>
      </c>
      <c r="Y82" s="1" t="s">
        <v>95</v>
      </c>
      <c r="Z82" s="1" t="s">
        <v>108</v>
      </c>
      <c r="AA82" s="1">
        <v>50.0</v>
      </c>
      <c r="AB82" s="1" t="s">
        <v>62</v>
      </c>
      <c r="AC82" s="1" t="s">
        <v>51</v>
      </c>
      <c r="AD82" s="1" t="s">
        <v>59</v>
      </c>
      <c r="AE82" s="1" t="s">
        <v>51</v>
      </c>
      <c r="AF82" s="1" t="s">
        <v>51</v>
      </c>
      <c r="AG82" s="1" t="s">
        <v>51</v>
      </c>
      <c r="AH82" s="1">
        <v>100.0</v>
      </c>
      <c r="AI82" s="1">
        <v>0.0</v>
      </c>
      <c r="AJ82" s="1">
        <v>0.0</v>
      </c>
      <c r="AK82" s="1">
        <v>0.0</v>
      </c>
      <c r="AL82" s="1">
        <v>1.0</v>
      </c>
      <c r="AP82" s="1">
        <v>4.88438457E8</v>
      </c>
      <c r="AQ82" s="1" t="s">
        <v>192</v>
      </c>
      <c r="AR82" s="1">
        <v>45806.26267</v>
      </c>
      <c r="AU82" s="1" t="s">
        <v>64</v>
      </c>
      <c r="AW82" s="1" t="s">
        <v>191</v>
      </c>
      <c r="AY82" s="1">
        <v>76.0</v>
      </c>
    </row>
    <row r="83">
      <c r="A83" s="1" t="s">
        <v>51</v>
      </c>
      <c r="C83" s="1" t="s">
        <v>151</v>
      </c>
      <c r="E83" s="1" t="s">
        <v>151</v>
      </c>
      <c r="G83" s="1">
        <v>40.0</v>
      </c>
      <c r="H83" s="1" t="s">
        <v>66</v>
      </c>
      <c r="J83" s="1" t="s">
        <v>86</v>
      </c>
      <c r="K83" s="1" t="s">
        <v>87</v>
      </c>
      <c r="M83" s="1" t="s">
        <v>58</v>
      </c>
      <c r="N83" s="1" t="s">
        <v>58</v>
      </c>
      <c r="O83" s="1" t="s">
        <v>58</v>
      </c>
      <c r="Q83" s="1" t="s">
        <v>70</v>
      </c>
      <c r="R83" s="1" t="s">
        <v>58</v>
      </c>
      <c r="S83" s="1" t="s">
        <v>69</v>
      </c>
      <c r="T83" s="1" t="s">
        <v>70</v>
      </c>
      <c r="U83" s="1" t="s">
        <v>58</v>
      </c>
      <c r="V83" s="1" t="s">
        <v>58</v>
      </c>
      <c r="W83" s="1" t="s">
        <v>70</v>
      </c>
      <c r="X83" s="1" t="s">
        <v>81</v>
      </c>
      <c r="Y83" s="1" t="s">
        <v>95</v>
      </c>
      <c r="Z83" s="1" t="s">
        <v>127</v>
      </c>
      <c r="AA83" s="1">
        <v>100.0</v>
      </c>
      <c r="AB83" s="1" t="s">
        <v>79</v>
      </c>
      <c r="AC83" s="1" t="s">
        <v>71</v>
      </c>
      <c r="AF83" s="1" t="s">
        <v>51</v>
      </c>
      <c r="AG83" s="1" t="s">
        <v>72</v>
      </c>
      <c r="AI83" s="1">
        <v>0.0</v>
      </c>
      <c r="AJ83" s="1">
        <v>0.0</v>
      </c>
      <c r="AK83" s="1">
        <v>0.0</v>
      </c>
      <c r="AL83" s="1">
        <v>1.0</v>
      </c>
      <c r="AP83" s="1">
        <v>4.88457611E8</v>
      </c>
      <c r="AQ83" s="1" t="s">
        <v>193</v>
      </c>
      <c r="AR83" s="1">
        <v>45806.29027</v>
      </c>
      <c r="AU83" s="1" t="s">
        <v>64</v>
      </c>
      <c r="AW83" s="1" t="s">
        <v>191</v>
      </c>
      <c r="AY83" s="1">
        <v>77.0</v>
      </c>
    </row>
    <row r="84" hidden="1">
      <c r="A84" s="1" t="s">
        <v>51</v>
      </c>
      <c r="C84" s="1" t="s">
        <v>170</v>
      </c>
      <c r="E84" s="1" t="s">
        <v>170</v>
      </c>
      <c r="G84" s="1">
        <v>20.0</v>
      </c>
      <c r="H84" s="1" t="s">
        <v>66</v>
      </c>
      <c r="J84" s="1" t="s">
        <v>56</v>
      </c>
      <c r="K84" s="1" t="s">
        <v>74</v>
      </c>
      <c r="M84" s="1" t="s">
        <v>58</v>
      </c>
      <c r="N84" s="1" t="s">
        <v>58</v>
      </c>
      <c r="O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81</v>
      </c>
      <c r="Y84" s="1" t="s">
        <v>82</v>
      </c>
      <c r="Z84" s="1" t="s">
        <v>61</v>
      </c>
      <c r="AA84" s="1">
        <v>100.0</v>
      </c>
      <c r="AB84" s="1" t="s">
        <v>28</v>
      </c>
      <c r="AC84" s="1" t="s">
        <v>51</v>
      </c>
      <c r="AD84" s="1" t="s">
        <v>81</v>
      </c>
      <c r="AE84" s="1" t="s">
        <v>51</v>
      </c>
      <c r="AF84" s="1" t="s">
        <v>51</v>
      </c>
      <c r="AG84" s="1" t="s">
        <v>51</v>
      </c>
      <c r="AH84" s="1">
        <v>100.0</v>
      </c>
      <c r="AI84" s="1">
        <v>0.0</v>
      </c>
      <c r="AJ84" s="1">
        <v>0.0</v>
      </c>
      <c r="AK84" s="1">
        <v>1.0</v>
      </c>
      <c r="AL84" s="1">
        <v>0.0</v>
      </c>
      <c r="AP84" s="1">
        <v>4.88499875E8</v>
      </c>
      <c r="AQ84" s="1" t="s">
        <v>194</v>
      </c>
      <c r="AR84" s="1">
        <v>45806.34858</v>
      </c>
      <c r="AU84" s="1" t="s">
        <v>64</v>
      </c>
      <c r="AW84" s="1" t="s">
        <v>191</v>
      </c>
      <c r="AY84" s="1">
        <v>78.0</v>
      </c>
    </row>
    <row r="85" hidden="1">
      <c r="A85" s="1" t="s">
        <v>51</v>
      </c>
      <c r="C85" s="1" t="s">
        <v>52</v>
      </c>
      <c r="E85" s="1" t="s">
        <v>53</v>
      </c>
      <c r="F85" s="1" t="s">
        <v>54</v>
      </c>
      <c r="G85" s="1">
        <v>35.0</v>
      </c>
      <c r="H85" s="1" t="s">
        <v>66</v>
      </c>
      <c r="I85" s="1" t="s">
        <v>67</v>
      </c>
      <c r="J85" s="1" t="s">
        <v>111</v>
      </c>
      <c r="K85" s="1" t="s">
        <v>87</v>
      </c>
      <c r="M85" s="1" t="s">
        <v>58</v>
      </c>
      <c r="N85" s="1" t="s">
        <v>58</v>
      </c>
      <c r="O85" s="1" t="s">
        <v>58</v>
      </c>
      <c r="Q85" s="1" t="s">
        <v>69</v>
      </c>
      <c r="R85" s="1" t="s">
        <v>58</v>
      </c>
      <c r="S85" s="1" t="s">
        <v>58</v>
      </c>
      <c r="T85" s="1" t="s">
        <v>69</v>
      </c>
      <c r="U85" s="1" t="s">
        <v>58</v>
      </c>
      <c r="V85" s="1" t="s">
        <v>58</v>
      </c>
      <c r="W85" s="1" t="s">
        <v>58</v>
      </c>
      <c r="X85" s="1" t="s">
        <v>88</v>
      </c>
      <c r="Y85" s="1" t="s">
        <v>95</v>
      </c>
      <c r="Z85" s="1" t="s">
        <v>89</v>
      </c>
      <c r="AA85" s="1">
        <v>10.0</v>
      </c>
      <c r="AB85" s="1" t="s">
        <v>62</v>
      </c>
      <c r="AC85" s="1" t="s">
        <v>51</v>
      </c>
      <c r="AD85" s="1" t="s">
        <v>59</v>
      </c>
      <c r="AE85" s="1" t="s">
        <v>72</v>
      </c>
      <c r="AF85" s="1" t="s">
        <v>51</v>
      </c>
      <c r="AG85" s="1" t="s">
        <v>72</v>
      </c>
      <c r="AI85" s="1">
        <v>0.0</v>
      </c>
      <c r="AJ85" s="1">
        <v>1.0</v>
      </c>
      <c r="AK85" s="1">
        <v>1.0</v>
      </c>
      <c r="AL85" s="1">
        <v>0.0</v>
      </c>
      <c r="AM85" s="1" t="s">
        <v>72</v>
      </c>
      <c r="AP85" s="1">
        <v>4.88506903E8</v>
      </c>
      <c r="AQ85" s="1" t="s">
        <v>195</v>
      </c>
      <c r="AR85" s="1">
        <v>45806.35742</v>
      </c>
      <c r="AU85" s="1" t="s">
        <v>64</v>
      </c>
      <c r="AW85" s="1" t="s">
        <v>191</v>
      </c>
      <c r="AY85" s="1">
        <v>79.0</v>
      </c>
    </row>
    <row r="86" hidden="1">
      <c r="A86" s="1" t="s">
        <v>51</v>
      </c>
      <c r="C86" s="1" t="s">
        <v>52</v>
      </c>
      <c r="E86" s="1" t="s">
        <v>53</v>
      </c>
      <c r="F86" s="1" t="s">
        <v>102</v>
      </c>
      <c r="G86" s="1">
        <v>40.0</v>
      </c>
      <c r="H86" s="1" t="s">
        <v>55</v>
      </c>
      <c r="I86" s="1" t="s">
        <v>67</v>
      </c>
      <c r="J86" s="1" t="s">
        <v>111</v>
      </c>
      <c r="M86" s="1" t="s">
        <v>58</v>
      </c>
      <c r="N86" s="1" t="s">
        <v>58</v>
      </c>
      <c r="O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103</v>
      </c>
      <c r="Y86" s="1" t="s">
        <v>60</v>
      </c>
      <c r="Z86" s="1" t="s">
        <v>89</v>
      </c>
      <c r="AA86" s="1">
        <v>100.0</v>
      </c>
      <c r="AB86" s="1" t="s">
        <v>62</v>
      </c>
      <c r="AC86" s="1" t="s">
        <v>72</v>
      </c>
      <c r="AF86" s="1" t="s">
        <v>51</v>
      </c>
      <c r="AG86" s="1" t="s">
        <v>72</v>
      </c>
      <c r="AI86" s="1">
        <v>1.0</v>
      </c>
      <c r="AJ86" s="1">
        <v>1.0</v>
      </c>
      <c r="AK86" s="1">
        <v>1.0</v>
      </c>
      <c r="AL86" s="1">
        <v>1.0</v>
      </c>
      <c r="AM86" s="1" t="s">
        <v>72</v>
      </c>
      <c r="AP86" s="1">
        <v>4.88569497E8</v>
      </c>
      <c r="AQ86" s="1" t="s">
        <v>196</v>
      </c>
      <c r="AR86" s="1">
        <v>45806.42549</v>
      </c>
      <c r="AU86" s="1" t="s">
        <v>64</v>
      </c>
      <c r="AW86" s="1" t="s">
        <v>191</v>
      </c>
      <c r="AY86" s="1">
        <v>80.0</v>
      </c>
    </row>
    <row r="87" hidden="1">
      <c r="A87" s="1" t="s">
        <v>51</v>
      </c>
      <c r="C87" s="1" t="s">
        <v>53</v>
      </c>
      <c r="E87" s="1" t="s">
        <v>53</v>
      </c>
      <c r="F87" s="1" t="s">
        <v>197</v>
      </c>
      <c r="G87" s="1">
        <v>39.0</v>
      </c>
      <c r="H87" s="1" t="s">
        <v>55</v>
      </c>
      <c r="I87" s="1" t="s">
        <v>121</v>
      </c>
      <c r="J87" s="1" t="s">
        <v>86</v>
      </c>
      <c r="K87" s="1" t="s">
        <v>87</v>
      </c>
      <c r="M87" s="1" t="s">
        <v>58</v>
      </c>
      <c r="N87" s="1" t="s">
        <v>58</v>
      </c>
      <c r="O87" s="1" t="s">
        <v>69</v>
      </c>
      <c r="Q87" s="1" t="s">
        <v>69</v>
      </c>
      <c r="R87" s="1" t="s">
        <v>58</v>
      </c>
      <c r="S87" s="1" t="s">
        <v>69</v>
      </c>
      <c r="T87" s="1" t="s">
        <v>69</v>
      </c>
      <c r="U87" s="1" t="s">
        <v>58</v>
      </c>
      <c r="V87" s="1" t="s">
        <v>58</v>
      </c>
      <c r="W87" s="1" t="s">
        <v>70</v>
      </c>
      <c r="X87" s="1" t="s">
        <v>59</v>
      </c>
      <c r="Y87" s="1" t="s">
        <v>95</v>
      </c>
      <c r="Z87" s="1" t="s">
        <v>108</v>
      </c>
      <c r="AA87" s="1">
        <v>100.0</v>
      </c>
      <c r="AB87" s="1" t="s">
        <v>79</v>
      </c>
      <c r="AC87" s="1" t="s">
        <v>71</v>
      </c>
      <c r="AF87" s="1" t="s">
        <v>51</v>
      </c>
      <c r="AG87" s="1" t="s">
        <v>51</v>
      </c>
      <c r="AH87" s="1">
        <v>100.0</v>
      </c>
      <c r="AI87" s="1">
        <v>1.0</v>
      </c>
      <c r="AJ87" s="1">
        <v>1.0</v>
      </c>
      <c r="AK87" s="1">
        <v>1.0</v>
      </c>
      <c r="AL87" s="1">
        <v>0.0</v>
      </c>
      <c r="AM87" s="1" t="s">
        <v>72</v>
      </c>
      <c r="AP87" s="1">
        <v>4.88676978E8</v>
      </c>
      <c r="AQ87" s="1" t="s">
        <v>198</v>
      </c>
      <c r="AR87" s="1">
        <v>45806.52781</v>
      </c>
      <c r="AU87" s="1" t="s">
        <v>64</v>
      </c>
      <c r="AW87" s="1" t="s">
        <v>191</v>
      </c>
      <c r="AY87" s="1">
        <v>81.0</v>
      </c>
    </row>
    <row r="88" hidden="1">
      <c r="A88" s="1" t="s">
        <v>51</v>
      </c>
      <c r="C88" s="1" t="s">
        <v>52</v>
      </c>
      <c r="E88" s="1" t="s">
        <v>53</v>
      </c>
      <c r="F88" s="1" t="s">
        <v>102</v>
      </c>
      <c r="G88" s="1">
        <v>34.0</v>
      </c>
      <c r="H88" s="1" t="s">
        <v>66</v>
      </c>
      <c r="I88" s="1" t="s">
        <v>67</v>
      </c>
      <c r="J88" s="1" t="s">
        <v>111</v>
      </c>
      <c r="K88" s="1" t="s">
        <v>87</v>
      </c>
      <c r="M88" s="1" t="s">
        <v>58</v>
      </c>
      <c r="N88" s="1" t="s">
        <v>58</v>
      </c>
      <c r="O88" s="1" t="s">
        <v>58</v>
      </c>
      <c r="Q88" s="1" t="s">
        <v>70</v>
      </c>
      <c r="R88" s="1" t="s">
        <v>58</v>
      </c>
      <c r="S88" s="1" t="s">
        <v>69</v>
      </c>
      <c r="T88" s="1" t="s">
        <v>69</v>
      </c>
      <c r="U88" s="1" t="s">
        <v>58</v>
      </c>
      <c r="V88" s="1" t="s">
        <v>58</v>
      </c>
      <c r="W88" s="1" t="s">
        <v>58</v>
      </c>
      <c r="X88" s="1" t="s">
        <v>88</v>
      </c>
      <c r="Y88" s="1" t="s">
        <v>95</v>
      </c>
      <c r="Z88" s="1" t="s">
        <v>108</v>
      </c>
      <c r="AA88" s="1">
        <v>50.0</v>
      </c>
      <c r="AB88" s="1" t="s">
        <v>62</v>
      </c>
      <c r="AC88" s="1" t="s">
        <v>71</v>
      </c>
      <c r="AF88" s="1" t="s">
        <v>51</v>
      </c>
      <c r="AG88" s="1" t="s">
        <v>72</v>
      </c>
      <c r="AI88" s="1">
        <v>0.0</v>
      </c>
      <c r="AJ88" s="1">
        <v>0.0</v>
      </c>
      <c r="AK88" s="1">
        <v>1.0</v>
      </c>
      <c r="AL88" s="1">
        <v>0.0</v>
      </c>
      <c r="AM88" s="1" t="s">
        <v>72</v>
      </c>
      <c r="AP88" s="1">
        <v>4.88690503E8</v>
      </c>
      <c r="AQ88" s="1" t="s">
        <v>199</v>
      </c>
      <c r="AR88" s="1">
        <v>45806.53906</v>
      </c>
      <c r="AU88" s="1" t="s">
        <v>64</v>
      </c>
      <c r="AW88" s="1" t="s">
        <v>191</v>
      </c>
      <c r="AY88" s="1">
        <v>82.0</v>
      </c>
    </row>
    <row r="89" hidden="1">
      <c r="A89" s="1" t="s">
        <v>51</v>
      </c>
      <c r="C89" s="1" t="s">
        <v>52</v>
      </c>
      <c r="E89" s="1" t="s">
        <v>53</v>
      </c>
      <c r="F89" s="1" t="s">
        <v>54</v>
      </c>
      <c r="G89" s="1">
        <v>22.0</v>
      </c>
      <c r="H89" s="1" t="s">
        <v>66</v>
      </c>
      <c r="I89" s="1" t="s">
        <v>67</v>
      </c>
      <c r="J89" s="1" t="s">
        <v>86</v>
      </c>
      <c r="K89" s="1" t="s">
        <v>87</v>
      </c>
      <c r="M89" s="1" t="s">
        <v>58</v>
      </c>
      <c r="N89" s="1" t="s">
        <v>58</v>
      </c>
      <c r="O89" s="1" t="s">
        <v>58</v>
      </c>
      <c r="Q89" s="1" t="s">
        <v>69</v>
      </c>
      <c r="R89" s="1" t="s">
        <v>58</v>
      </c>
      <c r="S89" s="1" t="s">
        <v>58</v>
      </c>
      <c r="T89" s="1" t="s">
        <v>69</v>
      </c>
      <c r="U89" s="1" t="s">
        <v>69</v>
      </c>
      <c r="V89" s="1" t="s">
        <v>58</v>
      </c>
      <c r="W89" s="1" t="s">
        <v>69</v>
      </c>
      <c r="X89" s="1" t="s">
        <v>59</v>
      </c>
      <c r="Y89" s="1" t="s">
        <v>60</v>
      </c>
      <c r="Z89" s="1" t="s">
        <v>89</v>
      </c>
      <c r="AA89" s="1">
        <v>100.0</v>
      </c>
      <c r="AB89" s="1" t="s">
        <v>28</v>
      </c>
      <c r="AC89" s="1" t="s">
        <v>71</v>
      </c>
      <c r="AF89" s="1" t="s">
        <v>72</v>
      </c>
      <c r="AG89" s="1" t="s">
        <v>72</v>
      </c>
      <c r="AI89" s="1">
        <v>0.0</v>
      </c>
      <c r="AJ89" s="1">
        <v>0.0</v>
      </c>
      <c r="AK89" s="1">
        <v>0.0</v>
      </c>
      <c r="AL89" s="1">
        <v>1.0</v>
      </c>
      <c r="AM89" s="1" t="s">
        <v>72</v>
      </c>
      <c r="AP89" s="1">
        <v>4.88720274E8</v>
      </c>
      <c r="AQ89" s="1" t="s">
        <v>200</v>
      </c>
      <c r="AR89" s="1">
        <v>45806.56146</v>
      </c>
      <c r="AU89" s="1" t="s">
        <v>64</v>
      </c>
      <c r="AW89" s="1" t="s">
        <v>191</v>
      </c>
      <c r="AY89" s="1">
        <v>83.0</v>
      </c>
    </row>
    <row r="90" hidden="1">
      <c r="A90" s="1" t="s">
        <v>51</v>
      </c>
      <c r="C90" s="1" t="s">
        <v>53</v>
      </c>
      <c r="E90" s="1" t="s">
        <v>53</v>
      </c>
      <c r="F90" s="1" t="s">
        <v>54</v>
      </c>
      <c r="G90" s="1">
        <v>41.0</v>
      </c>
      <c r="H90" s="1" t="s">
        <v>66</v>
      </c>
      <c r="I90" s="1" t="s">
        <v>121</v>
      </c>
      <c r="J90" s="1" t="s">
        <v>86</v>
      </c>
      <c r="K90" s="1" t="s">
        <v>87</v>
      </c>
      <c r="M90" s="1" t="s">
        <v>58</v>
      </c>
      <c r="N90" s="1" t="s">
        <v>58</v>
      </c>
      <c r="O90" s="1" t="s">
        <v>69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69</v>
      </c>
      <c r="V90" s="1" t="s">
        <v>58</v>
      </c>
      <c r="W90" s="1" t="s">
        <v>58</v>
      </c>
      <c r="X90" s="1" t="s">
        <v>88</v>
      </c>
      <c r="Y90" s="1" t="s">
        <v>60</v>
      </c>
      <c r="Z90" s="1" t="s">
        <v>89</v>
      </c>
      <c r="AA90" s="1">
        <v>100.0</v>
      </c>
      <c r="AB90" s="1" t="s">
        <v>62</v>
      </c>
      <c r="AC90" s="1" t="s">
        <v>71</v>
      </c>
      <c r="AF90" s="1" t="s">
        <v>51</v>
      </c>
      <c r="AG90" s="1" t="s">
        <v>51</v>
      </c>
      <c r="AH90" s="1">
        <v>50.0</v>
      </c>
      <c r="AI90" s="1">
        <v>0.0</v>
      </c>
      <c r="AJ90" s="1">
        <v>0.0</v>
      </c>
      <c r="AK90" s="1">
        <v>0.0</v>
      </c>
      <c r="AL90" s="1">
        <v>1.0</v>
      </c>
      <c r="AM90" s="1" t="s">
        <v>72</v>
      </c>
      <c r="AP90" s="1">
        <v>4.88730589E8</v>
      </c>
      <c r="AQ90" s="1" t="s">
        <v>201</v>
      </c>
      <c r="AR90" s="1">
        <v>45806.56794</v>
      </c>
      <c r="AU90" s="1" t="s">
        <v>64</v>
      </c>
      <c r="AW90" s="1" t="s">
        <v>84</v>
      </c>
      <c r="AY90" s="1">
        <v>84.0</v>
      </c>
    </row>
    <row r="91" hidden="1">
      <c r="A91" s="1" t="s">
        <v>51</v>
      </c>
      <c r="C91" s="1" t="s">
        <v>202</v>
      </c>
      <c r="E91" s="1" t="s">
        <v>202</v>
      </c>
      <c r="G91" s="1">
        <v>42.0</v>
      </c>
      <c r="H91" s="1" t="s">
        <v>66</v>
      </c>
      <c r="J91" s="1" t="s">
        <v>86</v>
      </c>
      <c r="K91" s="1" t="s">
        <v>87</v>
      </c>
      <c r="M91" s="1" t="s">
        <v>58</v>
      </c>
      <c r="N91" s="1" t="s">
        <v>58</v>
      </c>
      <c r="O91" s="1" t="s">
        <v>58</v>
      </c>
      <c r="Q91" s="1" t="s">
        <v>69</v>
      </c>
      <c r="R91" s="1" t="s">
        <v>58</v>
      </c>
      <c r="S91" s="1" t="s">
        <v>69</v>
      </c>
      <c r="T91" s="1" t="s">
        <v>58</v>
      </c>
      <c r="U91" s="1" t="s">
        <v>70</v>
      </c>
      <c r="V91" s="1" t="s">
        <v>58</v>
      </c>
      <c r="W91" s="1" t="s">
        <v>69</v>
      </c>
      <c r="X91" s="1" t="s">
        <v>81</v>
      </c>
      <c r="Y91" s="1" t="s">
        <v>95</v>
      </c>
      <c r="Z91" s="1" t="s">
        <v>96</v>
      </c>
      <c r="AA91" s="1">
        <v>100.0</v>
      </c>
      <c r="AB91" s="1" t="s">
        <v>62</v>
      </c>
      <c r="AC91" s="1" t="s">
        <v>71</v>
      </c>
      <c r="AF91" s="1" t="s">
        <v>51</v>
      </c>
      <c r="AG91" s="1" t="s">
        <v>72</v>
      </c>
      <c r="AI91" s="1">
        <v>0.0</v>
      </c>
      <c r="AJ91" s="1">
        <v>0.0</v>
      </c>
      <c r="AK91" s="1">
        <v>1.0</v>
      </c>
      <c r="AL91" s="1">
        <v>0.0</v>
      </c>
      <c r="AP91" s="1">
        <v>4.88786593E8</v>
      </c>
      <c r="AQ91" s="1" t="s">
        <v>203</v>
      </c>
      <c r="AR91" s="1">
        <v>45806.60795</v>
      </c>
      <c r="AU91" s="1" t="s">
        <v>64</v>
      </c>
      <c r="AW91" s="1" t="s">
        <v>191</v>
      </c>
      <c r="AY91" s="1">
        <v>85.0</v>
      </c>
    </row>
    <row r="92" hidden="1">
      <c r="A92" s="1" t="s">
        <v>51</v>
      </c>
      <c r="C92" s="1" t="s">
        <v>53</v>
      </c>
      <c r="E92" s="1" t="s">
        <v>53</v>
      </c>
      <c r="F92" s="1" t="s">
        <v>54</v>
      </c>
      <c r="G92" s="1">
        <v>46.0</v>
      </c>
      <c r="H92" s="1" t="s">
        <v>66</v>
      </c>
      <c r="I92" s="1" t="s">
        <v>121</v>
      </c>
      <c r="J92" s="1" t="s">
        <v>111</v>
      </c>
      <c r="K92" s="1" t="s">
        <v>87</v>
      </c>
      <c r="M92" s="1" t="s">
        <v>58</v>
      </c>
      <c r="N92" s="1" t="s">
        <v>58</v>
      </c>
      <c r="O92" s="1" t="s">
        <v>58</v>
      </c>
      <c r="Q92" s="1" t="s">
        <v>69</v>
      </c>
      <c r="R92" s="1" t="s">
        <v>58</v>
      </c>
      <c r="S92" s="1" t="s">
        <v>69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59</v>
      </c>
      <c r="Y92" s="1" t="s">
        <v>95</v>
      </c>
      <c r="Z92" s="1" t="s">
        <v>96</v>
      </c>
      <c r="AA92" s="1">
        <v>100.0</v>
      </c>
      <c r="AB92" s="1" t="s">
        <v>62</v>
      </c>
      <c r="AC92" s="1" t="s">
        <v>72</v>
      </c>
      <c r="AF92" s="1" t="s">
        <v>51</v>
      </c>
      <c r="AG92" s="1" t="s">
        <v>72</v>
      </c>
      <c r="AI92" s="1">
        <v>0.0</v>
      </c>
      <c r="AJ92" s="1">
        <v>0.0</v>
      </c>
      <c r="AK92" s="1">
        <v>0.0</v>
      </c>
      <c r="AL92" s="1">
        <v>1.0</v>
      </c>
      <c r="AM92" s="1" t="s">
        <v>51</v>
      </c>
      <c r="AN92" s="1" t="s">
        <v>204</v>
      </c>
      <c r="AP92" s="1">
        <v>4.8882061E8</v>
      </c>
      <c r="AQ92" s="1" t="s">
        <v>205</v>
      </c>
      <c r="AR92" s="1">
        <v>45806.62994</v>
      </c>
      <c r="AU92" s="1" t="s">
        <v>64</v>
      </c>
      <c r="AW92" s="1" t="s">
        <v>191</v>
      </c>
      <c r="AY92" s="1">
        <v>86.0</v>
      </c>
    </row>
    <row r="93" hidden="1">
      <c r="A93" s="1" t="s">
        <v>51</v>
      </c>
      <c r="C93" s="1" t="s">
        <v>53</v>
      </c>
      <c r="E93" s="1" t="s">
        <v>53</v>
      </c>
      <c r="F93" s="1" t="s">
        <v>54</v>
      </c>
      <c r="G93" s="1">
        <v>33.0</v>
      </c>
      <c r="H93" s="1" t="s">
        <v>66</v>
      </c>
      <c r="I93" s="1" t="s">
        <v>121</v>
      </c>
      <c r="J93" s="1" t="s">
        <v>86</v>
      </c>
      <c r="K93" s="1" t="s">
        <v>87</v>
      </c>
      <c r="M93" s="1" t="s">
        <v>58</v>
      </c>
      <c r="N93" s="1" t="s">
        <v>58</v>
      </c>
      <c r="O93" s="1" t="s">
        <v>69</v>
      </c>
      <c r="Q93" s="1" t="s">
        <v>69</v>
      </c>
      <c r="R93" s="1" t="s">
        <v>58</v>
      </c>
      <c r="S93" s="1" t="s">
        <v>58</v>
      </c>
      <c r="T93" s="1" t="s">
        <v>58</v>
      </c>
      <c r="U93" s="1" t="s">
        <v>70</v>
      </c>
      <c r="V93" s="1" t="s">
        <v>58</v>
      </c>
      <c r="W93" s="1" t="s">
        <v>69</v>
      </c>
      <c r="X93" s="1" t="s">
        <v>59</v>
      </c>
      <c r="Y93" s="1" t="s">
        <v>60</v>
      </c>
      <c r="Z93" s="1" t="s">
        <v>96</v>
      </c>
      <c r="AA93" s="1">
        <v>100.0</v>
      </c>
      <c r="AB93" s="1" t="s">
        <v>79</v>
      </c>
      <c r="AC93" s="1" t="s">
        <v>71</v>
      </c>
      <c r="AF93" s="1" t="s">
        <v>51</v>
      </c>
      <c r="AG93" s="1" t="s">
        <v>72</v>
      </c>
      <c r="AI93" s="1">
        <v>0.0</v>
      </c>
      <c r="AJ93" s="1">
        <v>0.0</v>
      </c>
      <c r="AK93" s="1">
        <v>1.0</v>
      </c>
      <c r="AL93" s="1">
        <v>0.0</v>
      </c>
      <c r="AM93" s="1" t="s">
        <v>51</v>
      </c>
      <c r="AN93" s="1" t="s">
        <v>206</v>
      </c>
      <c r="AP93" s="1">
        <v>4.88832371E8</v>
      </c>
      <c r="AQ93" s="1" t="s">
        <v>207</v>
      </c>
      <c r="AR93" s="1">
        <v>45806.63735</v>
      </c>
      <c r="AU93" s="1" t="s">
        <v>64</v>
      </c>
      <c r="AW93" s="1" t="s">
        <v>191</v>
      </c>
      <c r="AY93" s="1">
        <v>87.0</v>
      </c>
    </row>
    <row r="94" hidden="1">
      <c r="A94" s="1" t="s">
        <v>51</v>
      </c>
      <c r="C94" s="1" t="s">
        <v>52</v>
      </c>
      <c r="E94" s="1" t="s">
        <v>53</v>
      </c>
      <c r="F94" s="1" t="s">
        <v>94</v>
      </c>
      <c r="G94" s="1">
        <v>43.0</v>
      </c>
      <c r="H94" s="1" t="s">
        <v>66</v>
      </c>
      <c r="I94" s="1" t="s">
        <v>67</v>
      </c>
      <c r="J94" s="1" t="s">
        <v>86</v>
      </c>
      <c r="K94" s="1" t="s">
        <v>87</v>
      </c>
      <c r="M94" s="1" t="s">
        <v>58</v>
      </c>
      <c r="N94" s="1" t="s">
        <v>58</v>
      </c>
      <c r="O94" s="1" t="s">
        <v>70</v>
      </c>
      <c r="Q94" s="1" t="s">
        <v>69</v>
      </c>
      <c r="R94" s="1" t="s">
        <v>58</v>
      </c>
      <c r="S94" s="1" t="s">
        <v>69</v>
      </c>
      <c r="T94" s="1" t="s">
        <v>69</v>
      </c>
      <c r="U94" s="1" t="s">
        <v>69</v>
      </c>
      <c r="V94" s="1" t="s">
        <v>69</v>
      </c>
      <c r="W94" s="1" t="s">
        <v>58</v>
      </c>
      <c r="X94" s="1" t="s">
        <v>88</v>
      </c>
      <c r="Y94" s="1" t="s">
        <v>60</v>
      </c>
      <c r="Z94" s="1" t="s">
        <v>108</v>
      </c>
      <c r="AA94" s="1">
        <v>50.0</v>
      </c>
      <c r="AB94" s="1" t="s">
        <v>79</v>
      </c>
      <c r="AC94" s="1" t="s">
        <v>71</v>
      </c>
      <c r="AF94" s="1" t="s">
        <v>72</v>
      </c>
      <c r="AG94" s="1" t="s">
        <v>72</v>
      </c>
      <c r="AI94" s="1">
        <v>0.0</v>
      </c>
      <c r="AJ94" s="1">
        <v>0.0</v>
      </c>
      <c r="AK94" s="1">
        <v>0.0</v>
      </c>
      <c r="AL94" s="1">
        <v>1.0</v>
      </c>
      <c r="AM94" s="1" t="s">
        <v>72</v>
      </c>
      <c r="AP94" s="1">
        <v>4.88847644E8</v>
      </c>
      <c r="AQ94" s="1" t="s">
        <v>208</v>
      </c>
      <c r="AR94" s="1">
        <v>45806.6484</v>
      </c>
      <c r="AU94" s="1" t="s">
        <v>64</v>
      </c>
      <c r="AW94" s="1" t="s">
        <v>191</v>
      </c>
      <c r="AY94" s="1">
        <v>88.0</v>
      </c>
    </row>
    <row r="95" hidden="1">
      <c r="A95" s="1" t="s">
        <v>51</v>
      </c>
      <c r="C95" s="1" t="s">
        <v>52</v>
      </c>
      <c r="E95" s="1" t="s">
        <v>52</v>
      </c>
      <c r="G95" s="1">
        <v>35.0</v>
      </c>
      <c r="H95" s="1" t="s">
        <v>66</v>
      </c>
      <c r="J95" s="1" t="s">
        <v>56</v>
      </c>
      <c r="K95" s="1" t="s">
        <v>87</v>
      </c>
      <c r="M95" s="1" t="s">
        <v>58</v>
      </c>
      <c r="N95" s="1" t="s">
        <v>58</v>
      </c>
      <c r="O95" s="1" t="s">
        <v>69</v>
      </c>
      <c r="Q95" s="1" t="s">
        <v>69</v>
      </c>
      <c r="R95" s="1" t="s">
        <v>58</v>
      </c>
      <c r="S95" s="1" t="s">
        <v>69</v>
      </c>
      <c r="T95" s="1" t="s">
        <v>58</v>
      </c>
      <c r="U95" s="1" t="s">
        <v>58</v>
      </c>
      <c r="V95" s="1" t="s">
        <v>58</v>
      </c>
      <c r="W95" s="1" t="s">
        <v>69</v>
      </c>
      <c r="X95" s="1" t="s">
        <v>88</v>
      </c>
      <c r="Y95" s="1" t="s">
        <v>82</v>
      </c>
      <c r="Z95" s="1" t="s">
        <v>108</v>
      </c>
      <c r="AA95" s="1">
        <v>100.0</v>
      </c>
      <c r="AB95" s="1" t="s">
        <v>62</v>
      </c>
      <c r="AC95" s="1" t="s">
        <v>51</v>
      </c>
      <c r="AD95" s="1" t="s">
        <v>81</v>
      </c>
      <c r="AE95" s="1" t="s">
        <v>51</v>
      </c>
      <c r="AF95" s="1" t="s">
        <v>51</v>
      </c>
      <c r="AG95" s="1" t="s">
        <v>51</v>
      </c>
      <c r="AH95" s="1">
        <v>15.0</v>
      </c>
      <c r="AI95" s="1">
        <v>0.0</v>
      </c>
      <c r="AJ95" s="1">
        <v>0.0</v>
      </c>
      <c r="AK95" s="1">
        <v>0.0</v>
      </c>
      <c r="AL95" s="1">
        <v>1.0</v>
      </c>
      <c r="AP95" s="1">
        <v>4.88871967E8</v>
      </c>
      <c r="AQ95" s="1" t="s">
        <v>209</v>
      </c>
      <c r="AR95" s="1">
        <v>45806.66529</v>
      </c>
      <c r="AU95" s="1" t="s">
        <v>64</v>
      </c>
      <c r="AW95" s="1" t="s">
        <v>191</v>
      </c>
      <c r="AY95" s="1">
        <v>89.0</v>
      </c>
    </row>
    <row r="96" hidden="1">
      <c r="A96" s="1" t="s">
        <v>51</v>
      </c>
      <c r="C96" s="1" t="s">
        <v>52</v>
      </c>
      <c r="E96" s="1" t="s">
        <v>53</v>
      </c>
      <c r="F96" s="1" t="s">
        <v>54</v>
      </c>
      <c r="G96" s="1">
        <v>59.0</v>
      </c>
      <c r="H96" s="1" t="s">
        <v>55</v>
      </c>
      <c r="I96" s="1" t="s">
        <v>67</v>
      </c>
      <c r="J96" s="1" t="s">
        <v>111</v>
      </c>
      <c r="K96" s="1" t="s">
        <v>87</v>
      </c>
      <c r="M96" s="1" t="s">
        <v>58</v>
      </c>
      <c r="N96" s="1" t="s">
        <v>58</v>
      </c>
      <c r="O96" s="1" t="s">
        <v>58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58</v>
      </c>
      <c r="V96" s="1" t="s">
        <v>58</v>
      </c>
      <c r="W96" s="1" t="s">
        <v>69</v>
      </c>
      <c r="X96" s="1" t="s">
        <v>59</v>
      </c>
      <c r="Y96" s="1" t="s">
        <v>95</v>
      </c>
      <c r="Z96" s="1" t="s">
        <v>89</v>
      </c>
      <c r="AA96" s="1">
        <v>100.0</v>
      </c>
      <c r="AB96" s="1" t="s">
        <v>62</v>
      </c>
      <c r="AC96" s="1" t="s">
        <v>51</v>
      </c>
      <c r="AD96" s="1" t="s">
        <v>59</v>
      </c>
      <c r="AE96" s="1" t="s">
        <v>51</v>
      </c>
      <c r="AF96" s="1" t="s">
        <v>51</v>
      </c>
      <c r="AG96" s="1" t="s">
        <v>51</v>
      </c>
      <c r="AH96" s="1">
        <v>100.0</v>
      </c>
      <c r="AI96" s="1">
        <v>0.0</v>
      </c>
      <c r="AJ96" s="1">
        <v>0.0</v>
      </c>
      <c r="AK96" s="1">
        <v>0.0</v>
      </c>
      <c r="AL96" s="1">
        <v>1.0</v>
      </c>
      <c r="AM96" s="1" t="s">
        <v>51</v>
      </c>
      <c r="AN96" s="3">
        <v>27727644928</v>
      </c>
      <c r="AP96" s="1">
        <v>4.88885171E8</v>
      </c>
      <c r="AQ96" s="1" t="s">
        <v>210</v>
      </c>
      <c r="AR96" s="1">
        <v>45806.67403</v>
      </c>
      <c r="AU96" s="1" t="s">
        <v>64</v>
      </c>
      <c r="AW96" s="1" t="s">
        <v>191</v>
      </c>
      <c r="AY96" s="1">
        <v>90.0</v>
      </c>
    </row>
    <row r="97" hidden="1">
      <c r="A97" s="1" t="s">
        <v>51</v>
      </c>
      <c r="C97" s="1" t="s">
        <v>53</v>
      </c>
      <c r="E97" s="1" t="s">
        <v>53</v>
      </c>
      <c r="F97" s="1" t="s">
        <v>149</v>
      </c>
      <c r="G97" s="1">
        <v>34.0</v>
      </c>
      <c r="H97" s="1" t="s">
        <v>66</v>
      </c>
      <c r="I97" s="1" t="s">
        <v>121</v>
      </c>
      <c r="J97" s="1" t="s">
        <v>86</v>
      </c>
      <c r="K97" s="1" t="s">
        <v>87</v>
      </c>
      <c r="M97" s="1" t="s">
        <v>58</v>
      </c>
      <c r="O97" s="1" t="s">
        <v>58</v>
      </c>
      <c r="Q97" s="1" t="s">
        <v>58</v>
      </c>
      <c r="R97" s="1" t="s">
        <v>58</v>
      </c>
      <c r="S97" s="1" t="s">
        <v>69</v>
      </c>
      <c r="T97" s="1" t="s">
        <v>69</v>
      </c>
      <c r="U97" s="1" t="s">
        <v>58</v>
      </c>
      <c r="V97" s="1" t="s">
        <v>69</v>
      </c>
      <c r="W97" s="1" t="s">
        <v>69</v>
      </c>
      <c r="X97" s="1" t="s">
        <v>59</v>
      </c>
      <c r="Y97" s="1" t="s">
        <v>95</v>
      </c>
      <c r="Z97" s="1" t="s">
        <v>61</v>
      </c>
      <c r="AA97" s="1">
        <v>100.0</v>
      </c>
      <c r="AB97" s="1" t="s">
        <v>79</v>
      </c>
      <c r="AF97" s="1" t="s">
        <v>51</v>
      </c>
      <c r="AG97" s="1" t="s">
        <v>51</v>
      </c>
      <c r="AH97" s="1">
        <v>50.0</v>
      </c>
      <c r="AI97" s="1">
        <v>0.0</v>
      </c>
      <c r="AJ97" s="1">
        <v>0.0</v>
      </c>
      <c r="AK97" s="1">
        <v>0.0</v>
      </c>
      <c r="AL97" s="1">
        <v>1.0</v>
      </c>
      <c r="AM97" s="1" t="s">
        <v>51</v>
      </c>
      <c r="AN97" s="1">
        <v>7.31367408E8</v>
      </c>
      <c r="AP97" s="1">
        <v>4.88933913E8</v>
      </c>
      <c r="AQ97" s="1" t="s">
        <v>211</v>
      </c>
      <c r="AR97" s="1">
        <v>45806.70992</v>
      </c>
      <c r="AU97" s="1" t="s">
        <v>64</v>
      </c>
      <c r="AW97" s="1" t="s">
        <v>191</v>
      </c>
      <c r="AY97" s="1">
        <v>91.0</v>
      </c>
    </row>
    <row r="98" hidden="1">
      <c r="A98" s="1" t="s">
        <v>51</v>
      </c>
      <c r="C98" s="1" t="s">
        <v>212</v>
      </c>
      <c r="E98" s="1" t="s">
        <v>53</v>
      </c>
      <c r="F98" s="1" t="s">
        <v>102</v>
      </c>
      <c r="G98" s="1">
        <v>50.0</v>
      </c>
      <c r="H98" s="1" t="s">
        <v>55</v>
      </c>
      <c r="I98" s="1" t="s">
        <v>67</v>
      </c>
      <c r="J98" s="1" t="s">
        <v>86</v>
      </c>
      <c r="K98" s="1" t="s">
        <v>87</v>
      </c>
      <c r="M98" s="1" t="s">
        <v>58</v>
      </c>
      <c r="N98" s="1" t="s">
        <v>58</v>
      </c>
      <c r="O98" s="1" t="s">
        <v>58</v>
      </c>
      <c r="Q98" s="1" t="s">
        <v>69</v>
      </c>
      <c r="R98" s="1" t="s">
        <v>58</v>
      </c>
      <c r="S98" s="1" t="s">
        <v>69</v>
      </c>
      <c r="T98" s="1" t="s">
        <v>69</v>
      </c>
      <c r="U98" s="1" t="s">
        <v>69</v>
      </c>
      <c r="V98" s="1" t="s">
        <v>58</v>
      </c>
      <c r="W98" s="1" t="s">
        <v>69</v>
      </c>
      <c r="X98" s="1" t="s">
        <v>88</v>
      </c>
      <c r="Y98" s="1" t="s">
        <v>95</v>
      </c>
      <c r="Z98" s="1" t="s">
        <v>89</v>
      </c>
      <c r="AA98" s="1">
        <v>100.0</v>
      </c>
      <c r="AB98" s="1" t="s">
        <v>79</v>
      </c>
      <c r="AF98" s="1" t="s">
        <v>51</v>
      </c>
      <c r="AG98" s="1" t="s">
        <v>72</v>
      </c>
      <c r="AI98" s="1">
        <v>0.0</v>
      </c>
      <c r="AJ98" s="1">
        <v>0.0</v>
      </c>
      <c r="AK98" s="1">
        <v>0.0</v>
      </c>
      <c r="AL98" s="1">
        <v>1.0</v>
      </c>
      <c r="AM98" s="1" t="s">
        <v>72</v>
      </c>
      <c r="AP98" s="1">
        <v>4.88978682E8</v>
      </c>
      <c r="AQ98" s="1" t="s">
        <v>213</v>
      </c>
      <c r="AR98" s="1">
        <v>45806.75002</v>
      </c>
      <c r="AU98" s="1" t="s">
        <v>64</v>
      </c>
      <c r="AW98" s="1" t="s">
        <v>191</v>
      </c>
      <c r="AY98" s="1">
        <v>92.0</v>
      </c>
    </row>
    <row r="99" hidden="1">
      <c r="A99" s="1" t="s">
        <v>51</v>
      </c>
      <c r="C99" s="1" t="s">
        <v>53</v>
      </c>
      <c r="E99" s="1" t="s">
        <v>53</v>
      </c>
      <c r="F99" s="1" t="s">
        <v>214</v>
      </c>
      <c r="G99" s="1">
        <v>39.0</v>
      </c>
      <c r="H99" s="1" t="s">
        <v>66</v>
      </c>
      <c r="I99" s="1" t="s">
        <v>121</v>
      </c>
      <c r="J99" s="1" t="s">
        <v>86</v>
      </c>
      <c r="K99" s="1" t="s">
        <v>87</v>
      </c>
      <c r="M99" s="1" t="s">
        <v>58</v>
      </c>
      <c r="N99" s="1" t="s">
        <v>58</v>
      </c>
      <c r="O99" s="1" t="s">
        <v>58</v>
      </c>
      <c r="Q99" s="1" t="s">
        <v>69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88</v>
      </c>
      <c r="Y99" s="1" t="s">
        <v>95</v>
      </c>
      <c r="Z99" s="1" t="s">
        <v>89</v>
      </c>
      <c r="AA99" s="1">
        <v>100.0</v>
      </c>
      <c r="AB99" s="1" t="s">
        <v>62</v>
      </c>
      <c r="AC99" s="1" t="s">
        <v>51</v>
      </c>
      <c r="AD99" s="1" t="s">
        <v>81</v>
      </c>
      <c r="AE99" s="1" t="s">
        <v>51</v>
      </c>
      <c r="AG99" s="1" t="s">
        <v>51</v>
      </c>
      <c r="AH99" s="1">
        <v>100.0</v>
      </c>
      <c r="AI99" s="1">
        <v>0.0</v>
      </c>
      <c r="AJ99" s="1">
        <v>1.0</v>
      </c>
      <c r="AK99" s="1">
        <v>1.0</v>
      </c>
      <c r="AL99" s="1">
        <v>0.0</v>
      </c>
      <c r="AM99" s="1" t="s">
        <v>72</v>
      </c>
      <c r="AP99" s="1">
        <v>4.88978973E8</v>
      </c>
      <c r="AQ99" s="1" t="s">
        <v>215</v>
      </c>
      <c r="AR99" s="1">
        <v>45806.75044</v>
      </c>
      <c r="AU99" s="1" t="s">
        <v>64</v>
      </c>
      <c r="AW99" s="1" t="s">
        <v>191</v>
      </c>
      <c r="AY99" s="1">
        <v>93.0</v>
      </c>
    </row>
    <row r="100" hidden="1">
      <c r="A100" s="1" t="s">
        <v>51</v>
      </c>
      <c r="C100" s="1" t="s">
        <v>53</v>
      </c>
      <c r="E100" s="1" t="s">
        <v>53</v>
      </c>
      <c r="F100" s="1" t="s">
        <v>54</v>
      </c>
      <c r="G100" s="1">
        <v>45.0</v>
      </c>
      <c r="H100" s="1" t="s">
        <v>66</v>
      </c>
      <c r="I100" s="1" t="s">
        <v>121</v>
      </c>
      <c r="J100" s="1" t="s">
        <v>56</v>
      </c>
      <c r="K100" s="1" t="s">
        <v>87</v>
      </c>
      <c r="M100" s="1" t="s">
        <v>58</v>
      </c>
      <c r="N100" s="1" t="s">
        <v>58</v>
      </c>
      <c r="O100" s="1" t="s">
        <v>69</v>
      </c>
      <c r="Q100" s="1" t="s">
        <v>69</v>
      </c>
      <c r="R100" s="1" t="s">
        <v>58</v>
      </c>
      <c r="S100" s="1" t="s">
        <v>69</v>
      </c>
      <c r="T100" s="1" t="s">
        <v>69</v>
      </c>
      <c r="U100" s="1" t="s">
        <v>70</v>
      </c>
      <c r="V100" s="1" t="s">
        <v>58</v>
      </c>
      <c r="W100" s="1" t="s">
        <v>69</v>
      </c>
      <c r="X100" s="1" t="s">
        <v>88</v>
      </c>
      <c r="Y100" s="1" t="s">
        <v>95</v>
      </c>
      <c r="Z100" s="1" t="s">
        <v>96</v>
      </c>
      <c r="AA100" s="1">
        <v>100.0</v>
      </c>
      <c r="AB100" s="1" t="s">
        <v>62</v>
      </c>
      <c r="AC100" s="1" t="s">
        <v>51</v>
      </c>
      <c r="AD100" s="1" t="s">
        <v>59</v>
      </c>
      <c r="AF100" s="1" t="s">
        <v>51</v>
      </c>
      <c r="AG100" s="1" t="s">
        <v>51</v>
      </c>
      <c r="AH100" s="1">
        <v>50.0</v>
      </c>
      <c r="AI100" s="1">
        <v>1.0</v>
      </c>
      <c r="AJ100" s="1">
        <v>1.0</v>
      </c>
      <c r="AK100" s="1">
        <v>1.0</v>
      </c>
      <c r="AL100" s="1">
        <v>0.0</v>
      </c>
      <c r="AM100" s="1" t="s">
        <v>51</v>
      </c>
      <c r="AN100" s="1">
        <v>8.37723525E8</v>
      </c>
      <c r="AP100" s="1">
        <v>4.89006974E8</v>
      </c>
      <c r="AQ100" s="1" t="s">
        <v>216</v>
      </c>
      <c r="AR100" s="1">
        <v>45806.78529</v>
      </c>
      <c r="AU100" s="1" t="s">
        <v>64</v>
      </c>
      <c r="AW100" s="1" t="s">
        <v>191</v>
      </c>
      <c r="AY100" s="1">
        <v>94.0</v>
      </c>
    </row>
    <row r="101" hidden="1">
      <c r="A101" s="1" t="s">
        <v>51</v>
      </c>
      <c r="C101" s="1" t="s">
        <v>53</v>
      </c>
      <c r="E101" s="1" t="s">
        <v>53</v>
      </c>
      <c r="F101" s="1" t="s">
        <v>94</v>
      </c>
      <c r="G101" s="1">
        <v>43.0</v>
      </c>
      <c r="H101" s="1" t="s">
        <v>66</v>
      </c>
      <c r="I101" s="1" t="s">
        <v>121</v>
      </c>
      <c r="J101" s="1" t="s">
        <v>86</v>
      </c>
      <c r="K101" s="1" t="s">
        <v>87</v>
      </c>
      <c r="M101" s="1" t="s">
        <v>58</v>
      </c>
      <c r="N101" s="1" t="s">
        <v>58</v>
      </c>
      <c r="O101" s="1" t="s">
        <v>69</v>
      </c>
      <c r="Q101" s="1" t="s">
        <v>58</v>
      </c>
      <c r="R101" s="1" t="s">
        <v>58</v>
      </c>
      <c r="S101" s="1" t="s">
        <v>58</v>
      </c>
      <c r="T101" s="1" t="s">
        <v>69</v>
      </c>
      <c r="U101" s="1" t="s">
        <v>58</v>
      </c>
      <c r="V101" s="1" t="s">
        <v>58</v>
      </c>
      <c r="W101" s="1" t="s">
        <v>69</v>
      </c>
      <c r="X101" s="1" t="s">
        <v>59</v>
      </c>
      <c r="Y101" s="1" t="s">
        <v>95</v>
      </c>
      <c r="Z101" s="1" t="s">
        <v>89</v>
      </c>
      <c r="AA101" s="1">
        <v>30.0</v>
      </c>
      <c r="AB101" s="1" t="s">
        <v>28</v>
      </c>
      <c r="AC101" s="1" t="s">
        <v>71</v>
      </c>
      <c r="AF101" s="1" t="s">
        <v>72</v>
      </c>
      <c r="AG101" s="1" t="s">
        <v>72</v>
      </c>
      <c r="AI101" s="1">
        <v>0.0</v>
      </c>
      <c r="AJ101" s="1">
        <v>0.0</v>
      </c>
      <c r="AK101" s="1">
        <v>1.0</v>
      </c>
      <c r="AL101" s="1">
        <v>0.0</v>
      </c>
      <c r="AM101" s="1" t="s">
        <v>72</v>
      </c>
      <c r="AP101" s="1">
        <v>4.89015378E8</v>
      </c>
      <c r="AQ101" s="1" t="s">
        <v>217</v>
      </c>
      <c r="AR101" s="1">
        <v>45806.79795</v>
      </c>
      <c r="AU101" s="1" t="s">
        <v>64</v>
      </c>
      <c r="AW101" s="1" t="s">
        <v>191</v>
      </c>
      <c r="AY101" s="1">
        <v>95.0</v>
      </c>
    </row>
    <row r="102">
      <c r="A102" s="1" t="s">
        <v>51</v>
      </c>
      <c r="C102" s="1" t="s">
        <v>151</v>
      </c>
      <c r="E102" s="1" t="s">
        <v>53</v>
      </c>
      <c r="F102" s="1" t="s">
        <v>102</v>
      </c>
      <c r="G102" s="1">
        <v>38.0</v>
      </c>
      <c r="H102" s="1" t="s">
        <v>66</v>
      </c>
      <c r="I102" s="1" t="s">
        <v>67</v>
      </c>
      <c r="J102" s="1" t="s">
        <v>68</v>
      </c>
      <c r="K102" s="1" t="s">
        <v>74</v>
      </c>
      <c r="M102" s="1" t="s">
        <v>58</v>
      </c>
      <c r="N102" s="1" t="s">
        <v>58</v>
      </c>
      <c r="O102" s="1" t="s">
        <v>58</v>
      </c>
      <c r="Q102" s="1" t="s">
        <v>58</v>
      </c>
      <c r="R102" s="1" t="s">
        <v>58</v>
      </c>
      <c r="S102" s="1" t="s">
        <v>58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81</v>
      </c>
      <c r="Y102" s="1" t="s">
        <v>60</v>
      </c>
      <c r="Z102" s="1" t="s">
        <v>61</v>
      </c>
      <c r="AA102" s="1">
        <v>10.0</v>
      </c>
      <c r="AB102" s="1" t="s">
        <v>62</v>
      </c>
      <c r="AC102" s="1" t="s">
        <v>71</v>
      </c>
      <c r="AF102" s="1" t="s">
        <v>51</v>
      </c>
      <c r="AG102" s="1" t="s">
        <v>72</v>
      </c>
      <c r="AI102" s="1">
        <v>0.0</v>
      </c>
      <c r="AJ102" s="1">
        <v>0.0</v>
      </c>
      <c r="AK102" s="1">
        <v>0.0</v>
      </c>
      <c r="AL102" s="1">
        <v>1.0</v>
      </c>
      <c r="AM102" s="1" t="s">
        <v>72</v>
      </c>
      <c r="AP102" s="1">
        <v>4.89056347E8</v>
      </c>
      <c r="AQ102" s="1" t="s">
        <v>218</v>
      </c>
      <c r="AR102" s="1">
        <v>45806.86391</v>
      </c>
      <c r="AU102" s="1" t="s">
        <v>64</v>
      </c>
      <c r="AW102" s="1" t="s">
        <v>165</v>
      </c>
      <c r="AY102" s="1">
        <v>96.0</v>
      </c>
    </row>
    <row r="103" hidden="1">
      <c r="A103" s="1" t="s">
        <v>51</v>
      </c>
      <c r="C103" s="1" t="s">
        <v>53</v>
      </c>
      <c r="E103" s="1" t="s">
        <v>53</v>
      </c>
      <c r="F103" s="1" t="s">
        <v>102</v>
      </c>
      <c r="G103" s="1">
        <v>39.0</v>
      </c>
      <c r="H103" s="1" t="s">
        <v>55</v>
      </c>
      <c r="I103" s="1" t="s">
        <v>121</v>
      </c>
      <c r="J103" s="1" t="s">
        <v>86</v>
      </c>
      <c r="K103" s="1" t="s">
        <v>74</v>
      </c>
      <c r="M103" s="1" t="s">
        <v>58</v>
      </c>
      <c r="N103" s="1" t="s">
        <v>58</v>
      </c>
      <c r="O103" s="1" t="s">
        <v>58</v>
      </c>
      <c r="Q103" s="1" t="s">
        <v>69</v>
      </c>
      <c r="R103" s="1" t="s">
        <v>58</v>
      </c>
      <c r="S103" s="1" t="s">
        <v>69</v>
      </c>
      <c r="T103" s="1" t="s">
        <v>69</v>
      </c>
      <c r="U103" s="1" t="s">
        <v>69</v>
      </c>
      <c r="V103" s="1" t="s">
        <v>58</v>
      </c>
      <c r="W103" s="1" t="s">
        <v>69</v>
      </c>
      <c r="X103" s="1" t="s">
        <v>59</v>
      </c>
      <c r="Y103" s="1" t="s">
        <v>60</v>
      </c>
      <c r="Z103" s="1" t="s">
        <v>61</v>
      </c>
      <c r="AA103" s="1">
        <v>100.0</v>
      </c>
      <c r="AB103" s="1" t="s">
        <v>62</v>
      </c>
      <c r="AC103" s="1" t="s">
        <v>72</v>
      </c>
      <c r="AF103" s="1" t="s">
        <v>51</v>
      </c>
      <c r="AG103" s="1" t="s">
        <v>51</v>
      </c>
      <c r="AH103" s="1">
        <v>500.0</v>
      </c>
      <c r="AI103" s="1">
        <v>0.0</v>
      </c>
      <c r="AJ103" s="1">
        <v>1.0</v>
      </c>
      <c r="AK103" s="1">
        <v>0.0</v>
      </c>
      <c r="AL103" s="1">
        <v>0.0</v>
      </c>
      <c r="AM103" s="1" t="s">
        <v>51</v>
      </c>
      <c r="AN103" s="1">
        <v>6.94715148E8</v>
      </c>
      <c r="AP103" s="1">
        <v>4.89145506E8</v>
      </c>
      <c r="AQ103" s="1" t="s">
        <v>219</v>
      </c>
      <c r="AR103" s="1">
        <v>45807.16942</v>
      </c>
      <c r="AU103" s="1" t="s">
        <v>64</v>
      </c>
      <c r="AW103" s="1" t="s">
        <v>191</v>
      </c>
      <c r="AY103" s="1">
        <v>97.0</v>
      </c>
    </row>
    <row r="104" hidden="1">
      <c r="A104" s="1" t="s">
        <v>51</v>
      </c>
      <c r="C104" s="1" t="s">
        <v>53</v>
      </c>
      <c r="E104" s="1" t="s">
        <v>53</v>
      </c>
      <c r="F104" s="1" t="s">
        <v>102</v>
      </c>
      <c r="G104" s="1">
        <v>54.0</v>
      </c>
      <c r="H104" s="1" t="s">
        <v>66</v>
      </c>
      <c r="I104" s="1" t="s">
        <v>121</v>
      </c>
      <c r="J104" s="1" t="s">
        <v>86</v>
      </c>
      <c r="K104" s="1" t="s">
        <v>87</v>
      </c>
      <c r="M104" s="1" t="s">
        <v>58</v>
      </c>
      <c r="N104" s="1" t="s">
        <v>58</v>
      </c>
      <c r="O104" s="1" t="s">
        <v>58</v>
      </c>
      <c r="Q104" s="1" t="s">
        <v>69</v>
      </c>
      <c r="R104" s="1" t="s">
        <v>69</v>
      </c>
      <c r="S104" s="1" t="s">
        <v>58</v>
      </c>
      <c r="T104" s="1" t="s">
        <v>69</v>
      </c>
      <c r="U104" s="1" t="s">
        <v>58</v>
      </c>
      <c r="V104" s="1" t="s">
        <v>58</v>
      </c>
      <c r="W104" s="1" t="s">
        <v>69</v>
      </c>
      <c r="X104" s="1" t="s">
        <v>81</v>
      </c>
      <c r="Y104" s="1" t="s">
        <v>95</v>
      </c>
      <c r="Z104" s="1" t="s">
        <v>61</v>
      </c>
      <c r="AA104" s="1">
        <v>100.0</v>
      </c>
      <c r="AB104" s="1" t="s">
        <v>62</v>
      </c>
      <c r="AC104" s="1" t="s">
        <v>71</v>
      </c>
      <c r="AF104" s="1" t="s">
        <v>51</v>
      </c>
      <c r="AG104" s="1" t="s">
        <v>51</v>
      </c>
      <c r="AH104" s="1">
        <v>2000.0</v>
      </c>
      <c r="AI104" s="1">
        <v>0.0</v>
      </c>
      <c r="AJ104" s="1">
        <v>0.0</v>
      </c>
      <c r="AK104" s="1">
        <v>0.0</v>
      </c>
      <c r="AL104" s="1">
        <v>1.0</v>
      </c>
      <c r="AM104" s="1" t="s">
        <v>51</v>
      </c>
      <c r="AN104" s="1">
        <v>7.81400075E8</v>
      </c>
      <c r="AP104" s="1">
        <v>4.89150112E8</v>
      </c>
      <c r="AQ104" s="1" t="s">
        <v>220</v>
      </c>
      <c r="AR104" s="1">
        <v>45807.18352</v>
      </c>
      <c r="AU104" s="1" t="s">
        <v>64</v>
      </c>
      <c r="AW104" s="1" t="s">
        <v>191</v>
      </c>
      <c r="AY104" s="1">
        <v>98.0</v>
      </c>
    </row>
    <row r="105" hidden="1">
      <c r="A105" s="1" t="s">
        <v>51</v>
      </c>
      <c r="C105" s="1" t="s">
        <v>53</v>
      </c>
      <c r="E105" s="1" t="s">
        <v>53</v>
      </c>
      <c r="F105" s="1" t="s">
        <v>221</v>
      </c>
      <c r="G105" s="1">
        <v>41.0</v>
      </c>
      <c r="H105" s="1" t="s">
        <v>55</v>
      </c>
      <c r="I105" s="1" t="s">
        <v>121</v>
      </c>
      <c r="J105" s="1" t="s">
        <v>56</v>
      </c>
      <c r="K105" s="1" t="s">
        <v>87</v>
      </c>
      <c r="M105" s="1" t="s">
        <v>58</v>
      </c>
      <c r="N105" s="1" t="s">
        <v>58</v>
      </c>
      <c r="O105" s="1" t="s">
        <v>70</v>
      </c>
      <c r="Q105" s="1" t="s">
        <v>70</v>
      </c>
      <c r="R105" s="1" t="s">
        <v>58</v>
      </c>
      <c r="S105" s="1" t="s">
        <v>69</v>
      </c>
      <c r="T105" s="1" t="s">
        <v>69</v>
      </c>
      <c r="U105" s="1" t="s">
        <v>58</v>
      </c>
      <c r="V105" s="1" t="s">
        <v>58</v>
      </c>
      <c r="W105" s="1" t="s">
        <v>70</v>
      </c>
      <c r="X105" s="1" t="s">
        <v>59</v>
      </c>
      <c r="Z105" s="1" t="s">
        <v>89</v>
      </c>
      <c r="AA105" s="1">
        <v>50.0</v>
      </c>
      <c r="AB105" s="1" t="s">
        <v>62</v>
      </c>
      <c r="AC105" s="1" t="s">
        <v>51</v>
      </c>
      <c r="AD105" s="1" t="s">
        <v>59</v>
      </c>
      <c r="AE105" s="1" t="s">
        <v>51</v>
      </c>
      <c r="AF105" s="1" t="s">
        <v>51</v>
      </c>
      <c r="AG105" s="1" t="s">
        <v>51</v>
      </c>
      <c r="AH105" s="1">
        <v>50.0</v>
      </c>
      <c r="AI105" s="1">
        <v>0.0</v>
      </c>
      <c r="AJ105" s="1">
        <v>0.0</v>
      </c>
      <c r="AK105" s="1">
        <v>0.0</v>
      </c>
      <c r="AL105" s="1">
        <v>1.0</v>
      </c>
      <c r="AM105" s="1" t="s">
        <v>72</v>
      </c>
      <c r="AP105" s="1">
        <v>4.89158046E8</v>
      </c>
      <c r="AQ105" s="1" t="s">
        <v>222</v>
      </c>
      <c r="AR105" s="1">
        <v>45807.20084</v>
      </c>
      <c r="AU105" s="1" t="s">
        <v>64</v>
      </c>
      <c r="AW105" s="1" t="s">
        <v>191</v>
      </c>
      <c r="AY105" s="1">
        <v>99.0</v>
      </c>
    </row>
    <row r="106" hidden="1">
      <c r="A106" s="1" t="s">
        <v>51</v>
      </c>
      <c r="C106" s="1" t="s">
        <v>53</v>
      </c>
      <c r="E106" s="1" t="s">
        <v>53</v>
      </c>
      <c r="F106" s="1" t="s">
        <v>54</v>
      </c>
      <c r="G106" s="1">
        <v>30.0</v>
      </c>
      <c r="H106" s="1" t="s">
        <v>66</v>
      </c>
      <c r="I106" s="1" t="s">
        <v>121</v>
      </c>
      <c r="J106" s="1" t="s">
        <v>86</v>
      </c>
      <c r="K106" s="1" t="s">
        <v>87</v>
      </c>
      <c r="M106" s="1" t="s">
        <v>69</v>
      </c>
      <c r="N106" s="1" t="s">
        <v>58</v>
      </c>
      <c r="O106" s="1" t="s">
        <v>69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81</v>
      </c>
      <c r="Y106" s="1" t="s">
        <v>82</v>
      </c>
      <c r="Z106" s="1" t="s">
        <v>89</v>
      </c>
      <c r="AA106" s="1">
        <v>100.0</v>
      </c>
      <c r="AB106" s="1" t="s">
        <v>79</v>
      </c>
      <c r="AC106" s="1" t="s">
        <v>71</v>
      </c>
      <c r="AF106" s="1" t="s">
        <v>51</v>
      </c>
      <c r="AG106" s="1" t="s">
        <v>51</v>
      </c>
      <c r="AH106" s="1">
        <v>125.0</v>
      </c>
      <c r="AI106" s="1">
        <v>1.0</v>
      </c>
      <c r="AJ106" s="1">
        <v>1.0</v>
      </c>
      <c r="AK106" s="1">
        <v>1.0</v>
      </c>
      <c r="AL106" s="1">
        <v>0.0</v>
      </c>
      <c r="AM106" s="1" t="s">
        <v>51</v>
      </c>
      <c r="AN106" s="1">
        <v>7.22406196E8</v>
      </c>
      <c r="AP106" s="1">
        <v>4.8916466E8</v>
      </c>
      <c r="AQ106" s="1" t="s">
        <v>223</v>
      </c>
      <c r="AR106" s="1">
        <v>45807.21714</v>
      </c>
      <c r="AU106" s="1" t="s">
        <v>64</v>
      </c>
      <c r="AW106" s="1" t="s">
        <v>191</v>
      </c>
      <c r="AY106" s="1">
        <v>100.0</v>
      </c>
    </row>
    <row r="107" hidden="1">
      <c r="A107" s="1" t="s">
        <v>51</v>
      </c>
      <c r="C107" s="1" t="s">
        <v>52</v>
      </c>
      <c r="E107" s="1" t="s">
        <v>53</v>
      </c>
      <c r="F107" s="1" t="s">
        <v>54</v>
      </c>
      <c r="G107" s="1">
        <v>40.0</v>
      </c>
      <c r="H107" s="1" t="s">
        <v>55</v>
      </c>
      <c r="I107" s="1" t="s">
        <v>67</v>
      </c>
      <c r="J107" s="1" t="s">
        <v>86</v>
      </c>
      <c r="K107" s="1" t="s">
        <v>87</v>
      </c>
      <c r="M107" s="1" t="s">
        <v>58</v>
      </c>
      <c r="N107" s="1" t="s">
        <v>58</v>
      </c>
      <c r="O107" s="1" t="s">
        <v>69</v>
      </c>
      <c r="Q107" s="1" t="s">
        <v>69</v>
      </c>
      <c r="R107" s="1" t="s">
        <v>58</v>
      </c>
      <c r="S107" s="1" t="s">
        <v>69</v>
      </c>
      <c r="T107" s="1" t="s">
        <v>69</v>
      </c>
      <c r="U107" s="1" t="s">
        <v>58</v>
      </c>
      <c r="V107" s="1" t="s">
        <v>58</v>
      </c>
      <c r="W107" s="1" t="s">
        <v>69</v>
      </c>
      <c r="X107" s="1" t="s">
        <v>88</v>
      </c>
      <c r="Y107" s="1" t="s">
        <v>95</v>
      </c>
      <c r="Z107" s="1" t="s">
        <v>96</v>
      </c>
      <c r="AA107" s="1">
        <v>100.0</v>
      </c>
      <c r="AB107" s="1" t="s">
        <v>79</v>
      </c>
      <c r="AC107" s="1" t="s">
        <v>51</v>
      </c>
      <c r="AD107" s="1" t="s">
        <v>103</v>
      </c>
      <c r="AE107" s="1" t="s">
        <v>51</v>
      </c>
      <c r="AF107" s="1" t="s">
        <v>51</v>
      </c>
      <c r="AG107" s="1" t="s">
        <v>72</v>
      </c>
      <c r="AI107" s="1">
        <v>0.0</v>
      </c>
      <c r="AJ107" s="1">
        <v>1.0</v>
      </c>
      <c r="AK107" s="1">
        <v>0.0</v>
      </c>
      <c r="AL107" s="1">
        <v>0.0</v>
      </c>
      <c r="AM107" s="1" t="s">
        <v>51</v>
      </c>
      <c r="AN107" s="1">
        <v>7.49037713E8</v>
      </c>
      <c r="AP107" s="1">
        <v>4.89165434E8</v>
      </c>
      <c r="AQ107" s="1" t="s">
        <v>224</v>
      </c>
      <c r="AR107" s="1">
        <v>45807.21875</v>
      </c>
      <c r="AU107" s="1" t="s">
        <v>64</v>
      </c>
      <c r="AW107" s="1" t="s">
        <v>191</v>
      </c>
      <c r="AY107" s="1">
        <v>101.0</v>
      </c>
    </row>
    <row r="108" hidden="1">
      <c r="A108" s="1" t="s">
        <v>51</v>
      </c>
      <c r="C108" s="1" t="s">
        <v>53</v>
      </c>
      <c r="E108" s="1" t="s">
        <v>53</v>
      </c>
      <c r="F108" s="1" t="s">
        <v>225</v>
      </c>
      <c r="G108" s="1">
        <v>37.0</v>
      </c>
      <c r="H108" s="1" t="s">
        <v>66</v>
      </c>
      <c r="I108" s="1" t="s">
        <v>121</v>
      </c>
      <c r="J108" s="1" t="s">
        <v>56</v>
      </c>
      <c r="K108" s="1" t="s">
        <v>87</v>
      </c>
      <c r="M108" s="1" t="s">
        <v>58</v>
      </c>
      <c r="N108" s="1" t="s">
        <v>58</v>
      </c>
      <c r="O108" s="1" t="s">
        <v>58</v>
      </c>
      <c r="Q108" s="1" t="s">
        <v>69</v>
      </c>
      <c r="R108" s="1" t="s">
        <v>58</v>
      </c>
      <c r="S108" s="1" t="s">
        <v>58</v>
      </c>
      <c r="T108" s="1" t="s">
        <v>69</v>
      </c>
      <c r="U108" s="1" t="s">
        <v>58</v>
      </c>
      <c r="V108" s="1" t="s">
        <v>58</v>
      </c>
      <c r="W108" s="1" t="s">
        <v>69</v>
      </c>
      <c r="X108" s="1" t="s">
        <v>59</v>
      </c>
      <c r="Y108" s="1" t="s">
        <v>60</v>
      </c>
      <c r="Z108" s="1" t="s">
        <v>61</v>
      </c>
      <c r="AA108" s="1">
        <v>50.0</v>
      </c>
      <c r="AB108" s="1" t="s">
        <v>79</v>
      </c>
      <c r="AC108" s="1" t="s">
        <v>71</v>
      </c>
      <c r="AF108" s="1" t="s">
        <v>51</v>
      </c>
      <c r="AG108" s="1" t="s">
        <v>51</v>
      </c>
      <c r="AI108" s="1">
        <v>1.0</v>
      </c>
      <c r="AJ108" s="1">
        <v>1.0</v>
      </c>
      <c r="AK108" s="1">
        <v>1.0</v>
      </c>
      <c r="AL108" s="1">
        <v>0.0</v>
      </c>
      <c r="AM108" s="1" t="s">
        <v>51</v>
      </c>
      <c r="AN108" s="1">
        <v>7.63000151E8</v>
      </c>
      <c r="AP108" s="1">
        <v>4.89181341E8</v>
      </c>
      <c r="AQ108" s="1" t="s">
        <v>226</v>
      </c>
      <c r="AR108" s="1">
        <v>45807.25044</v>
      </c>
      <c r="AU108" s="1" t="s">
        <v>64</v>
      </c>
      <c r="AW108" s="1" t="s">
        <v>191</v>
      </c>
      <c r="AY108" s="1">
        <v>102.0</v>
      </c>
    </row>
    <row r="109">
      <c r="A109" s="1" t="s">
        <v>51</v>
      </c>
      <c r="C109" s="1" t="s">
        <v>151</v>
      </c>
      <c r="E109" s="1" t="s">
        <v>151</v>
      </c>
      <c r="G109" s="1">
        <v>39.0</v>
      </c>
      <c r="H109" s="1" t="s">
        <v>66</v>
      </c>
      <c r="J109" s="1" t="s">
        <v>86</v>
      </c>
      <c r="K109" s="1" t="s">
        <v>87</v>
      </c>
      <c r="M109" s="1" t="s">
        <v>58</v>
      </c>
      <c r="N109" s="1" t="s">
        <v>70</v>
      </c>
      <c r="O109" s="1" t="s">
        <v>69</v>
      </c>
      <c r="Q109" s="1" t="s">
        <v>69</v>
      </c>
      <c r="R109" s="1" t="s">
        <v>58</v>
      </c>
      <c r="S109" s="1" t="s">
        <v>69</v>
      </c>
      <c r="T109" s="1" t="s">
        <v>69</v>
      </c>
      <c r="U109" s="1" t="s">
        <v>58</v>
      </c>
      <c r="V109" s="1" t="s">
        <v>69</v>
      </c>
      <c r="W109" s="1" t="s">
        <v>69</v>
      </c>
      <c r="X109" s="1" t="s">
        <v>103</v>
      </c>
      <c r="Y109" s="1" t="s">
        <v>227</v>
      </c>
      <c r="Z109" s="1" t="s">
        <v>96</v>
      </c>
      <c r="AA109" s="1">
        <v>10.0</v>
      </c>
      <c r="AB109" s="1" t="s">
        <v>79</v>
      </c>
      <c r="AC109" s="1" t="s">
        <v>71</v>
      </c>
      <c r="AF109" s="1" t="s">
        <v>51</v>
      </c>
      <c r="AG109" s="1" t="s">
        <v>51</v>
      </c>
      <c r="AH109" s="1">
        <v>4000.0</v>
      </c>
      <c r="AI109" s="1">
        <v>1.0</v>
      </c>
      <c r="AJ109" s="1">
        <v>1.0</v>
      </c>
      <c r="AK109" s="1">
        <v>0.0</v>
      </c>
      <c r="AL109" s="1">
        <v>0.0</v>
      </c>
      <c r="AP109" s="1">
        <v>4.89189157E8</v>
      </c>
      <c r="AQ109" s="1" t="s">
        <v>228</v>
      </c>
      <c r="AR109" s="1">
        <v>45807.26234</v>
      </c>
      <c r="AU109" s="1" t="s">
        <v>64</v>
      </c>
      <c r="AW109" s="1" t="s">
        <v>191</v>
      </c>
      <c r="AY109" s="1">
        <v>103.0</v>
      </c>
    </row>
    <row r="110">
      <c r="A110" s="1" t="s">
        <v>51</v>
      </c>
      <c r="C110" s="1" t="s">
        <v>151</v>
      </c>
      <c r="E110" s="1" t="s">
        <v>151</v>
      </c>
      <c r="G110" s="1">
        <v>37.0</v>
      </c>
      <c r="H110" s="1" t="s">
        <v>55</v>
      </c>
      <c r="J110" s="1" t="s">
        <v>56</v>
      </c>
      <c r="K110" s="1" t="s">
        <v>92</v>
      </c>
      <c r="M110" s="1" t="s">
        <v>58</v>
      </c>
      <c r="N110" s="1" t="s">
        <v>58</v>
      </c>
      <c r="O110" s="1" t="s">
        <v>69</v>
      </c>
      <c r="Q110" s="1" t="s">
        <v>69</v>
      </c>
      <c r="R110" s="1" t="s">
        <v>58</v>
      </c>
      <c r="S110" s="1" t="s">
        <v>58</v>
      </c>
      <c r="T110" s="1" t="s">
        <v>58</v>
      </c>
      <c r="U110" s="1" t="s">
        <v>69</v>
      </c>
      <c r="V110" s="1" t="s">
        <v>58</v>
      </c>
      <c r="W110" s="1" t="s">
        <v>69</v>
      </c>
      <c r="X110" s="1" t="s">
        <v>81</v>
      </c>
      <c r="Y110" s="1" t="s">
        <v>60</v>
      </c>
      <c r="Z110" s="1" t="s">
        <v>89</v>
      </c>
      <c r="AA110" s="1">
        <v>100.0</v>
      </c>
      <c r="AB110" s="1" t="s">
        <v>62</v>
      </c>
      <c r="AC110" s="1" t="s">
        <v>71</v>
      </c>
      <c r="AF110" s="1" t="s">
        <v>51</v>
      </c>
      <c r="AG110" s="1" t="s">
        <v>72</v>
      </c>
      <c r="AI110" s="1">
        <v>0.0</v>
      </c>
      <c r="AJ110" s="1">
        <v>0.0</v>
      </c>
      <c r="AK110" s="1">
        <v>0.0</v>
      </c>
      <c r="AL110" s="1">
        <v>1.0</v>
      </c>
      <c r="AP110" s="1">
        <v>4.89193078E8</v>
      </c>
      <c r="AQ110" s="1" t="s">
        <v>229</v>
      </c>
      <c r="AR110" s="1">
        <v>45807.26929</v>
      </c>
      <c r="AU110" s="1" t="s">
        <v>64</v>
      </c>
      <c r="AW110" s="1" t="s">
        <v>191</v>
      </c>
      <c r="AY110" s="1">
        <v>104.0</v>
      </c>
    </row>
    <row r="111">
      <c r="A111" s="1" t="s">
        <v>51</v>
      </c>
      <c r="C111" s="1" t="s">
        <v>151</v>
      </c>
      <c r="E111" s="1" t="s">
        <v>53</v>
      </c>
      <c r="F111" s="1" t="s">
        <v>102</v>
      </c>
      <c r="G111" s="1">
        <v>39.0</v>
      </c>
      <c r="H111" s="1" t="s">
        <v>55</v>
      </c>
      <c r="I111" s="1" t="s">
        <v>67</v>
      </c>
      <c r="J111" s="1" t="s">
        <v>86</v>
      </c>
      <c r="K111" s="1" t="s">
        <v>87</v>
      </c>
      <c r="M111" s="1" t="s">
        <v>58</v>
      </c>
      <c r="N111" s="1" t="s">
        <v>58</v>
      </c>
      <c r="O111" s="1" t="s">
        <v>58</v>
      </c>
      <c r="Q111" s="1" t="s">
        <v>58</v>
      </c>
      <c r="R111" s="1" t="s">
        <v>58</v>
      </c>
      <c r="S111" s="1" t="s">
        <v>70</v>
      </c>
      <c r="T111" s="1" t="s">
        <v>70</v>
      </c>
      <c r="U111" s="1" t="s">
        <v>58</v>
      </c>
      <c r="V111" s="1" t="s">
        <v>58</v>
      </c>
      <c r="W111" s="1" t="s">
        <v>69</v>
      </c>
      <c r="X111" s="1" t="s">
        <v>59</v>
      </c>
      <c r="Y111" s="1" t="s">
        <v>95</v>
      </c>
      <c r="Z111" s="1" t="s">
        <v>89</v>
      </c>
      <c r="AA111" s="1">
        <v>100.0</v>
      </c>
      <c r="AB111" s="1" t="s">
        <v>79</v>
      </c>
      <c r="AC111" s="1" t="s">
        <v>71</v>
      </c>
      <c r="AF111" s="1" t="s">
        <v>51</v>
      </c>
      <c r="AG111" s="1" t="s">
        <v>72</v>
      </c>
      <c r="AI111" s="1">
        <v>0.0</v>
      </c>
      <c r="AJ111" s="1">
        <v>0.0</v>
      </c>
      <c r="AK111" s="1">
        <v>0.0</v>
      </c>
      <c r="AL111" s="1">
        <v>1.0</v>
      </c>
      <c r="AM111" s="1" t="s">
        <v>72</v>
      </c>
      <c r="AP111" s="1">
        <v>4.89233461E8</v>
      </c>
      <c r="AQ111" s="1" t="s">
        <v>230</v>
      </c>
      <c r="AR111" s="1">
        <v>45807.32931</v>
      </c>
      <c r="AU111" s="1" t="s">
        <v>64</v>
      </c>
      <c r="AW111" s="1" t="s">
        <v>191</v>
      </c>
      <c r="AY111" s="1">
        <v>105.0</v>
      </c>
    </row>
    <row r="112" hidden="1">
      <c r="A112" s="1" t="s">
        <v>51</v>
      </c>
      <c r="C112" s="1" t="s">
        <v>53</v>
      </c>
      <c r="E112" s="1" t="s">
        <v>53</v>
      </c>
      <c r="F112" s="1" t="s">
        <v>102</v>
      </c>
      <c r="G112" s="1">
        <v>20.0</v>
      </c>
      <c r="H112" s="1" t="s">
        <v>66</v>
      </c>
      <c r="I112" s="1" t="s">
        <v>121</v>
      </c>
      <c r="J112" s="1" t="s">
        <v>56</v>
      </c>
      <c r="K112" s="1" t="s">
        <v>74</v>
      </c>
      <c r="M112" s="1" t="s">
        <v>58</v>
      </c>
      <c r="N112" s="1" t="s">
        <v>58</v>
      </c>
      <c r="O112" s="1" t="s">
        <v>58</v>
      </c>
      <c r="Q112" s="1" t="s">
        <v>69</v>
      </c>
      <c r="R112" s="1" t="s">
        <v>70</v>
      </c>
      <c r="S112" s="1" t="s">
        <v>69</v>
      </c>
      <c r="T112" s="1" t="s">
        <v>69</v>
      </c>
      <c r="U112" s="1" t="s">
        <v>58</v>
      </c>
      <c r="V112" s="1" t="s">
        <v>58</v>
      </c>
      <c r="W112" s="1" t="s">
        <v>69</v>
      </c>
      <c r="X112" s="1" t="s">
        <v>81</v>
      </c>
      <c r="Y112" s="1" t="s">
        <v>82</v>
      </c>
      <c r="Z112" s="1" t="s">
        <v>89</v>
      </c>
      <c r="AA112" s="1">
        <v>50.0</v>
      </c>
      <c r="AB112" s="1" t="s">
        <v>79</v>
      </c>
      <c r="AC112" s="1" t="s">
        <v>51</v>
      </c>
      <c r="AD112" s="1" t="s">
        <v>81</v>
      </c>
      <c r="AE112" s="1" t="s">
        <v>72</v>
      </c>
      <c r="AF112" s="1" t="s">
        <v>51</v>
      </c>
      <c r="AG112" s="1" t="s">
        <v>51</v>
      </c>
      <c r="AH112" s="1">
        <v>15000.0</v>
      </c>
      <c r="AI112" s="1">
        <v>0.0</v>
      </c>
      <c r="AJ112" s="1">
        <v>1.0</v>
      </c>
      <c r="AK112" s="1">
        <v>0.0</v>
      </c>
      <c r="AL112" s="1">
        <v>0.0</v>
      </c>
      <c r="AM112" s="1" t="s">
        <v>51</v>
      </c>
      <c r="AN112" s="1">
        <v>7.9184213E7</v>
      </c>
      <c r="AP112" s="1">
        <v>4.89236468E8</v>
      </c>
      <c r="AQ112" s="1" t="s">
        <v>231</v>
      </c>
      <c r="AR112" s="1">
        <v>45807.33255</v>
      </c>
      <c r="AU112" s="1" t="s">
        <v>64</v>
      </c>
      <c r="AW112" s="1" t="s">
        <v>191</v>
      </c>
      <c r="AY112" s="1">
        <v>106.0</v>
      </c>
    </row>
    <row r="113">
      <c r="A113" s="1" t="s">
        <v>51</v>
      </c>
      <c r="C113" s="1" t="s">
        <v>151</v>
      </c>
      <c r="E113" s="1" t="s">
        <v>53</v>
      </c>
      <c r="F113" s="1" t="s">
        <v>232</v>
      </c>
      <c r="G113" s="1">
        <v>67.0</v>
      </c>
      <c r="H113" s="1" t="s">
        <v>233</v>
      </c>
      <c r="I113" s="1" t="s">
        <v>67</v>
      </c>
      <c r="J113" s="1" t="s">
        <v>68</v>
      </c>
      <c r="K113" s="1" t="s">
        <v>57</v>
      </c>
      <c r="M113" s="1" t="s">
        <v>58</v>
      </c>
      <c r="N113" s="1" t="s">
        <v>58</v>
      </c>
      <c r="O113" s="1" t="s">
        <v>69</v>
      </c>
      <c r="Q113" s="1" t="s">
        <v>70</v>
      </c>
      <c r="R113" s="1" t="s">
        <v>58</v>
      </c>
      <c r="S113" s="1" t="s">
        <v>70</v>
      </c>
      <c r="T113" s="1" t="s">
        <v>69</v>
      </c>
      <c r="U113" s="1" t="s">
        <v>70</v>
      </c>
      <c r="V113" s="1" t="s">
        <v>69</v>
      </c>
      <c r="W113" s="1" t="s">
        <v>58</v>
      </c>
      <c r="X113" s="1" t="s">
        <v>59</v>
      </c>
      <c r="Y113" s="1" t="s">
        <v>82</v>
      </c>
      <c r="Z113" s="1" t="s">
        <v>61</v>
      </c>
      <c r="AA113" s="1">
        <v>10.0</v>
      </c>
      <c r="AB113" s="1" t="s">
        <v>28</v>
      </c>
      <c r="AC113" s="1" t="s">
        <v>71</v>
      </c>
      <c r="AF113" s="1" t="s">
        <v>51</v>
      </c>
      <c r="AG113" s="1" t="s">
        <v>51</v>
      </c>
      <c r="AH113" s="1">
        <v>1000.0</v>
      </c>
      <c r="AI113" s="1">
        <v>0.0</v>
      </c>
      <c r="AJ113" s="1">
        <v>0.0</v>
      </c>
      <c r="AK113" s="1">
        <v>0.0</v>
      </c>
      <c r="AL113" s="1">
        <v>1.0</v>
      </c>
      <c r="AM113" s="1" t="s">
        <v>51</v>
      </c>
      <c r="AN113" s="1">
        <v>6.06449998E8</v>
      </c>
      <c r="AP113" s="1">
        <v>4.89241333E8</v>
      </c>
      <c r="AQ113" s="1" t="s">
        <v>234</v>
      </c>
      <c r="AR113" s="1">
        <v>45807.3388</v>
      </c>
      <c r="AU113" s="1" t="s">
        <v>64</v>
      </c>
      <c r="AW113" s="1" t="s">
        <v>191</v>
      </c>
      <c r="AY113" s="1">
        <v>107.0</v>
      </c>
    </row>
    <row r="114">
      <c r="A114" s="1" t="s">
        <v>51</v>
      </c>
      <c r="C114" s="1" t="s">
        <v>151</v>
      </c>
      <c r="E114" s="1" t="s">
        <v>151</v>
      </c>
      <c r="G114" s="1">
        <v>38.0</v>
      </c>
      <c r="H114" s="1" t="s">
        <v>66</v>
      </c>
      <c r="J114" s="1" t="s">
        <v>86</v>
      </c>
      <c r="K114" s="1" t="s">
        <v>87</v>
      </c>
      <c r="M114" s="1" t="s">
        <v>58</v>
      </c>
      <c r="N114" s="1" t="s">
        <v>58</v>
      </c>
      <c r="O114" s="1" t="s">
        <v>58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58</v>
      </c>
      <c r="V114" s="1" t="s">
        <v>69</v>
      </c>
      <c r="W114" s="1" t="s">
        <v>69</v>
      </c>
      <c r="X114" s="1" t="s">
        <v>81</v>
      </c>
      <c r="Y114" s="1" t="s">
        <v>82</v>
      </c>
      <c r="Z114" s="1" t="s">
        <v>89</v>
      </c>
      <c r="AA114" s="1">
        <v>100.0</v>
      </c>
      <c r="AB114" s="1" t="s">
        <v>28</v>
      </c>
      <c r="AC114" s="1" t="s">
        <v>51</v>
      </c>
      <c r="AD114" s="1" t="s">
        <v>81</v>
      </c>
      <c r="AE114" s="1" t="s">
        <v>51</v>
      </c>
      <c r="AF114" s="1" t="s">
        <v>51</v>
      </c>
      <c r="AG114" s="1" t="s">
        <v>51</v>
      </c>
      <c r="AH114" s="1">
        <v>2000.0</v>
      </c>
      <c r="AI114" s="1">
        <v>1.0</v>
      </c>
      <c r="AJ114" s="1">
        <v>1.0</v>
      </c>
      <c r="AK114" s="1">
        <v>0.0</v>
      </c>
      <c r="AL114" s="1">
        <v>0.0</v>
      </c>
      <c r="AP114" s="1">
        <v>4.89249492E8</v>
      </c>
      <c r="AQ114" s="1" t="s">
        <v>235</v>
      </c>
      <c r="AR114" s="1">
        <v>45807.34833</v>
      </c>
      <c r="AU114" s="1" t="s">
        <v>64</v>
      </c>
      <c r="AW114" s="1" t="s">
        <v>191</v>
      </c>
      <c r="AY114" s="1">
        <v>108.0</v>
      </c>
    </row>
    <row r="115" hidden="1">
      <c r="A115" s="1" t="s">
        <v>51</v>
      </c>
      <c r="C115" s="1" t="s">
        <v>170</v>
      </c>
      <c r="E115" s="1" t="s">
        <v>53</v>
      </c>
      <c r="F115" s="1" t="s">
        <v>102</v>
      </c>
      <c r="G115" s="1">
        <v>32.0</v>
      </c>
      <c r="I115" s="1" t="s">
        <v>67</v>
      </c>
      <c r="J115" s="1" t="s">
        <v>56</v>
      </c>
      <c r="K115" s="1" t="s">
        <v>74</v>
      </c>
      <c r="M115" s="1" t="s">
        <v>58</v>
      </c>
      <c r="N115" s="1" t="s">
        <v>58</v>
      </c>
      <c r="O115" s="1" t="s">
        <v>69</v>
      </c>
      <c r="Q115" s="1" t="s">
        <v>58</v>
      </c>
      <c r="R115" s="1" t="s">
        <v>58</v>
      </c>
      <c r="S115" s="1" t="s">
        <v>58</v>
      </c>
      <c r="T115" s="1" t="s">
        <v>70</v>
      </c>
      <c r="U115" s="1" t="s">
        <v>58</v>
      </c>
      <c r="V115" s="1" t="s">
        <v>70</v>
      </c>
      <c r="W115" s="1" t="s">
        <v>70</v>
      </c>
      <c r="X115" s="1" t="s">
        <v>81</v>
      </c>
      <c r="Y115" s="1" t="s">
        <v>82</v>
      </c>
      <c r="Z115" s="1" t="s">
        <v>89</v>
      </c>
      <c r="AA115" s="1">
        <v>10.0</v>
      </c>
      <c r="AB115" s="1" t="s">
        <v>79</v>
      </c>
      <c r="AC115" s="1" t="s">
        <v>51</v>
      </c>
      <c r="AD115" s="1" t="s">
        <v>81</v>
      </c>
      <c r="AE115" s="1" t="s">
        <v>51</v>
      </c>
      <c r="AF115" s="1" t="s">
        <v>51</v>
      </c>
      <c r="AG115" s="1" t="s">
        <v>51</v>
      </c>
      <c r="AH115" s="1">
        <v>500.0</v>
      </c>
      <c r="AI115" s="1">
        <v>0.0</v>
      </c>
      <c r="AJ115" s="1">
        <v>0.0</v>
      </c>
      <c r="AK115" s="1">
        <v>0.0</v>
      </c>
      <c r="AL115" s="1">
        <v>1.0</v>
      </c>
      <c r="AM115" s="1" t="s">
        <v>51</v>
      </c>
      <c r="AN115" s="1">
        <v>8.15520878E8</v>
      </c>
      <c r="AP115" s="1">
        <v>4.89250792E8</v>
      </c>
      <c r="AQ115" s="1" t="s">
        <v>236</v>
      </c>
      <c r="AR115" s="1">
        <v>45807.35</v>
      </c>
      <c r="AU115" s="1" t="s">
        <v>64</v>
      </c>
      <c r="AW115" s="1" t="s">
        <v>191</v>
      </c>
      <c r="AY115" s="1">
        <v>109.0</v>
      </c>
    </row>
    <row r="116" hidden="1">
      <c r="A116" s="1" t="s">
        <v>51</v>
      </c>
      <c r="C116" s="1" t="s">
        <v>53</v>
      </c>
      <c r="E116" s="1" t="s">
        <v>151</v>
      </c>
      <c r="G116" s="1">
        <v>28.0</v>
      </c>
      <c r="H116" s="1" t="s">
        <v>233</v>
      </c>
      <c r="J116" s="1" t="s">
        <v>56</v>
      </c>
      <c r="K116" s="1" t="s">
        <v>74</v>
      </c>
      <c r="M116" s="1" t="s">
        <v>58</v>
      </c>
      <c r="N116" s="1" t="s">
        <v>58</v>
      </c>
      <c r="O116" s="1" t="s">
        <v>58</v>
      </c>
      <c r="Q116" s="1" t="s">
        <v>58</v>
      </c>
      <c r="R116" s="1" t="s">
        <v>58</v>
      </c>
      <c r="S116" s="1" t="s">
        <v>70</v>
      </c>
      <c r="T116" s="1" t="s">
        <v>69</v>
      </c>
      <c r="U116" s="1" t="s">
        <v>58</v>
      </c>
      <c r="V116" s="1" t="s">
        <v>58</v>
      </c>
      <c r="W116" s="1" t="s">
        <v>69</v>
      </c>
      <c r="X116" s="1" t="s">
        <v>59</v>
      </c>
      <c r="Y116" s="1" t="s">
        <v>60</v>
      </c>
      <c r="Z116" s="1" t="s">
        <v>108</v>
      </c>
      <c r="AA116" s="1">
        <v>50.0</v>
      </c>
      <c r="AB116" s="1" t="s">
        <v>62</v>
      </c>
      <c r="AC116" s="1" t="s">
        <v>71</v>
      </c>
      <c r="AF116" s="1" t="s">
        <v>51</v>
      </c>
      <c r="AG116" s="1" t="s">
        <v>51</v>
      </c>
      <c r="AH116" s="1">
        <v>600.0</v>
      </c>
      <c r="AI116" s="1">
        <v>0.0</v>
      </c>
      <c r="AJ116" s="1">
        <v>1.0</v>
      </c>
      <c r="AK116" s="1">
        <v>1.0</v>
      </c>
      <c r="AL116" s="1">
        <v>0.0</v>
      </c>
      <c r="AP116" s="1">
        <v>4.89263708E8</v>
      </c>
      <c r="AQ116" s="1" t="s">
        <v>237</v>
      </c>
      <c r="AR116" s="1">
        <v>45807.36616</v>
      </c>
      <c r="AU116" s="1" t="s">
        <v>64</v>
      </c>
      <c r="AW116" s="1" t="s">
        <v>191</v>
      </c>
      <c r="AY116" s="1">
        <v>110.0</v>
      </c>
    </row>
    <row r="117">
      <c r="A117" s="1" t="s">
        <v>51</v>
      </c>
      <c r="C117" s="1" t="s">
        <v>151</v>
      </c>
      <c r="E117" s="1" t="s">
        <v>151</v>
      </c>
      <c r="G117" s="1">
        <v>25.0</v>
      </c>
      <c r="H117" s="1" t="s">
        <v>66</v>
      </c>
      <c r="J117" s="1" t="s">
        <v>111</v>
      </c>
      <c r="M117" s="1" t="s">
        <v>58</v>
      </c>
      <c r="N117" s="1" t="s">
        <v>58</v>
      </c>
      <c r="O117" s="1" t="s">
        <v>69</v>
      </c>
      <c r="Q117" s="1" t="s">
        <v>58</v>
      </c>
      <c r="R117" s="1" t="s">
        <v>58</v>
      </c>
      <c r="S117" s="1" t="s">
        <v>69</v>
      </c>
      <c r="T117" s="1" t="s">
        <v>69</v>
      </c>
      <c r="U117" s="1" t="s">
        <v>70</v>
      </c>
      <c r="V117" s="1" t="s">
        <v>58</v>
      </c>
      <c r="W117" s="1" t="s">
        <v>58</v>
      </c>
      <c r="X117" s="1" t="s">
        <v>81</v>
      </c>
      <c r="Y117" s="1" t="s">
        <v>60</v>
      </c>
      <c r="Z117" s="1" t="s">
        <v>61</v>
      </c>
      <c r="AA117" s="1">
        <v>10.0</v>
      </c>
      <c r="AB117" s="1" t="s">
        <v>62</v>
      </c>
      <c r="AC117" s="1" t="s">
        <v>51</v>
      </c>
      <c r="AD117" s="1" t="s">
        <v>81</v>
      </c>
      <c r="AE117" s="1" t="s">
        <v>51</v>
      </c>
      <c r="AF117" s="1" t="s">
        <v>51</v>
      </c>
      <c r="AG117" s="1" t="s">
        <v>51</v>
      </c>
      <c r="AH117" s="1">
        <v>200.0</v>
      </c>
      <c r="AI117" s="1">
        <v>1.0</v>
      </c>
      <c r="AJ117" s="1">
        <v>0.0</v>
      </c>
      <c r="AK117" s="1">
        <v>1.0</v>
      </c>
      <c r="AL117" s="1">
        <v>0.0</v>
      </c>
      <c r="AP117" s="1">
        <v>4.89268248E8</v>
      </c>
      <c r="AQ117" s="1" t="s">
        <v>238</v>
      </c>
      <c r="AR117" s="1">
        <v>45807.37072</v>
      </c>
      <c r="AU117" s="1" t="s">
        <v>64</v>
      </c>
      <c r="AW117" s="1" t="s">
        <v>191</v>
      </c>
      <c r="AY117" s="1">
        <v>111.0</v>
      </c>
    </row>
    <row r="118">
      <c r="A118" s="1" t="s">
        <v>51</v>
      </c>
      <c r="C118" s="1" t="s">
        <v>151</v>
      </c>
      <c r="E118" s="1" t="s">
        <v>53</v>
      </c>
      <c r="F118" s="1" t="s">
        <v>54</v>
      </c>
      <c r="G118" s="1">
        <v>26.0</v>
      </c>
      <c r="H118" s="1" t="s">
        <v>55</v>
      </c>
      <c r="I118" s="1" t="s">
        <v>67</v>
      </c>
      <c r="J118" s="1" t="s">
        <v>56</v>
      </c>
      <c r="K118" s="1" t="s">
        <v>87</v>
      </c>
      <c r="M118" s="1" t="s">
        <v>58</v>
      </c>
      <c r="N118" s="1" t="s">
        <v>58</v>
      </c>
      <c r="O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59</v>
      </c>
      <c r="Y118" s="1" t="s">
        <v>60</v>
      </c>
      <c r="Z118" s="1" t="s">
        <v>89</v>
      </c>
      <c r="AA118" s="1">
        <v>10.0</v>
      </c>
      <c r="AB118" s="1" t="s">
        <v>79</v>
      </c>
      <c r="AC118" s="1" t="s">
        <v>51</v>
      </c>
      <c r="AD118" s="1" t="s">
        <v>81</v>
      </c>
      <c r="AE118" s="1" t="s">
        <v>51</v>
      </c>
      <c r="AF118" s="1" t="s">
        <v>51</v>
      </c>
      <c r="AG118" s="1" t="s">
        <v>51</v>
      </c>
      <c r="AH118" s="1">
        <v>1000.0</v>
      </c>
      <c r="AI118" s="1">
        <v>0.0</v>
      </c>
      <c r="AJ118" s="1">
        <v>1.0</v>
      </c>
      <c r="AK118" s="1">
        <v>0.0</v>
      </c>
      <c r="AL118" s="1">
        <v>0.0</v>
      </c>
      <c r="AM118" s="1" t="s">
        <v>51</v>
      </c>
      <c r="AN118" s="1">
        <v>6.32773846E8</v>
      </c>
      <c r="AP118" s="1">
        <v>4.89280512E8</v>
      </c>
      <c r="AQ118" s="1" t="s">
        <v>239</v>
      </c>
      <c r="AR118" s="1">
        <v>45807.38493</v>
      </c>
      <c r="AU118" s="1" t="s">
        <v>64</v>
      </c>
      <c r="AW118" s="1" t="s">
        <v>191</v>
      </c>
      <c r="AY118" s="1">
        <v>112.0</v>
      </c>
    </row>
    <row r="119" hidden="1">
      <c r="A119" s="1" t="s">
        <v>51</v>
      </c>
      <c r="C119" s="1" t="s">
        <v>154</v>
      </c>
      <c r="E119" s="1" t="s">
        <v>154</v>
      </c>
      <c r="G119" s="1">
        <v>38.0</v>
      </c>
      <c r="H119" s="1" t="s">
        <v>66</v>
      </c>
      <c r="J119" s="1" t="s">
        <v>86</v>
      </c>
      <c r="K119" s="1" t="s">
        <v>87</v>
      </c>
      <c r="M119" s="1" t="s">
        <v>58</v>
      </c>
      <c r="N119" s="1" t="s">
        <v>58</v>
      </c>
      <c r="O119" s="1" t="s">
        <v>69</v>
      </c>
      <c r="Q119" s="1" t="s">
        <v>69</v>
      </c>
      <c r="R119" s="1" t="s">
        <v>69</v>
      </c>
      <c r="S119" s="1" t="s">
        <v>58</v>
      </c>
      <c r="T119" s="1" t="s">
        <v>58</v>
      </c>
      <c r="U119" s="1" t="s">
        <v>70</v>
      </c>
      <c r="V119" s="1" t="s">
        <v>58</v>
      </c>
      <c r="W119" s="1" t="s">
        <v>70</v>
      </c>
      <c r="X119" s="1" t="s">
        <v>81</v>
      </c>
      <c r="Y119" s="1" t="s">
        <v>60</v>
      </c>
      <c r="Z119" s="1" t="s">
        <v>96</v>
      </c>
      <c r="AA119" s="1">
        <v>50.0</v>
      </c>
      <c r="AB119" s="1" t="s">
        <v>62</v>
      </c>
      <c r="AC119" s="1" t="s">
        <v>71</v>
      </c>
      <c r="AF119" s="1" t="s">
        <v>51</v>
      </c>
      <c r="AG119" s="1" t="s">
        <v>51</v>
      </c>
      <c r="AH119" s="1">
        <v>5000.0</v>
      </c>
      <c r="AI119" s="1">
        <v>0.0</v>
      </c>
      <c r="AJ119" s="1">
        <v>0.0</v>
      </c>
      <c r="AK119" s="1">
        <v>0.0</v>
      </c>
      <c r="AL119" s="1">
        <v>1.0</v>
      </c>
      <c r="AP119" s="1">
        <v>4.89360254E8</v>
      </c>
      <c r="AQ119" s="1" t="s">
        <v>240</v>
      </c>
      <c r="AR119" s="1">
        <v>45807.47441</v>
      </c>
      <c r="AU119" s="1" t="s">
        <v>64</v>
      </c>
      <c r="AW119" s="1" t="s">
        <v>191</v>
      </c>
      <c r="AY119" s="1">
        <v>113.0</v>
      </c>
    </row>
    <row r="120" hidden="1">
      <c r="A120" s="1" t="s">
        <v>51</v>
      </c>
      <c r="C120" s="1" t="s">
        <v>154</v>
      </c>
      <c r="E120" s="1" t="s">
        <v>154</v>
      </c>
      <c r="G120" s="1">
        <v>32.0</v>
      </c>
      <c r="H120" s="1" t="s">
        <v>66</v>
      </c>
      <c r="J120" s="1" t="s">
        <v>86</v>
      </c>
      <c r="K120" s="1" t="s">
        <v>87</v>
      </c>
      <c r="M120" s="1" t="s">
        <v>58</v>
      </c>
      <c r="N120" s="1" t="s">
        <v>58</v>
      </c>
      <c r="O120" s="1" t="s">
        <v>58</v>
      </c>
      <c r="Q120" s="1" t="s">
        <v>69</v>
      </c>
      <c r="R120" s="1" t="s">
        <v>58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59</v>
      </c>
      <c r="Y120" s="1" t="s">
        <v>95</v>
      </c>
      <c r="Z120" s="1" t="s">
        <v>89</v>
      </c>
      <c r="AA120" s="1">
        <v>100.0</v>
      </c>
      <c r="AB120" s="1" t="s">
        <v>28</v>
      </c>
      <c r="AC120" s="1" t="s">
        <v>71</v>
      </c>
      <c r="AF120" s="1" t="s">
        <v>51</v>
      </c>
      <c r="AG120" s="1" t="s">
        <v>51</v>
      </c>
      <c r="AH120" s="1">
        <v>500.0</v>
      </c>
      <c r="AI120" s="1">
        <v>1.0</v>
      </c>
      <c r="AJ120" s="1">
        <v>0.0</v>
      </c>
      <c r="AK120" s="1">
        <v>0.0</v>
      </c>
      <c r="AL120" s="1">
        <v>0.0</v>
      </c>
      <c r="AP120" s="1">
        <v>4.89382361E8</v>
      </c>
      <c r="AQ120" s="1" t="s">
        <v>241</v>
      </c>
      <c r="AR120" s="1">
        <v>45807.49598</v>
      </c>
      <c r="AU120" s="1" t="s">
        <v>64</v>
      </c>
      <c r="AW120" s="1" t="s">
        <v>191</v>
      </c>
      <c r="AY120" s="1">
        <v>114.0</v>
      </c>
    </row>
    <row r="121" hidden="1">
      <c r="A121" s="1" t="s">
        <v>51</v>
      </c>
      <c r="C121" s="1" t="s">
        <v>154</v>
      </c>
      <c r="E121" s="1" t="s">
        <v>154</v>
      </c>
      <c r="G121" s="1">
        <v>51.0</v>
      </c>
      <c r="H121" s="1" t="s">
        <v>66</v>
      </c>
      <c r="J121" s="1" t="s">
        <v>86</v>
      </c>
      <c r="K121" s="1" t="s">
        <v>87</v>
      </c>
      <c r="M121" s="1" t="s">
        <v>58</v>
      </c>
      <c r="N121" s="1" t="s">
        <v>58</v>
      </c>
      <c r="O121" s="1" t="s">
        <v>58</v>
      </c>
      <c r="Q121" s="1" t="s">
        <v>58</v>
      </c>
      <c r="R121" s="1" t="s">
        <v>58</v>
      </c>
      <c r="S121" s="1" t="s">
        <v>69</v>
      </c>
      <c r="T121" s="1" t="s">
        <v>69</v>
      </c>
      <c r="U121" s="1" t="s">
        <v>58</v>
      </c>
      <c r="V121" s="1" t="s">
        <v>58</v>
      </c>
      <c r="W121" s="1" t="s">
        <v>69</v>
      </c>
      <c r="X121" s="1" t="s">
        <v>59</v>
      </c>
      <c r="Y121" s="1" t="s">
        <v>82</v>
      </c>
      <c r="Z121" s="1" t="s">
        <v>89</v>
      </c>
      <c r="AA121" s="1">
        <v>30.0</v>
      </c>
      <c r="AB121" s="1" t="s">
        <v>79</v>
      </c>
      <c r="AC121" s="1" t="s">
        <v>51</v>
      </c>
      <c r="AD121" s="1" t="s">
        <v>59</v>
      </c>
      <c r="AE121" s="1" t="s">
        <v>51</v>
      </c>
      <c r="AF121" s="1" t="s">
        <v>51</v>
      </c>
      <c r="AG121" s="1" t="s">
        <v>51</v>
      </c>
      <c r="AH121" s="1">
        <v>500.0</v>
      </c>
      <c r="AI121" s="1">
        <v>1.0</v>
      </c>
      <c r="AJ121" s="1">
        <v>0.0</v>
      </c>
      <c r="AK121" s="1">
        <v>1.0</v>
      </c>
      <c r="AL121" s="1">
        <v>0.0</v>
      </c>
      <c r="AP121" s="1">
        <v>4.89384259E8</v>
      </c>
      <c r="AQ121" s="1" t="s">
        <v>242</v>
      </c>
      <c r="AR121" s="1">
        <v>45807.49796</v>
      </c>
      <c r="AU121" s="1" t="s">
        <v>64</v>
      </c>
      <c r="AW121" s="1" t="s">
        <v>191</v>
      </c>
      <c r="AY121" s="1">
        <v>115.0</v>
      </c>
    </row>
    <row r="122" hidden="1">
      <c r="A122" s="1" t="s">
        <v>51</v>
      </c>
      <c r="C122" s="1" t="s">
        <v>52</v>
      </c>
      <c r="E122" s="1" t="s">
        <v>154</v>
      </c>
      <c r="G122" s="1">
        <v>38.0</v>
      </c>
      <c r="H122" s="1" t="s">
        <v>55</v>
      </c>
      <c r="J122" s="1" t="s">
        <v>56</v>
      </c>
      <c r="K122" s="1" t="s">
        <v>87</v>
      </c>
      <c r="M122" s="1" t="s">
        <v>58</v>
      </c>
      <c r="N122" s="1" t="s">
        <v>58</v>
      </c>
      <c r="O122" s="1" t="s">
        <v>69</v>
      </c>
      <c r="Q122" s="1" t="s">
        <v>58</v>
      </c>
      <c r="R122" s="1" t="s">
        <v>58</v>
      </c>
      <c r="S122" s="1" t="s">
        <v>69</v>
      </c>
      <c r="T122" s="1" t="s">
        <v>69</v>
      </c>
      <c r="U122" s="1" t="s">
        <v>69</v>
      </c>
      <c r="V122" s="1" t="s">
        <v>58</v>
      </c>
      <c r="W122" s="1" t="s">
        <v>70</v>
      </c>
      <c r="X122" s="1" t="s">
        <v>88</v>
      </c>
      <c r="Y122" s="1" t="s">
        <v>95</v>
      </c>
      <c r="Z122" s="1" t="s">
        <v>108</v>
      </c>
      <c r="AA122" s="1">
        <v>100.0</v>
      </c>
      <c r="AB122" s="1" t="s">
        <v>62</v>
      </c>
      <c r="AC122" s="1" t="s">
        <v>51</v>
      </c>
      <c r="AD122" s="1" t="s">
        <v>59</v>
      </c>
      <c r="AE122" s="1" t="s">
        <v>51</v>
      </c>
      <c r="AF122" s="1" t="s">
        <v>51</v>
      </c>
      <c r="AG122" s="1" t="s">
        <v>72</v>
      </c>
      <c r="AI122" s="1">
        <v>1.0</v>
      </c>
      <c r="AJ122" s="1">
        <v>0.0</v>
      </c>
      <c r="AK122" s="1">
        <v>1.0</v>
      </c>
      <c r="AL122" s="1">
        <v>0.0</v>
      </c>
      <c r="AP122" s="1">
        <v>4.89387431E8</v>
      </c>
      <c r="AQ122" s="1" t="s">
        <v>243</v>
      </c>
      <c r="AR122" s="1">
        <v>45807.50128</v>
      </c>
      <c r="AU122" s="1" t="s">
        <v>64</v>
      </c>
      <c r="AW122" s="1" t="s">
        <v>191</v>
      </c>
      <c r="AY122" s="1">
        <v>116.0</v>
      </c>
    </row>
    <row r="123" hidden="1">
      <c r="A123" s="1" t="s">
        <v>51</v>
      </c>
      <c r="C123" s="1" t="s">
        <v>52</v>
      </c>
      <c r="E123" s="1" t="s">
        <v>53</v>
      </c>
      <c r="F123" s="1" t="s">
        <v>54</v>
      </c>
      <c r="G123" s="1">
        <v>29.0</v>
      </c>
      <c r="H123" s="1" t="s">
        <v>66</v>
      </c>
      <c r="I123" s="1" t="s">
        <v>67</v>
      </c>
      <c r="J123" s="1" t="s">
        <v>111</v>
      </c>
      <c r="K123" s="1" t="s">
        <v>87</v>
      </c>
      <c r="M123" s="1" t="s">
        <v>58</v>
      </c>
      <c r="N123" s="1" t="s">
        <v>58</v>
      </c>
      <c r="O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59</v>
      </c>
      <c r="Y123" s="1" t="s">
        <v>95</v>
      </c>
      <c r="Z123" s="1" t="s">
        <v>89</v>
      </c>
      <c r="AA123" s="1">
        <v>100.0</v>
      </c>
      <c r="AB123" s="1" t="s">
        <v>79</v>
      </c>
      <c r="AC123" s="1" t="s">
        <v>51</v>
      </c>
      <c r="AD123" s="1" t="s">
        <v>59</v>
      </c>
      <c r="AE123" s="1" t="s">
        <v>51</v>
      </c>
      <c r="AF123" s="1" t="s">
        <v>51</v>
      </c>
      <c r="AG123" s="1" t="s">
        <v>51</v>
      </c>
      <c r="AH123" s="1">
        <v>1000.0</v>
      </c>
      <c r="AI123" s="1">
        <v>0.0</v>
      </c>
      <c r="AJ123" s="1">
        <v>1.0</v>
      </c>
      <c r="AK123" s="1">
        <v>0.0</v>
      </c>
      <c r="AL123" s="1">
        <v>0.0</v>
      </c>
      <c r="AM123" s="1" t="s">
        <v>51</v>
      </c>
      <c r="AP123" s="1">
        <v>4.89403673E8</v>
      </c>
      <c r="AQ123" s="1" t="s">
        <v>244</v>
      </c>
      <c r="AR123" s="1">
        <v>45807.51644</v>
      </c>
      <c r="AU123" s="1" t="s">
        <v>64</v>
      </c>
      <c r="AW123" s="1" t="s">
        <v>191</v>
      </c>
      <c r="AY123" s="1">
        <v>117.0</v>
      </c>
    </row>
    <row r="124">
      <c r="A124" s="1" t="s">
        <v>51</v>
      </c>
      <c r="C124" s="1" t="s">
        <v>151</v>
      </c>
      <c r="E124" s="1" t="s">
        <v>151</v>
      </c>
      <c r="G124" s="1">
        <v>53.0</v>
      </c>
      <c r="H124" s="1" t="s">
        <v>55</v>
      </c>
      <c r="J124" s="1" t="s">
        <v>56</v>
      </c>
      <c r="K124" s="1" t="s">
        <v>74</v>
      </c>
      <c r="M124" s="1" t="s">
        <v>58</v>
      </c>
      <c r="N124" s="1" t="s">
        <v>58</v>
      </c>
      <c r="O124" s="1" t="s">
        <v>58</v>
      </c>
      <c r="Q124" s="1" t="s">
        <v>69</v>
      </c>
      <c r="S124" s="1" t="s">
        <v>58</v>
      </c>
      <c r="T124" s="1" t="s">
        <v>69</v>
      </c>
      <c r="U124" s="1" t="s">
        <v>70</v>
      </c>
      <c r="V124" s="1" t="s">
        <v>58</v>
      </c>
      <c r="W124" s="1" t="s">
        <v>58</v>
      </c>
      <c r="X124" s="1" t="s">
        <v>81</v>
      </c>
      <c r="Y124" s="1" t="s">
        <v>82</v>
      </c>
      <c r="Z124" s="1" t="s">
        <v>61</v>
      </c>
      <c r="AA124" s="1">
        <v>10.0</v>
      </c>
      <c r="AB124" s="1" t="s">
        <v>79</v>
      </c>
      <c r="AC124" s="1" t="s">
        <v>71</v>
      </c>
      <c r="AF124" s="1" t="s">
        <v>51</v>
      </c>
      <c r="AG124" s="1" t="s">
        <v>72</v>
      </c>
      <c r="AI124" s="1">
        <v>0.0</v>
      </c>
      <c r="AJ124" s="1">
        <v>0.0</v>
      </c>
      <c r="AK124" s="1">
        <v>0.0</v>
      </c>
      <c r="AL124" s="1">
        <v>1.0</v>
      </c>
      <c r="AP124" s="1">
        <v>4.89426769E8</v>
      </c>
      <c r="AQ124" s="1" t="s">
        <v>245</v>
      </c>
      <c r="AR124" s="1">
        <v>45807.5375</v>
      </c>
      <c r="AU124" s="1" t="s">
        <v>64</v>
      </c>
      <c r="AW124" s="1" t="s">
        <v>191</v>
      </c>
      <c r="AY124" s="1">
        <v>118.0</v>
      </c>
    </row>
    <row r="125" hidden="1">
      <c r="A125" s="1" t="s">
        <v>51</v>
      </c>
      <c r="C125" s="1" t="s">
        <v>52</v>
      </c>
      <c r="G125" s="1">
        <v>56.0</v>
      </c>
      <c r="H125" s="1" t="s">
        <v>66</v>
      </c>
      <c r="J125" s="1" t="s">
        <v>86</v>
      </c>
      <c r="K125" s="1" t="s">
        <v>87</v>
      </c>
      <c r="M125" s="1" t="s">
        <v>58</v>
      </c>
      <c r="N125" s="1" t="s">
        <v>58</v>
      </c>
      <c r="O125" s="1" t="s">
        <v>58</v>
      </c>
      <c r="Q125" s="1" t="s">
        <v>69</v>
      </c>
      <c r="R125" s="1" t="s">
        <v>58</v>
      </c>
      <c r="S125" s="1" t="s">
        <v>69</v>
      </c>
      <c r="T125" s="1" t="s">
        <v>58</v>
      </c>
      <c r="U125" s="1" t="s">
        <v>58</v>
      </c>
      <c r="V125" s="1" t="s">
        <v>58</v>
      </c>
      <c r="W125" s="1" t="s">
        <v>69</v>
      </c>
      <c r="X125" s="1" t="s">
        <v>88</v>
      </c>
      <c r="Y125" s="1" t="s">
        <v>95</v>
      </c>
      <c r="Z125" s="1" t="s">
        <v>89</v>
      </c>
      <c r="AA125" s="1">
        <v>100.0</v>
      </c>
      <c r="AB125" s="1" t="s">
        <v>79</v>
      </c>
      <c r="AC125" s="1" t="s">
        <v>51</v>
      </c>
      <c r="AD125" s="1" t="s">
        <v>88</v>
      </c>
      <c r="AE125" s="1" t="s">
        <v>72</v>
      </c>
      <c r="AF125" s="1" t="s">
        <v>51</v>
      </c>
      <c r="AG125" s="1" t="s">
        <v>72</v>
      </c>
      <c r="AI125" s="1">
        <v>0.0</v>
      </c>
      <c r="AJ125" s="1">
        <v>0.0</v>
      </c>
      <c r="AK125" s="1">
        <v>1.0</v>
      </c>
      <c r="AL125" s="1">
        <v>0.0</v>
      </c>
      <c r="AP125" s="1">
        <v>4.89436305E8</v>
      </c>
      <c r="AQ125" s="1" t="s">
        <v>246</v>
      </c>
      <c r="AR125" s="1">
        <v>45807.54647</v>
      </c>
      <c r="AU125" s="1" t="s">
        <v>64</v>
      </c>
      <c r="AW125" s="1" t="s">
        <v>191</v>
      </c>
      <c r="AY125" s="1">
        <v>119.0</v>
      </c>
    </row>
    <row r="126" hidden="1">
      <c r="A126" s="1" t="s">
        <v>51</v>
      </c>
      <c r="C126" s="1" t="s">
        <v>52</v>
      </c>
      <c r="E126" s="1" t="s">
        <v>53</v>
      </c>
      <c r="F126" s="1" t="s">
        <v>54</v>
      </c>
      <c r="G126" s="1">
        <v>43.0</v>
      </c>
      <c r="H126" s="1" t="s">
        <v>66</v>
      </c>
      <c r="I126" s="1" t="s">
        <v>67</v>
      </c>
      <c r="J126" s="1" t="s">
        <v>86</v>
      </c>
      <c r="K126" s="1" t="s">
        <v>87</v>
      </c>
      <c r="M126" s="1" t="s">
        <v>58</v>
      </c>
      <c r="N126" s="1" t="s">
        <v>58</v>
      </c>
      <c r="O126" s="1" t="s">
        <v>69</v>
      </c>
      <c r="Q126" s="1" t="s">
        <v>58</v>
      </c>
      <c r="R126" s="1" t="s">
        <v>58</v>
      </c>
      <c r="S126" s="1" t="s">
        <v>58</v>
      </c>
      <c r="U126" s="1" t="s">
        <v>58</v>
      </c>
      <c r="W126" s="1" t="s">
        <v>58</v>
      </c>
      <c r="X126" s="1" t="s">
        <v>88</v>
      </c>
      <c r="Y126" s="1" t="s">
        <v>95</v>
      </c>
      <c r="Z126" s="1" t="s">
        <v>61</v>
      </c>
      <c r="AA126" s="1">
        <v>100.0</v>
      </c>
      <c r="AB126" s="1" t="s">
        <v>79</v>
      </c>
      <c r="AC126" s="1" t="s">
        <v>71</v>
      </c>
      <c r="AF126" s="1" t="s">
        <v>72</v>
      </c>
      <c r="AG126" s="1" t="s">
        <v>72</v>
      </c>
      <c r="AI126" s="1">
        <v>0.0</v>
      </c>
      <c r="AJ126" s="1">
        <v>0.0</v>
      </c>
      <c r="AK126" s="1">
        <v>0.0</v>
      </c>
      <c r="AL126" s="1">
        <v>1.0</v>
      </c>
      <c r="AM126" s="1" t="s">
        <v>72</v>
      </c>
      <c r="AP126" s="1">
        <v>4.89486245E8</v>
      </c>
      <c r="AQ126" s="1" t="s">
        <v>247</v>
      </c>
      <c r="AR126" s="1">
        <v>45807.592</v>
      </c>
      <c r="AU126" s="1" t="s">
        <v>64</v>
      </c>
      <c r="AW126" s="1" t="s">
        <v>191</v>
      </c>
      <c r="AY126" s="1">
        <v>120.0</v>
      </c>
    </row>
    <row r="127">
      <c r="A127" s="1" t="s">
        <v>51</v>
      </c>
      <c r="C127" s="1" t="s">
        <v>151</v>
      </c>
      <c r="E127" s="1" t="s">
        <v>105</v>
      </c>
      <c r="G127" s="1">
        <v>23.0</v>
      </c>
      <c r="H127" s="1" t="s">
        <v>66</v>
      </c>
      <c r="J127" s="1" t="s">
        <v>56</v>
      </c>
      <c r="K127" s="1" t="s">
        <v>74</v>
      </c>
      <c r="M127" s="1" t="s">
        <v>70</v>
      </c>
      <c r="N127" s="1" t="s">
        <v>70</v>
      </c>
      <c r="O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1" t="s">
        <v>70</v>
      </c>
      <c r="W127" s="1" t="s">
        <v>70</v>
      </c>
      <c r="X127" s="1" t="s">
        <v>103</v>
      </c>
      <c r="Y127" s="1" t="s">
        <v>227</v>
      </c>
      <c r="Z127" s="1" t="s">
        <v>96</v>
      </c>
      <c r="AA127" s="1">
        <v>10.0</v>
      </c>
      <c r="AB127" s="1" t="s">
        <v>62</v>
      </c>
      <c r="AC127" s="1" t="s">
        <v>71</v>
      </c>
      <c r="AF127" s="1" t="s">
        <v>72</v>
      </c>
      <c r="AG127" s="1" t="s">
        <v>72</v>
      </c>
      <c r="AI127" s="1">
        <v>0.0</v>
      </c>
      <c r="AJ127" s="1">
        <v>0.0</v>
      </c>
      <c r="AK127" s="1">
        <v>0.0</v>
      </c>
      <c r="AL127" s="1">
        <v>1.0</v>
      </c>
      <c r="AP127" s="1">
        <v>4.89492113E8</v>
      </c>
      <c r="AQ127" s="1" t="s">
        <v>248</v>
      </c>
      <c r="AR127" s="1">
        <v>45807.59733</v>
      </c>
      <c r="AU127" s="1" t="s">
        <v>64</v>
      </c>
      <c r="AW127" s="1" t="s">
        <v>191</v>
      </c>
      <c r="AY127" s="1">
        <v>121.0</v>
      </c>
    </row>
    <row r="128" hidden="1">
      <c r="A128" s="1" t="s">
        <v>51</v>
      </c>
      <c r="C128" s="1" t="s">
        <v>53</v>
      </c>
      <c r="E128" s="1" t="s">
        <v>53</v>
      </c>
      <c r="F128" s="1" t="s">
        <v>115</v>
      </c>
      <c r="G128" s="1">
        <v>19.0</v>
      </c>
      <c r="H128" s="1" t="s">
        <v>66</v>
      </c>
      <c r="I128" s="1" t="s">
        <v>121</v>
      </c>
      <c r="J128" s="1" t="s">
        <v>56</v>
      </c>
      <c r="K128" s="1" t="s">
        <v>74</v>
      </c>
      <c r="M128" s="1" t="s">
        <v>58</v>
      </c>
      <c r="N128" s="1" t="s">
        <v>58</v>
      </c>
      <c r="O128" s="1" t="s">
        <v>69</v>
      </c>
      <c r="Q128" s="1" t="s">
        <v>70</v>
      </c>
      <c r="R128" s="1" t="s">
        <v>58</v>
      </c>
      <c r="S128" s="1" t="s">
        <v>58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81</v>
      </c>
      <c r="Y128" s="1" t="s">
        <v>60</v>
      </c>
      <c r="Z128" s="1" t="s">
        <v>96</v>
      </c>
      <c r="AA128" s="1">
        <v>10.0</v>
      </c>
      <c r="AB128" s="1" t="s">
        <v>62</v>
      </c>
      <c r="AC128" s="1" t="s">
        <v>71</v>
      </c>
      <c r="AF128" s="1" t="s">
        <v>51</v>
      </c>
      <c r="AG128" s="1" t="s">
        <v>51</v>
      </c>
      <c r="AH128" s="1">
        <v>1000.0</v>
      </c>
      <c r="AI128" s="1">
        <v>1.0</v>
      </c>
      <c r="AJ128" s="1">
        <v>1.0</v>
      </c>
      <c r="AK128" s="1">
        <v>1.0</v>
      </c>
      <c r="AL128" s="1">
        <v>1.0</v>
      </c>
      <c r="AM128" s="1" t="s">
        <v>51</v>
      </c>
      <c r="AN128" s="1">
        <v>7.69618784E8</v>
      </c>
      <c r="AP128" s="1">
        <v>4.89502223E8</v>
      </c>
      <c r="AQ128" s="1" t="s">
        <v>249</v>
      </c>
      <c r="AR128" s="1">
        <v>45807.60527</v>
      </c>
      <c r="AU128" s="1" t="s">
        <v>64</v>
      </c>
      <c r="AW128" s="1" t="s">
        <v>191</v>
      </c>
      <c r="AY128" s="1">
        <v>122.0</v>
      </c>
    </row>
    <row r="129">
      <c r="A129" s="1" t="s">
        <v>51</v>
      </c>
      <c r="C129" s="1" t="s">
        <v>151</v>
      </c>
      <c r="E129" s="1" t="s">
        <v>53</v>
      </c>
      <c r="F129" s="1" t="s">
        <v>183</v>
      </c>
      <c r="G129" s="1">
        <v>47.0</v>
      </c>
      <c r="H129" s="1" t="s">
        <v>66</v>
      </c>
      <c r="I129" s="1" t="s">
        <v>67</v>
      </c>
      <c r="J129" s="1" t="s">
        <v>86</v>
      </c>
      <c r="K129" s="1" t="s">
        <v>87</v>
      </c>
      <c r="M129" s="1" t="s">
        <v>58</v>
      </c>
      <c r="N129" s="1" t="s">
        <v>58</v>
      </c>
      <c r="O129" s="1" t="s">
        <v>69</v>
      </c>
      <c r="S129" s="1" t="s">
        <v>69</v>
      </c>
      <c r="U129" s="1" t="s">
        <v>70</v>
      </c>
      <c r="W129" s="1" t="s">
        <v>69</v>
      </c>
      <c r="X129" s="1" t="s">
        <v>88</v>
      </c>
      <c r="Y129" s="1" t="s">
        <v>95</v>
      </c>
      <c r="AB129" s="1" t="s">
        <v>62</v>
      </c>
      <c r="AC129" s="1" t="s">
        <v>71</v>
      </c>
      <c r="AF129" s="1" t="s">
        <v>72</v>
      </c>
      <c r="AG129" s="1" t="s">
        <v>72</v>
      </c>
      <c r="AI129" s="1">
        <v>0.0</v>
      </c>
      <c r="AJ129" s="1">
        <v>0.0</v>
      </c>
      <c r="AK129" s="1">
        <v>0.0</v>
      </c>
      <c r="AL129" s="1">
        <v>1.0</v>
      </c>
      <c r="AM129" s="1" t="s">
        <v>72</v>
      </c>
      <c r="AP129" s="1">
        <v>4.89520831E8</v>
      </c>
      <c r="AQ129" s="1" t="s">
        <v>250</v>
      </c>
      <c r="AR129" s="1">
        <v>45807.62123</v>
      </c>
      <c r="AU129" s="1" t="s">
        <v>64</v>
      </c>
      <c r="AW129" s="1" t="s">
        <v>191</v>
      </c>
      <c r="AY129" s="1">
        <v>123.0</v>
      </c>
    </row>
    <row r="130" hidden="1">
      <c r="A130" s="1" t="s">
        <v>51</v>
      </c>
      <c r="C130" s="1" t="s">
        <v>52</v>
      </c>
      <c r="E130" s="1" t="s">
        <v>52</v>
      </c>
      <c r="G130" s="1">
        <v>35.0</v>
      </c>
      <c r="H130" s="1" t="s">
        <v>66</v>
      </c>
      <c r="J130" s="1" t="s">
        <v>86</v>
      </c>
      <c r="K130" s="1" t="s">
        <v>87</v>
      </c>
      <c r="M130" s="1" t="s">
        <v>58</v>
      </c>
      <c r="N130" s="1" t="s">
        <v>58</v>
      </c>
      <c r="O130" s="1" t="s">
        <v>58</v>
      </c>
      <c r="Q130" s="1" t="s">
        <v>69</v>
      </c>
      <c r="R130" s="1" t="s">
        <v>58</v>
      </c>
      <c r="S130" s="1" t="s">
        <v>69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59</v>
      </c>
      <c r="Y130" s="1" t="s">
        <v>95</v>
      </c>
      <c r="Z130" s="1" t="s">
        <v>89</v>
      </c>
      <c r="AA130" s="1">
        <v>30.0</v>
      </c>
      <c r="AB130" s="1" t="s">
        <v>79</v>
      </c>
      <c r="AC130" s="1" t="s">
        <v>71</v>
      </c>
      <c r="AF130" s="1" t="s">
        <v>51</v>
      </c>
      <c r="AG130" s="1" t="s">
        <v>72</v>
      </c>
      <c r="AI130" s="1">
        <v>0.0</v>
      </c>
      <c r="AJ130" s="1">
        <v>0.0</v>
      </c>
      <c r="AK130" s="1">
        <v>1.0</v>
      </c>
      <c r="AL130" s="1">
        <v>0.0</v>
      </c>
      <c r="AP130" s="1">
        <v>4.89573455E8</v>
      </c>
      <c r="AQ130" s="1" t="s">
        <v>251</v>
      </c>
      <c r="AR130" s="1">
        <v>45807.66686</v>
      </c>
      <c r="AU130" s="1" t="s">
        <v>64</v>
      </c>
      <c r="AW130" s="1" t="s">
        <v>191</v>
      </c>
      <c r="AY130" s="1">
        <v>124.0</v>
      </c>
    </row>
    <row r="131" hidden="1">
      <c r="A131" s="1" t="s">
        <v>51</v>
      </c>
      <c r="G131" s="1">
        <v>35.0</v>
      </c>
      <c r="AP131" s="1">
        <v>4.89573911E8</v>
      </c>
      <c r="AQ131" s="1" t="s">
        <v>252</v>
      </c>
      <c r="AR131" s="1">
        <v>45807.66736</v>
      </c>
      <c r="AU131" s="1" t="s">
        <v>64</v>
      </c>
      <c r="AW131" s="1" t="s">
        <v>191</v>
      </c>
      <c r="AY131" s="1">
        <v>125.0</v>
      </c>
    </row>
    <row r="132">
      <c r="A132" s="1" t="s">
        <v>51</v>
      </c>
      <c r="C132" s="1" t="s">
        <v>151</v>
      </c>
      <c r="E132" s="1" t="s">
        <v>151</v>
      </c>
      <c r="G132" s="1">
        <v>43.0</v>
      </c>
      <c r="H132" s="1" t="s">
        <v>66</v>
      </c>
      <c r="J132" s="1" t="s">
        <v>68</v>
      </c>
      <c r="K132" s="1" t="s">
        <v>92</v>
      </c>
      <c r="M132" s="1" t="s">
        <v>58</v>
      </c>
      <c r="N132" s="1" t="s">
        <v>58</v>
      </c>
      <c r="O132" s="1" t="s">
        <v>58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70</v>
      </c>
      <c r="V132" s="1" t="s">
        <v>58</v>
      </c>
      <c r="W132" s="1" t="s">
        <v>58</v>
      </c>
      <c r="X132" s="1" t="s">
        <v>81</v>
      </c>
      <c r="Y132" s="1" t="s">
        <v>82</v>
      </c>
      <c r="Z132" s="1" t="s">
        <v>61</v>
      </c>
      <c r="AA132" s="1">
        <v>10.0</v>
      </c>
      <c r="AB132" s="1" t="s">
        <v>79</v>
      </c>
      <c r="AC132" s="1" t="s">
        <v>71</v>
      </c>
      <c r="AF132" s="1" t="s">
        <v>51</v>
      </c>
      <c r="AG132" s="1" t="s">
        <v>51</v>
      </c>
      <c r="AH132" s="1">
        <v>200.0</v>
      </c>
      <c r="AI132" s="1">
        <v>0.0</v>
      </c>
      <c r="AJ132" s="1">
        <v>0.0</v>
      </c>
      <c r="AK132" s="1">
        <v>1.0</v>
      </c>
      <c r="AL132" s="1">
        <v>0.0</v>
      </c>
      <c r="AP132" s="1">
        <v>4.89588789E8</v>
      </c>
      <c r="AQ132" s="1" t="s">
        <v>253</v>
      </c>
      <c r="AR132" s="1">
        <v>45807.67961</v>
      </c>
      <c r="AU132" s="1" t="s">
        <v>64</v>
      </c>
      <c r="AW132" s="1" t="s">
        <v>191</v>
      </c>
      <c r="AY132" s="1">
        <v>126.0</v>
      </c>
    </row>
    <row r="133">
      <c r="A133" s="1" t="s">
        <v>51</v>
      </c>
      <c r="C133" s="1" t="s">
        <v>151</v>
      </c>
      <c r="E133" s="1" t="s">
        <v>151</v>
      </c>
      <c r="G133" s="1">
        <v>33.0</v>
      </c>
      <c r="H133" s="1" t="s">
        <v>66</v>
      </c>
      <c r="J133" s="1" t="s">
        <v>56</v>
      </c>
      <c r="K133" s="1" t="s">
        <v>78</v>
      </c>
      <c r="M133" s="1" t="s">
        <v>58</v>
      </c>
      <c r="N133" s="1" t="s">
        <v>58</v>
      </c>
      <c r="O133" s="1" t="s">
        <v>58</v>
      </c>
      <c r="Q133" s="1" t="s">
        <v>58</v>
      </c>
      <c r="R133" s="1" t="s">
        <v>70</v>
      </c>
      <c r="S133" s="1" t="s">
        <v>58</v>
      </c>
      <c r="T133" s="1" t="s">
        <v>70</v>
      </c>
      <c r="U133" s="1" t="s">
        <v>70</v>
      </c>
      <c r="V133" s="1" t="s">
        <v>70</v>
      </c>
      <c r="W133" s="1" t="s">
        <v>58</v>
      </c>
      <c r="X133" s="1" t="s">
        <v>81</v>
      </c>
      <c r="Z133" s="1" t="s">
        <v>61</v>
      </c>
      <c r="AA133" s="1">
        <v>10.0</v>
      </c>
      <c r="AB133" s="1" t="s">
        <v>28</v>
      </c>
      <c r="AC133" s="1" t="s">
        <v>71</v>
      </c>
      <c r="AF133" s="1" t="s">
        <v>72</v>
      </c>
      <c r="AG133" s="1" t="s">
        <v>51</v>
      </c>
      <c r="AH133" s="1">
        <v>1000.0</v>
      </c>
      <c r="AI133" s="1">
        <v>0.0</v>
      </c>
      <c r="AJ133" s="1">
        <v>0.0</v>
      </c>
      <c r="AK133" s="1">
        <v>0.0</v>
      </c>
      <c r="AL133" s="1">
        <v>1.0</v>
      </c>
      <c r="AP133" s="1">
        <v>4.89629902E8</v>
      </c>
      <c r="AQ133" s="1" t="s">
        <v>254</v>
      </c>
      <c r="AR133" s="1">
        <v>45807.71866</v>
      </c>
      <c r="AU133" s="1" t="s">
        <v>64</v>
      </c>
      <c r="AW133" s="1" t="s">
        <v>255</v>
      </c>
      <c r="AY133" s="1">
        <v>127.0</v>
      </c>
    </row>
    <row r="134" hidden="1">
      <c r="A134" s="1" t="s">
        <v>51</v>
      </c>
      <c r="C134" s="1" t="s">
        <v>52</v>
      </c>
      <c r="E134" s="1" t="s">
        <v>105</v>
      </c>
      <c r="G134" s="1">
        <v>45.0</v>
      </c>
      <c r="H134" s="1" t="s">
        <v>55</v>
      </c>
      <c r="J134" s="1" t="s">
        <v>86</v>
      </c>
      <c r="M134" s="1" t="s">
        <v>58</v>
      </c>
      <c r="N134" s="1" t="s">
        <v>58</v>
      </c>
      <c r="O134" s="1" t="s">
        <v>58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1" t="s">
        <v>69</v>
      </c>
      <c r="X134" s="1" t="s">
        <v>88</v>
      </c>
      <c r="Y134" s="1" t="s">
        <v>95</v>
      </c>
      <c r="Z134" s="1" t="s">
        <v>108</v>
      </c>
      <c r="AA134" s="1">
        <v>100.0</v>
      </c>
      <c r="AB134" s="1" t="s">
        <v>79</v>
      </c>
      <c r="AC134" s="1" t="s">
        <v>51</v>
      </c>
      <c r="AD134" s="1" t="s">
        <v>88</v>
      </c>
      <c r="AE134" s="1" t="s">
        <v>51</v>
      </c>
      <c r="AF134" s="1" t="s">
        <v>51</v>
      </c>
      <c r="AG134" s="1" t="s">
        <v>51</v>
      </c>
      <c r="AH134" s="1">
        <v>10.0</v>
      </c>
      <c r="AI134" s="1">
        <v>1.0</v>
      </c>
      <c r="AJ134" s="1">
        <v>1.0</v>
      </c>
      <c r="AK134" s="1">
        <v>1.0</v>
      </c>
      <c r="AL134" s="1">
        <v>0.0</v>
      </c>
      <c r="AP134" s="1">
        <v>4.89787188E8</v>
      </c>
      <c r="AQ134" s="1" t="s">
        <v>256</v>
      </c>
      <c r="AR134" s="1">
        <v>45808.04666</v>
      </c>
      <c r="AU134" s="1" t="s">
        <v>64</v>
      </c>
      <c r="AW134" s="1" t="s">
        <v>255</v>
      </c>
      <c r="AY134" s="1">
        <v>128.0</v>
      </c>
    </row>
    <row r="135" hidden="1">
      <c r="A135" s="1" t="s">
        <v>51</v>
      </c>
      <c r="C135" s="1" t="s">
        <v>52</v>
      </c>
      <c r="E135" s="1" t="s">
        <v>105</v>
      </c>
      <c r="G135" s="1">
        <v>42.0</v>
      </c>
      <c r="H135" s="1" t="s">
        <v>66</v>
      </c>
      <c r="J135" s="1" t="s">
        <v>86</v>
      </c>
      <c r="K135" s="1" t="s">
        <v>87</v>
      </c>
      <c r="M135" s="1" t="s">
        <v>58</v>
      </c>
      <c r="N135" s="1" t="s">
        <v>58</v>
      </c>
      <c r="O135" s="1" t="s">
        <v>69</v>
      </c>
      <c r="Q135" s="1" t="s">
        <v>69</v>
      </c>
      <c r="R135" s="1" t="s">
        <v>69</v>
      </c>
      <c r="S135" s="1" t="s">
        <v>58</v>
      </c>
      <c r="T135" s="1" t="s">
        <v>69</v>
      </c>
      <c r="U135" s="1" t="s">
        <v>58</v>
      </c>
      <c r="V135" s="1" t="s">
        <v>58</v>
      </c>
      <c r="W135" s="1" t="s">
        <v>69</v>
      </c>
      <c r="X135" s="1" t="s">
        <v>81</v>
      </c>
      <c r="Y135" s="1" t="s">
        <v>95</v>
      </c>
      <c r="Z135" s="1" t="s">
        <v>89</v>
      </c>
      <c r="AA135" s="1">
        <v>100.0</v>
      </c>
      <c r="AB135" s="1" t="s">
        <v>79</v>
      </c>
      <c r="AC135" s="1" t="s">
        <v>51</v>
      </c>
      <c r="AD135" s="1" t="s">
        <v>81</v>
      </c>
      <c r="AE135" s="1" t="s">
        <v>51</v>
      </c>
      <c r="AF135" s="1" t="s">
        <v>51</v>
      </c>
      <c r="AG135" s="1" t="s">
        <v>72</v>
      </c>
      <c r="AI135" s="1">
        <v>0.0</v>
      </c>
      <c r="AJ135" s="1">
        <v>0.0</v>
      </c>
      <c r="AK135" s="1">
        <v>0.0</v>
      </c>
      <c r="AL135" s="1">
        <v>1.0</v>
      </c>
      <c r="AP135" s="1">
        <v>4.8982024E8</v>
      </c>
      <c r="AQ135" s="1" t="s">
        <v>257</v>
      </c>
      <c r="AR135" s="1">
        <v>45808.19664</v>
      </c>
      <c r="AU135" s="1" t="s">
        <v>64</v>
      </c>
      <c r="AW135" s="1" t="s">
        <v>255</v>
      </c>
      <c r="AY135" s="1">
        <v>129.0</v>
      </c>
    </row>
    <row r="136" hidden="1">
      <c r="A136" s="1" t="s">
        <v>51</v>
      </c>
      <c r="C136" s="1" t="s">
        <v>52</v>
      </c>
      <c r="E136" s="1" t="s">
        <v>53</v>
      </c>
      <c r="F136" s="1" t="s">
        <v>102</v>
      </c>
      <c r="G136" s="1">
        <v>45.0</v>
      </c>
      <c r="H136" s="1" t="s">
        <v>55</v>
      </c>
      <c r="I136" s="1" t="s">
        <v>67</v>
      </c>
      <c r="J136" s="1" t="s">
        <v>86</v>
      </c>
      <c r="K136" s="1" t="s">
        <v>87</v>
      </c>
      <c r="M136" s="1" t="s">
        <v>58</v>
      </c>
      <c r="N136" s="1" t="s">
        <v>58</v>
      </c>
      <c r="O136" s="1" t="s">
        <v>58</v>
      </c>
      <c r="Q136" s="1" t="s">
        <v>58</v>
      </c>
      <c r="R136" s="1" t="s">
        <v>58</v>
      </c>
      <c r="S136" s="1" t="s">
        <v>70</v>
      </c>
      <c r="T136" s="1" t="s">
        <v>70</v>
      </c>
      <c r="U136" s="1" t="s">
        <v>58</v>
      </c>
      <c r="V136" s="1" t="s">
        <v>58</v>
      </c>
      <c r="W136" s="1" t="s">
        <v>70</v>
      </c>
      <c r="X136" s="1" t="s">
        <v>88</v>
      </c>
      <c r="Y136" s="1" t="s">
        <v>60</v>
      </c>
      <c r="Z136" s="1" t="s">
        <v>108</v>
      </c>
      <c r="AA136" s="1">
        <v>100.0</v>
      </c>
      <c r="AB136" s="1" t="s">
        <v>62</v>
      </c>
      <c r="AC136" s="1" t="s">
        <v>71</v>
      </c>
      <c r="AF136" s="1" t="s">
        <v>51</v>
      </c>
      <c r="AG136" s="1" t="s">
        <v>72</v>
      </c>
      <c r="AI136" s="1">
        <v>0.0</v>
      </c>
      <c r="AJ136" s="1">
        <v>0.0</v>
      </c>
      <c r="AK136" s="1">
        <v>0.0</v>
      </c>
      <c r="AL136" s="1">
        <v>1.0</v>
      </c>
      <c r="AM136" s="1" t="s">
        <v>51</v>
      </c>
      <c r="AP136" s="1">
        <v>4.89842136E8</v>
      </c>
      <c r="AQ136" s="1" t="s">
        <v>258</v>
      </c>
      <c r="AR136" s="1">
        <v>45808.25458</v>
      </c>
      <c r="AU136" s="1" t="s">
        <v>64</v>
      </c>
      <c r="AW136" s="1" t="s">
        <v>255</v>
      </c>
      <c r="AY136" s="1">
        <v>130.0</v>
      </c>
    </row>
    <row r="137" hidden="1">
      <c r="A137" s="1" t="s">
        <v>51</v>
      </c>
      <c r="C137" s="1" t="s">
        <v>52</v>
      </c>
      <c r="E137" s="1" t="s">
        <v>53</v>
      </c>
      <c r="F137" s="1" t="s">
        <v>136</v>
      </c>
      <c r="G137" s="1">
        <v>46.0</v>
      </c>
      <c r="H137" s="1" t="s">
        <v>55</v>
      </c>
      <c r="I137" s="1" t="s">
        <v>67</v>
      </c>
      <c r="J137" s="1" t="s">
        <v>86</v>
      </c>
      <c r="K137" s="1" t="s">
        <v>87</v>
      </c>
      <c r="M137" s="1" t="s">
        <v>58</v>
      </c>
      <c r="N137" s="1" t="s">
        <v>58</v>
      </c>
      <c r="O137" s="1" t="s">
        <v>69</v>
      </c>
      <c r="Q137" s="1" t="s">
        <v>58</v>
      </c>
      <c r="R137" s="1" t="s">
        <v>58</v>
      </c>
      <c r="S137" s="1" t="s">
        <v>58</v>
      </c>
      <c r="T137" s="1" t="s">
        <v>69</v>
      </c>
      <c r="U137" s="1" t="s">
        <v>58</v>
      </c>
      <c r="V137" s="1" t="s">
        <v>58</v>
      </c>
      <c r="W137" s="1" t="s">
        <v>69</v>
      </c>
      <c r="X137" s="1" t="s">
        <v>88</v>
      </c>
      <c r="Y137" s="1" t="s">
        <v>95</v>
      </c>
      <c r="Z137" s="1" t="s">
        <v>89</v>
      </c>
      <c r="AA137" s="1">
        <v>50.0</v>
      </c>
      <c r="AB137" s="1" t="s">
        <v>62</v>
      </c>
      <c r="AC137" s="1" t="s">
        <v>71</v>
      </c>
      <c r="AF137" s="1" t="s">
        <v>51</v>
      </c>
      <c r="AG137" s="1" t="s">
        <v>72</v>
      </c>
      <c r="AI137" s="1">
        <v>0.0</v>
      </c>
      <c r="AJ137" s="1">
        <v>0.0</v>
      </c>
      <c r="AK137" s="1">
        <v>0.0</v>
      </c>
      <c r="AL137" s="1">
        <v>1.0</v>
      </c>
      <c r="AM137" s="1" t="s">
        <v>72</v>
      </c>
      <c r="AP137" s="1">
        <v>4.89848913E8</v>
      </c>
      <c r="AQ137" s="1" t="s">
        <v>259</v>
      </c>
      <c r="AR137" s="1">
        <v>45808.26868</v>
      </c>
      <c r="AU137" s="1" t="s">
        <v>64</v>
      </c>
      <c r="AW137" s="1" t="s">
        <v>255</v>
      </c>
      <c r="AY137" s="1">
        <v>131.0</v>
      </c>
    </row>
    <row r="138" hidden="1">
      <c r="A138" s="1" t="s">
        <v>51</v>
      </c>
      <c r="C138" s="1" t="s">
        <v>131</v>
      </c>
      <c r="E138" s="1" t="s">
        <v>53</v>
      </c>
      <c r="F138" s="1" t="s">
        <v>54</v>
      </c>
      <c r="G138" s="1">
        <v>30.0</v>
      </c>
      <c r="H138" s="1" t="s">
        <v>66</v>
      </c>
      <c r="I138" s="1" t="s">
        <v>67</v>
      </c>
      <c r="J138" s="1" t="s">
        <v>68</v>
      </c>
      <c r="K138" s="1" t="s">
        <v>74</v>
      </c>
      <c r="M138" s="1" t="s">
        <v>58</v>
      </c>
      <c r="N138" s="1" t="s">
        <v>58</v>
      </c>
      <c r="O138" s="1" t="s">
        <v>70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70</v>
      </c>
      <c r="V138" s="1" t="s">
        <v>69</v>
      </c>
      <c r="W138" s="1" t="s">
        <v>58</v>
      </c>
      <c r="X138" s="1" t="s">
        <v>81</v>
      </c>
      <c r="Y138" s="1" t="s">
        <v>82</v>
      </c>
      <c r="Z138" s="1" t="s">
        <v>96</v>
      </c>
      <c r="AA138" s="1">
        <v>10.0</v>
      </c>
      <c r="AB138" s="1" t="s">
        <v>79</v>
      </c>
      <c r="AC138" s="1" t="s">
        <v>72</v>
      </c>
      <c r="AF138" s="1" t="s">
        <v>51</v>
      </c>
      <c r="AG138" s="1" t="s">
        <v>72</v>
      </c>
      <c r="AI138" s="1">
        <v>1.0</v>
      </c>
      <c r="AJ138" s="1">
        <v>0.0</v>
      </c>
      <c r="AK138" s="1">
        <v>0.0</v>
      </c>
      <c r="AL138" s="1">
        <v>0.0</v>
      </c>
      <c r="AM138" s="1" t="s">
        <v>51</v>
      </c>
      <c r="AN138" s="1">
        <v>7.82860878E8</v>
      </c>
      <c r="AP138" s="1">
        <v>4.89854202E8</v>
      </c>
      <c r="AQ138" s="1" t="s">
        <v>260</v>
      </c>
      <c r="AR138" s="1">
        <v>45808.27947</v>
      </c>
      <c r="AU138" s="1" t="s">
        <v>64</v>
      </c>
      <c r="AW138" s="1" t="s">
        <v>255</v>
      </c>
      <c r="AY138" s="1">
        <v>132.0</v>
      </c>
    </row>
    <row r="139" hidden="1">
      <c r="A139" s="1" t="s">
        <v>51</v>
      </c>
      <c r="C139" s="1" t="s">
        <v>105</v>
      </c>
      <c r="D139" s="1" t="s">
        <v>261</v>
      </c>
      <c r="E139" s="1" t="s">
        <v>52</v>
      </c>
      <c r="G139" s="1">
        <v>45.0</v>
      </c>
      <c r="H139" s="1" t="s">
        <v>55</v>
      </c>
      <c r="J139" s="1" t="s">
        <v>111</v>
      </c>
      <c r="K139" s="1" t="s">
        <v>87</v>
      </c>
      <c r="M139" s="1" t="s">
        <v>58</v>
      </c>
      <c r="N139" s="1" t="s">
        <v>58</v>
      </c>
      <c r="O139" s="1" t="s">
        <v>58</v>
      </c>
      <c r="Q139" s="1" t="s">
        <v>58</v>
      </c>
      <c r="R139" s="1" t="s">
        <v>58</v>
      </c>
      <c r="S139" s="1" t="s">
        <v>58</v>
      </c>
      <c r="T139" s="1" t="s">
        <v>69</v>
      </c>
      <c r="U139" s="1" t="s">
        <v>58</v>
      </c>
      <c r="V139" s="1" t="s">
        <v>58</v>
      </c>
      <c r="W139" s="1" t="s">
        <v>69</v>
      </c>
      <c r="X139" s="1" t="s">
        <v>88</v>
      </c>
      <c r="Y139" s="1" t="s">
        <v>60</v>
      </c>
      <c r="Z139" s="1" t="s">
        <v>108</v>
      </c>
      <c r="AA139" s="1">
        <v>100.0</v>
      </c>
      <c r="AB139" s="1" t="s">
        <v>62</v>
      </c>
      <c r="AC139" s="1" t="s">
        <v>51</v>
      </c>
      <c r="AD139" s="1" t="s">
        <v>59</v>
      </c>
      <c r="AE139" s="1" t="s">
        <v>51</v>
      </c>
      <c r="AF139" s="1" t="s">
        <v>51</v>
      </c>
      <c r="AG139" s="1" t="s">
        <v>72</v>
      </c>
      <c r="AI139" s="1">
        <v>1.0</v>
      </c>
      <c r="AJ139" s="1">
        <v>1.0</v>
      </c>
      <c r="AK139" s="1">
        <v>1.0</v>
      </c>
      <c r="AL139" s="1">
        <v>0.0</v>
      </c>
      <c r="AP139" s="1">
        <v>4.89854452E8</v>
      </c>
      <c r="AQ139" s="1" t="s">
        <v>262</v>
      </c>
      <c r="AR139" s="1">
        <v>45808.27978</v>
      </c>
      <c r="AU139" s="1" t="s">
        <v>64</v>
      </c>
      <c r="AW139" s="1" t="s">
        <v>255</v>
      </c>
      <c r="AY139" s="1">
        <v>133.0</v>
      </c>
    </row>
    <row r="140" hidden="1">
      <c r="A140" s="1" t="s">
        <v>51</v>
      </c>
      <c r="C140" s="1" t="s">
        <v>118</v>
      </c>
      <c r="E140" s="1" t="s">
        <v>105</v>
      </c>
      <c r="G140" s="1">
        <v>25.0</v>
      </c>
      <c r="H140" s="1" t="s">
        <v>66</v>
      </c>
      <c r="J140" s="1" t="s">
        <v>68</v>
      </c>
      <c r="K140" s="1" t="s">
        <v>92</v>
      </c>
      <c r="M140" s="1" t="s">
        <v>58</v>
      </c>
      <c r="N140" s="1" t="s">
        <v>58</v>
      </c>
      <c r="O140" s="1" t="s">
        <v>58</v>
      </c>
      <c r="Q140" s="1" t="s">
        <v>58</v>
      </c>
      <c r="R140" s="1" t="s">
        <v>58</v>
      </c>
      <c r="S140" s="1" t="s">
        <v>58</v>
      </c>
      <c r="T140" s="1" t="s">
        <v>70</v>
      </c>
      <c r="U140" s="1" t="s">
        <v>58</v>
      </c>
      <c r="V140" s="1" t="s">
        <v>58</v>
      </c>
      <c r="W140" s="1" t="s">
        <v>69</v>
      </c>
      <c r="X140" s="1" t="s">
        <v>59</v>
      </c>
      <c r="Y140" s="1" t="s">
        <v>95</v>
      </c>
      <c r="Z140" s="1" t="s">
        <v>108</v>
      </c>
      <c r="AA140" s="1">
        <v>10.0</v>
      </c>
      <c r="AB140" s="1" t="s">
        <v>28</v>
      </c>
      <c r="AC140" s="1" t="s">
        <v>71</v>
      </c>
      <c r="AF140" s="1" t="s">
        <v>51</v>
      </c>
      <c r="AG140" s="1" t="s">
        <v>51</v>
      </c>
      <c r="AH140" s="1">
        <v>20.0</v>
      </c>
      <c r="AI140" s="1">
        <v>0.0</v>
      </c>
      <c r="AJ140" s="1">
        <v>0.0</v>
      </c>
      <c r="AK140" s="1">
        <v>0.0</v>
      </c>
      <c r="AL140" s="1">
        <v>1.0</v>
      </c>
      <c r="AP140" s="1">
        <v>4.89861321E8</v>
      </c>
      <c r="AQ140" s="1" t="s">
        <v>263</v>
      </c>
      <c r="AR140" s="1">
        <v>45808.29233</v>
      </c>
      <c r="AU140" s="1" t="s">
        <v>64</v>
      </c>
      <c r="AW140" s="1" t="s">
        <v>255</v>
      </c>
      <c r="AY140" s="1">
        <v>134.0</v>
      </c>
    </row>
    <row r="141" hidden="1">
      <c r="A141" s="1" t="s">
        <v>51</v>
      </c>
      <c r="C141" s="1" t="s">
        <v>53</v>
      </c>
      <c r="E141" s="1" t="s">
        <v>53</v>
      </c>
      <c r="F141" s="1" t="s">
        <v>102</v>
      </c>
      <c r="G141" s="1">
        <v>42.0</v>
      </c>
      <c r="H141" s="1" t="s">
        <v>66</v>
      </c>
      <c r="I141" s="1" t="s">
        <v>67</v>
      </c>
      <c r="J141" s="1" t="s">
        <v>86</v>
      </c>
      <c r="K141" s="1" t="s">
        <v>87</v>
      </c>
      <c r="M141" s="1" t="s">
        <v>58</v>
      </c>
      <c r="N141" s="1" t="s">
        <v>58</v>
      </c>
      <c r="O141" s="1" t="s">
        <v>58</v>
      </c>
      <c r="Q141" s="1" t="s">
        <v>69</v>
      </c>
      <c r="R141" s="1" t="s">
        <v>58</v>
      </c>
      <c r="S141" s="1" t="s">
        <v>58</v>
      </c>
      <c r="T141" s="1" t="s">
        <v>70</v>
      </c>
      <c r="U141" s="1" t="s">
        <v>58</v>
      </c>
      <c r="V141" s="1" t="s">
        <v>58</v>
      </c>
      <c r="W141" s="1" t="s">
        <v>69</v>
      </c>
      <c r="X141" s="1" t="s">
        <v>88</v>
      </c>
      <c r="Y141" s="1" t="s">
        <v>60</v>
      </c>
      <c r="Z141" s="1" t="s">
        <v>108</v>
      </c>
      <c r="AA141" s="1">
        <v>100.0</v>
      </c>
      <c r="AB141" s="1" t="s">
        <v>79</v>
      </c>
      <c r="AC141" s="1" t="s">
        <v>71</v>
      </c>
      <c r="AF141" s="1" t="s">
        <v>51</v>
      </c>
      <c r="AG141" s="1" t="s">
        <v>72</v>
      </c>
      <c r="AI141" s="1">
        <v>0.0</v>
      </c>
      <c r="AJ141" s="1">
        <v>1.0</v>
      </c>
      <c r="AK141" s="1">
        <v>1.0</v>
      </c>
      <c r="AL141" s="1">
        <v>0.0</v>
      </c>
      <c r="AM141" s="1" t="s">
        <v>72</v>
      </c>
      <c r="AP141" s="1">
        <v>4.89875662E8</v>
      </c>
      <c r="AQ141" s="1" t="s">
        <v>264</v>
      </c>
      <c r="AR141" s="1">
        <v>45808.31581</v>
      </c>
      <c r="AU141" s="1" t="s">
        <v>64</v>
      </c>
      <c r="AW141" s="1" t="s">
        <v>255</v>
      </c>
      <c r="AY141" s="1">
        <v>135.0</v>
      </c>
    </row>
    <row r="142" hidden="1">
      <c r="A142" s="1" t="s">
        <v>51</v>
      </c>
      <c r="C142" s="1" t="s">
        <v>118</v>
      </c>
      <c r="E142" s="1" t="s">
        <v>105</v>
      </c>
      <c r="G142" s="1">
        <v>43.0</v>
      </c>
      <c r="H142" s="1" t="s">
        <v>55</v>
      </c>
      <c r="K142" s="1" t="s">
        <v>87</v>
      </c>
      <c r="M142" s="1" t="s">
        <v>58</v>
      </c>
      <c r="N142" s="1" t="s">
        <v>58</v>
      </c>
      <c r="O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W142" s="1" t="s">
        <v>69</v>
      </c>
      <c r="X142" s="1" t="s">
        <v>81</v>
      </c>
      <c r="Y142" s="1" t="s">
        <v>95</v>
      </c>
      <c r="Z142" s="1" t="s">
        <v>96</v>
      </c>
      <c r="AA142" s="1">
        <v>100.0</v>
      </c>
      <c r="AB142" s="1" t="s">
        <v>28</v>
      </c>
      <c r="AC142" s="1" t="s">
        <v>71</v>
      </c>
      <c r="AF142" s="1" t="s">
        <v>51</v>
      </c>
      <c r="AI142" s="1">
        <v>1.0</v>
      </c>
      <c r="AJ142" s="1">
        <v>0.0</v>
      </c>
      <c r="AK142" s="1">
        <v>0.0</v>
      </c>
      <c r="AL142" s="1">
        <v>0.0</v>
      </c>
      <c r="AP142" s="1">
        <v>4.89879065E8</v>
      </c>
      <c r="AQ142" s="1" t="s">
        <v>265</v>
      </c>
      <c r="AR142" s="1">
        <v>45808.32135</v>
      </c>
      <c r="AU142" s="1" t="s">
        <v>64</v>
      </c>
      <c r="AW142" s="1" t="s">
        <v>255</v>
      </c>
      <c r="AY142" s="1">
        <v>136.0</v>
      </c>
    </row>
    <row r="143" hidden="1">
      <c r="A143" s="1" t="s">
        <v>51</v>
      </c>
      <c r="C143" s="1" t="s">
        <v>131</v>
      </c>
      <c r="E143" s="1" t="s">
        <v>53</v>
      </c>
      <c r="F143" s="1" t="s">
        <v>54</v>
      </c>
      <c r="G143" s="1">
        <v>23.0</v>
      </c>
      <c r="H143" s="1" t="s">
        <v>66</v>
      </c>
      <c r="I143" s="1" t="s">
        <v>100</v>
      </c>
      <c r="J143" s="1" t="s">
        <v>68</v>
      </c>
      <c r="K143" s="1" t="s">
        <v>74</v>
      </c>
      <c r="M143" s="1" t="s">
        <v>58</v>
      </c>
      <c r="N143" s="1" t="s">
        <v>58</v>
      </c>
      <c r="O143" s="1" t="s">
        <v>69</v>
      </c>
      <c r="Q143" s="1" t="s">
        <v>58</v>
      </c>
      <c r="R143" s="1" t="s">
        <v>58</v>
      </c>
      <c r="S143" s="1" t="s">
        <v>70</v>
      </c>
      <c r="T143" s="1" t="s">
        <v>58</v>
      </c>
      <c r="U143" s="1" t="s">
        <v>70</v>
      </c>
      <c r="V143" s="1" t="s">
        <v>58</v>
      </c>
      <c r="W143" s="1" t="s">
        <v>58</v>
      </c>
      <c r="X143" s="1" t="s">
        <v>81</v>
      </c>
      <c r="Y143" s="1" t="s">
        <v>172</v>
      </c>
      <c r="Z143" s="1" t="s">
        <v>96</v>
      </c>
      <c r="AA143" s="1">
        <v>50.0</v>
      </c>
      <c r="AB143" s="1" t="s">
        <v>79</v>
      </c>
      <c r="AC143" s="1" t="s">
        <v>72</v>
      </c>
      <c r="AG143" s="1" t="s">
        <v>51</v>
      </c>
      <c r="AI143" s="1">
        <v>0.0</v>
      </c>
      <c r="AJ143" s="1">
        <v>0.0</v>
      </c>
      <c r="AK143" s="1">
        <v>0.0</v>
      </c>
      <c r="AL143" s="1">
        <v>1.0</v>
      </c>
      <c r="AM143" s="1" t="s">
        <v>51</v>
      </c>
      <c r="AN143" s="1">
        <v>6.55789034E8</v>
      </c>
      <c r="AP143" s="1">
        <v>4.898922E8</v>
      </c>
      <c r="AQ143" s="1" t="s">
        <v>266</v>
      </c>
      <c r="AR143" s="1">
        <v>45808.343</v>
      </c>
      <c r="AU143" s="1" t="s">
        <v>64</v>
      </c>
      <c r="AW143" s="1" t="s">
        <v>255</v>
      </c>
      <c r="AY143" s="1">
        <v>137.0</v>
      </c>
    </row>
    <row r="144" hidden="1">
      <c r="A144" s="1" t="s">
        <v>51</v>
      </c>
      <c r="C144" s="1" t="s">
        <v>131</v>
      </c>
      <c r="E144" s="1" t="s">
        <v>53</v>
      </c>
      <c r="F144" s="1" t="s">
        <v>54</v>
      </c>
      <c r="G144" s="1">
        <v>27.0</v>
      </c>
      <c r="H144" s="1" t="s">
        <v>55</v>
      </c>
      <c r="I144" s="1" t="s">
        <v>67</v>
      </c>
      <c r="J144" s="1" t="s">
        <v>68</v>
      </c>
      <c r="K144" s="1" t="s">
        <v>57</v>
      </c>
      <c r="M144" s="1" t="s">
        <v>58</v>
      </c>
      <c r="N144" s="1" t="s">
        <v>58</v>
      </c>
      <c r="O144" s="1" t="s">
        <v>69</v>
      </c>
      <c r="Q144" s="1" t="s">
        <v>58</v>
      </c>
      <c r="R144" s="1" t="s">
        <v>58</v>
      </c>
      <c r="S144" s="1" t="s">
        <v>58</v>
      </c>
      <c r="T144" s="1" t="s">
        <v>58</v>
      </c>
      <c r="V144" s="1" t="s">
        <v>58</v>
      </c>
      <c r="W144" s="1" t="s">
        <v>58</v>
      </c>
      <c r="X144" s="1" t="s">
        <v>81</v>
      </c>
      <c r="Y144" s="1" t="s">
        <v>172</v>
      </c>
      <c r="AA144" s="1">
        <v>100.0</v>
      </c>
      <c r="AB144" s="1" t="s">
        <v>79</v>
      </c>
      <c r="AC144" s="1" t="s">
        <v>72</v>
      </c>
      <c r="AF144" s="1" t="s">
        <v>51</v>
      </c>
      <c r="AG144" s="1" t="s">
        <v>51</v>
      </c>
      <c r="AH144" s="1">
        <v>20.0</v>
      </c>
      <c r="AI144" s="1">
        <v>0.0</v>
      </c>
      <c r="AJ144" s="1">
        <v>0.0</v>
      </c>
      <c r="AK144" s="1">
        <v>0.0</v>
      </c>
      <c r="AL144" s="1">
        <v>1.0</v>
      </c>
      <c r="AM144" s="1" t="s">
        <v>51</v>
      </c>
      <c r="AN144" s="1">
        <v>7.04538078E8</v>
      </c>
      <c r="AP144" s="1">
        <v>4.89895622E8</v>
      </c>
      <c r="AQ144" s="1" t="s">
        <v>267</v>
      </c>
      <c r="AR144" s="1">
        <v>45808.34821</v>
      </c>
      <c r="AU144" s="1" t="s">
        <v>64</v>
      </c>
      <c r="AW144" s="1" t="s">
        <v>255</v>
      </c>
      <c r="AY144" s="1">
        <v>138.0</v>
      </c>
    </row>
    <row r="145" hidden="1">
      <c r="A145" s="1" t="s">
        <v>51</v>
      </c>
      <c r="C145" s="1" t="s">
        <v>53</v>
      </c>
      <c r="E145" s="1" t="s">
        <v>105</v>
      </c>
      <c r="G145" s="1">
        <v>48.0</v>
      </c>
      <c r="H145" s="1" t="s">
        <v>66</v>
      </c>
      <c r="J145" s="1" t="s">
        <v>86</v>
      </c>
      <c r="K145" s="1" t="s">
        <v>87</v>
      </c>
      <c r="M145" s="1" t="s">
        <v>58</v>
      </c>
      <c r="N145" s="1" t="s">
        <v>69</v>
      </c>
      <c r="O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81</v>
      </c>
      <c r="Y145" s="1" t="s">
        <v>95</v>
      </c>
      <c r="Z145" s="1" t="s">
        <v>89</v>
      </c>
      <c r="AA145" s="1">
        <v>20.0</v>
      </c>
      <c r="AB145" s="1" t="s">
        <v>79</v>
      </c>
      <c r="AC145" s="1" t="s">
        <v>51</v>
      </c>
      <c r="AD145" s="1" t="s">
        <v>81</v>
      </c>
      <c r="AE145" s="1" t="s">
        <v>51</v>
      </c>
      <c r="AF145" s="1" t="s">
        <v>51</v>
      </c>
      <c r="AG145" s="1" t="s">
        <v>72</v>
      </c>
      <c r="AI145" s="1">
        <v>1.0</v>
      </c>
      <c r="AJ145" s="1">
        <v>0.0</v>
      </c>
      <c r="AK145" s="1">
        <v>0.0</v>
      </c>
      <c r="AL145" s="1">
        <v>0.0</v>
      </c>
      <c r="AP145" s="1">
        <v>4.89899236E8</v>
      </c>
      <c r="AQ145" s="1" t="s">
        <v>268</v>
      </c>
      <c r="AR145" s="1">
        <v>45808.35461</v>
      </c>
      <c r="AU145" s="1" t="s">
        <v>64</v>
      </c>
      <c r="AW145" s="1" t="s">
        <v>255</v>
      </c>
      <c r="AY145" s="1">
        <v>139.0</v>
      </c>
    </row>
    <row r="146" hidden="1">
      <c r="A146" s="1" t="s">
        <v>51</v>
      </c>
      <c r="C146" s="1" t="s">
        <v>269</v>
      </c>
      <c r="E146" s="1" t="s">
        <v>105</v>
      </c>
      <c r="G146" s="1">
        <v>37.0</v>
      </c>
      <c r="H146" s="1" t="s">
        <v>66</v>
      </c>
      <c r="J146" s="1" t="s">
        <v>86</v>
      </c>
      <c r="K146" s="1" t="s">
        <v>87</v>
      </c>
      <c r="M146" s="1" t="s">
        <v>58</v>
      </c>
      <c r="N146" s="1" t="s">
        <v>58</v>
      </c>
      <c r="O146" s="1" t="s">
        <v>58</v>
      </c>
      <c r="Q146" s="1" t="s">
        <v>69</v>
      </c>
      <c r="R146" s="1" t="s">
        <v>58</v>
      </c>
      <c r="S146" s="1" t="s">
        <v>58</v>
      </c>
      <c r="T146" s="1" t="s">
        <v>70</v>
      </c>
      <c r="U146" s="1" t="s">
        <v>70</v>
      </c>
      <c r="V146" s="1" t="s">
        <v>58</v>
      </c>
      <c r="W146" s="1" t="s">
        <v>69</v>
      </c>
      <c r="X146" s="1" t="s">
        <v>88</v>
      </c>
      <c r="Y146" s="1" t="s">
        <v>95</v>
      </c>
      <c r="Z146" s="1" t="s">
        <v>96</v>
      </c>
      <c r="AA146" s="1">
        <v>50.0</v>
      </c>
      <c r="AB146" s="1" t="s">
        <v>79</v>
      </c>
      <c r="AC146" s="1" t="s">
        <v>71</v>
      </c>
      <c r="AF146" s="1" t="s">
        <v>51</v>
      </c>
      <c r="AG146" s="1" t="s">
        <v>72</v>
      </c>
      <c r="AI146" s="1">
        <v>0.0</v>
      </c>
      <c r="AJ146" s="1">
        <v>0.0</v>
      </c>
      <c r="AK146" s="1">
        <v>0.0</v>
      </c>
      <c r="AL146" s="1">
        <v>1.0</v>
      </c>
      <c r="AP146" s="1">
        <v>4.89908744E8</v>
      </c>
      <c r="AQ146" s="1" t="s">
        <v>270</v>
      </c>
      <c r="AR146" s="1">
        <v>45808.36929</v>
      </c>
      <c r="AU146" s="1" t="s">
        <v>64</v>
      </c>
      <c r="AW146" s="1" t="s">
        <v>255</v>
      </c>
      <c r="AY146" s="1">
        <v>140.0</v>
      </c>
    </row>
    <row r="147">
      <c r="A147" s="1" t="s">
        <v>51</v>
      </c>
      <c r="C147" s="1" t="s">
        <v>151</v>
      </c>
      <c r="E147" s="1" t="s">
        <v>151</v>
      </c>
      <c r="G147" s="1">
        <v>19.0</v>
      </c>
      <c r="H147" s="1" t="s">
        <v>66</v>
      </c>
      <c r="J147" s="1" t="s">
        <v>56</v>
      </c>
      <c r="K147" s="1" t="s">
        <v>74</v>
      </c>
      <c r="M147" s="1" t="s">
        <v>58</v>
      </c>
      <c r="N147" s="1" t="s">
        <v>58</v>
      </c>
      <c r="O147" s="1" t="s">
        <v>58</v>
      </c>
      <c r="Q147" s="1" t="s">
        <v>70</v>
      </c>
      <c r="R147" s="1" t="s">
        <v>70</v>
      </c>
      <c r="S147" s="1" t="s">
        <v>69</v>
      </c>
      <c r="T147" s="1" t="s">
        <v>69</v>
      </c>
      <c r="U147" s="1" t="s">
        <v>58</v>
      </c>
      <c r="V147" s="1" t="s">
        <v>58</v>
      </c>
      <c r="W147" s="1" t="s">
        <v>69</v>
      </c>
      <c r="X147" s="1" t="s">
        <v>81</v>
      </c>
      <c r="Y147" s="1" t="s">
        <v>82</v>
      </c>
      <c r="Z147" s="1" t="s">
        <v>61</v>
      </c>
      <c r="AA147" s="1">
        <v>10.0</v>
      </c>
      <c r="AB147" s="1" t="s">
        <v>79</v>
      </c>
      <c r="AC147" s="1" t="s">
        <v>71</v>
      </c>
      <c r="AF147" s="1" t="s">
        <v>51</v>
      </c>
      <c r="AG147" s="1" t="s">
        <v>51</v>
      </c>
      <c r="AH147" s="1">
        <v>500.0</v>
      </c>
      <c r="AI147" s="1">
        <v>1.0</v>
      </c>
      <c r="AJ147" s="1">
        <v>1.0</v>
      </c>
      <c r="AK147" s="1">
        <v>1.0</v>
      </c>
      <c r="AL147" s="1">
        <v>1.0</v>
      </c>
      <c r="AP147" s="1">
        <v>4.89927291E8</v>
      </c>
      <c r="AQ147" s="1" t="s">
        <v>271</v>
      </c>
      <c r="AR147" s="1">
        <v>45808.3988</v>
      </c>
      <c r="AU147" s="1" t="s">
        <v>64</v>
      </c>
      <c r="AW147" s="1" t="s">
        <v>255</v>
      </c>
      <c r="AY147" s="1">
        <v>141.0</v>
      </c>
    </row>
    <row r="148" hidden="1">
      <c r="A148" s="1" t="s">
        <v>51</v>
      </c>
      <c r="C148" s="1" t="s">
        <v>131</v>
      </c>
      <c r="E148" s="1" t="s">
        <v>53</v>
      </c>
      <c r="F148" s="1" t="s">
        <v>85</v>
      </c>
      <c r="G148" s="1">
        <v>24.0</v>
      </c>
      <c r="H148" s="1" t="s">
        <v>66</v>
      </c>
      <c r="I148" s="1" t="s">
        <v>100</v>
      </c>
      <c r="J148" s="1" t="s">
        <v>56</v>
      </c>
      <c r="K148" s="1" t="s">
        <v>74</v>
      </c>
      <c r="M148" s="1" t="s">
        <v>58</v>
      </c>
      <c r="N148" s="1" t="s">
        <v>58</v>
      </c>
      <c r="O148" s="1" t="s">
        <v>58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81</v>
      </c>
      <c r="Y148" s="1" t="s">
        <v>60</v>
      </c>
      <c r="Z148" s="1" t="s">
        <v>96</v>
      </c>
      <c r="AA148" s="1">
        <v>20.0</v>
      </c>
      <c r="AB148" s="1" t="s">
        <v>79</v>
      </c>
      <c r="AC148" s="1" t="s">
        <v>51</v>
      </c>
      <c r="AD148" s="1" t="s">
        <v>81</v>
      </c>
      <c r="AE148" s="1" t="s">
        <v>51</v>
      </c>
      <c r="AF148" s="1" t="s">
        <v>51</v>
      </c>
      <c r="AG148" s="1" t="s">
        <v>51</v>
      </c>
      <c r="AH148" s="1">
        <v>200.0</v>
      </c>
      <c r="AI148" s="1">
        <v>1.0</v>
      </c>
      <c r="AJ148" s="1">
        <v>0.0</v>
      </c>
      <c r="AK148" s="1">
        <v>0.0</v>
      </c>
      <c r="AL148" s="1">
        <v>0.0</v>
      </c>
      <c r="AM148" s="1" t="s">
        <v>51</v>
      </c>
      <c r="AN148" s="1">
        <v>7.16325173E8</v>
      </c>
      <c r="AP148" s="1">
        <v>4.89931787E8</v>
      </c>
      <c r="AQ148" s="1" t="s">
        <v>272</v>
      </c>
      <c r="AR148" s="1">
        <v>45808.40631</v>
      </c>
      <c r="AU148" s="1" t="s">
        <v>64</v>
      </c>
      <c r="AW148" s="1" t="s">
        <v>255</v>
      </c>
      <c r="AY148" s="1">
        <v>142.0</v>
      </c>
    </row>
    <row r="149" hidden="1">
      <c r="A149" s="1" t="s">
        <v>51</v>
      </c>
      <c r="C149" s="1" t="s">
        <v>53</v>
      </c>
      <c r="E149" s="1" t="s">
        <v>131</v>
      </c>
      <c r="G149" s="1">
        <v>27.0</v>
      </c>
      <c r="H149" s="1" t="s">
        <v>66</v>
      </c>
      <c r="J149" s="1" t="s">
        <v>56</v>
      </c>
      <c r="K149" s="1" t="s">
        <v>57</v>
      </c>
      <c r="M149" s="1" t="s">
        <v>58</v>
      </c>
      <c r="N149" s="1" t="s">
        <v>58</v>
      </c>
      <c r="O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103</v>
      </c>
      <c r="Y149" s="1" t="s">
        <v>82</v>
      </c>
      <c r="Z149" s="1" t="s">
        <v>89</v>
      </c>
      <c r="AA149" s="1">
        <v>30.0</v>
      </c>
      <c r="AB149" s="1" t="s">
        <v>62</v>
      </c>
      <c r="AC149" s="1" t="s">
        <v>51</v>
      </c>
      <c r="AD149" s="1" t="s">
        <v>81</v>
      </c>
      <c r="AE149" s="1" t="s">
        <v>51</v>
      </c>
      <c r="AF149" s="1" t="s">
        <v>51</v>
      </c>
      <c r="AG149" s="1" t="s">
        <v>51</v>
      </c>
      <c r="AH149" s="1">
        <v>50.0</v>
      </c>
      <c r="AI149" s="1">
        <v>0.0</v>
      </c>
      <c r="AJ149" s="1">
        <v>1.0</v>
      </c>
      <c r="AK149" s="1">
        <v>0.0</v>
      </c>
      <c r="AL149" s="1">
        <v>1.0</v>
      </c>
      <c r="AP149" s="1">
        <v>4.89933658E8</v>
      </c>
      <c r="AQ149" s="1" t="s">
        <v>273</v>
      </c>
      <c r="AR149" s="1">
        <v>45808.40959</v>
      </c>
      <c r="AU149" s="1" t="s">
        <v>64</v>
      </c>
      <c r="AW149" s="1" t="s">
        <v>255</v>
      </c>
      <c r="AY149" s="1">
        <v>143.0</v>
      </c>
    </row>
    <row r="150" hidden="1">
      <c r="A150" s="1" t="s">
        <v>51</v>
      </c>
      <c r="C150" s="1" t="s">
        <v>53</v>
      </c>
      <c r="E150" s="1" t="s">
        <v>131</v>
      </c>
      <c r="G150" s="1">
        <v>27.0</v>
      </c>
      <c r="H150" s="1" t="s">
        <v>55</v>
      </c>
      <c r="J150" s="1" t="s">
        <v>86</v>
      </c>
      <c r="K150" s="1" t="s">
        <v>57</v>
      </c>
      <c r="M150" s="1" t="s">
        <v>58</v>
      </c>
      <c r="N150" s="1" t="s">
        <v>58</v>
      </c>
      <c r="O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81</v>
      </c>
      <c r="Y150" s="1" t="s">
        <v>60</v>
      </c>
      <c r="Z150" s="1" t="s">
        <v>89</v>
      </c>
      <c r="AA150" s="1">
        <v>30.0</v>
      </c>
      <c r="AB150" s="1" t="s">
        <v>62</v>
      </c>
      <c r="AC150" s="1" t="s">
        <v>51</v>
      </c>
      <c r="AD150" s="1" t="s">
        <v>81</v>
      </c>
      <c r="AE150" s="1" t="s">
        <v>51</v>
      </c>
      <c r="AF150" s="1" t="s">
        <v>51</v>
      </c>
      <c r="AG150" s="1" t="s">
        <v>51</v>
      </c>
      <c r="AH150" s="1">
        <v>50.0</v>
      </c>
      <c r="AI150" s="1">
        <v>0.0</v>
      </c>
      <c r="AJ150" s="1">
        <v>1.0</v>
      </c>
      <c r="AK150" s="1">
        <v>0.0</v>
      </c>
      <c r="AL150" s="1">
        <v>0.0</v>
      </c>
      <c r="AP150" s="1">
        <v>4.89935516E8</v>
      </c>
      <c r="AQ150" s="1" t="s">
        <v>274</v>
      </c>
      <c r="AR150" s="1">
        <v>45808.41212</v>
      </c>
      <c r="AU150" s="1" t="s">
        <v>64</v>
      </c>
      <c r="AW150" s="1" t="s">
        <v>255</v>
      </c>
      <c r="AY150" s="1">
        <v>144.0</v>
      </c>
    </row>
    <row r="151" hidden="1">
      <c r="A151" s="1" t="s">
        <v>51</v>
      </c>
      <c r="C151" s="1" t="s">
        <v>131</v>
      </c>
      <c r="E151" s="1" t="s">
        <v>131</v>
      </c>
      <c r="G151" s="1">
        <v>33.0</v>
      </c>
      <c r="H151" s="1" t="s">
        <v>55</v>
      </c>
      <c r="J151" s="1" t="s">
        <v>86</v>
      </c>
      <c r="K151" s="1" t="s">
        <v>57</v>
      </c>
      <c r="M151" s="1" t="s">
        <v>58</v>
      </c>
      <c r="N151" s="1" t="s">
        <v>58</v>
      </c>
      <c r="O151" s="1" t="s">
        <v>69</v>
      </c>
      <c r="Q151" s="1" t="s">
        <v>58</v>
      </c>
      <c r="R151" s="1" t="s">
        <v>58</v>
      </c>
      <c r="S151" s="1" t="s">
        <v>58</v>
      </c>
      <c r="T151" s="1" t="s">
        <v>70</v>
      </c>
      <c r="U151" s="1" t="s">
        <v>70</v>
      </c>
      <c r="V151" s="1" t="s">
        <v>69</v>
      </c>
      <c r="W151" s="1" t="s">
        <v>69</v>
      </c>
      <c r="X151" s="1" t="s">
        <v>59</v>
      </c>
      <c r="Y151" s="1" t="s">
        <v>172</v>
      </c>
      <c r="Z151" s="1" t="s">
        <v>108</v>
      </c>
      <c r="AA151" s="1">
        <v>100.0</v>
      </c>
      <c r="AB151" s="1" t="s">
        <v>79</v>
      </c>
      <c r="AC151" s="1" t="s">
        <v>72</v>
      </c>
      <c r="AF151" s="1" t="s">
        <v>51</v>
      </c>
      <c r="AG151" s="1" t="s">
        <v>51</v>
      </c>
      <c r="AH151" s="1">
        <v>10.0</v>
      </c>
      <c r="AI151" s="1">
        <v>0.0</v>
      </c>
      <c r="AJ151" s="1">
        <v>0.0</v>
      </c>
      <c r="AK151" s="1">
        <v>0.0</v>
      </c>
      <c r="AL151" s="1">
        <v>1.0</v>
      </c>
      <c r="AP151" s="1">
        <v>4.89936782E8</v>
      </c>
      <c r="AQ151" s="1" t="s">
        <v>275</v>
      </c>
      <c r="AR151" s="1">
        <v>45808.41376</v>
      </c>
      <c r="AU151" s="1" t="s">
        <v>64</v>
      </c>
      <c r="AW151" s="1" t="s">
        <v>255</v>
      </c>
      <c r="AY151" s="1">
        <v>145.0</v>
      </c>
    </row>
    <row r="152" hidden="1">
      <c r="A152" s="1" t="s">
        <v>51</v>
      </c>
      <c r="C152" s="1" t="s">
        <v>131</v>
      </c>
      <c r="E152" s="1" t="s">
        <v>53</v>
      </c>
      <c r="F152" s="1" t="s">
        <v>102</v>
      </c>
      <c r="G152" s="1">
        <v>31.0</v>
      </c>
      <c r="H152" s="1" t="s">
        <v>55</v>
      </c>
      <c r="I152" s="1" t="s">
        <v>67</v>
      </c>
      <c r="J152" s="1" t="s">
        <v>86</v>
      </c>
      <c r="K152" s="1" t="s">
        <v>57</v>
      </c>
      <c r="M152" s="1" t="s">
        <v>58</v>
      </c>
      <c r="N152" s="1" t="s">
        <v>58</v>
      </c>
      <c r="O152" s="1" t="s">
        <v>69</v>
      </c>
      <c r="Q152" s="1" t="s">
        <v>69</v>
      </c>
      <c r="R152" s="1" t="s">
        <v>69</v>
      </c>
      <c r="S152" s="1" t="s">
        <v>58</v>
      </c>
      <c r="T152" s="1" t="s">
        <v>69</v>
      </c>
      <c r="V152" s="1" t="s">
        <v>69</v>
      </c>
      <c r="W152" s="1" t="s">
        <v>69</v>
      </c>
      <c r="X152" s="1" t="s">
        <v>59</v>
      </c>
      <c r="Y152" s="1" t="s">
        <v>172</v>
      </c>
      <c r="Z152" s="1" t="s">
        <v>96</v>
      </c>
      <c r="AA152" s="1">
        <v>100.0</v>
      </c>
      <c r="AB152" s="1" t="s">
        <v>79</v>
      </c>
      <c r="AC152" s="1" t="s">
        <v>72</v>
      </c>
      <c r="AF152" s="1" t="s">
        <v>51</v>
      </c>
      <c r="AG152" s="1" t="s">
        <v>72</v>
      </c>
      <c r="AI152" s="1">
        <v>0.0</v>
      </c>
      <c r="AJ152" s="1">
        <v>0.0</v>
      </c>
      <c r="AK152" s="1">
        <v>0.0</v>
      </c>
      <c r="AL152" s="1">
        <v>1.0</v>
      </c>
      <c r="AM152" s="1" t="s">
        <v>51</v>
      </c>
      <c r="AN152" s="1">
        <v>6.03754007E8</v>
      </c>
      <c r="AP152" s="1">
        <v>4.89939487E8</v>
      </c>
      <c r="AQ152" s="1" t="s">
        <v>276</v>
      </c>
      <c r="AR152" s="1">
        <v>45808.4178</v>
      </c>
      <c r="AU152" s="1" t="s">
        <v>64</v>
      </c>
      <c r="AW152" s="1" t="s">
        <v>255</v>
      </c>
      <c r="AY152" s="1">
        <v>146.0</v>
      </c>
    </row>
    <row r="153" hidden="1">
      <c r="A153" s="1" t="s">
        <v>51</v>
      </c>
      <c r="C153" s="1" t="s">
        <v>52</v>
      </c>
      <c r="E153" s="1" t="s">
        <v>53</v>
      </c>
      <c r="F153" s="1" t="s">
        <v>102</v>
      </c>
      <c r="G153" s="1">
        <v>40.0</v>
      </c>
      <c r="H153" s="1" t="s">
        <v>66</v>
      </c>
      <c r="I153" s="1" t="s">
        <v>67</v>
      </c>
      <c r="J153" s="1" t="s">
        <v>86</v>
      </c>
      <c r="K153" s="1" t="s">
        <v>74</v>
      </c>
      <c r="M153" s="1" t="s">
        <v>58</v>
      </c>
      <c r="N153" s="1" t="s">
        <v>58</v>
      </c>
      <c r="O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70</v>
      </c>
      <c r="V153" s="1" t="s">
        <v>58</v>
      </c>
      <c r="W153" s="1" t="s">
        <v>69</v>
      </c>
      <c r="X153" s="1" t="s">
        <v>59</v>
      </c>
      <c r="Y153" s="1" t="s">
        <v>82</v>
      </c>
      <c r="Z153" s="1" t="s">
        <v>89</v>
      </c>
      <c r="AA153" s="1">
        <v>50.0</v>
      </c>
      <c r="AB153" s="1" t="s">
        <v>62</v>
      </c>
      <c r="AC153" s="1" t="s">
        <v>72</v>
      </c>
      <c r="AF153" s="1" t="s">
        <v>51</v>
      </c>
      <c r="AG153" s="1" t="s">
        <v>51</v>
      </c>
      <c r="AH153" s="1">
        <v>20.0</v>
      </c>
      <c r="AI153" s="1">
        <v>0.0</v>
      </c>
      <c r="AJ153" s="1">
        <v>0.0</v>
      </c>
      <c r="AK153" s="1">
        <v>0.0</v>
      </c>
      <c r="AL153" s="1">
        <v>1.0</v>
      </c>
      <c r="AM153" s="1" t="s">
        <v>51</v>
      </c>
      <c r="AN153" s="1">
        <v>8.46416597E8</v>
      </c>
      <c r="AP153" s="1">
        <v>4.89951561E8</v>
      </c>
      <c r="AQ153" s="1" t="s">
        <v>277</v>
      </c>
      <c r="AR153" s="1">
        <v>45808.4338</v>
      </c>
      <c r="AU153" s="1" t="s">
        <v>64</v>
      </c>
      <c r="AW153" s="1" t="s">
        <v>255</v>
      </c>
      <c r="AY153" s="1">
        <v>147.0</v>
      </c>
    </row>
    <row r="154" hidden="1">
      <c r="A154" s="1" t="s">
        <v>51</v>
      </c>
      <c r="C154" s="1" t="s">
        <v>52</v>
      </c>
      <c r="E154" s="1" t="s">
        <v>53</v>
      </c>
      <c r="F154" s="1" t="s">
        <v>85</v>
      </c>
      <c r="G154" s="1">
        <v>25.0</v>
      </c>
      <c r="H154" s="1" t="s">
        <v>66</v>
      </c>
      <c r="I154" s="1" t="s">
        <v>67</v>
      </c>
      <c r="J154" s="1" t="s">
        <v>56</v>
      </c>
      <c r="K154" s="1" t="s">
        <v>92</v>
      </c>
      <c r="M154" s="1" t="s">
        <v>58</v>
      </c>
      <c r="N154" s="1" t="s">
        <v>58</v>
      </c>
      <c r="O154" s="1" t="s">
        <v>58</v>
      </c>
      <c r="Q154" s="1" t="s">
        <v>70</v>
      </c>
      <c r="R154" s="1" t="s">
        <v>58</v>
      </c>
      <c r="S154" s="1" t="s">
        <v>69</v>
      </c>
      <c r="T154" s="1" t="s">
        <v>69</v>
      </c>
      <c r="U154" s="1" t="s">
        <v>58</v>
      </c>
      <c r="V154" s="1" t="s">
        <v>69</v>
      </c>
      <c r="W154" s="1" t="s">
        <v>69</v>
      </c>
      <c r="X154" s="1" t="s">
        <v>81</v>
      </c>
      <c r="Y154" s="1" t="s">
        <v>82</v>
      </c>
      <c r="Z154" s="1" t="s">
        <v>61</v>
      </c>
      <c r="AA154" s="1">
        <v>50.0</v>
      </c>
      <c r="AB154" s="1" t="s">
        <v>28</v>
      </c>
      <c r="AC154" s="1" t="s">
        <v>71</v>
      </c>
      <c r="AF154" s="1" t="s">
        <v>51</v>
      </c>
      <c r="AG154" s="1" t="s">
        <v>72</v>
      </c>
      <c r="AI154" s="1">
        <v>0.0</v>
      </c>
      <c r="AJ154" s="1">
        <v>0.0</v>
      </c>
      <c r="AK154" s="1">
        <v>0.0</v>
      </c>
      <c r="AL154" s="1">
        <v>1.0</v>
      </c>
      <c r="AM154" s="1" t="s">
        <v>72</v>
      </c>
      <c r="AP154" s="1">
        <v>4.899521E8</v>
      </c>
      <c r="AQ154" s="1" t="s">
        <v>278</v>
      </c>
      <c r="AR154" s="1">
        <v>45808.43469</v>
      </c>
      <c r="AU154" s="1" t="s">
        <v>64</v>
      </c>
      <c r="AW154" s="1" t="s">
        <v>255</v>
      </c>
      <c r="AY154" s="1">
        <v>148.0</v>
      </c>
    </row>
    <row r="155">
      <c r="A155" s="1" t="s">
        <v>51</v>
      </c>
      <c r="C155" s="1" t="s">
        <v>151</v>
      </c>
      <c r="E155" s="1" t="s">
        <v>151</v>
      </c>
      <c r="G155" s="1">
        <v>21.0</v>
      </c>
      <c r="H155" s="1" t="s">
        <v>66</v>
      </c>
      <c r="J155" s="1" t="s">
        <v>56</v>
      </c>
      <c r="K155" s="1" t="s">
        <v>87</v>
      </c>
      <c r="M155" s="1" t="s">
        <v>58</v>
      </c>
      <c r="N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81</v>
      </c>
      <c r="Y155" s="1" t="s">
        <v>60</v>
      </c>
      <c r="Z155" s="1" t="s">
        <v>61</v>
      </c>
      <c r="AA155" s="1">
        <v>30.0</v>
      </c>
      <c r="AB155" s="1" t="s">
        <v>62</v>
      </c>
      <c r="AC155" s="1" t="s">
        <v>51</v>
      </c>
      <c r="AD155" s="1" t="s">
        <v>81</v>
      </c>
      <c r="AE155" s="1" t="s">
        <v>51</v>
      </c>
      <c r="AF155" s="1" t="s">
        <v>51</v>
      </c>
      <c r="AG155" s="1" t="s">
        <v>51</v>
      </c>
      <c r="AI155" s="1">
        <v>1.0</v>
      </c>
      <c r="AJ155" s="1">
        <v>0.0</v>
      </c>
      <c r="AK155" s="1">
        <v>0.0</v>
      </c>
      <c r="AL155" s="1">
        <v>0.0</v>
      </c>
      <c r="AP155" s="1">
        <v>4.89973054E8</v>
      </c>
      <c r="AQ155" s="1" t="s">
        <v>279</v>
      </c>
      <c r="AR155" s="1">
        <v>45808.46389</v>
      </c>
      <c r="AU155" s="1" t="s">
        <v>64</v>
      </c>
      <c r="AW155" s="1" t="s">
        <v>255</v>
      </c>
      <c r="AY155" s="1">
        <v>149.0</v>
      </c>
    </row>
    <row r="156" hidden="1">
      <c r="A156" s="1" t="s">
        <v>51</v>
      </c>
      <c r="C156" s="1" t="s">
        <v>170</v>
      </c>
      <c r="E156" s="1" t="s">
        <v>170</v>
      </c>
      <c r="G156" s="1">
        <v>42.0</v>
      </c>
      <c r="H156" s="1" t="s">
        <v>66</v>
      </c>
      <c r="J156" s="1" t="s">
        <v>68</v>
      </c>
      <c r="K156" s="1" t="s">
        <v>57</v>
      </c>
      <c r="M156" s="1" t="s">
        <v>70</v>
      </c>
      <c r="N156" s="1" t="s">
        <v>70</v>
      </c>
      <c r="O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1" t="s">
        <v>59</v>
      </c>
      <c r="Y156" s="1" t="s">
        <v>82</v>
      </c>
      <c r="Z156" s="1" t="s">
        <v>61</v>
      </c>
      <c r="AA156" s="1">
        <v>10.0</v>
      </c>
      <c r="AB156" s="1" t="s">
        <v>79</v>
      </c>
      <c r="AC156" s="1" t="s">
        <v>51</v>
      </c>
      <c r="AD156" s="1" t="s">
        <v>59</v>
      </c>
      <c r="AE156" s="1" t="s">
        <v>72</v>
      </c>
      <c r="AF156" s="1" t="s">
        <v>51</v>
      </c>
      <c r="AG156" s="1" t="s">
        <v>51</v>
      </c>
      <c r="AI156" s="1">
        <v>0.0</v>
      </c>
      <c r="AJ156" s="1">
        <v>0.0</v>
      </c>
      <c r="AK156" s="1">
        <v>1.0</v>
      </c>
      <c r="AL156" s="1">
        <v>0.0</v>
      </c>
      <c r="AP156" s="1">
        <v>4.8998635E8</v>
      </c>
      <c r="AQ156" s="1" t="s">
        <v>280</v>
      </c>
      <c r="AR156" s="1">
        <v>45808.48172</v>
      </c>
      <c r="AU156" s="1" t="s">
        <v>64</v>
      </c>
      <c r="AW156" s="1" t="s">
        <v>255</v>
      </c>
      <c r="AY156" s="1">
        <v>150.0</v>
      </c>
    </row>
    <row r="157">
      <c r="A157" s="1" t="s">
        <v>51</v>
      </c>
      <c r="C157" s="1" t="s">
        <v>151</v>
      </c>
      <c r="E157" s="1" t="s">
        <v>151</v>
      </c>
      <c r="G157" s="1">
        <v>30.0</v>
      </c>
      <c r="H157" s="1" t="s">
        <v>55</v>
      </c>
      <c r="J157" s="1" t="s">
        <v>86</v>
      </c>
      <c r="K157" s="1" t="s">
        <v>74</v>
      </c>
      <c r="M157" s="1" t="s">
        <v>58</v>
      </c>
      <c r="N157" s="1" t="s">
        <v>58</v>
      </c>
      <c r="O157" s="1" t="s">
        <v>69</v>
      </c>
      <c r="Q157" s="1" t="s">
        <v>58</v>
      </c>
      <c r="R157" s="1" t="s">
        <v>69</v>
      </c>
      <c r="S157" s="1" t="s">
        <v>69</v>
      </c>
      <c r="T157" s="1" t="s">
        <v>58</v>
      </c>
      <c r="U157" s="1" t="s">
        <v>58</v>
      </c>
      <c r="V157" s="1" t="s">
        <v>58</v>
      </c>
      <c r="W157" s="1" t="s">
        <v>69</v>
      </c>
      <c r="X157" s="1" t="s">
        <v>81</v>
      </c>
      <c r="Y157" s="1" t="s">
        <v>227</v>
      </c>
      <c r="Z157" s="1" t="s">
        <v>61</v>
      </c>
      <c r="AA157" s="1">
        <v>50.0</v>
      </c>
      <c r="AB157" s="1" t="s">
        <v>79</v>
      </c>
      <c r="AC157" s="1" t="s">
        <v>51</v>
      </c>
      <c r="AD157" s="1" t="s">
        <v>81</v>
      </c>
      <c r="AE157" s="1" t="s">
        <v>51</v>
      </c>
      <c r="AF157" s="1" t="s">
        <v>51</v>
      </c>
      <c r="AG157" s="1" t="s">
        <v>51</v>
      </c>
      <c r="AH157" s="1">
        <v>300.0</v>
      </c>
      <c r="AI157" s="1">
        <v>1.0</v>
      </c>
      <c r="AJ157" s="1">
        <v>0.0</v>
      </c>
      <c r="AK157" s="1">
        <v>0.0</v>
      </c>
      <c r="AL157" s="1">
        <v>0.0</v>
      </c>
      <c r="AP157" s="1">
        <v>4.89995757E8</v>
      </c>
      <c r="AQ157" s="1" t="s">
        <v>281</v>
      </c>
      <c r="AR157" s="1">
        <v>45808.49559</v>
      </c>
      <c r="AU157" s="1" t="s">
        <v>64</v>
      </c>
      <c r="AW157" s="1" t="s">
        <v>191</v>
      </c>
      <c r="AY157" s="1">
        <v>151.0</v>
      </c>
    </row>
    <row r="158" hidden="1">
      <c r="A158" s="1" t="s">
        <v>51</v>
      </c>
      <c r="C158" s="1" t="s">
        <v>53</v>
      </c>
      <c r="E158" s="1" t="s">
        <v>131</v>
      </c>
      <c r="G158" s="1">
        <v>27.0</v>
      </c>
      <c r="H158" s="1" t="s">
        <v>55</v>
      </c>
      <c r="J158" s="1" t="s">
        <v>86</v>
      </c>
      <c r="K158" s="1" t="s">
        <v>57</v>
      </c>
      <c r="M158" s="1" t="s">
        <v>58</v>
      </c>
      <c r="N158" s="1" t="s">
        <v>58</v>
      </c>
      <c r="O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81</v>
      </c>
      <c r="Y158" s="1" t="s">
        <v>60</v>
      </c>
      <c r="Z158" s="1" t="s">
        <v>89</v>
      </c>
      <c r="AA158" s="1">
        <v>20.0</v>
      </c>
      <c r="AB158" s="1" t="s">
        <v>62</v>
      </c>
      <c r="AC158" s="1" t="s">
        <v>51</v>
      </c>
      <c r="AD158" s="1" t="s">
        <v>81</v>
      </c>
      <c r="AE158" s="1" t="s">
        <v>51</v>
      </c>
      <c r="AF158" s="1" t="s">
        <v>51</v>
      </c>
      <c r="AG158" s="1" t="s">
        <v>51</v>
      </c>
      <c r="AH158" s="1">
        <v>50.0</v>
      </c>
      <c r="AI158" s="1">
        <v>0.0</v>
      </c>
      <c r="AJ158" s="1">
        <v>1.0</v>
      </c>
      <c r="AK158" s="1">
        <v>0.0</v>
      </c>
      <c r="AL158" s="1">
        <v>0.0</v>
      </c>
      <c r="AP158" s="1">
        <v>4.89995822E8</v>
      </c>
      <c r="AQ158" s="1" t="s">
        <v>282</v>
      </c>
      <c r="AR158" s="1">
        <v>45808.49568</v>
      </c>
      <c r="AU158" s="1" t="s">
        <v>64</v>
      </c>
      <c r="AW158" s="1" t="s">
        <v>255</v>
      </c>
      <c r="AY158" s="1">
        <v>152.0</v>
      </c>
    </row>
    <row r="159" hidden="1">
      <c r="A159" s="1" t="s">
        <v>51</v>
      </c>
      <c r="C159" s="1" t="s">
        <v>53</v>
      </c>
      <c r="E159" s="1" t="s">
        <v>131</v>
      </c>
      <c r="G159" s="1">
        <v>27.0</v>
      </c>
      <c r="H159" s="1" t="s">
        <v>55</v>
      </c>
      <c r="J159" s="1" t="s">
        <v>86</v>
      </c>
      <c r="K159" s="1" t="s">
        <v>57</v>
      </c>
      <c r="M159" s="1" t="s">
        <v>58</v>
      </c>
      <c r="N159" s="1" t="s">
        <v>58</v>
      </c>
      <c r="O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81</v>
      </c>
      <c r="Y159" s="1" t="s">
        <v>60</v>
      </c>
      <c r="Z159" s="1" t="s">
        <v>89</v>
      </c>
      <c r="AA159" s="1">
        <v>30.0</v>
      </c>
      <c r="AB159" s="1" t="s">
        <v>62</v>
      </c>
      <c r="AC159" s="1" t="s">
        <v>51</v>
      </c>
      <c r="AF159" s="1" t="s">
        <v>51</v>
      </c>
      <c r="AG159" s="1" t="s">
        <v>51</v>
      </c>
      <c r="AI159" s="1">
        <v>0.0</v>
      </c>
      <c r="AJ159" s="1">
        <v>1.0</v>
      </c>
      <c r="AK159" s="1">
        <v>0.0</v>
      </c>
      <c r="AL159" s="1">
        <v>0.0</v>
      </c>
      <c r="AP159" s="1">
        <v>4.89999395E8</v>
      </c>
      <c r="AQ159" s="1" t="s">
        <v>283</v>
      </c>
      <c r="AR159" s="1">
        <v>45808.50059</v>
      </c>
      <c r="AU159" s="1" t="s">
        <v>64</v>
      </c>
      <c r="AW159" s="1" t="s">
        <v>255</v>
      </c>
      <c r="AY159" s="1">
        <v>153.0</v>
      </c>
    </row>
    <row r="160" hidden="1">
      <c r="A160" s="1" t="s">
        <v>51</v>
      </c>
      <c r="C160" s="1" t="s">
        <v>53</v>
      </c>
      <c r="E160" s="1" t="s">
        <v>131</v>
      </c>
      <c r="G160" s="1">
        <v>28.0</v>
      </c>
      <c r="H160" s="1" t="s">
        <v>66</v>
      </c>
      <c r="J160" s="1" t="s">
        <v>86</v>
      </c>
      <c r="K160" s="1" t="s">
        <v>57</v>
      </c>
      <c r="M160" s="1" t="s">
        <v>58</v>
      </c>
      <c r="N160" s="1" t="s">
        <v>58</v>
      </c>
      <c r="O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X160" s="1" t="s">
        <v>81</v>
      </c>
      <c r="Y160" s="1" t="s">
        <v>82</v>
      </c>
      <c r="Z160" s="1" t="s">
        <v>89</v>
      </c>
      <c r="AA160" s="1">
        <v>40.0</v>
      </c>
      <c r="AB160" s="1" t="s">
        <v>79</v>
      </c>
      <c r="AC160" s="1" t="s">
        <v>51</v>
      </c>
      <c r="AD160" s="1" t="s">
        <v>81</v>
      </c>
      <c r="AE160" s="1" t="s">
        <v>51</v>
      </c>
      <c r="AF160" s="1" t="s">
        <v>51</v>
      </c>
      <c r="AG160" s="1" t="s">
        <v>51</v>
      </c>
      <c r="AH160" s="1">
        <v>50.0</v>
      </c>
      <c r="AI160" s="1">
        <v>0.0</v>
      </c>
      <c r="AJ160" s="1">
        <v>1.0</v>
      </c>
      <c r="AK160" s="1">
        <v>0.0</v>
      </c>
      <c r="AL160" s="1">
        <v>0.0</v>
      </c>
      <c r="AP160" s="1">
        <v>4.90001163E8</v>
      </c>
      <c r="AQ160" s="1" t="s">
        <v>284</v>
      </c>
      <c r="AR160" s="1">
        <v>45808.50235</v>
      </c>
      <c r="AU160" s="1" t="s">
        <v>64</v>
      </c>
      <c r="AW160" s="1" t="s">
        <v>255</v>
      </c>
      <c r="AY160" s="1">
        <v>154.0</v>
      </c>
    </row>
    <row r="161" hidden="1">
      <c r="A161" s="1" t="s">
        <v>51</v>
      </c>
      <c r="C161" s="1" t="s">
        <v>131</v>
      </c>
      <c r="E161" s="1" t="s">
        <v>53</v>
      </c>
      <c r="F161" s="1" t="s">
        <v>85</v>
      </c>
      <c r="G161" s="1">
        <v>28.0</v>
      </c>
      <c r="H161" s="1" t="s">
        <v>66</v>
      </c>
      <c r="I161" s="1" t="s">
        <v>100</v>
      </c>
      <c r="J161" s="1" t="s">
        <v>86</v>
      </c>
      <c r="K161" s="1" t="s">
        <v>57</v>
      </c>
      <c r="M161" s="1" t="s">
        <v>58</v>
      </c>
      <c r="N161" s="1" t="s">
        <v>58</v>
      </c>
      <c r="O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81</v>
      </c>
      <c r="Y161" s="1" t="s">
        <v>60</v>
      </c>
      <c r="Z161" s="1" t="s">
        <v>89</v>
      </c>
      <c r="AA161" s="1">
        <v>30.0</v>
      </c>
      <c r="AB161" s="1" t="s">
        <v>62</v>
      </c>
      <c r="AC161" s="1" t="s">
        <v>51</v>
      </c>
      <c r="AF161" s="1" t="s">
        <v>51</v>
      </c>
      <c r="AG161" s="1" t="s">
        <v>51</v>
      </c>
      <c r="AI161" s="1">
        <v>0.0</v>
      </c>
      <c r="AJ161" s="1">
        <v>1.0</v>
      </c>
      <c r="AK161" s="1">
        <v>0.0</v>
      </c>
      <c r="AL161" s="1">
        <v>0.0</v>
      </c>
      <c r="AM161" s="1" t="s">
        <v>51</v>
      </c>
      <c r="AN161" s="1">
        <v>7.3408723E8</v>
      </c>
      <c r="AP161" s="1">
        <v>4.90002951E8</v>
      </c>
      <c r="AQ161" s="1" t="s">
        <v>285</v>
      </c>
      <c r="AR161" s="1">
        <v>45808.50499</v>
      </c>
      <c r="AU161" s="1" t="s">
        <v>64</v>
      </c>
      <c r="AW161" s="1" t="s">
        <v>255</v>
      </c>
      <c r="AY161" s="1">
        <v>155.0</v>
      </c>
    </row>
    <row r="162" hidden="1">
      <c r="A162" s="1" t="s">
        <v>51</v>
      </c>
      <c r="C162" s="1" t="s">
        <v>286</v>
      </c>
      <c r="E162" s="1" t="s">
        <v>53</v>
      </c>
      <c r="F162" s="1" t="s">
        <v>102</v>
      </c>
      <c r="G162" s="1">
        <v>35.0</v>
      </c>
      <c r="H162" s="1" t="s">
        <v>66</v>
      </c>
      <c r="I162" s="1" t="s">
        <v>76</v>
      </c>
      <c r="J162" s="1" t="s">
        <v>68</v>
      </c>
      <c r="K162" s="1" t="s">
        <v>78</v>
      </c>
      <c r="M162" s="1" t="s">
        <v>58</v>
      </c>
      <c r="N162" s="1" t="s">
        <v>70</v>
      </c>
      <c r="O162" s="1" t="s">
        <v>69</v>
      </c>
      <c r="Q162" s="1" t="s">
        <v>58</v>
      </c>
      <c r="R162" s="1" t="s">
        <v>58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81</v>
      </c>
      <c r="Y162" s="1" t="s">
        <v>172</v>
      </c>
      <c r="Z162" s="1" t="s">
        <v>89</v>
      </c>
      <c r="AA162" s="1">
        <v>10.0</v>
      </c>
      <c r="AB162" s="1" t="s">
        <v>28</v>
      </c>
      <c r="AC162" s="1" t="s">
        <v>71</v>
      </c>
      <c r="AF162" s="1" t="s">
        <v>51</v>
      </c>
      <c r="AG162" s="1" t="s">
        <v>51</v>
      </c>
      <c r="AH162" s="1">
        <v>20.0</v>
      </c>
      <c r="AI162" s="1">
        <v>0.0</v>
      </c>
      <c r="AJ162" s="1">
        <v>0.0</v>
      </c>
      <c r="AK162" s="1">
        <v>0.0</v>
      </c>
      <c r="AL162" s="1">
        <v>1.0</v>
      </c>
      <c r="AM162" s="1" t="s">
        <v>72</v>
      </c>
      <c r="AP162" s="1">
        <v>4.90003314E8</v>
      </c>
      <c r="AQ162" s="1" t="s">
        <v>287</v>
      </c>
      <c r="AR162" s="1">
        <v>45808.50549</v>
      </c>
      <c r="AU162" s="1" t="s">
        <v>64</v>
      </c>
      <c r="AW162" s="1" t="s">
        <v>255</v>
      </c>
      <c r="AY162" s="1">
        <v>156.0</v>
      </c>
    </row>
    <row r="163" hidden="1">
      <c r="A163" s="1" t="s">
        <v>51</v>
      </c>
      <c r="C163" s="1" t="s">
        <v>53</v>
      </c>
      <c r="E163" s="1" t="s">
        <v>131</v>
      </c>
      <c r="G163" s="1">
        <v>29.0</v>
      </c>
      <c r="H163" s="1" t="s">
        <v>55</v>
      </c>
      <c r="J163" s="1" t="s">
        <v>86</v>
      </c>
      <c r="K163" s="1" t="s">
        <v>78</v>
      </c>
      <c r="M163" s="1" t="s">
        <v>58</v>
      </c>
      <c r="N163" s="1" t="s">
        <v>58</v>
      </c>
      <c r="O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81</v>
      </c>
      <c r="Y163" s="1" t="s">
        <v>60</v>
      </c>
      <c r="Z163" s="1" t="s">
        <v>89</v>
      </c>
      <c r="AA163" s="1">
        <v>50.0</v>
      </c>
      <c r="AB163" s="1" t="s">
        <v>79</v>
      </c>
      <c r="AC163" s="1" t="s">
        <v>51</v>
      </c>
      <c r="AD163" s="1" t="s">
        <v>81</v>
      </c>
      <c r="AE163" s="1" t="s">
        <v>51</v>
      </c>
      <c r="AF163" s="1" t="s">
        <v>51</v>
      </c>
      <c r="AG163" s="1" t="s">
        <v>51</v>
      </c>
      <c r="AI163" s="1">
        <v>0.0</v>
      </c>
      <c r="AJ163" s="1">
        <v>1.0</v>
      </c>
      <c r="AK163" s="1">
        <v>0.0</v>
      </c>
      <c r="AL163" s="1">
        <v>0.0</v>
      </c>
      <c r="AP163" s="1">
        <v>4.90004742E8</v>
      </c>
      <c r="AQ163" s="1" t="s">
        <v>288</v>
      </c>
      <c r="AR163" s="1">
        <v>45808.50743</v>
      </c>
      <c r="AU163" s="1" t="s">
        <v>64</v>
      </c>
      <c r="AW163" s="1" t="s">
        <v>255</v>
      </c>
      <c r="AY163" s="1">
        <v>157.0</v>
      </c>
    </row>
    <row r="164" hidden="1">
      <c r="A164" s="1" t="s">
        <v>51</v>
      </c>
      <c r="C164" s="1" t="s">
        <v>131</v>
      </c>
      <c r="E164" s="1" t="s">
        <v>53</v>
      </c>
      <c r="F164" s="1" t="s">
        <v>85</v>
      </c>
      <c r="G164" s="1">
        <v>28.0</v>
      </c>
      <c r="H164" s="1" t="s">
        <v>66</v>
      </c>
      <c r="I164" s="1" t="s">
        <v>100</v>
      </c>
      <c r="J164" s="1" t="s">
        <v>86</v>
      </c>
      <c r="K164" s="1" t="s">
        <v>74</v>
      </c>
      <c r="M164" s="1" t="s">
        <v>58</v>
      </c>
      <c r="N164" s="1" t="s">
        <v>58</v>
      </c>
      <c r="O164" s="1" t="s">
        <v>58</v>
      </c>
      <c r="Q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81</v>
      </c>
      <c r="Y164" s="1" t="s">
        <v>82</v>
      </c>
      <c r="Z164" s="1" t="s">
        <v>127</v>
      </c>
      <c r="AA164" s="1">
        <v>10.0</v>
      </c>
      <c r="AB164" s="1" t="s">
        <v>79</v>
      </c>
      <c r="AC164" s="1" t="s">
        <v>51</v>
      </c>
      <c r="AF164" s="1" t="s">
        <v>51</v>
      </c>
      <c r="AG164" s="1" t="s">
        <v>51</v>
      </c>
      <c r="AI164" s="1">
        <v>1.0</v>
      </c>
      <c r="AJ164" s="1">
        <v>0.0</v>
      </c>
      <c r="AK164" s="1">
        <v>0.0</v>
      </c>
      <c r="AL164" s="1">
        <v>0.0</v>
      </c>
      <c r="AM164" s="1" t="s">
        <v>51</v>
      </c>
      <c r="AN164" s="1">
        <v>6.40004045E8</v>
      </c>
      <c r="AP164" s="1">
        <v>4.90013637E8</v>
      </c>
      <c r="AQ164" s="1" t="s">
        <v>289</v>
      </c>
      <c r="AR164" s="1">
        <v>45808.51943</v>
      </c>
      <c r="AU164" s="1" t="s">
        <v>64</v>
      </c>
      <c r="AW164" s="1" t="s">
        <v>255</v>
      </c>
      <c r="AY164" s="1">
        <v>158.0</v>
      </c>
    </row>
    <row r="165" hidden="1">
      <c r="A165" s="1" t="s">
        <v>51</v>
      </c>
      <c r="C165" s="1" t="s">
        <v>131</v>
      </c>
      <c r="E165" s="1" t="s">
        <v>53</v>
      </c>
      <c r="F165" s="1" t="s">
        <v>85</v>
      </c>
      <c r="G165" s="1">
        <v>22.0</v>
      </c>
      <c r="H165" s="1" t="s">
        <v>55</v>
      </c>
      <c r="I165" s="1" t="s">
        <v>100</v>
      </c>
      <c r="J165" s="1" t="s">
        <v>86</v>
      </c>
      <c r="K165" s="1" t="s">
        <v>57</v>
      </c>
      <c r="M165" s="1" t="s">
        <v>58</v>
      </c>
      <c r="N165" s="1" t="s">
        <v>58</v>
      </c>
      <c r="O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81</v>
      </c>
      <c r="Y165" s="1" t="s">
        <v>82</v>
      </c>
      <c r="Z165" s="1" t="s">
        <v>127</v>
      </c>
      <c r="AA165" s="1">
        <v>30.0</v>
      </c>
      <c r="AB165" s="1" t="s">
        <v>79</v>
      </c>
      <c r="AC165" s="1" t="s">
        <v>51</v>
      </c>
      <c r="AD165" s="1" t="s">
        <v>81</v>
      </c>
      <c r="AE165" s="1" t="s">
        <v>51</v>
      </c>
      <c r="AF165" s="1" t="s">
        <v>51</v>
      </c>
      <c r="AG165" s="1" t="s">
        <v>51</v>
      </c>
      <c r="AH165" s="1">
        <v>50.0</v>
      </c>
      <c r="AI165" s="1">
        <v>0.0</v>
      </c>
      <c r="AJ165" s="1">
        <v>1.0</v>
      </c>
      <c r="AK165" s="1">
        <v>0.0</v>
      </c>
      <c r="AL165" s="1">
        <v>0.0</v>
      </c>
      <c r="AM165" s="1" t="s">
        <v>51</v>
      </c>
      <c r="AN165" s="1">
        <v>6.73748437E8</v>
      </c>
      <c r="AP165" s="1">
        <v>4.90015156E8</v>
      </c>
      <c r="AQ165" s="1" t="s">
        <v>290</v>
      </c>
      <c r="AR165" s="1">
        <v>45808.52166</v>
      </c>
      <c r="AU165" s="1" t="s">
        <v>64</v>
      </c>
      <c r="AW165" s="1" t="s">
        <v>255</v>
      </c>
      <c r="AY165" s="1">
        <v>159.0</v>
      </c>
    </row>
    <row r="166" hidden="1">
      <c r="A166" s="1" t="s">
        <v>51</v>
      </c>
      <c r="C166" s="1" t="s">
        <v>131</v>
      </c>
      <c r="E166" s="1" t="s">
        <v>53</v>
      </c>
      <c r="F166" s="1" t="s">
        <v>291</v>
      </c>
      <c r="G166" s="1">
        <v>24.0</v>
      </c>
      <c r="H166" s="1" t="s">
        <v>55</v>
      </c>
      <c r="I166" s="1" t="s">
        <v>100</v>
      </c>
      <c r="J166" s="1" t="s">
        <v>86</v>
      </c>
      <c r="K166" s="1" t="s">
        <v>57</v>
      </c>
      <c r="M166" s="1" t="s">
        <v>58</v>
      </c>
      <c r="N166" s="1" t="s">
        <v>58</v>
      </c>
      <c r="O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 t="s">
        <v>58</v>
      </c>
      <c r="X166" s="1" t="s">
        <v>81</v>
      </c>
      <c r="Y166" s="1" t="s">
        <v>60</v>
      </c>
      <c r="Z166" s="1" t="s">
        <v>108</v>
      </c>
      <c r="AA166" s="1">
        <v>20.0</v>
      </c>
      <c r="AB166" s="1" t="s">
        <v>62</v>
      </c>
      <c r="AC166" s="1" t="s">
        <v>51</v>
      </c>
      <c r="AD166" s="1" t="s">
        <v>81</v>
      </c>
      <c r="AE166" s="1" t="s">
        <v>51</v>
      </c>
      <c r="AF166" s="1" t="s">
        <v>51</v>
      </c>
      <c r="AG166" s="1" t="s">
        <v>51</v>
      </c>
      <c r="AH166" s="1">
        <v>2.0</v>
      </c>
      <c r="AI166" s="1">
        <v>0.0</v>
      </c>
      <c r="AJ166" s="1">
        <v>1.0</v>
      </c>
      <c r="AK166" s="1">
        <v>0.0</v>
      </c>
      <c r="AL166" s="1">
        <v>0.0</v>
      </c>
      <c r="AM166" s="1" t="s">
        <v>51</v>
      </c>
      <c r="AN166" s="1">
        <v>6.92541294E8</v>
      </c>
      <c r="AP166" s="1">
        <v>4.90021647E8</v>
      </c>
      <c r="AQ166" s="1" t="s">
        <v>292</v>
      </c>
      <c r="AR166" s="1">
        <v>45808.52943</v>
      </c>
      <c r="AU166" s="1" t="s">
        <v>64</v>
      </c>
      <c r="AW166" s="1" t="s">
        <v>255</v>
      </c>
      <c r="AY166" s="1">
        <v>160.0</v>
      </c>
    </row>
    <row r="167" hidden="1">
      <c r="A167" s="1" t="s">
        <v>51</v>
      </c>
      <c r="C167" s="1" t="s">
        <v>131</v>
      </c>
      <c r="E167" s="1" t="s">
        <v>53</v>
      </c>
      <c r="F167" s="1" t="s">
        <v>291</v>
      </c>
      <c r="G167" s="1">
        <v>23.0</v>
      </c>
      <c r="H167" s="1" t="s">
        <v>66</v>
      </c>
      <c r="I167" s="1" t="s">
        <v>100</v>
      </c>
      <c r="J167" s="1" t="s">
        <v>86</v>
      </c>
      <c r="K167" s="1" t="s">
        <v>57</v>
      </c>
      <c r="M167" s="1" t="s">
        <v>58</v>
      </c>
      <c r="N167" s="1" t="s">
        <v>58</v>
      </c>
      <c r="O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59</v>
      </c>
      <c r="Y167" s="1" t="s">
        <v>60</v>
      </c>
      <c r="Z167" s="1" t="s">
        <v>108</v>
      </c>
      <c r="AA167" s="1">
        <v>20.0</v>
      </c>
      <c r="AB167" s="1" t="s">
        <v>79</v>
      </c>
      <c r="AC167" s="1" t="s">
        <v>51</v>
      </c>
      <c r="AD167" s="1" t="s">
        <v>59</v>
      </c>
      <c r="AE167" s="1" t="s">
        <v>51</v>
      </c>
      <c r="AF167" s="1" t="s">
        <v>51</v>
      </c>
      <c r="AG167" s="1" t="s">
        <v>51</v>
      </c>
      <c r="AH167" s="1">
        <v>3.0</v>
      </c>
      <c r="AI167" s="1">
        <v>0.0</v>
      </c>
      <c r="AJ167" s="1">
        <v>1.0</v>
      </c>
      <c r="AK167" s="1">
        <v>0.0</v>
      </c>
      <c r="AL167" s="1">
        <v>0.0</v>
      </c>
      <c r="AM167" s="1" t="s">
        <v>51</v>
      </c>
      <c r="AN167" s="1">
        <v>7.32109955E8</v>
      </c>
      <c r="AP167" s="1">
        <v>4.90023205E8</v>
      </c>
      <c r="AQ167" s="1" t="s">
        <v>293</v>
      </c>
      <c r="AR167" s="1">
        <v>45808.53133</v>
      </c>
      <c r="AU167" s="1" t="s">
        <v>64</v>
      </c>
      <c r="AW167" s="1" t="s">
        <v>255</v>
      </c>
      <c r="AY167" s="1">
        <v>161.0</v>
      </c>
    </row>
    <row r="168" hidden="1">
      <c r="A168" s="1" t="s">
        <v>51</v>
      </c>
      <c r="C168" s="1" t="s">
        <v>131</v>
      </c>
      <c r="E168" s="1" t="s">
        <v>53</v>
      </c>
      <c r="F168" s="1" t="s">
        <v>291</v>
      </c>
      <c r="G168" s="1">
        <v>20.0</v>
      </c>
      <c r="H168" s="1" t="s">
        <v>66</v>
      </c>
      <c r="I168" s="1" t="s">
        <v>76</v>
      </c>
      <c r="J168" s="1" t="s">
        <v>86</v>
      </c>
      <c r="K168" s="1" t="s">
        <v>78</v>
      </c>
      <c r="M168" s="1" t="s">
        <v>58</v>
      </c>
      <c r="N168" s="1" t="s">
        <v>58</v>
      </c>
      <c r="O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88</v>
      </c>
      <c r="Y168" s="1" t="s">
        <v>82</v>
      </c>
      <c r="Z168" s="1" t="s">
        <v>89</v>
      </c>
      <c r="AA168" s="1">
        <v>30.0</v>
      </c>
      <c r="AB168" s="1" t="s">
        <v>62</v>
      </c>
      <c r="AC168" s="1" t="s">
        <v>51</v>
      </c>
      <c r="AD168" s="1" t="s">
        <v>88</v>
      </c>
      <c r="AE168" s="1" t="s">
        <v>51</v>
      </c>
      <c r="AF168" s="1" t="s">
        <v>51</v>
      </c>
      <c r="AG168" s="1" t="s">
        <v>51</v>
      </c>
      <c r="AH168" s="1">
        <v>2.0</v>
      </c>
      <c r="AI168" s="1">
        <v>0.0</v>
      </c>
      <c r="AJ168" s="1">
        <v>1.0</v>
      </c>
      <c r="AK168" s="1">
        <v>0.0</v>
      </c>
      <c r="AL168" s="1">
        <v>0.0</v>
      </c>
      <c r="AM168" s="1" t="s">
        <v>51</v>
      </c>
      <c r="AN168" s="1">
        <v>7.3293382E7</v>
      </c>
      <c r="AP168" s="1">
        <v>4.90024645E8</v>
      </c>
      <c r="AQ168" s="1" t="s">
        <v>294</v>
      </c>
      <c r="AR168" s="1">
        <v>45808.53369</v>
      </c>
      <c r="AU168" s="1" t="s">
        <v>64</v>
      </c>
      <c r="AW168" s="1" t="s">
        <v>255</v>
      </c>
      <c r="AY168" s="1">
        <v>162.0</v>
      </c>
    </row>
    <row r="169" hidden="1">
      <c r="A169" s="1" t="s">
        <v>51</v>
      </c>
      <c r="C169" s="1" t="s">
        <v>131</v>
      </c>
      <c r="E169" s="1" t="s">
        <v>53</v>
      </c>
      <c r="F169" s="1" t="s">
        <v>291</v>
      </c>
      <c r="G169" s="1">
        <v>21.0</v>
      </c>
      <c r="H169" s="1" t="s">
        <v>55</v>
      </c>
      <c r="I169" s="1" t="s">
        <v>67</v>
      </c>
      <c r="J169" s="1" t="s">
        <v>86</v>
      </c>
      <c r="K169" s="1" t="s">
        <v>74</v>
      </c>
      <c r="M169" s="1" t="s">
        <v>58</v>
      </c>
      <c r="N169" s="1" t="s">
        <v>58</v>
      </c>
      <c r="O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59</v>
      </c>
      <c r="Y169" s="1" t="s">
        <v>82</v>
      </c>
      <c r="Z169" s="1" t="s">
        <v>108</v>
      </c>
      <c r="AA169" s="1">
        <v>30.0</v>
      </c>
      <c r="AB169" s="1" t="s">
        <v>62</v>
      </c>
      <c r="AC169" s="1" t="s">
        <v>51</v>
      </c>
      <c r="AD169" s="1" t="s">
        <v>59</v>
      </c>
      <c r="AE169" s="1" t="s">
        <v>51</v>
      </c>
      <c r="AF169" s="1" t="s">
        <v>51</v>
      </c>
      <c r="AG169" s="1" t="s">
        <v>51</v>
      </c>
      <c r="AH169" s="1">
        <v>3.0</v>
      </c>
      <c r="AI169" s="1">
        <v>0.0</v>
      </c>
      <c r="AJ169" s="1">
        <v>1.0</v>
      </c>
      <c r="AK169" s="1">
        <v>0.0</v>
      </c>
      <c r="AL169" s="1">
        <v>0.0</v>
      </c>
      <c r="AM169" s="1" t="s">
        <v>51</v>
      </c>
      <c r="AN169" s="1">
        <v>8.37472508E8</v>
      </c>
      <c r="AP169" s="1">
        <v>4.90025968E8</v>
      </c>
      <c r="AQ169" s="1" t="s">
        <v>295</v>
      </c>
      <c r="AR169" s="1">
        <v>45808.53591</v>
      </c>
      <c r="AU169" s="1" t="s">
        <v>64</v>
      </c>
      <c r="AW169" s="1" t="s">
        <v>255</v>
      </c>
      <c r="AY169" s="1">
        <v>163.0</v>
      </c>
    </row>
    <row r="170" hidden="1">
      <c r="A170" s="1" t="s">
        <v>51</v>
      </c>
      <c r="C170" s="1" t="s">
        <v>131</v>
      </c>
      <c r="E170" s="1" t="s">
        <v>53</v>
      </c>
      <c r="F170" s="1" t="s">
        <v>291</v>
      </c>
      <c r="G170" s="1">
        <v>21.0</v>
      </c>
      <c r="H170" s="1" t="s">
        <v>55</v>
      </c>
      <c r="I170" s="1" t="s">
        <v>67</v>
      </c>
      <c r="J170" s="1" t="s">
        <v>86</v>
      </c>
      <c r="K170" s="1" t="s">
        <v>74</v>
      </c>
      <c r="M170" s="1" t="s">
        <v>58</v>
      </c>
      <c r="N170" s="1" t="s">
        <v>58</v>
      </c>
      <c r="O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59</v>
      </c>
      <c r="Y170" s="1" t="s">
        <v>82</v>
      </c>
      <c r="Z170" s="1" t="s">
        <v>108</v>
      </c>
      <c r="AA170" s="1">
        <v>40.0</v>
      </c>
      <c r="AB170" s="1" t="s">
        <v>62</v>
      </c>
      <c r="AC170" s="1" t="s">
        <v>51</v>
      </c>
      <c r="AD170" s="1" t="s">
        <v>59</v>
      </c>
      <c r="AE170" s="1" t="s">
        <v>51</v>
      </c>
      <c r="AF170" s="1" t="s">
        <v>51</v>
      </c>
      <c r="AG170" s="1" t="s">
        <v>51</v>
      </c>
      <c r="AH170" s="1">
        <v>2.0</v>
      </c>
      <c r="AI170" s="1">
        <v>1.0</v>
      </c>
      <c r="AJ170" s="1">
        <v>0.0</v>
      </c>
      <c r="AK170" s="1">
        <v>0.0</v>
      </c>
      <c r="AL170" s="1">
        <v>0.0</v>
      </c>
      <c r="AM170" s="1" t="s">
        <v>51</v>
      </c>
      <c r="AN170" s="1">
        <v>6.04141344E8</v>
      </c>
      <c r="AP170" s="1">
        <v>4.90028048E8</v>
      </c>
      <c r="AQ170" s="1" t="s">
        <v>296</v>
      </c>
      <c r="AR170" s="1">
        <v>45808.53859</v>
      </c>
      <c r="AU170" s="1" t="s">
        <v>64</v>
      </c>
      <c r="AW170" s="1" t="s">
        <v>255</v>
      </c>
      <c r="AY170" s="1">
        <v>164.0</v>
      </c>
    </row>
    <row r="171" hidden="1">
      <c r="A171" s="1" t="s">
        <v>51</v>
      </c>
      <c r="C171" s="1" t="s">
        <v>131</v>
      </c>
      <c r="E171" s="1" t="s">
        <v>53</v>
      </c>
      <c r="F171" s="1" t="s">
        <v>85</v>
      </c>
      <c r="G171" s="1">
        <v>22.0</v>
      </c>
      <c r="H171" s="1" t="s">
        <v>55</v>
      </c>
      <c r="I171" s="1" t="s">
        <v>76</v>
      </c>
      <c r="J171" s="1" t="s">
        <v>111</v>
      </c>
      <c r="K171" s="1" t="s">
        <v>57</v>
      </c>
      <c r="M171" s="1" t="s">
        <v>58</v>
      </c>
      <c r="N171" s="1" t="s">
        <v>58</v>
      </c>
      <c r="O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59</v>
      </c>
      <c r="Y171" s="1" t="s">
        <v>82</v>
      </c>
      <c r="Z171" s="1" t="s">
        <v>108</v>
      </c>
      <c r="AA171" s="1">
        <v>20.0</v>
      </c>
      <c r="AB171" s="1" t="s">
        <v>62</v>
      </c>
      <c r="AC171" s="1" t="s">
        <v>51</v>
      </c>
      <c r="AD171" s="1" t="s">
        <v>59</v>
      </c>
      <c r="AE171" s="1" t="s">
        <v>51</v>
      </c>
      <c r="AF171" s="1" t="s">
        <v>51</v>
      </c>
      <c r="AG171" s="1" t="s">
        <v>51</v>
      </c>
      <c r="AH171" s="1">
        <v>2.0</v>
      </c>
      <c r="AI171" s="1">
        <v>0.0</v>
      </c>
      <c r="AJ171" s="1">
        <v>1.0</v>
      </c>
      <c r="AK171" s="1">
        <v>0.0</v>
      </c>
      <c r="AL171" s="1">
        <v>0.0</v>
      </c>
      <c r="AM171" s="1" t="s">
        <v>51</v>
      </c>
      <c r="AN171" s="1">
        <v>7.86258839E8</v>
      </c>
      <c r="AP171" s="1">
        <v>4.90029902E8</v>
      </c>
      <c r="AQ171" s="1" t="s">
        <v>297</v>
      </c>
      <c r="AR171" s="1">
        <v>45808.54122</v>
      </c>
      <c r="AU171" s="1" t="s">
        <v>64</v>
      </c>
      <c r="AW171" s="1" t="s">
        <v>255</v>
      </c>
      <c r="AY171" s="1">
        <v>165.0</v>
      </c>
    </row>
    <row r="172" hidden="1">
      <c r="A172" s="1" t="s">
        <v>51</v>
      </c>
      <c r="C172" s="1" t="s">
        <v>52</v>
      </c>
      <c r="E172" s="1" t="s">
        <v>53</v>
      </c>
      <c r="F172" s="1" t="s">
        <v>102</v>
      </c>
      <c r="G172" s="1">
        <v>40.0</v>
      </c>
      <c r="H172" s="1" t="s">
        <v>66</v>
      </c>
      <c r="I172" s="1" t="s">
        <v>100</v>
      </c>
      <c r="J172" s="1" t="s">
        <v>111</v>
      </c>
      <c r="K172" s="1" t="s">
        <v>87</v>
      </c>
      <c r="M172" s="1" t="s">
        <v>58</v>
      </c>
      <c r="N172" s="1" t="s">
        <v>58</v>
      </c>
      <c r="O172" s="1" t="s">
        <v>70</v>
      </c>
      <c r="Q172" s="1" t="s">
        <v>58</v>
      </c>
      <c r="R172" s="1" t="s">
        <v>58</v>
      </c>
      <c r="S172" s="1" t="s">
        <v>70</v>
      </c>
      <c r="T172" s="1" t="s">
        <v>70</v>
      </c>
      <c r="U172" s="1" t="s">
        <v>58</v>
      </c>
      <c r="V172" s="1" t="s">
        <v>58</v>
      </c>
      <c r="W172" s="1" t="s">
        <v>58</v>
      </c>
      <c r="Y172" s="1" t="s">
        <v>95</v>
      </c>
      <c r="Z172" s="1" t="s">
        <v>89</v>
      </c>
      <c r="AA172" s="1">
        <v>100.0</v>
      </c>
      <c r="AB172" s="1" t="s">
        <v>79</v>
      </c>
      <c r="AC172" s="1" t="s">
        <v>71</v>
      </c>
      <c r="AF172" s="1" t="s">
        <v>51</v>
      </c>
      <c r="AG172" s="1" t="s">
        <v>72</v>
      </c>
      <c r="AI172" s="1">
        <v>0.0</v>
      </c>
      <c r="AJ172" s="1">
        <v>0.0</v>
      </c>
      <c r="AK172" s="1">
        <v>0.0</v>
      </c>
      <c r="AL172" s="1">
        <v>1.0</v>
      </c>
      <c r="AM172" s="1" t="s">
        <v>51</v>
      </c>
      <c r="AN172" s="1">
        <v>6.12535762E8</v>
      </c>
      <c r="AP172" s="1">
        <v>4.90034639E8</v>
      </c>
      <c r="AQ172" s="1" t="s">
        <v>298</v>
      </c>
      <c r="AR172" s="1">
        <v>45808.54656</v>
      </c>
      <c r="AU172" s="1" t="s">
        <v>64</v>
      </c>
      <c r="AW172" s="1" t="s">
        <v>255</v>
      </c>
      <c r="AY172" s="1">
        <v>166.0</v>
      </c>
    </row>
    <row r="173" hidden="1">
      <c r="A173" s="1" t="s">
        <v>51</v>
      </c>
      <c r="C173" s="1" t="s">
        <v>52</v>
      </c>
      <c r="E173" s="1" t="s">
        <v>53</v>
      </c>
      <c r="F173" s="1" t="s">
        <v>102</v>
      </c>
      <c r="G173" s="1">
        <v>43.0</v>
      </c>
      <c r="H173" s="1" t="s">
        <v>66</v>
      </c>
      <c r="I173" s="1" t="s">
        <v>67</v>
      </c>
      <c r="J173" s="1" t="s">
        <v>86</v>
      </c>
      <c r="K173" s="1" t="s">
        <v>87</v>
      </c>
      <c r="M173" s="1" t="s">
        <v>58</v>
      </c>
      <c r="N173" s="1" t="s">
        <v>70</v>
      </c>
      <c r="O173" s="1" t="s">
        <v>58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70</v>
      </c>
      <c r="V173" s="1" t="s">
        <v>58</v>
      </c>
      <c r="W173" s="1" t="s">
        <v>70</v>
      </c>
      <c r="X173" s="1" t="s">
        <v>88</v>
      </c>
      <c r="Y173" s="1" t="s">
        <v>60</v>
      </c>
      <c r="Z173" s="1" t="s">
        <v>61</v>
      </c>
      <c r="AA173" s="1">
        <v>100.0</v>
      </c>
      <c r="AB173" s="1" t="s">
        <v>62</v>
      </c>
      <c r="AC173" s="1" t="s">
        <v>71</v>
      </c>
      <c r="AF173" s="1" t="s">
        <v>51</v>
      </c>
      <c r="AG173" s="1" t="s">
        <v>51</v>
      </c>
      <c r="AH173" s="1">
        <v>3000.0</v>
      </c>
      <c r="AI173" s="1">
        <v>0.0</v>
      </c>
      <c r="AJ173" s="1">
        <v>0.0</v>
      </c>
      <c r="AK173" s="1">
        <v>0.0</v>
      </c>
      <c r="AL173" s="1">
        <v>1.0</v>
      </c>
      <c r="AM173" s="1" t="s">
        <v>51</v>
      </c>
      <c r="AN173" s="1">
        <v>7.94237527E8</v>
      </c>
      <c r="AP173" s="1">
        <v>4.90035398E8</v>
      </c>
      <c r="AQ173" s="1" t="s">
        <v>299</v>
      </c>
      <c r="AR173" s="1">
        <v>45808.54729</v>
      </c>
      <c r="AU173" s="1" t="s">
        <v>64</v>
      </c>
      <c r="AW173" s="1" t="s">
        <v>255</v>
      </c>
      <c r="AY173" s="1">
        <v>167.0</v>
      </c>
    </row>
    <row r="174" hidden="1">
      <c r="A174" s="1" t="s">
        <v>51</v>
      </c>
      <c r="C174" s="1" t="s">
        <v>52</v>
      </c>
      <c r="E174" s="1" t="s">
        <v>53</v>
      </c>
      <c r="F174" s="1" t="s">
        <v>94</v>
      </c>
      <c r="G174" s="1">
        <v>51.0</v>
      </c>
      <c r="H174" s="1" t="s">
        <v>55</v>
      </c>
      <c r="I174" s="1" t="s">
        <v>67</v>
      </c>
      <c r="J174" s="1" t="s">
        <v>68</v>
      </c>
      <c r="K174" s="1" t="s">
        <v>92</v>
      </c>
      <c r="M174" s="1" t="s">
        <v>58</v>
      </c>
      <c r="N174" s="1" t="s">
        <v>58</v>
      </c>
      <c r="O174" s="1" t="s">
        <v>69</v>
      </c>
      <c r="Q174" s="1" t="s">
        <v>58</v>
      </c>
      <c r="R174" s="1" t="s">
        <v>58</v>
      </c>
      <c r="S174" s="1" t="s">
        <v>69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88</v>
      </c>
      <c r="Y174" s="1" t="s">
        <v>60</v>
      </c>
      <c r="Z174" s="1" t="s">
        <v>89</v>
      </c>
      <c r="AA174" s="1">
        <v>100.0</v>
      </c>
      <c r="AB174" s="1" t="s">
        <v>79</v>
      </c>
      <c r="AC174" s="1" t="s">
        <v>71</v>
      </c>
      <c r="AF174" s="1" t="s">
        <v>51</v>
      </c>
      <c r="AG174" s="1" t="s">
        <v>51</v>
      </c>
      <c r="AH174" s="1">
        <v>500.0</v>
      </c>
      <c r="AI174" s="1">
        <v>0.0</v>
      </c>
      <c r="AJ174" s="1">
        <v>1.0</v>
      </c>
      <c r="AK174" s="1">
        <v>1.0</v>
      </c>
      <c r="AL174" s="1">
        <v>1.0</v>
      </c>
      <c r="AM174" s="1" t="s">
        <v>51</v>
      </c>
      <c r="AN174" s="1">
        <v>7.61652799E8</v>
      </c>
      <c r="AP174" s="1">
        <v>4.90050303E8</v>
      </c>
      <c r="AQ174" s="1" t="s">
        <v>300</v>
      </c>
      <c r="AR174" s="1">
        <v>45808.56594</v>
      </c>
      <c r="AU174" s="1" t="s">
        <v>64</v>
      </c>
      <c r="AW174" s="1" t="s">
        <v>255</v>
      </c>
      <c r="AY174" s="1">
        <v>168.0</v>
      </c>
    </row>
    <row r="175" hidden="1">
      <c r="A175" s="1" t="s">
        <v>51</v>
      </c>
      <c r="C175" s="1" t="s">
        <v>52</v>
      </c>
      <c r="E175" s="1" t="s">
        <v>53</v>
      </c>
      <c r="F175" s="1" t="s">
        <v>301</v>
      </c>
      <c r="G175" s="1">
        <v>26.0</v>
      </c>
      <c r="H175" s="1" t="s">
        <v>66</v>
      </c>
      <c r="I175" s="1" t="s">
        <v>100</v>
      </c>
      <c r="J175" s="1" t="s">
        <v>56</v>
      </c>
      <c r="K175" s="1" t="s">
        <v>87</v>
      </c>
      <c r="M175" s="1" t="s">
        <v>58</v>
      </c>
      <c r="N175" s="1" t="s">
        <v>58</v>
      </c>
      <c r="O175" s="1" t="s">
        <v>58</v>
      </c>
      <c r="Q175" s="1" t="s">
        <v>69</v>
      </c>
      <c r="R175" s="1" t="s">
        <v>58</v>
      </c>
      <c r="S175" s="1" t="s">
        <v>69</v>
      </c>
      <c r="T175" s="1" t="s">
        <v>58</v>
      </c>
      <c r="U175" s="1" t="s">
        <v>58</v>
      </c>
      <c r="V175" s="1" t="s">
        <v>58</v>
      </c>
      <c r="W175" s="1" t="s">
        <v>69</v>
      </c>
      <c r="X175" s="1" t="s">
        <v>88</v>
      </c>
      <c r="Y175" s="1" t="s">
        <v>95</v>
      </c>
      <c r="Z175" s="1" t="s">
        <v>96</v>
      </c>
      <c r="AA175" s="1">
        <v>100.0</v>
      </c>
      <c r="AB175" s="1" t="s">
        <v>62</v>
      </c>
      <c r="AC175" s="1" t="s">
        <v>71</v>
      </c>
      <c r="AF175" s="1" t="s">
        <v>51</v>
      </c>
      <c r="AG175" s="1" t="s">
        <v>72</v>
      </c>
      <c r="AI175" s="1">
        <v>0.0</v>
      </c>
      <c r="AJ175" s="1">
        <v>0.0</v>
      </c>
      <c r="AK175" s="1">
        <v>1.0</v>
      </c>
      <c r="AL175" s="1">
        <v>0.0</v>
      </c>
      <c r="AM175" s="1" t="s">
        <v>51</v>
      </c>
      <c r="AP175" s="1">
        <v>4.90054197E8</v>
      </c>
      <c r="AQ175" s="1" t="s">
        <v>302</v>
      </c>
      <c r="AR175" s="1">
        <v>45808.57083</v>
      </c>
      <c r="AU175" s="1" t="s">
        <v>64</v>
      </c>
      <c r="AW175" s="1" t="s">
        <v>255</v>
      </c>
      <c r="AY175" s="1">
        <v>169.0</v>
      </c>
    </row>
    <row r="176" hidden="1">
      <c r="A176" s="1" t="s">
        <v>51</v>
      </c>
      <c r="C176" s="1" t="s">
        <v>131</v>
      </c>
      <c r="E176" s="1" t="s">
        <v>53</v>
      </c>
      <c r="F176" s="1" t="s">
        <v>54</v>
      </c>
      <c r="G176" s="1">
        <v>34.0</v>
      </c>
      <c r="H176" s="1" t="s">
        <v>55</v>
      </c>
      <c r="I176" s="1" t="s">
        <v>100</v>
      </c>
      <c r="J176" s="1" t="s">
        <v>56</v>
      </c>
      <c r="K176" s="1" t="s">
        <v>74</v>
      </c>
      <c r="M176" s="1" t="s">
        <v>58</v>
      </c>
      <c r="N176" s="1" t="s">
        <v>58</v>
      </c>
      <c r="O176" s="1" t="s">
        <v>69</v>
      </c>
      <c r="Q176" s="1" t="s">
        <v>58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1" t="s">
        <v>58</v>
      </c>
      <c r="X176" s="1" t="s">
        <v>81</v>
      </c>
      <c r="Y176" s="1" t="s">
        <v>82</v>
      </c>
      <c r="Z176" s="1" t="s">
        <v>108</v>
      </c>
      <c r="AA176" s="1">
        <v>50.0</v>
      </c>
      <c r="AB176" s="1" t="s">
        <v>28</v>
      </c>
      <c r="AC176" s="1" t="s">
        <v>71</v>
      </c>
      <c r="AF176" s="1" t="s">
        <v>51</v>
      </c>
      <c r="AG176" s="1" t="s">
        <v>72</v>
      </c>
      <c r="AI176" s="1">
        <v>0.0</v>
      </c>
      <c r="AJ176" s="1">
        <v>0.0</v>
      </c>
      <c r="AK176" s="1">
        <v>0.0</v>
      </c>
      <c r="AL176" s="1">
        <v>1.0</v>
      </c>
      <c r="AM176" s="1" t="s">
        <v>51</v>
      </c>
      <c r="AN176" s="1">
        <v>7.30603166E8</v>
      </c>
      <c r="AP176" s="1">
        <v>4.90058033E8</v>
      </c>
      <c r="AQ176" s="1" t="s">
        <v>303</v>
      </c>
      <c r="AR176" s="1">
        <v>45808.57516</v>
      </c>
      <c r="AU176" s="1" t="s">
        <v>64</v>
      </c>
      <c r="AW176" s="1" t="s">
        <v>255</v>
      </c>
      <c r="AY176" s="1">
        <v>170.0</v>
      </c>
    </row>
    <row r="177" hidden="1">
      <c r="AP177" s="1">
        <v>4.90059101E8</v>
      </c>
      <c r="AQ177" s="1" t="s">
        <v>530</v>
      </c>
      <c r="AR177" s="1">
        <v>45808.57641</v>
      </c>
      <c r="AU177" s="1" t="s">
        <v>64</v>
      </c>
      <c r="AW177" s="1" t="s">
        <v>255</v>
      </c>
      <c r="AY177" s="1">
        <v>171.0</v>
      </c>
    </row>
    <row r="178" hidden="1">
      <c r="A178" s="1" t="s">
        <v>51</v>
      </c>
      <c r="C178" s="1" t="s">
        <v>131</v>
      </c>
      <c r="E178" s="1" t="s">
        <v>53</v>
      </c>
      <c r="F178" s="1" t="s">
        <v>54</v>
      </c>
      <c r="G178" s="1">
        <v>20.0</v>
      </c>
      <c r="H178" s="1" t="s">
        <v>55</v>
      </c>
      <c r="I178" s="1" t="s">
        <v>100</v>
      </c>
      <c r="J178" s="1" t="s">
        <v>111</v>
      </c>
      <c r="K178" s="1" t="s">
        <v>78</v>
      </c>
      <c r="M178" s="1" t="s">
        <v>58</v>
      </c>
      <c r="N178" s="1" t="s">
        <v>58</v>
      </c>
      <c r="O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70</v>
      </c>
      <c r="W178" s="1" t="s">
        <v>58</v>
      </c>
      <c r="X178" s="1" t="s">
        <v>81</v>
      </c>
      <c r="Y178" s="1" t="s">
        <v>60</v>
      </c>
      <c r="Z178" s="1" t="s">
        <v>96</v>
      </c>
      <c r="AA178" s="1">
        <v>100.0</v>
      </c>
      <c r="AB178" s="1" t="s">
        <v>62</v>
      </c>
      <c r="AC178" s="1" t="s">
        <v>51</v>
      </c>
      <c r="AD178" s="1" t="s">
        <v>81</v>
      </c>
      <c r="AE178" s="1" t="s">
        <v>72</v>
      </c>
      <c r="AF178" s="1" t="s">
        <v>51</v>
      </c>
      <c r="AG178" s="1" t="s">
        <v>72</v>
      </c>
      <c r="AI178" s="1">
        <v>0.0</v>
      </c>
      <c r="AJ178" s="1">
        <v>1.0</v>
      </c>
      <c r="AK178" s="1">
        <v>0.0</v>
      </c>
      <c r="AL178" s="1">
        <v>0.0</v>
      </c>
      <c r="AM178" s="1" t="s">
        <v>51</v>
      </c>
      <c r="AP178" s="1">
        <v>4.90060926E8</v>
      </c>
      <c r="AQ178" s="1" t="s">
        <v>304</v>
      </c>
      <c r="AR178" s="1">
        <v>45808.5785</v>
      </c>
      <c r="AU178" s="1" t="s">
        <v>64</v>
      </c>
      <c r="AW178" s="1" t="s">
        <v>255</v>
      </c>
      <c r="AY178" s="1">
        <v>172.0</v>
      </c>
    </row>
    <row r="179" hidden="1">
      <c r="A179" s="1" t="s">
        <v>51</v>
      </c>
      <c r="C179" s="1" t="s">
        <v>131</v>
      </c>
      <c r="E179" s="1" t="s">
        <v>53</v>
      </c>
      <c r="F179" s="1" t="s">
        <v>54</v>
      </c>
      <c r="G179" s="1">
        <v>27.0</v>
      </c>
      <c r="H179" s="1" t="s">
        <v>55</v>
      </c>
      <c r="I179" s="1" t="s">
        <v>67</v>
      </c>
      <c r="J179" s="1" t="s">
        <v>68</v>
      </c>
      <c r="K179" s="1" t="s">
        <v>78</v>
      </c>
      <c r="M179" s="1" t="s">
        <v>58</v>
      </c>
      <c r="N179" s="1" t="s">
        <v>58</v>
      </c>
      <c r="O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81</v>
      </c>
      <c r="Y179" s="1" t="s">
        <v>82</v>
      </c>
      <c r="Z179" s="1" t="s">
        <v>89</v>
      </c>
      <c r="AA179" s="1">
        <v>50.0</v>
      </c>
      <c r="AB179" s="1" t="s">
        <v>28</v>
      </c>
      <c r="AC179" s="1" t="s">
        <v>51</v>
      </c>
      <c r="AE179" s="1" t="s">
        <v>51</v>
      </c>
      <c r="AF179" s="1" t="s">
        <v>51</v>
      </c>
      <c r="AG179" s="1" t="s">
        <v>51</v>
      </c>
      <c r="AH179" s="1">
        <v>200.0</v>
      </c>
      <c r="AI179" s="1">
        <v>0.0</v>
      </c>
      <c r="AJ179" s="1">
        <v>1.0</v>
      </c>
      <c r="AK179" s="1">
        <v>0.0</v>
      </c>
      <c r="AL179" s="1">
        <v>0.0</v>
      </c>
      <c r="AM179" s="1" t="s">
        <v>51</v>
      </c>
      <c r="AN179" s="1">
        <v>8.20589777E8</v>
      </c>
      <c r="AP179" s="1">
        <v>4.90062455E8</v>
      </c>
      <c r="AQ179" s="1" t="s">
        <v>305</v>
      </c>
      <c r="AR179" s="1">
        <v>45808.58028</v>
      </c>
      <c r="AU179" s="1" t="s">
        <v>64</v>
      </c>
      <c r="AW179" s="1" t="s">
        <v>255</v>
      </c>
      <c r="AY179" s="1">
        <v>173.0</v>
      </c>
    </row>
    <row r="180" hidden="1">
      <c r="AP180" s="1">
        <v>4.90062906E8</v>
      </c>
      <c r="AQ180" s="1" t="s">
        <v>531</v>
      </c>
      <c r="AR180" s="1">
        <v>45808.58065</v>
      </c>
      <c r="AU180" s="1" t="s">
        <v>64</v>
      </c>
      <c r="AW180" s="1" t="s">
        <v>255</v>
      </c>
      <c r="AY180" s="1">
        <v>174.0</v>
      </c>
    </row>
    <row r="181" hidden="1">
      <c r="A181" s="1" t="s">
        <v>51</v>
      </c>
      <c r="C181" s="1" t="s">
        <v>131</v>
      </c>
      <c r="E181" s="1" t="s">
        <v>53</v>
      </c>
      <c r="F181" s="1" t="s">
        <v>102</v>
      </c>
      <c r="G181" s="1">
        <v>33.0</v>
      </c>
      <c r="H181" s="1" t="s">
        <v>55</v>
      </c>
      <c r="I181" s="1" t="s">
        <v>67</v>
      </c>
      <c r="J181" s="1" t="s">
        <v>68</v>
      </c>
      <c r="K181" s="1" t="s">
        <v>78</v>
      </c>
      <c r="M181" s="1" t="s">
        <v>58</v>
      </c>
      <c r="N181" s="1" t="s">
        <v>58</v>
      </c>
      <c r="O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 t="s">
        <v>58</v>
      </c>
      <c r="X181" s="1" t="s">
        <v>81</v>
      </c>
      <c r="Y181" s="1" t="s">
        <v>227</v>
      </c>
      <c r="Z181" s="1" t="s">
        <v>96</v>
      </c>
      <c r="AA181" s="1">
        <v>100.0</v>
      </c>
      <c r="AB181" s="1" t="s">
        <v>62</v>
      </c>
      <c r="AC181" s="1" t="s">
        <v>51</v>
      </c>
      <c r="AD181" s="1" t="s">
        <v>81</v>
      </c>
      <c r="AE181" s="1" t="s">
        <v>51</v>
      </c>
      <c r="AF181" s="1" t="s">
        <v>51</v>
      </c>
      <c r="AG181" s="1" t="s">
        <v>51</v>
      </c>
      <c r="AH181" s="1">
        <v>100.0</v>
      </c>
      <c r="AI181" s="1">
        <v>0.0</v>
      </c>
      <c r="AJ181" s="1">
        <v>0.0</v>
      </c>
      <c r="AK181" s="1">
        <v>0.0</v>
      </c>
      <c r="AL181" s="1">
        <v>1.0</v>
      </c>
      <c r="AM181" s="1" t="s">
        <v>51</v>
      </c>
      <c r="AN181" s="1" t="s">
        <v>306</v>
      </c>
      <c r="AP181" s="1">
        <v>4.90063325E8</v>
      </c>
      <c r="AQ181" s="1" t="s">
        <v>307</v>
      </c>
      <c r="AR181" s="1">
        <v>45808.58095</v>
      </c>
      <c r="AU181" s="1" t="s">
        <v>64</v>
      </c>
      <c r="AW181" s="1" t="s">
        <v>255</v>
      </c>
      <c r="AY181" s="1">
        <v>175.0</v>
      </c>
    </row>
    <row r="182" hidden="1">
      <c r="A182" s="1" t="s">
        <v>51</v>
      </c>
      <c r="C182" s="1" t="s">
        <v>131</v>
      </c>
      <c r="E182" s="1" t="s">
        <v>53</v>
      </c>
      <c r="F182" s="1" t="s">
        <v>54</v>
      </c>
      <c r="G182" s="1">
        <v>27.0</v>
      </c>
      <c r="H182" s="1" t="s">
        <v>55</v>
      </c>
      <c r="I182" s="1" t="s">
        <v>100</v>
      </c>
      <c r="J182" s="1" t="s">
        <v>111</v>
      </c>
      <c r="K182" s="1" t="s">
        <v>57</v>
      </c>
      <c r="M182" s="1" t="s">
        <v>58</v>
      </c>
      <c r="N182" s="1" t="s">
        <v>58</v>
      </c>
      <c r="O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 t="s">
        <v>58</v>
      </c>
      <c r="X182" s="1" t="s">
        <v>81</v>
      </c>
      <c r="Y182" s="1" t="s">
        <v>172</v>
      </c>
      <c r="Z182" s="1" t="s">
        <v>89</v>
      </c>
      <c r="AA182" s="1">
        <v>30.0</v>
      </c>
      <c r="AB182" s="1" t="s">
        <v>28</v>
      </c>
      <c r="AC182" s="1" t="s">
        <v>71</v>
      </c>
      <c r="AF182" s="1" t="s">
        <v>51</v>
      </c>
      <c r="AG182" s="1" t="s">
        <v>51</v>
      </c>
      <c r="AI182" s="1">
        <v>0.0</v>
      </c>
      <c r="AJ182" s="1">
        <v>0.0</v>
      </c>
      <c r="AK182" s="1">
        <v>0.0</v>
      </c>
      <c r="AL182" s="1">
        <v>1.0</v>
      </c>
      <c r="AM182" s="1" t="s">
        <v>51</v>
      </c>
      <c r="AN182" s="1">
        <v>8.33947976E8</v>
      </c>
      <c r="AP182" s="1">
        <v>4.90064388E8</v>
      </c>
      <c r="AQ182" s="1" t="s">
        <v>308</v>
      </c>
      <c r="AR182" s="1">
        <v>45808.58214</v>
      </c>
      <c r="AU182" s="1" t="s">
        <v>64</v>
      </c>
      <c r="AW182" s="1" t="s">
        <v>255</v>
      </c>
      <c r="AY182" s="1">
        <v>176.0</v>
      </c>
    </row>
    <row r="183" hidden="1">
      <c r="AP183" s="1">
        <v>4.90064615E8</v>
      </c>
      <c r="AQ183" s="1" t="s">
        <v>532</v>
      </c>
      <c r="AR183" s="1">
        <v>45808.58235</v>
      </c>
      <c r="AU183" s="1" t="s">
        <v>64</v>
      </c>
      <c r="AW183" s="1" t="s">
        <v>255</v>
      </c>
      <c r="AY183" s="1">
        <v>177.0</v>
      </c>
    </row>
    <row r="184" hidden="1">
      <c r="A184" s="1" t="s">
        <v>51</v>
      </c>
      <c r="E184" s="1" t="s">
        <v>53</v>
      </c>
      <c r="F184" s="1" t="s">
        <v>54</v>
      </c>
      <c r="G184" s="1">
        <v>29.0</v>
      </c>
      <c r="H184" s="1" t="s">
        <v>66</v>
      </c>
      <c r="I184" s="1" t="s">
        <v>67</v>
      </c>
      <c r="J184" s="1" t="s">
        <v>56</v>
      </c>
      <c r="K184" s="1" t="s">
        <v>57</v>
      </c>
      <c r="M184" s="1" t="s">
        <v>58</v>
      </c>
      <c r="N184" s="1" t="s">
        <v>58</v>
      </c>
      <c r="O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1" t="s">
        <v>81</v>
      </c>
      <c r="Y184" s="1" t="s">
        <v>172</v>
      </c>
      <c r="Z184" s="1" t="s">
        <v>96</v>
      </c>
      <c r="AA184" s="1">
        <v>50.0</v>
      </c>
      <c r="AB184" s="1" t="s">
        <v>28</v>
      </c>
      <c r="AC184" s="1" t="s">
        <v>71</v>
      </c>
      <c r="AF184" s="1" t="s">
        <v>51</v>
      </c>
      <c r="AG184" s="1" t="s">
        <v>51</v>
      </c>
      <c r="AI184" s="1">
        <v>1.0</v>
      </c>
      <c r="AJ184" s="1">
        <v>0.0</v>
      </c>
      <c r="AK184" s="1">
        <v>0.0</v>
      </c>
      <c r="AL184" s="1">
        <v>0.0</v>
      </c>
      <c r="AM184" s="1" t="s">
        <v>51</v>
      </c>
      <c r="AN184" s="1">
        <v>7.98581807E8</v>
      </c>
      <c r="AP184" s="1">
        <v>4.90065965E8</v>
      </c>
      <c r="AQ184" s="1" t="s">
        <v>309</v>
      </c>
      <c r="AR184" s="1">
        <v>45808.5839</v>
      </c>
      <c r="AU184" s="1" t="s">
        <v>64</v>
      </c>
      <c r="AW184" s="1" t="s">
        <v>255</v>
      </c>
      <c r="AY184" s="1">
        <v>178.0</v>
      </c>
    </row>
    <row r="185" hidden="1">
      <c r="A185" s="1" t="s">
        <v>51</v>
      </c>
      <c r="C185" s="1" t="s">
        <v>131</v>
      </c>
      <c r="E185" s="1" t="s">
        <v>53</v>
      </c>
      <c r="F185" s="1" t="s">
        <v>54</v>
      </c>
      <c r="G185" s="1">
        <v>30.0</v>
      </c>
      <c r="H185" s="1" t="s">
        <v>55</v>
      </c>
      <c r="I185" s="1" t="s">
        <v>100</v>
      </c>
      <c r="J185" s="1" t="s">
        <v>56</v>
      </c>
      <c r="K185" s="1" t="s">
        <v>57</v>
      </c>
      <c r="M185" s="1" t="s">
        <v>58</v>
      </c>
      <c r="N185" s="1" t="s">
        <v>58</v>
      </c>
      <c r="O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1" t="s">
        <v>81</v>
      </c>
      <c r="Y185" s="1" t="s">
        <v>82</v>
      </c>
      <c r="Z185" s="1" t="s">
        <v>89</v>
      </c>
      <c r="AA185" s="1">
        <v>20.0</v>
      </c>
      <c r="AB185" s="1" t="s">
        <v>28</v>
      </c>
      <c r="AC185" s="1" t="s">
        <v>71</v>
      </c>
      <c r="AF185" s="1" t="s">
        <v>51</v>
      </c>
      <c r="AG185" s="1" t="s">
        <v>51</v>
      </c>
      <c r="AI185" s="1">
        <v>1.0</v>
      </c>
      <c r="AJ185" s="1">
        <v>0.0</v>
      </c>
      <c r="AK185" s="1">
        <v>0.0</v>
      </c>
      <c r="AL185" s="1">
        <v>0.0</v>
      </c>
      <c r="AM185" s="1" t="s">
        <v>51</v>
      </c>
      <c r="AN185" s="1">
        <v>6.81216241E8</v>
      </c>
      <c r="AP185" s="1">
        <v>4.90067473E8</v>
      </c>
      <c r="AQ185" s="1" t="s">
        <v>310</v>
      </c>
      <c r="AR185" s="1">
        <v>45808.58574</v>
      </c>
      <c r="AU185" s="1" t="s">
        <v>64</v>
      </c>
      <c r="AW185" s="1" t="s">
        <v>255</v>
      </c>
      <c r="AY185" s="1">
        <v>179.0</v>
      </c>
    </row>
    <row r="186" hidden="1">
      <c r="A186" s="1" t="s">
        <v>51</v>
      </c>
      <c r="C186" s="1" t="s">
        <v>131</v>
      </c>
      <c r="E186" s="1" t="s">
        <v>53</v>
      </c>
      <c r="F186" s="1" t="s">
        <v>54</v>
      </c>
      <c r="G186" s="1">
        <v>32.0</v>
      </c>
      <c r="H186" s="1" t="s">
        <v>55</v>
      </c>
      <c r="J186" s="1" t="s">
        <v>111</v>
      </c>
      <c r="K186" s="1" t="s">
        <v>74</v>
      </c>
      <c r="M186" s="1" t="s">
        <v>58</v>
      </c>
      <c r="N186" s="1" t="s">
        <v>58</v>
      </c>
      <c r="O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81</v>
      </c>
      <c r="Y186" s="1" t="s">
        <v>82</v>
      </c>
      <c r="Z186" s="1" t="s">
        <v>108</v>
      </c>
      <c r="AA186" s="1">
        <v>20.0</v>
      </c>
      <c r="AB186" s="1" t="s">
        <v>28</v>
      </c>
      <c r="AC186" s="1" t="s">
        <v>71</v>
      </c>
      <c r="AF186" s="1" t="s">
        <v>51</v>
      </c>
      <c r="AG186" s="1" t="s">
        <v>51</v>
      </c>
      <c r="AI186" s="1">
        <v>1.0</v>
      </c>
      <c r="AJ186" s="1">
        <v>0.0</v>
      </c>
      <c r="AK186" s="1">
        <v>0.0</v>
      </c>
      <c r="AL186" s="1">
        <v>0.0</v>
      </c>
      <c r="AM186" s="1" t="s">
        <v>51</v>
      </c>
      <c r="AN186" s="1">
        <v>7.84739697E8</v>
      </c>
      <c r="AP186" s="1">
        <v>4.9006882E8</v>
      </c>
      <c r="AQ186" s="1" t="s">
        <v>311</v>
      </c>
      <c r="AR186" s="1">
        <v>45808.58716</v>
      </c>
      <c r="AU186" s="1" t="s">
        <v>64</v>
      </c>
      <c r="AW186" s="1" t="s">
        <v>255</v>
      </c>
      <c r="AY186" s="1">
        <v>180.0</v>
      </c>
    </row>
    <row r="187" hidden="1">
      <c r="A187" s="1" t="s">
        <v>51</v>
      </c>
      <c r="C187" s="1" t="s">
        <v>131</v>
      </c>
      <c r="E187" s="1" t="s">
        <v>53</v>
      </c>
      <c r="F187" s="1" t="s">
        <v>54</v>
      </c>
      <c r="G187" s="1">
        <v>29.0</v>
      </c>
      <c r="H187" s="1" t="s">
        <v>66</v>
      </c>
      <c r="I187" s="1" t="s">
        <v>67</v>
      </c>
      <c r="J187" s="1" t="s">
        <v>68</v>
      </c>
      <c r="K187" s="1" t="s">
        <v>74</v>
      </c>
      <c r="M187" s="1" t="s">
        <v>58</v>
      </c>
      <c r="N187" s="1" t="s">
        <v>58</v>
      </c>
      <c r="O187" s="1" t="s">
        <v>58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81</v>
      </c>
      <c r="Y187" s="1" t="s">
        <v>172</v>
      </c>
      <c r="Z187" s="1" t="s">
        <v>96</v>
      </c>
      <c r="AA187" s="1">
        <v>50.0</v>
      </c>
      <c r="AB187" s="1" t="s">
        <v>62</v>
      </c>
      <c r="AC187" s="1" t="s">
        <v>51</v>
      </c>
      <c r="AD187" s="1" t="s">
        <v>81</v>
      </c>
      <c r="AE187" s="1" t="s">
        <v>51</v>
      </c>
      <c r="AF187" s="1" t="s">
        <v>51</v>
      </c>
      <c r="AG187" s="1" t="s">
        <v>51</v>
      </c>
      <c r="AI187" s="1">
        <v>1.0</v>
      </c>
      <c r="AJ187" s="1">
        <v>0.0</v>
      </c>
      <c r="AK187" s="1">
        <v>0.0</v>
      </c>
      <c r="AL187" s="1">
        <v>0.0</v>
      </c>
      <c r="AM187" s="1" t="s">
        <v>51</v>
      </c>
      <c r="AN187" s="1">
        <v>8.12338828E8</v>
      </c>
      <c r="AP187" s="1">
        <v>4.90071211E8</v>
      </c>
      <c r="AQ187" s="1" t="s">
        <v>312</v>
      </c>
      <c r="AR187" s="1">
        <v>45808.5897</v>
      </c>
      <c r="AU187" s="1" t="s">
        <v>64</v>
      </c>
      <c r="AW187" s="1" t="s">
        <v>255</v>
      </c>
      <c r="AY187" s="1">
        <v>181.0</v>
      </c>
    </row>
    <row r="188" hidden="1">
      <c r="A188" s="1" t="s">
        <v>51</v>
      </c>
      <c r="C188" s="1" t="s">
        <v>131</v>
      </c>
      <c r="E188" s="1" t="s">
        <v>53</v>
      </c>
      <c r="F188" s="1" t="s">
        <v>54</v>
      </c>
      <c r="G188" s="1">
        <v>31.0</v>
      </c>
      <c r="H188" s="1" t="s">
        <v>55</v>
      </c>
      <c r="I188" s="1" t="s">
        <v>100</v>
      </c>
      <c r="J188" s="1" t="s">
        <v>68</v>
      </c>
      <c r="K188" s="1" t="s">
        <v>74</v>
      </c>
      <c r="M188" s="1" t="s">
        <v>58</v>
      </c>
      <c r="N188" s="1" t="s">
        <v>58</v>
      </c>
      <c r="O188" s="1" t="s">
        <v>58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  <c r="W188" s="1" t="s">
        <v>58</v>
      </c>
      <c r="X188" s="1" t="s">
        <v>81</v>
      </c>
      <c r="Y188" s="1" t="s">
        <v>82</v>
      </c>
      <c r="Z188" s="1" t="s">
        <v>96</v>
      </c>
      <c r="AA188" s="1">
        <v>100.0</v>
      </c>
      <c r="AB188" s="1" t="s">
        <v>62</v>
      </c>
      <c r="AC188" s="1" t="s">
        <v>71</v>
      </c>
      <c r="AF188" s="1" t="s">
        <v>51</v>
      </c>
      <c r="AG188" s="1" t="s">
        <v>51</v>
      </c>
      <c r="AH188" s="1">
        <v>7.26534262E8</v>
      </c>
      <c r="AI188" s="1">
        <v>1.0</v>
      </c>
      <c r="AJ188" s="1">
        <v>0.0</v>
      </c>
      <c r="AK188" s="1">
        <v>0.0</v>
      </c>
      <c r="AL188" s="1">
        <v>0.0</v>
      </c>
      <c r="AM188" s="1" t="s">
        <v>51</v>
      </c>
      <c r="AN188" s="1">
        <v>6.82234632E8</v>
      </c>
      <c r="AP188" s="1">
        <v>4.9007346E8</v>
      </c>
      <c r="AQ188" s="1" t="s">
        <v>313</v>
      </c>
      <c r="AR188" s="1">
        <v>45808.59205</v>
      </c>
      <c r="AU188" s="1" t="s">
        <v>64</v>
      </c>
      <c r="AW188" s="1" t="s">
        <v>255</v>
      </c>
      <c r="AY188" s="1">
        <v>182.0</v>
      </c>
    </row>
    <row r="189" hidden="1">
      <c r="A189" s="1" t="s">
        <v>51</v>
      </c>
      <c r="C189" s="1" t="s">
        <v>131</v>
      </c>
      <c r="E189" s="1" t="s">
        <v>53</v>
      </c>
      <c r="F189" s="1" t="s">
        <v>54</v>
      </c>
      <c r="G189" s="1">
        <v>30.0</v>
      </c>
      <c r="H189" s="1" t="s">
        <v>55</v>
      </c>
      <c r="I189" s="1" t="s">
        <v>100</v>
      </c>
      <c r="K189" s="1" t="s">
        <v>74</v>
      </c>
      <c r="M189" s="1" t="s">
        <v>58</v>
      </c>
      <c r="N189" s="1" t="s">
        <v>58</v>
      </c>
      <c r="O189" s="1" t="s">
        <v>58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58</v>
      </c>
      <c r="W189" s="1" t="s">
        <v>58</v>
      </c>
      <c r="X189" s="1" t="s">
        <v>81</v>
      </c>
      <c r="Y189" s="1" t="s">
        <v>172</v>
      </c>
      <c r="Z189" s="1" t="s">
        <v>96</v>
      </c>
      <c r="AA189" s="1">
        <v>100.0</v>
      </c>
      <c r="AB189" s="1" t="s">
        <v>28</v>
      </c>
      <c r="AC189" s="1" t="s">
        <v>71</v>
      </c>
      <c r="AF189" s="1" t="s">
        <v>51</v>
      </c>
      <c r="AG189" s="1" t="s">
        <v>51</v>
      </c>
      <c r="AH189" s="1">
        <v>300.0</v>
      </c>
      <c r="AI189" s="1">
        <v>1.0</v>
      </c>
      <c r="AJ189" s="1">
        <v>0.0</v>
      </c>
      <c r="AK189" s="1">
        <v>0.0</v>
      </c>
      <c r="AL189" s="1">
        <v>0.0</v>
      </c>
      <c r="AM189" s="1" t="s">
        <v>51</v>
      </c>
      <c r="AN189" s="1">
        <v>6.71652514E8</v>
      </c>
      <c r="AP189" s="1">
        <v>4.90075045E8</v>
      </c>
      <c r="AQ189" s="1" t="s">
        <v>314</v>
      </c>
      <c r="AR189" s="1">
        <v>45808.59368</v>
      </c>
      <c r="AU189" s="1" t="s">
        <v>64</v>
      </c>
      <c r="AW189" s="1" t="s">
        <v>255</v>
      </c>
      <c r="AY189" s="1">
        <v>183.0</v>
      </c>
    </row>
    <row r="190" hidden="1">
      <c r="A190" s="1" t="s">
        <v>51</v>
      </c>
      <c r="C190" s="1" t="s">
        <v>53</v>
      </c>
      <c r="E190" s="1" t="s">
        <v>53</v>
      </c>
      <c r="F190" s="1" t="s">
        <v>54</v>
      </c>
      <c r="G190" s="1">
        <v>25.0</v>
      </c>
      <c r="H190" s="1" t="s">
        <v>55</v>
      </c>
      <c r="I190" s="1" t="s">
        <v>100</v>
      </c>
      <c r="J190" s="1" t="s">
        <v>68</v>
      </c>
      <c r="K190" s="1" t="s">
        <v>57</v>
      </c>
      <c r="M190" s="1" t="s">
        <v>58</v>
      </c>
      <c r="N190" s="1" t="s">
        <v>58</v>
      </c>
      <c r="O190" s="1" t="s">
        <v>70</v>
      </c>
      <c r="Q190" s="1" t="s">
        <v>58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81</v>
      </c>
      <c r="Y190" s="1" t="s">
        <v>172</v>
      </c>
      <c r="Z190" s="1" t="s">
        <v>89</v>
      </c>
      <c r="AA190" s="1">
        <v>30.0</v>
      </c>
      <c r="AB190" s="1" t="s">
        <v>62</v>
      </c>
      <c r="AC190" s="1" t="s">
        <v>71</v>
      </c>
      <c r="AM190" s="1" t="s">
        <v>51</v>
      </c>
      <c r="AN190" s="1">
        <v>6.58674749E8</v>
      </c>
      <c r="AP190" s="1">
        <v>4.90082004E8</v>
      </c>
      <c r="AQ190" s="1" t="s">
        <v>315</v>
      </c>
      <c r="AR190" s="1">
        <v>45808.60284</v>
      </c>
      <c r="AU190" s="1" t="s">
        <v>64</v>
      </c>
      <c r="AW190" s="1" t="s">
        <v>255</v>
      </c>
      <c r="AY190" s="1">
        <v>184.0</v>
      </c>
    </row>
    <row r="191" hidden="1">
      <c r="A191" s="1" t="s">
        <v>51</v>
      </c>
      <c r="C191" s="1" t="s">
        <v>131</v>
      </c>
      <c r="E191" s="1" t="s">
        <v>53</v>
      </c>
      <c r="F191" s="1" t="s">
        <v>54</v>
      </c>
      <c r="G191" s="1">
        <v>26.0</v>
      </c>
      <c r="H191" s="1" t="s">
        <v>55</v>
      </c>
      <c r="I191" s="1" t="s">
        <v>100</v>
      </c>
      <c r="J191" s="1" t="s">
        <v>111</v>
      </c>
      <c r="K191" s="1" t="s">
        <v>57</v>
      </c>
      <c r="M191" s="1" t="s">
        <v>58</v>
      </c>
      <c r="N191" s="1" t="s">
        <v>58</v>
      </c>
      <c r="O191" s="1" t="s">
        <v>58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81</v>
      </c>
      <c r="Y191" s="1" t="s">
        <v>172</v>
      </c>
      <c r="Z191" s="1" t="s">
        <v>108</v>
      </c>
      <c r="AA191" s="1">
        <v>40.0</v>
      </c>
      <c r="AB191" s="1" t="s">
        <v>62</v>
      </c>
      <c r="AC191" s="1" t="s">
        <v>72</v>
      </c>
      <c r="AF191" s="1" t="s">
        <v>51</v>
      </c>
      <c r="AG191" s="1" t="s">
        <v>51</v>
      </c>
      <c r="AH191" s="1">
        <v>350.0</v>
      </c>
      <c r="AI191" s="1">
        <v>1.0</v>
      </c>
      <c r="AJ191" s="1">
        <v>0.0</v>
      </c>
      <c r="AK191" s="1">
        <v>0.0</v>
      </c>
      <c r="AL191" s="1">
        <v>0.0</v>
      </c>
      <c r="AM191" s="1" t="s">
        <v>51</v>
      </c>
      <c r="AN191" s="1">
        <v>7.27923016E8</v>
      </c>
      <c r="AP191" s="1">
        <v>4.90091445E8</v>
      </c>
      <c r="AQ191" s="1" t="s">
        <v>316</v>
      </c>
      <c r="AR191" s="1">
        <v>45808.61429</v>
      </c>
      <c r="AU191" s="1" t="s">
        <v>64</v>
      </c>
      <c r="AW191" s="1" t="s">
        <v>255</v>
      </c>
      <c r="AY191" s="1">
        <v>185.0</v>
      </c>
    </row>
    <row r="192" hidden="1">
      <c r="A192" s="1" t="s">
        <v>51</v>
      </c>
      <c r="C192" s="1" t="s">
        <v>131</v>
      </c>
      <c r="E192" s="1" t="s">
        <v>53</v>
      </c>
      <c r="F192" s="1" t="s">
        <v>54</v>
      </c>
      <c r="G192" s="1">
        <v>36.0</v>
      </c>
      <c r="H192" s="1" t="s">
        <v>55</v>
      </c>
      <c r="I192" s="1" t="s">
        <v>100</v>
      </c>
      <c r="J192" s="1" t="s">
        <v>111</v>
      </c>
      <c r="K192" s="1" t="s">
        <v>57</v>
      </c>
      <c r="M192" s="1" t="s">
        <v>58</v>
      </c>
      <c r="N192" s="1" t="s">
        <v>58</v>
      </c>
      <c r="O192" s="1" t="s">
        <v>70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70</v>
      </c>
      <c r="W192" s="1" t="s">
        <v>58</v>
      </c>
      <c r="X192" s="1" t="s">
        <v>81</v>
      </c>
      <c r="Y192" s="1" t="s">
        <v>82</v>
      </c>
      <c r="Z192" s="1" t="s">
        <v>96</v>
      </c>
      <c r="AA192" s="1">
        <v>100.0</v>
      </c>
      <c r="AB192" s="1" t="s">
        <v>79</v>
      </c>
      <c r="AC192" s="1" t="s">
        <v>51</v>
      </c>
      <c r="AD192" s="1" t="s">
        <v>81</v>
      </c>
      <c r="AE192" s="1" t="s">
        <v>51</v>
      </c>
      <c r="AF192" s="1" t="s">
        <v>51</v>
      </c>
      <c r="AG192" s="1" t="s">
        <v>51</v>
      </c>
      <c r="AI192" s="1">
        <v>1.0</v>
      </c>
      <c r="AJ192" s="1">
        <v>0.0</v>
      </c>
      <c r="AK192" s="1">
        <v>0.0</v>
      </c>
      <c r="AL192" s="1">
        <v>0.0</v>
      </c>
      <c r="AM192" s="1" t="s">
        <v>51</v>
      </c>
      <c r="AN192" s="1">
        <v>6.99134499E8</v>
      </c>
      <c r="AP192" s="1">
        <v>4.90093111E8</v>
      </c>
      <c r="AQ192" s="1" t="s">
        <v>317</v>
      </c>
      <c r="AR192" s="1">
        <v>45808.61626</v>
      </c>
      <c r="AU192" s="1" t="s">
        <v>64</v>
      </c>
      <c r="AW192" s="1" t="s">
        <v>255</v>
      </c>
      <c r="AY192" s="1">
        <v>186.0</v>
      </c>
    </row>
    <row r="193" hidden="1">
      <c r="A193" s="1" t="s">
        <v>51</v>
      </c>
      <c r="C193" s="1" t="s">
        <v>131</v>
      </c>
      <c r="E193" s="1" t="s">
        <v>53</v>
      </c>
      <c r="F193" s="1" t="s">
        <v>54</v>
      </c>
      <c r="G193" s="1">
        <v>24.0</v>
      </c>
      <c r="H193" s="1" t="s">
        <v>55</v>
      </c>
      <c r="I193" s="1" t="s">
        <v>100</v>
      </c>
      <c r="J193" s="1" t="s">
        <v>68</v>
      </c>
      <c r="K193" s="1" t="s">
        <v>57</v>
      </c>
      <c r="M193" s="1" t="s">
        <v>58</v>
      </c>
      <c r="N193" s="1" t="s">
        <v>58</v>
      </c>
      <c r="O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81</v>
      </c>
      <c r="Y193" s="1" t="s">
        <v>60</v>
      </c>
      <c r="Z193" s="1" t="s">
        <v>96</v>
      </c>
      <c r="AA193" s="1">
        <v>50.0</v>
      </c>
      <c r="AB193" s="1" t="s">
        <v>62</v>
      </c>
      <c r="AC193" s="1" t="s">
        <v>71</v>
      </c>
      <c r="AF193" s="1" t="s">
        <v>51</v>
      </c>
      <c r="AG193" s="1" t="s">
        <v>51</v>
      </c>
      <c r="AH193" s="1">
        <v>400.0</v>
      </c>
      <c r="AI193" s="1">
        <v>1.0</v>
      </c>
      <c r="AJ193" s="1">
        <v>0.0</v>
      </c>
      <c r="AK193" s="1">
        <v>0.0</v>
      </c>
      <c r="AL193" s="1">
        <v>0.0</v>
      </c>
      <c r="AM193" s="1" t="s">
        <v>51</v>
      </c>
      <c r="AN193" s="1">
        <v>8.13580094E8</v>
      </c>
      <c r="AP193" s="1">
        <v>4.90094558E8</v>
      </c>
      <c r="AQ193" s="1" t="s">
        <v>318</v>
      </c>
      <c r="AR193" s="1">
        <v>45808.6181</v>
      </c>
      <c r="AU193" s="1" t="s">
        <v>64</v>
      </c>
      <c r="AW193" s="1" t="s">
        <v>255</v>
      </c>
      <c r="AY193" s="1">
        <v>187.0</v>
      </c>
    </row>
    <row r="194" hidden="1">
      <c r="A194" s="1" t="s">
        <v>51</v>
      </c>
      <c r="C194" s="1" t="s">
        <v>131</v>
      </c>
      <c r="E194" s="1" t="s">
        <v>53</v>
      </c>
      <c r="F194" s="1" t="s">
        <v>54</v>
      </c>
      <c r="G194" s="1">
        <v>23.0</v>
      </c>
      <c r="H194" s="1" t="s">
        <v>55</v>
      </c>
      <c r="I194" s="1" t="s">
        <v>100</v>
      </c>
      <c r="J194" s="1" t="s">
        <v>68</v>
      </c>
      <c r="K194" s="1" t="s">
        <v>74</v>
      </c>
      <c r="M194" s="1" t="s">
        <v>58</v>
      </c>
      <c r="N194" s="1" t="s">
        <v>58</v>
      </c>
      <c r="O194" s="1" t="s">
        <v>70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81</v>
      </c>
      <c r="Y194" s="1" t="s">
        <v>172</v>
      </c>
      <c r="Z194" s="1" t="s">
        <v>127</v>
      </c>
      <c r="AA194" s="1">
        <v>50.0</v>
      </c>
      <c r="AB194" s="1" t="s">
        <v>79</v>
      </c>
      <c r="AC194" s="1" t="s">
        <v>71</v>
      </c>
      <c r="AF194" s="1" t="s">
        <v>51</v>
      </c>
      <c r="AG194" s="1" t="s">
        <v>51</v>
      </c>
      <c r="AH194" s="1">
        <v>300.0</v>
      </c>
      <c r="AI194" s="1">
        <v>1.0</v>
      </c>
      <c r="AJ194" s="1">
        <v>0.0</v>
      </c>
      <c r="AK194" s="1">
        <v>0.0</v>
      </c>
      <c r="AL194" s="1">
        <v>0.0</v>
      </c>
      <c r="AM194" s="1" t="s">
        <v>51</v>
      </c>
      <c r="AN194" s="1">
        <v>8.10851251E8</v>
      </c>
      <c r="AP194" s="1">
        <v>4.90099662E8</v>
      </c>
      <c r="AQ194" s="1" t="s">
        <v>319</v>
      </c>
      <c r="AR194" s="1">
        <v>45808.62409</v>
      </c>
      <c r="AU194" s="1" t="s">
        <v>64</v>
      </c>
      <c r="AW194" s="1" t="s">
        <v>255</v>
      </c>
      <c r="AY194" s="1">
        <v>188.0</v>
      </c>
    </row>
    <row r="195" hidden="1">
      <c r="A195" s="1" t="s">
        <v>51</v>
      </c>
      <c r="C195" s="1" t="s">
        <v>131</v>
      </c>
      <c r="E195" s="1" t="s">
        <v>53</v>
      </c>
      <c r="F195" s="1" t="s">
        <v>54</v>
      </c>
      <c r="G195" s="1">
        <v>34.0</v>
      </c>
      <c r="H195" s="1" t="s">
        <v>55</v>
      </c>
      <c r="I195" s="1" t="s">
        <v>100</v>
      </c>
      <c r="J195" s="1" t="s">
        <v>68</v>
      </c>
      <c r="K195" s="1" t="s">
        <v>74</v>
      </c>
      <c r="M195" s="1" t="s">
        <v>58</v>
      </c>
      <c r="N195" s="1" t="s">
        <v>58</v>
      </c>
      <c r="O195" s="1" t="s">
        <v>58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 t="s">
        <v>58</v>
      </c>
      <c r="X195" s="1" t="s">
        <v>81</v>
      </c>
      <c r="Y195" s="1" t="s">
        <v>172</v>
      </c>
      <c r="Z195" s="1" t="s">
        <v>127</v>
      </c>
      <c r="AA195" s="1">
        <v>50.0</v>
      </c>
      <c r="AB195" s="1" t="s">
        <v>79</v>
      </c>
      <c r="AC195" s="1" t="s">
        <v>71</v>
      </c>
      <c r="AF195" s="1" t="s">
        <v>51</v>
      </c>
      <c r="AG195" s="1" t="s">
        <v>51</v>
      </c>
      <c r="AH195" s="1">
        <v>200.0</v>
      </c>
      <c r="AI195" s="1">
        <v>1.0</v>
      </c>
      <c r="AJ195" s="1">
        <v>0.0</v>
      </c>
      <c r="AK195" s="1">
        <v>0.0</v>
      </c>
      <c r="AL195" s="1">
        <v>0.0</v>
      </c>
      <c r="AM195" s="1" t="s">
        <v>51</v>
      </c>
      <c r="AN195" s="1">
        <v>8.10851251E8</v>
      </c>
      <c r="AP195" s="1">
        <v>4.9010102E8</v>
      </c>
      <c r="AQ195" s="1" t="s">
        <v>320</v>
      </c>
      <c r="AR195" s="1">
        <v>45808.62568</v>
      </c>
      <c r="AU195" s="1" t="s">
        <v>64</v>
      </c>
      <c r="AW195" s="1" t="s">
        <v>255</v>
      </c>
      <c r="AY195" s="1">
        <v>189.0</v>
      </c>
    </row>
    <row r="196" hidden="1">
      <c r="A196" s="1" t="s">
        <v>51</v>
      </c>
      <c r="C196" s="1" t="s">
        <v>52</v>
      </c>
      <c r="E196" s="1" t="s">
        <v>53</v>
      </c>
      <c r="F196" s="1" t="s">
        <v>54</v>
      </c>
      <c r="G196" s="1">
        <v>43.0</v>
      </c>
      <c r="H196" s="1" t="s">
        <v>66</v>
      </c>
      <c r="I196" s="1" t="s">
        <v>67</v>
      </c>
      <c r="J196" s="1" t="s">
        <v>111</v>
      </c>
      <c r="K196" s="1" t="s">
        <v>74</v>
      </c>
      <c r="M196" s="1" t="s">
        <v>58</v>
      </c>
      <c r="N196" s="1" t="s">
        <v>58</v>
      </c>
      <c r="O196" s="1" t="s">
        <v>69</v>
      </c>
      <c r="Q196" s="1" t="s">
        <v>58</v>
      </c>
      <c r="R196" s="1" t="s">
        <v>58</v>
      </c>
      <c r="S196" s="1" t="s">
        <v>69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88</v>
      </c>
      <c r="Y196" s="1" t="s">
        <v>60</v>
      </c>
      <c r="Z196" s="1" t="s">
        <v>89</v>
      </c>
      <c r="AA196" s="1">
        <v>30.0</v>
      </c>
      <c r="AB196" s="1" t="s">
        <v>79</v>
      </c>
      <c r="AC196" s="1" t="s">
        <v>71</v>
      </c>
      <c r="AF196" s="1" t="s">
        <v>51</v>
      </c>
      <c r="AG196" s="1" t="s">
        <v>51</v>
      </c>
      <c r="AH196" s="1">
        <v>7000.0</v>
      </c>
      <c r="AI196" s="1">
        <v>1.0</v>
      </c>
      <c r="AJ196" s="1">
        <v>1.0</v>
      </c>
      <c r="AK196" s="1">
        <v>1.0</v>
      </c>
      <c r="AL196" s="1">
        <v>0.0</v>
      </c>
      <c r="AM196" s="1" t="s">
        <v>51</v>
      </c>
      <c r="AN196" s="1">
        <v>6.18065596E8</v>
      </c>
      <c r="AP196" s="1">
        <v>4.90101083E8</v>
      </c>
      <c r="AQ196" s="1" t="s">
        <v>321</v>
      </c>
      <c r="AR196" s="1">
        <v>45808.62576</v>
      </c>
      <c r="AU196" s="1" t="s">
        <v>64</v>
      </c>
      <c r="AW196" s="1" t="s">
        <v>255</v>
      </c>
      <c r="AY196" s="1">
        <v>190.0</v>
      </c>
    </row>
    <row r="197" hidden="1">
      <c r="A197" s="1" t="s">
        <v>51</v>
      </c>
      <c r="C197" s="1" t="s">
        <v>131</v>
      </c>
      <c r="E197" s="1" t="s">
        <v>53</v>
      </c>
      <c r="F197" s="1" t="s">
        <v>54</v>
      </c>
      <c r="G197" s="1">
        <v>23.0</v>
      </c>
      <c r="H197" s="1" t="s">
        <v>55</v>
      </c>
      <c r="I197" s="1" t="s">
        <v>100</v>
      </c>
      <c r="J197" s="1" t="s">
        <v>68</v>
      </c>
      <c r="K197" s="1" t="s">
        <v>57</v>
      </c>
      <c r="M197" s="1" t="s">
        <v>58</v>
      </c>
      <c r="N197" s="1" t="s">
        <v>58</v>
      </c>
      <c r="O197" s="1" t="s">
        <v>58</v>
      </c>
      <c r="Q197" s="1" t="s">
        <v>58</v>
      </c>
      <c r="R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81</v>
      </c>
      <c r="Y197" s="1" t="s">
        <v>172</v>
      </c>
      <c r="Z197" s="1" t="s">
        <v>96</v>
      </c>
      <c r="AA197" s="1">
        <v>50.0</v>
      </c>
      <c r="AB197" s="1" t="s">
        <v>62</v>
      </c>
      <c r="AC197" s="1" t="s">
        <v>71</v>
      </c>
      <c r="AF197" s="1" t="s">
        <v>51</v>
      </c>
      <c r="AG197" s="1" t="s">
        <v>72</v>
      </c>
      <c r="AI197" s="1">
        <v>0.0</v>
      </c>
      <c r="AJ197" s="1">
        <v>0.0</v>
      </c>
      <c r="AK197" s="1">
        <v>1.0</v>
      </c>
      <c r="AL197" s="1">
        <v>0.0</v>
      </c>
      <c r="AP197" s="1">
        <v>4.90102926E8</v>
      </c>
      <c r="AQ197" s="1" t="s">
        <v>322</v>
      </c>
      <c r="AR197" s="1">
        <v>45808.62769</v>
      </c>
      <c r="AU197" s="1" t="s">
        <v>64</v>
      </c>
      <c r="AW197" s="1" t="s">
        <v>255</v>
      </c>
      <c r="AY197" s="1">
        <v>191.0</v>
      </c>
    </row>
    <row r="198" hidden="1">
      <c r="A198" s="1" t="s">
        <v>51</v>
      </c>
      <c r="C198" s="1" t="s">
        <v>131</v>
      </c>
      <c r="E198" s="1" t="s">
        <v>53</v>
      </c>
      <c r="F198" s="1" t="s">
        <v>54</v>
      </c>
      <c r="G198" s="1">
        <v>34.0</v>
      </c>
      <c r="H198" s="1" t="s">
        <v>55</v>
      </c>
      <c r="I198" s="1" t="s">
        <v>100</v>
      </c>
      <c r="J198" s="1" t="s">
        <v>68</v>
      </c>
      <c r="K198" s="1" t="s">
        <v>57</v>
      </c>
      <c r="M198" s="1" t="s">
        <v>58</v>
      </c>
      <c r="N198" s="1" t="s">
        <v>58</v>
      </c>
      <c r="O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81</v>
      </c>
      <c r="Y198" s="1" t="s">
        <v>172</v>
      </c>
      <c r="Z198" s="1" t="s">
        <v>96</v>
      </c>
      <c r="AA198" s="1">
        <v>100.0</v>
      </c>
      <c r="AB198" s="1" t="s">
        <v>62</v>
      </c>
      <c r="AC198" s="1" t="s">
        <v>71</v>
      </c>
      <c r="AF198" s="1" t="s">
        <v>51</v>
      </c>
      <c r="AG198" s="1" t="s">
        <v>51</v>
      </c>
      <c r="AH198" s="1">
        <v>300.0</v>
      </c>
      <c r="AI198" s="1">
        <v>1.0</v>
      </c>
      <c r="AJ198" s="1">
        <v>0.0</v>
      </c>
      <c r="AK198" s="1">
        <v>0.0</v>
      </c>
      <c r="AL198" s="1">
        <v>0.0</v>
      </c>
      <c r="AM198" s="1" t="s">
        <v>51</v>
      </c>
      <c r="AN198" s="1">
        <v>6.37907157E8</v>
      </c>
      <c r="AP198" s="1">
        <v>4.90106648E8</v>
      </c>
      <c r="AQ198" s="1" t="s">
        <v>323</v>
      </c>
      <c r="AR198" s="1">
        <v>45808.63198</v>
      </c>
      <c r="AU198" s="1" t="s">
        <v>64</v>
      </c>
      <c r="AW198" s="1" t="s">
        <v>255</v>
      </c>
      <c r="AY198" s="1">
        <v>192.0</v>
      </c>
    </row>
    <row r="199" hidden="1">
      <c r="A199" s="1" t="s">
        <v>51</v>
      </c>
      <c r="C199" s="1" t="s">
        <v>131</v>
      </c>
      <c r="E199" s="1" t="s">
        <v>53</v>
      </c>
      <c r="F199" s="1" t="s">
        <v>54</v>
      </c>
      <c r="G199" s="1">
        <v>34.0</v>
      </c>
      <c r="H199" s="1" t="s">
        <v>55</v>
      </c>
      <c r="I199" s="1" t="s">
        <v>67</v>
      </c>
      <c r="J199" s="1" t="s">
        <v>68</v>
      </c>
      <c r="K199" s="1" t="s">
        <v>57</v>
      </c>
      <c r="M199" s="1" t="s">
        <v>58</v>
      </c>
      <c r="N199" s="1" t="s">
        <v>58</v>
      </c>
      <c r="O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81</v>
      </c>
      <c r="Y199" s="1" t="s">
        <v>172</v>
      </c>
      <c r="Z199" s="1" t="s">
        <v>96</v>
      </c>
      <c r="AA199" s="1">
        <v>50.0</v>
      </c>
      <c r="AB199" s="1" t="s">
        <v>28</v>
      </c>
      <c r="AC199" s="1" t="s">
        <v>71</v>
      </c>
      <c r="AF199" s="1" t="s">
        <v>51</v>
      </c>
      <c r="AG199" s="1" t="s">
        <v>51</v>
      </c>
      <c r="AH199" s="1">
        <v>250.0</v>
      </c>
      <c r="AI199" s="1">
        <v>0.0</v>
      </c>
      <c r="AJ199" s="1">
        <v>0.0</v>
      </c>
      <c r="AK199" s="1">
        <v>0.0</v>
      </c>
      <c r="AL199" s="1">
        <v>1.0</v>
      </c>
      <c r="AM199" s="1" t="s">
        <v>51</v>
      </c>
      <c r="AN199" s="1">
        <v>6.83234535E8</v>
      </c>
      <c r="AP199" s="1">
        <v>4.90108381E8</v>
      </c>
      <c r="AQ199" s="1" t="s">
        <v>324</v>
      </c>
      <c r="AR199" s="1">
        <v>45808.63403</v>
      </c>
      <c r="AU199" s="1" t="s">
        <v>64</v>
      </c>
      <c r="AW199" s="1" t="s">
        <v>255</v>
      </c>
      <c r="AY199" s="1">
        <v>193.0</v>
      </c>
    </row>
    <row r="200" hidden="1">
      <c r="A200" s="1" t="s">
        <v>51</v>
      </c>
      <c r="C200" s="1" t="s">
        <v>131</v>
      </c>
      <c r="E200" s="1" t="s">
        <v>53</v>
      </c>
      <c r="F200" s="1" t="s">
        <v>54</v>
      </c>
      <c r="G200" s="1">
        <v>23.0</v>
      </c>
      <c r="H200" s="1" t="s">
        <v>66</v>
      </c>
      <c r="I200" s="1" t="s">
        <v>100</v>
      </c>
      <c r="J200" s="1" t="s">
        <v>111</v>
      </c>
      <c r="K200" s="1" t="s">
        <v>57</v>
      </c>
      <c r="M200" s="1" t="s">
        <v>58</v>
      </c>
      <c r="N200" s="1" t="s">
        <v>58</v>
      </c>
      <c r="O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81</v>
      </c>
      <c r="Y200" s="1" t="s">
        <v>60</v>
      </c>
      <c r="Z200" s="1" t="s">
        <v>96</v>
      </c>
      <c r="AA200" s="1">
        <v>100.0</v>
      </c>
      <c r="AB200" s="1" t="s">
        <v>79</v>
      </c>
      <c r="AC200" s="1" t="s">
        <v>51</v>
      </c>
      <c r="AD200" s="1" t="s">
        <v>81</v>
      </c>
      <c r="AE200" s="1" t="s">
        <v>51</v>
      </c>
      <c r="AF200" s="1" t="s">
        <v>51</v>
      </c>
      <c r="AG200" s="1" t="s">
        <v>51</v>
      </c>
      <c r="AH200" s="1">
        <v>350.0</v>
      </c>
      <c r="AI200" s="1">
        <v>1.0</v>
      </c>
      <c r="AJ200" s="1">
        <v>0.0</v>
      </c>
      <c r="AK200" s="1">
        <v>0.0</v>
      </c>
      <c r="AL200" s="1">
        <v>0.0</v>
      </c>
      <c r="AM200" s="1" t="s">
        <v>51</v>
      </c>
      <c r="AN200" s="1">
        <v>6.05896906E8</v>
      </c>
      <c r="AP200" s="1">
        <v>4.90110505E8</v>
      </c>
      <c r="AQ200" s="1" t="s">
        <v>325</v>
      </c>
      <c r="AR200" s="1">
        <v>45808.636</v>
      </c>
      <c r="AU200" s="1" t="s">
        <v>64</v>
      </c>
      <c r="AW200" s="1" t="s">
        <v>255</v>
      </c>
      <c r="AY200" s="1">
        <v>194.0</v>
      </c>
    </row>
    <row r="201" hidden="1">
      <c r="A201" s="1" t="s">
        <v>51</v>
      </c>
      <c r="C201" s="1" t="s">
        <v>131</v>
      </c>
      <c r="E201" s="1" t="s">
        <v>53</v>
      </c>
      <c r="F201" s="1" t="s">
        <v>54</v>
      </c>
      <c r="G201" s="1">
        <v>37.0</v>
      </c>
      <c r="H201" s="1" t="s">
        <v>55</v>
      </c>
      <c r="I201" s="1" t="s">
        <v>100</v>
      </c>
      <c r="J201" s="1" t="s">
        <v>56</v>
      </c>
      <c r="K201" s="1" t="s">
        <v>74</v>
      </c>
      <c r="M201" s="1" t="s">
        <v>58</v>
      </c>
      <c r="N201" s="1" t="s">
        <v>58</v>
      </c>
      <c r="O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81</v>
      </c>
      <c r="Y201" s="1" t="s">
        <v>172</v>
      </c>
      <c r="Z201" s="1" t="s">
        <v>96</v>
      </c>
      <c r="AA201" s="1">
        <v>100.0</v>
      </c>
      <c r="AB201" s="1" t="s">
        <v>79</v>
      </c>
      <c r="AC201" s="1" t="s">
        <v>51</v>
      </c>
      <c r="AD201" s="1" t="s">
        <v>81</v>
      </c>
      <c r="AF201" s="1" t="s">
        <v>51</v>
      </c>
      <c r="AG201" s="1" t="s">
        <v>51</v>
      </c>
      <c r="AH201" s="1">
        <v>300.0</v>
      </c>
      <c r="AI201" s="1">
        <v>1.0</v>
      </c>
      <c r="AJ201" s="1">
        <v>0.0</v>
      </c>
      <c r="AK201" s="1">
        <v>0.0</v>
      </c>
      <c r="AL201" s="1">
        <v>0.0</v>
      </c>
      <c r="AM201" s="1" t="s">
        <v>51</v>
      </c>
      <c r="AN201" s="1">
        <v>7.47761012E8</v>
      </c>
      <c r="AP201" s="1">
        <v>4.90112113E8</v>
      </c>
      <c r="AQ201" s="1" t="s">
        <v>326</v>
      </c>
      <c r="AR201" s="1">
        <v>45808.6381</v>
      </c>
      <c r="AU201" s="1" t="s">
        <v>64</v>
      </c>
      <c r="AW201" s="1" t="s">
        <v>255</v>
      </c>
      <c r="AY201" s="1">
        <v>195.0</v>
      </c>
    </row>
    <row r="202" hidden="1">
      <c r="A202" s="1" t="s">
        <v>51</v>
      </c>
      <c r="C202" s="1" t="s">
        <v>131</v>
      </c>
      <c r="E202" s="1" t="s">
        <v>53</v>
      </c>
      <c r="F202" s="1" t="s">
        <v>54</v>
      </c>
      <c r="G202" s="1">
        <v>43.0</v>
      </c>
      <c r="H202" s="1" t="s">
        <v>55</v>
      </c>
      <c r="I202" s="1" t="s">
        <v>67</v>
      </c>
      <c r="J202" s="1" t="s">
        <v>68</v>
      </c>
      <c r="K202" s="1" t="s">
        <v>74</v>
      </c>
      <c r="M202" s="1" t="s">
        <v>58</v>
      </c>
      <c r="N202" s="1" t="s">
        <v>58</v>
      </c>
      <c r="O202" s="1" t="s">
        <v>58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58</v>
      </c>
      <c r="W202" s="1" t="s">
        <v>58</v>
      </c>
      <c r="X202" s="1" t="s">
        <v>81</v>
      </c>
      <c r="Y202" s="1" t="s">
        <v>60</v>
      </c>
      <c r="Z202" s="1" t="s">
        <v>96</v>
      </c>
      <c r="AA202" s="1">
        <v>100.0</v>
      </c>
      <c r="AB202" s="1" t="s">
        <v>28</v>
      </c>
      <c r="AC202" s="1" t="s">
        <v>51</v>
      </c>
      <c r="AD202" s="1" t="s">
        <v>81</v>
      </c>
      <c r="AE202" s="1" t="s">
        <v>51</v>
      </c>
      <c r="AF202" s="1" t="s">
        <v>51</v>
      </c>
      <c r="AG202" s="1" t="s">
        <v>51</v>
      </c>
      <c r="AI202" s="1">
        <v>0.0</v>
      </c>
      <c r="AJ202" s="1">
        <v>0.0</v>
      </c>
      <c r="AK202" s="1">
        <v>0.0</v>
      </c>
      <c r="AL202" s="1">
        <v>1.0</v>
      </c>
      <c r="AM202" s="1" t="s">
        <v>51</v>
      </c>
      <c r="AN202" s="1">
        <v>6.56652996E8</v>
      </c>
      <c r="AP202" s="1">
        <v>4.9011343E8</v>
      </c>
      <c r="AQ202" s="1" t="s">
        <v>327</v>
      </c>
      <c r="AR202" s="1">
        <v>45808.6394</v>
      </c>
      <c r="AU202" s="1" t="s">
        <v>64</v>
      </c>
      <c r="AW202" s="1" t="s">
        <v>255</v>
      </c>
      <c r="AY202" s="1">
        <v>196.0</v>
      </c>
    </row>
    <row r="203" hidden="1">
      <c r="AP203" s="1">
        <v>4.90113652E8</v>
      </c>
      <c r="AQ203" s="1" t="s">
        <v>533</v>
      </c>
      <c r="AR203" s="1">
        <v>45808.63961</v>
      </c>
      <c r="AU203" s="1" t="s">
        <v>64</v>
      </c>
      <c r="AW203" s="1" t="s">
        <v>255</v>
      </c>
      <c r="AY203" s="1">
        <v>197.0</v>
      </c>
    </row>
    <row r="204" hidden="1">
      <c r="A204" s="1" t="s">
        <v>51</v>
      </c>
      <c r="C204" s="1" t="s">
        <v>131</v>
      </c>
      <c r="E204" s="1" t="s">
        <v>53</v>
      </c>
      <c r="F204" s="1" t="s">
        <v>54</v>
      </c>
      <c r="G204" s="1">
        <v>32.0</v>
      </c>
      <c r="H204" s="1" t="s">
        <v>55</v>
      </c>
      <c r="I204" s="1" t="s">
        <v>100</v>
      </c>
      <c r="J204" s="1" t="s">
        <v>68</v>
      </c>
      <c r="K204" s="1" t="s">
        <v>57</v>
      </c>
      <c r="M204" s="1" t="s">
        <v>58</v>
      </c>
      <c r="N204" s="1" t="s">
        <v>58</v>
      </c>
      <c r="O204" s="1" t="s">
        <v>58</v>
      </c>
      <c r="Q204" s="1" t="s">
        <v>58</v>
      </c>
      <c r="R204" s="1" t="s">
        <v>58</v>
      </c>
      <c r="S204" s="1" t="s">
        <v>58</v>
      </c>
      <c r="T204" s="1" t="s">
        <v>58</v>
      </c>
      <c r="U204" s="1" t="s">
        <v>58</v>
      </c>
      <c r="V204" s="1" t="s">
        <v>58</v>
      </c>
      <c r="W204" s="1" t="s">
        <v>58</v>
      </c>
      <c r="X204" s="1" t="s">
        <v>81</v>
      </c>
      <c r="Y204" s="1" t="s">
        <v>60</v>
      </c>
      <c r="Z204" s="1" t="s">
        <v>96</v>
      </c>
      <c r="AA204" s="1">
        <v>100.0</v>
      </c>
      <c r="AB204" s="1" t="s">
        <v>79</v>
      </c>
      <c r="AC204" s="1" t="s">
        <v>51</v>
      </c>
      <c r="AD204" s="1" t="s">
        <v>81</v>
      </c>
      <c r="AE204" s="1" t="s">
        <v>51</v>
      </c>
      <c r="AF204" s="1" t="s">
        <v>51</v>
      </c>
      <c r="AG204" s="1" t="s">
        <v>51</v>
      </c>
      <c r="AI204" s="1">
        <v>0.0</v>
      </c>
      <c r="AJ204" s="1">
        <v>1.0</v>
      </c>
      <c r="AK204" s="1">
        <v>0.0</v>
      </c>
      <c r="AL204" s="1">
        <v>0.0</v>
      </c>
      <c r="AM204" s="1" t="s">
        <v>51</v>
      </c>
      <c r="AN204" s="1">
        <v>8.37345408E8</v>
      </c>
      <c r="AP204" s="1">
        <v>4.90115535E8</v>
      </c>
      <c r="AQ204" s="1" t="s">
        <v>328</v>
      </c>
      <c r="AR204" s="1">
        <v>45808.64135</v>
      </c>
      <c r="AU204" s="1" t="s">
        <v>64</v>
      </c>
      <c r="AW204" s="1" t="s">
        <v>255</v>
      </c>
      <c r="AY204" s="1">
        <v>198.0</v>
      </c>
    </row>
    <row r="205" hidden="1">
      <c r="A205" s="1" t="s">
        <v>51</v>
      </c>
      <c r="C205" s="1" t="s">
        <v>131</v>
      </c>
      <c r="E205" s="1" t="s">
        <v>53</v>
      </c>
      <c r="F205" s="1" t="s">
        <v>54</v>
      </c>
      <c r="G205" s="1">
        <v>26.0</v>
      </c>
      <c r="H205" s="1" t="s">
        <v>66</v>
      </c>
      <c r="I205" s="1" t="s">
        <v>100</v>
      </c>
      <c r="J205" s="1" t="s">
        <v>56</v>
      </c>
      <c r="K205" s="1" t="s">
        <v>57</v>
      </c>
      <c r="M205" s="1" t="s">
        <v>58</v>
      </c>
      <c r="N205" s="1" t="s">
        <v>58</v>
      </c>
      <c r="O205" s="1" t="s">
        <v>58</v>
      </c>
      <c r="Q205" s="1" t="s">
        <v>58</v>
      </c>
      <c r="R205" s="1" t="s">
        <v>58</v>
      </c>
      <c r="S205" s="1" t="s">
        <v>58</v>
      </c>
      <c r="T205" s="1" t="s">
        <v>58</v>
      </c>
      <c r="U205" s="1" t="s">
        <v>58</v>
      </c>
      <c r="V205" s="1" t="s">
        <v>58</v>
      </c>
      <c r="W205" s="1" t="s">
        <v>58</v>
      </c>
      <c r="X205" s="1" t="s">
        <v>81</v>
      </c>
      <c r="Y205" s="1" t="s">
        <v>82</v>
      </c>
      <c r="Z205" s="1" t="s">
        <v>127</v>
      </c>
      <c r="AA205" s="1">
        <v>50.0</v>
      </c>
      <c r="AB205" s="1" t="s">
        <v>79</v>
      </c>
      <c r="AC205" s="1" t="s">
        <v>71</v>
      </c>
      <c r="AF205" s="1" t="s">
        <v>51</v>
      </c>
      <c r="AG205" s="1" t="s">
        <v>51</v>
      </c>
      <c r="AI205" s="1">
        <v>1.0</v>
      </c>
      <c r="AJ205" s="1">
        <v>0.0</v>
      </c>
      <c r="AK205" s="1">
        <v>0.0</v>
      </c>
      <c r="AL205" s="1">
        <v>0.0</v>
      </c>
      <c r="AM205" s="1" t="s">
        <v>51</v>
      </c>
      <c r="AN205" s="1">
        <v>8.37345408E8</v>
      </c>
      <c r="AP205" s="1">
        <v>4.90116971E8</v>
      </c>
      <c r="AQ205" s="1" t="s">
        <v>329</v>
      </c>
      <c r="AR205" s="1">
        <v>45808.64273</v>
      </c>
      <c r="AU205" s="1" t="s">
        <v>64</v>
      </c>
      <c r="AW205" s="1" t="s">
        <v>255</v>
      </c>
      <c r="AY205" s="1">
        <v>199.0</v>
      </c>
    </row>
    <row r="206" hidden="1">
      <c r="A206" s="1" t="s">
        <v>51</v>
      </c>
      <c r="C206" s="1" t="s">
        <v>52</v>
      </c>
      <c r="E206" s="1" t="s">
        <v>53</v>
      </c>
      <c r="F206" s="1" t="s">
        <v>54</v>
      </c>
      <c r="G206" s="1">
        <v>31.0</v>
      </c>
      <c r="H206" s="1" t="s">
        <v>55</v>
      </c>
      <c r="I206" s="1" t="s">
        <v>67</v>
      </c>
      <c r="J206" s="1" t="s">
        <v>68</v>
      </c>
      <c r="K206" s="1" t="s">
        <v>74</v>
      </c>
      <c r="M206" s="1" t="s">
        <v>58</v>
      </c>
      <c r="N206" s="1" t="s">
        <v>58</v>
      </c>
      <c r="O206" s="1" t="s">
        <v>70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70</v>
      </c>
      <c r="W206" s="1" t="s">
        <v>70</v>
      </c>
      <c r="X206" s="1" t="s">
        <v>81</v>
      </c>
      <c r="Y206" s="1" t="s">
        <v>172</v>
      </c>
      <c r="Z206" s="1" t="s">
        <v>108</v>
      </c>
      <c r="AA206" s="1">
        <v>100.0</v>
      </c>
      <c r="AB206" s="1" t="s">
        <v>62</v>
      </c>
      <c r="AC206" s="1" t="s">
        <v>51</v>
      </c>
      <c r="AD206" s="1" t="s">
        <v>81</v>
      </c>
      <c r="AE206" s="1" t="s">
        <v>51</v>
      </c>
      <c r="AF206" s="1" t="s">
        <v>51</v>
      </c>
      <c r="AG206" s="1" t="s">
        <v>51</v>
      </c>
      <c r="AH206" s="1">
        <v>350.0</v>
      </c>
      <c r="AI206" s="1">
        <v>0.0</v>
      </c>
      <c r="AJ206" s="1">
        <v>0.0</v>
      </c>
      <c r="AK206" s="1">
        <v>0.0</v>
      </c>
      <c r="AL206" s="1">
        <v>1.0</v>
      </c>
      <c r="AM206" s="1" t="s">
        <v>51</v>
      </c>
      <c r="AN206" s="1">
        <v>6.97663225E8</v>
      </c>
      <c r="AP206" s="1">
        <v>4.90118314E8</v>
      </c>
      <c r="AQ206" s="1" t="s">
        <v>330</v>
      </c>
      <c r="AR206" s="1">
        <v>45808.64428</v>
      </c>
      <c r="AU206" s="1" t="s">
        <v>64</v>
      </c>
      <c r="AW206" s="1" t="s">
        <v>255</v>
      </c>
      <c r="AY206" s="1">
        <v>200.0</v>
      </c>
    </row>
    <row r="207" hidden="1">
      <c r="AP207" s="1">
        <v>4.90118405E8</v>
      </c>
      <c r="AQ207" s="1" t="s">
        <v>534</v>
      </c>
      <c r="AR207" s="1">
        <v>45808.64443</v>
      </c>
      <c r="AU207" s="1" t="s">
        <v>64</v>
      </c>
      <c r="AW207" s="1" t="s">
        <v>255</v>
      </c>
      <c r="AY207" s="1">
        <v>201.0</v>
      </c>
    </row>
    <row r="208" hidden="1">
      <c r="A208" s="1" t="s">
        <v>51</v>
      </c>
      <c r="C208" s="1" t="s">
        <v>53</v>
      </c>
      <c r="E208" s="1" t="s">
        <v>53</v>
      </c>
      <c r="F208" s="1" t="s">
        <v>54</v>
      </c>
      <c r="G208" s="1">
        <v>45.0</v>
      </c>
      <c r="H208" s="1" t="s">
        <v>66</v>
      </c>
      <c r="I208" s="1" t="s">
        <v>121</v>
      </c>
      <c r="J208" s="1" t="s">
        <v>86</v>
      </c>
      <c r="K208" s="1" t="s">
        <v>87</v>
      </c>
      <c r="M208" s="1" t="s">
        <v>58</v>
      </c>
      <c r="N208" s="1" t="s">
        <v>58</v>
      </c>
      <c r="O208" s="1" t="s">
        <v>58</v>
      </c>
      <c r="Q208" s="1" t="s">
        <v>69</v>
      </c>
      <c r="R208" s="1" t="s">
        <v>58</v>
      </c>
      <c r="S208" s="1" t="s">
        <v>69</v>
      </c>
      <c r="T208" s="1" t="s">
        <v>58</v>
      </c>
      <c r="U208" s="1" t="s">
        <v>58</v>
      </c>
      <c r="V208" s="1" t="s">
        <v>58</v>
      </c>
      <c r="W208" s="1" t="s">
        <v>69</v>
      </c>
      <c r="X208" s="1" t="s">
        <v>59</v>
      </c>
      <c r="Y208" s="1" t="s">
        <v>95</v>
      </c>
      <c r="Z208" s="1" t="s">
        <v>96</v>
      </c>
      <c r="AA208" s="1">
        <v>40.0</v>
      </c>
      <c r="AB208" s="1" t="s">
        <v>62</v>
      </c>
      <c r="AC208" s="1" t="s">
        <v>51</v>
      </c>
      <c r="AD208" s="1" t="s">
        <v>59</v>
      </c>
      <c r="AE208" s="1" t="s">
        <v>51</v>
      </c>
      <c r="AF208" s="1" t="s">
        <v>51</v>
      </c>
      <c r="AG208" s="1" t="s">
        <v>51</v>
      </c>
      <c r="AH208" s="1">
        <v>50.0</v>
      </c>
      <c r="AI208" s="1">
        <v>0.0</v>
      </c>
      <c r="AJ208" s="1">
        <v>0.0</v>
      </c>
      <c r="AK208" s="1">
        <v>0.0</v>
      </c>
      <c r="AL208" s="1">
        <v>1.0</v>
      </c>
      <c r="AM208" s="1" t="s">
        <v>51</v>
      </c>
      <c r="AN208" s="1">
        <v>7.63237797E8</v>
      </c>
      <c r="AP208" s="1">
        <v>4.9012673E8</v>
      </c>
      <c r="AQ208" s="1" t="s">
        <v>331</v>
      </c>
      <c r="AR208" s="1">
        <v>45808.65414</v>
      </c>
      <c r="AU208" s="1" t="s">
        <v>64</v>
      </c>
      <c r="AW208" s="1" t="s">
        <v>255</v>
      </c>
      <c r="AY208" s="1">
        <v>202.0</v>
      </c>
    </row>
    <row r="209" hidden="1">
      <c r="A209" s="1" t="s">
        <v>51</v>
      </c>
      <c r="C209" s="1" t="s">
        <v>53</v>
      </c>
      <c r="E209" s="1" t="s">
        <v>53</v>
      </c>
      <c r="F209" s="1" t="s">
        <v>54</v>
      </c>
      <c r="G209" s="1">
        <v>23.0</v>
      </c>
      <c r="H209" s="1" t="s">
        <v>66</v>
      </c>
      <c r="I209" s="1" t="s">
        <v>121</v>
      </c>
      <c r="J209" s="1" t="s">
        <v>56</v>
      </c>
      <c r="K209" s="1" t="s">
        <v>87</v>
      </c>
      <c r="M209" s="1" t="s">
        <v>58</v>
      </c>
      <c r="N209" s="1" t="s">
        <v>58</v>
      </c>
      <c r="O209" s="1" t="s">
        <v>69</v>
      </c>
      <c r="Q209" s="1" t="s">
        <v>58</v>
      </c>
      <c r="R209" s="1" t="s">
        <v>58</v>
      </c>
      <c r="S209" s="1" t="s">
        <v>58</v>
      </c>
      <c r="T209" s="1" t="s">
        <v>69</v>
      </c>
      <c r="U209" s="1" t="s">
        <v>58</v>
      </c>
      <c r="V209" s="1" t="s">
        <v>58</v>
      </c>
      <c r="W209" s="1" t="s">
        <v>58</v>
      </c>
      <c r="X209" s="1" t="s">
        <v>59</v>
      </c>
      <c r="Y209" s="1" t="s">
        <v>82</v>
      </c>
      <c r="Z209" s="1" t="s">
        <v>127</v>
      </c>
      <c r="AA209" s="1">
        <v>20.0</v>
      </c>
      <c r="AB209" s="1" t="s">
        <v>62</v>
      </c>
      <c r="AC209" s="1" t="s">
        <v>51</v>
      </c>
      <c r="AD209" s="1" t="s">
        <v>59</v>
      </c>
      <c r="AE209" s="1" t="s">
        <v>51</v>
      </c>
      <c r="AF209" s="1" t="s">
        <v>51</v>
      </c>
      <c r="AG209" s="1" t="s">
        <v>51</v>
      </c>
      <c r="AH209" s="1">
        <v>200.0</v>
      </c>
      <c r="AI209" s="1">
        <v>0.0</v>
      </c>
      <c r="AJ209" s="1">
        <v>0.0</v>
      </c>
      <c r="AK209" s="1">
        <v>0.0</v>
      </c>
      <c r="AL209" s="1">
        <v>1.0</v>
      </c>
      <c r="AM209" s="1" t="s">
        <v>51</v>
      </c>
      <c r="AN209" s="1">
        <v>7.90141579E8</v>
      </c>
      <c r="AP209" s="1">
        <v>4.9013096E8</v>
      </c>
      <c r="AQ209" s="1" t="s">
        <v>332</v>
      </c>
      <c r="AR209" s="1">
        <v>45808.65867</v>
      </c>
      <c r="AU209" s="1" t="s">
        <v>64</v>
      </c>
      <c r="AW209" s="1" t="s">
        <v>255</v>
      </c>
      <c r="AY209" s="1">
        <v>203.0</v>
      </c>
    </row>
    <row r="210" hidden="1">
      <c r="A210" s="1" t="s">
        <v>51</v>
      </c>
      <c r="C210" s="1" t="s">
        <v>52</v>
      </c>
      <c r="E210" s="1" t="s">
        <v>53</v>
      </c>
      <c r="F210" s="1" t="s">
        <v>102</v>
      </c>
      <c r="G210" s="1">
        <v>38.0</v>
      </c>
      <c r="H210" s="1" t="s">
        <v>66</v>
      </c>
      <c r="I210" s="1" t="s">
        <v>67</v>
      </c>
      <c r="J210" s="1" t="s">
        <v>111</v>
      </c>
      <c r="K210" s="1" t="s">
        <v>87</v>
      </c>
      <c r="M210" s="1" t="s">
        <v>58</v>
      </c>
      <c r="N210" s="1" t="s">
        <v>58</v>
      </c>
      <c r="O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58</v>
      </c>
      <c r="V210" s="1" t="s">
        <v>58</v>
      </c>
      <c r="W210" s="1" t="s">
        <v>58</v>
      </c>
      <c r="X210" s="1" t="s">
        <v>103</v>
      </c>
      <c r="Y210" s="1" t="s">
        <v>60</v>
      </c>
      <c r="Z210" s="1" t="s">
        <v>61</v>
      </c>
      <c r="AA210" s="1">
        <v>50.0</v>
      </c>
      <c r="AB210" s="1" t="s">
        <v>28</v>
      </c>
      <c r="AC210" s="1" t="s">
        <v>51</v>
      </c>
      <c r="AD210" s="1" t="s">
        <v>81</v>
      </c>
      <c r="AE210" s="1" t="s">
        <v>51</v>
      </c>
      <c r="AF210" s="1" t="s">
        <v>51</v>
      </c>
      <c r="AG210" s="1" t="s">
        <v>72</v>
      </c>
      <c r="AI210" s="1">
        <v>0.0</v>
      </c>
      <c r="AJ210" s="1">
        <v>1.0</v>
      </c>
      <c r="AK210" s="1">
        <v>0.0</v>
      </c>
      <c r="AL210" s="1">
        <v>0.0</v>
      </c>
      <c r="AM210" s="1" t="s">
        <v>72</v>
      </c>
      <c r="AP210" s="1">
        <v>4.90134861E8</v>
      </c>
      <c r="AQ210" s="1" t="s">
        <v>333</v>
      </c>
      <c r="AR210" s="1">
        <v>45808.6637</v>
      </c>
      <c r="AU210" s="1" t="s">
        <v>64</v>
      </c>
      <c r="AW210" s="1" t="s">
        <v>255</v>
      </c>
      <c r="AY210" s="1">
        <v>204.0</v>
      </c>
    </row>
    <row r="211" hidden="1">
      <c r="AP211" s="1">
        <v>4.90135024E8</v>
      </c>
      <c r="AQ211" s="1" t="s">
        <v>535</v>
      </c>
      <c r="AR211" s="1">
        <v>45808.66384</v>
      </c>
      <c r="AU211" s="1" t="s">
        <v>64</v>
      </c>
      <c r="AW211" s="1" t="s">
        <v>255</v>
      </c>
      <c r="AY211" s="1">
        <v>205.0</v>
      </c>
    </row>
    <row r="212" hidden="1">
      <c r="A212" s="1" t="s">
        <v>51</v>
      </c>
      <c r="C212" s="1" t="s">
        <v>52</v>
      </c>
      <c r="E212" s="1" t="s">
        <v>52</v>
      </c>
      <c r="G212" s="1">
        <v>53.0</v>
      </c>
      <c r="H212" s="1" t="s">
        <v>55</v>
      </c>
      <c r="J212" s="1" t="s">
        <v>68</v>
      </c>
      <c r="K212" s="1" t="s">
        <v>74</v>
      </c>
      <c r="M212" s="1" t="s">
        <v>58</v>
      </c>
      <c r="N212" s="1" t="s">
        <v>58</v>
      </c>
      <c r="O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88</v>
      </c>
      <c r="Y212" s="1" t="s">
        <v>82</v>
      </c>
      <c r="Z212" s="1" t="s">
        <v>89</v>
      </c>
      <c r="AA212" s="1">
        <v>40.0</v>
      </c>
      <c r="AB212" s="1" t="s">
        <v>79</v>
      </c>
      <c r="AC212" s="1" t="s">
        <v>72</v>
      </c>
      <c r="AF212" s="1" t="s">
        <v>51</v>
      </c>
      <c r="AG212" s="1" t="s">
        <v>51</v>
      </c>
      <c r="AH212" s="1">
        <v>4000.0</v>
      </c>
      <c r="AI212" s="1">
        <v>0.0</v>
      </c>
      <c r="AJ212" s="1">
        <v>0.0</v>
      </c>
      <c r="AK212" s="1">
        <v>0.0</v>
      </c>
      <c r="AL212" s="1">
        <v>1.0</v>
      </c>
      <c r="AP212" s="1">
        <v>4.90144601E8</v>
      </c>
      <c r="AQ212" s="1" t="s">
        <v>334</v>
      </c>
      <c r="AR212" s="1">
        <v>45808.67372</v>
      </c>
      <c r="AU212" s="1" t="s">
        <v>64</v>
      </c>
      <c r="AW212" s="1" t="s">
        <v>255</v>
      </c>
      <c r="AY212" s="1">
        <v>206.0</v>
      </c>
    </row>
    <row r="213" hidden="1">
      <c r="A213" s="1" t="s">
        <v>51</v>
      </c>
      <c r="C213" s="1" t="s">
        <v>53</v>
      </c>
      <c r="E213" s="1" t="s">
        <v>53</v>
      </c>
      <c r="G213" s="1">
        <v>40.0</v>
      </c>
      <c r="H213" s="1" t="s">
        <v>55</v>
      </c>
      <c r="I213" s="1" t="s">
        <v>121</v>
      </c>
      <c r="J213" s="1" t="s">
        <v>86</v>
      </c>
      <c r="K213" s="1" t="s">
        <v>87</v>
      </c>
      <c r="M213" s="1" t="s">
        <v>58</v>
      </c>
      <c r="N213" s="1" t="s">
        <v>58</v>
      </c>
      <c r="O213" s="1" t="s">
        <v>69</v>
      </c>
      <c r="Q213" s="1" t="s">
        <v>69</v>
      </c>
      <c r="R213" s="1" t="s">
        <v>58</v>
      </c>
      <c r="S213" s="1" t="s">
        <v>69</v>
      </c>
      <c r="T213" s="1" t="s">
        <v>69</v>
      </c>
      <c r="U213" s="1" t="s">
        <v>58</v>
      </c>
      <c r="V213" s="1" t="s">
        <v>70</v>
      </c>
      <c r="W213" s="1" t="s">
        <v>69</v>
      </c>
      <c r="X213" s="1" t="s">
        <v>81</v>
      </c>
      <c r="Y213" s="1" t="s">
        <v>95</v>
      </c>
      <c r="Z213" s="1" t="s">
        <v>89</v>
      </c>
      <c r="AA213" s="1">
        <v>10.0</v>
      </c>
      <c r="AB213" s="1" t="s">
        <v>28</v>
      </c>
      <c r="AC213" s="1" t="s">
        <v>71</v>
      </c>
      <c r="AF213" s="1" t="s">
        <v>72</v>
      </c>
      <c r="AG213" s="1" t="s">
        <v>72</v>
      </c>
      <c r="AI213" s="1">
        <v>0.0</v>
      </c>
      <c r="AJ213" s="1">
        <v>0.0</v>
      </c>
      <c r="AK213" s="1">
        <v>0.0</v>
      </c>
      <c r="AL213" s="1">
        <v>1.0</v>
      </c>
      <c r="AM213" s="1" t="s">
        <v>72</v>
      </c>
      <c r="AP213" s="1">
        <v>4.90148133E8</v>
      </c>
      <c r="AQ213" s="1" t="s">
        <v>335</v>
      </c>
      <c r="AR213" s="1">
        <v>45808.67863</v>
      </c>
      <c r="AU213" s="1" t="s">
        <v>64</v>
      </c>
      <c r="AW213" s="1" t="s">
        <v>255</v>
      </c>
      <c r="AY213" s="1">
        <v>207.0</v>
      </c>
    </row>
    <row r="214" hidden="1">
      <c r="A214" s="1" t="s">
        <v>51</v>
      </c>
      <c r="C214" s="1" t="s">
        <v>52</v>
      </c>
      <c r="E214" s="1" t="s">
        <v>53</v>
      </c>
      <c r="F214" s="1" t="s">
        <v>149</v>
      </c>
      <c r="G214" s="1">
        <v>47.0</v>
      </c>
      <c r="H214" s="1" t="s">
        <v>66</v>
      </c>
      <c r="I214" s="1" t="s">
        <v>67</v>
      </c>
      <c r="J214" s="1" t="s">
        <v>56</v>
      </c>
      <c r="K214" s="1" t="s">
        <v>87</v>
      </c>
      <c r="M214" s="1" t="s">
        <v>58</v>
      </c>
      <c r="N214" s="1" t="s">
        <v>58</v>
      </c>
      <c r="O214" s="1" t="s">
        <v>69</v>
      </c>
      <c r="Q214" s="1" t="s">
        <v>58</v>
      </c>
      <c r="R214" s="1" t="s">
        <v>58</v>
      </c>
      <c r="S214" s="1" t="s">
        <v>58</v>
      </c>
      <c r="T214" s="1" t="s">
        <v>69</v>
      </c>
      <c r="U214" s="1" t="s">
        <v>70</v>
      </c>
      <c r="V214" s="1" t="s">
        <v>69</v>
      </c>
      <c r="W214" s="1" t="s">
        <v>69</v>
      </c>
      <c r="X214" s="1" t="s">
        <v>81</v>
      </c>
      <c r="Y214" s="1" t="s">
        <v>60</v>
      </c>
      <c r="Z214" s="1" t="s">
        <v>127</v>
      </c>
      <c r="AA214" s="1">
        <v>100.0</v>
      </c>
      <c r="AB214" s="1" t="s">
        <v>79</v>
      </c>
      <c r="AC214" s="1" t="s">
        <v>71</v>
      </c>
      <c r="AF214" s="1" t="s">
        <v>51</v>
      </c>
      <c r="AG214" s="1" t="s">
        <v>72</v>
      </c>
      <c r="AI214" s="1">
        <v>0.0</v>
      </c>
      <c r="AJ214" s="1">
        <v>0.0</v>
      </c>
      <c r="AK214" s="1">
        <v>0.0</v>
      </c>
      <c r="AL214" s="1">
        <v>1.0</v>
      </c>
      <c r="AM214" s="1" t="s">
        <v>72</v>
      </c>
      <c r="AP214" s="1">
        <v>4.90165111E8</v>
      </c>
      <c r="AQ214" s="1" t="s">
        <v>336</v>
      </c>
      <c r="AR214" s="1">
        <v>45808.69988</v>
      </c>
      <c r="AU214" s="1" t="s">
        <v>64</v>
      </c>
      <c r="AW214" s="1" t="s">
        <v>255</v>
      </c>
      <c r="AY214" s="1">
        <v>208.0</v>
      </c>
    </row>
    <row r="215" hidden="1">
      <c r="A215" s="1" t="s">
        <v>51</v>
      </c>
      <c r="C215" s="1" t="s">
        <v>131</v>
      </c>
      <c r="E215" s="1" t="s">
        <v>53</v>
      </c>
      <c r="F215" s="1" t="s">
        <v>291</v>
      </c>
      <c r="G215" s="1">
        <v>25.0</v>
      </c>
      <c r="H215" s="1" t="s">
        <v>55</v>
      </c>
      <c r="I215" s="1" t="s">
        <v>100</v>
      </c>
      <c r="J215" s="1" t="s">
        <v>86</v>
      </c>
      <c r="K215" s="1" t="s">
        <v>57</v>
      </c>
      <c r="M215" s="1" t="s">
        <v>58</v>
      </c>
      <c r="N215" s="1" t="s">
        <v>58</v>
      </c>
      <c r="O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59</v>
      </c>
      <c r="Y215" s="1" t="s">
        <v>82</v>
      </c>
      <c r="Z215" s="1" t="s">
        <v>89</v>
      </c>
      <c r="AA215" s="1">
        <v>20.0</v>
      </c>
      <c r="AB215" s="1" t="s">
        <v>62</v>
      </c>
      <c r="AC215" s="1" t="s">
        <v>51</v>
      </c>
      <c r="AD215" s="1" t="s">
        <v>81</v>
      </c>
      <c r="AE215" s="1" t="s">
        <v>51</v>
      </c>
      <c r="AF215" s="1" t="s">
        <v>51</v>
      </c>
      <c r="AG215" s="1" t="s">
        <v>51</v>
      </c>
      <c r="AH215" s="1">
        <v>3.0</v>
      </c>
      <c r="AI215" s="1">
        <v>1.0</v>
      </c>
      <c r="AJ215" s="1">
        <v>1.0</v>
      </c>
      <c r="AK215" s="1">
        <v>0.0</v>
      </c>
      <c r="AL215" s="1">
        <v>0.0</v>
      </c>
      <c r="AM215" s="1" t="s">
        <v>51</v>
      </c>
      <c r="AN215" s="1">
        <v>8.24731825E8</v>
      </c>
      <c r="AP215" s="1">
        <v>4.90188824E8</v>
      </c>
      <c r="AQ215" s="1" t="s">
        <v>337</v>
      </c>
      <c r="AR215" s="1">
        <v>45808.72751</v>
      </c>
      <c r="AU215" s="1" t="s">
        <v>64</v>
      </c>
      <c r="AW215" s="1" t="s">
        <v>255</v>
      </c>
      <c r="AY215" s="1">
        <v>209.0</v>
      </c>
    </row>
    <row r="216" hidden="1">
      <c r="A216" s="1" t="s">
        <v>51</v>
      </c>
      <c r="C216" s="1" t="s">
        <v>131</v>
      </c>
      <c r="E216" s="1" t="s">
        <v>53</v>
      </c>
      <c r="F216" s="1" t="s">
        <v>85</v>
      </c>
      <c r="G216" s="1">
        <v>20.0</v>
      </c>
      <c r="H216" s="1" t="s">
        <v>55</v>
      </c>
      <c r="I216" s="1" t="s">
        <v>67</v>
      </c>
      <c r="J216" s="1" t="s">
        <v>68</v>
      </c>
      <c r="K216" s="1" t="s">
        <v>57</v>
      </c>
      <c r="M216" s="1" t="s">
        <v>58</v>
      </c>
      <c r="N216" s="1" t="s">
        <v>58</v>
      </c>
      <c r="O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58</v>
      </c>
      <c r="V216" s="1" t="s">
        <v>58</v>
      </c>
      <c r="W216" s="1" t="s">
        <v>58</v>
      </c>
      <c r="X216" s="1" t="s">
        <v>59</v>
      </c>
      <c r="Y216" s="1" t="s">
        <v>82</v>
      </c>
      <c r="Z216" s="1" t="s">
        <v>89</v>
      </c>
      <c r="AA216" s="1">
        <v>40.0</v>
      </c>
      <c r="AB216" s="1" t="s">
        <v>79</v>
      </c>
      <c r="AC216" s="1" t="s">
        <v>51</v>
      </c>
      <c r="AD216" s="1" t="s">
        <v>59</v>
      </c>
      <c r="AE216" s="1" t="s">
        <v>51</v>
      </c>
      <c r="AF216" s="1" t="s">
        <v>51</v>
      </c>
      <c r="AG216" s="1" t="s">
        <v>51</v>
      </c>
      <c r="AH216" s="1">
        <v>2.0</v>
      </c>
      <c r="AI216" s="1">
        <v>1.0</v>
      </c>
      <c r="AJ216" s="1">
        <v>0.0</v>
      </c>
      <c r="AK216" s="1">
        <v>0.0</v>
      </c>
      <c r="AL216" s="1">
        <v>0.0</v>
      </c>
      <c r="AM216" s="1" t="s">
        <v>51</v>
      </c>
      <c r="AN216" s="1">
        <v>7.82201442E8</v>
      </c>
      <c r="AP216" s="1">
        <v>4.90190123E8</v>
      </c>
      <c r="AQ216" s="1" t="s">
        <v>338</v>
      </c>
      <c r="AR216" s="1">
        <v>45808.7291</v>
      </c>
      <c r="AU216" s="1" t="s">
        <v>64</v>
      </c>
      <c r="AW216" s="1" t="s">
        <v>255</v>
      </c>
      <c r="AY216" s="1">
        <v>210.0</v>
      </c>
    </row>
    <row r="217" hidden="1">
      <c r="A217" s="1" t="s">
        <v>51</v>
      </c>
      <c r="C217" s="1" t="s">
        <v>131</v>
      </c>
      <c r="E217" s="1" t="s">
        <v>53</v>
      </c>
      <c r="F217" s="1" t="s">
        <v>85</v>
      </c>
      <c r="G217" s="1">
        <v>24.0</v>
      </c>
      <c r="H217" s="1" t="s">
        <v>66</v>
      </c>
      <c r="I217" s="1" t="s">
        <v>67</v>
      </c>
      <c r="J217" s="1" t="s">
        <v>68</v>
      </c>
      <c r="K217" s="1" t="s">
        <v>74</v>
      </c>
      <c r="M217" s="1" t="s">
        <v>58</v>
      </c>
      <c r="N217" s="1" t="s">
        <v>58</v>
      </c>
      <c r="O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59</v>
      </c>
      <c r="Y217" s="1" t="s">
        <v>82</v>
      </c>
      <c r="Z217" s="1" t="s">
        <v>89</v>
      </c>
      <c r="AA217" s="1">
        <v>50.0</v>
      </c>
      <c r="AB217" s="1" t="s">
        <v>79</v>
      </c>
      <c r="AC217" s="1" t="s">
        <v>51</v>
      </c>
      <c r="AD217" s="1" t="s">
        <v>59</v>
      </c>
      <c r="AE217" s="1" t="s">
        <v>51</v>
      </c>
      <c r="AF217" s="1" t="s">
        <v>51</v>
      </c>
      <c r="AG217" s="1" t="s">
        <v>51</v>
      </c>
      <c r="AH217" s="1">
        <v>6.0</v>
      </c>
      <c r="AI217" s="1">
        <v>0.0</v>
      </c>
      <c r="AJ217" s="1">
        <v>1.0</v>
      </c>
      <c r="AK217" s="1">
        <v>0.0</v>
      </c>
      <c r="AL217" s="1">
        <v>0.0</v>
      </c>
      <c r="AM217" s="1" t="s">
        <v>51</v>
      </c>
      <c r="AN217" s="1">
        <v>8.351742E8</v>
      </c>
      <c r="AP217" s="1">
        <v>4.90191795E8</v>
      </c>
      <c r="AQ217" s="1" t="s">
        <v>339</v>
      </c>
      <c r="AR217" s="1">
        <v>45808.73111</v>
      </c>
      <c r="AU217" s="1" t="s">
        <v>64</v>
      </c>
      <c r="AW217" s="1" t="s">
        <v>255</v>
      </c>
      <c r="AY217" s="1">
        <v>211.0</v>
      </c>
    </row>
    <row r="218" hidden="1">
      <c r="A218" s="1" t="s">
        <v>51</v>
      </c>
      <c r="C218" s="1" t="s">
        <v>131</v>
      </c>
      <c r="E218" s="1" t="s">
        <v>53</v>
      </c>
      <c r="F218" s="1" t="s">
        <v>291</v>
      </c>
      <c r="G218" s="1">
        <v>19.0</v>
      </c>
      <c r="H218" s="1" t="s">
        <v>66</v>
      </c>
      <c r="I218" s="1" t="s">
        <v>76</v>
      </c>
      <c r="J218" s="1" t="s">
        <v>111</v>
      </c>
      <c r="K218" s="1" t="s">
        <v>74</v>
      </c>
      <c r="M218" s="1" t="s">
        <v>58</v>
      </c>
      <c r="N218" s="1" t="s">
        <v>58</v>
      </c>
      <c r="O218" s="1" t="s">
        <v>58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59</v>
      </c>
      <c r="Y218" s="1" t="s">
        <v>60</v>
      </c>
      <c r="Z218" s="1" t="s">
        <v>89</v>
      </c>
      <c r="AA218" s="1">
        <v>50.0</v>
      </c>
      <c r="AB218" s="1" t="s">
        <v>62</v>
      </c>
      <c r="AC218" s="1" t="s">
        <v>51</v>
      </c>
      <c r="AD218" s="1" t="s">
        <v>59</v>
      </c>
      <c r="AE218" s="1" t="s">
        <v>51</v>
      </c>
      <c r="AF218" s="1" t="s">
        <v>51</v>
      </c>
      <c r="AG218" s="1" t="s">
        <v>51</v>
      </c>
      <c r="AH218" s="1">
        <v>2.0</v>
      </c>
      <c r="AI218" s="1">
        <v>1.0</v>
      </c>
      <c r="AJ218" s="1">
        <v>0.0</v>
      </c>
      <c r="AK218" s="1">
        <v>0.0</v>
      </c>
      <c r="AL218" s="1">
        <v>0.0</v>
      </c>
      <c r="AM218" s="1" t="s">
        <v>51</v>
      </c>
      <c r="AN218" s="1">
        <v>7.16325173E8</v>
      </c>
      <c r="AP218" s="1">
        <v>4.90193602E8</v>
      </c>
      <c r="AQ218" s="1" t="s">
        <v>340</v>
      </c>
      <c r="AR218" s="1">
        <v>45808.7331</v>
      </c>
      <c r="AU218" s="1" t="s">
        <v>64</v>
      </c>
      <c r="AW218" s="1" t="s">
        <v>255</v>
      </c>
      <c r="AY218" s="1">
        <v>212.0</v>
      </c>
    </row>
    <row r="219" hidden="1">
      <c r="A219" s="1" t="s">
        <v>51</v>
      </c>
      <c r="C219" s="1" t="s">
        <v>131</v>
      </c>
      <c r="E219" s="1" t="s">
        <v>53</v>
      </c>
      <c r="F219" s="1" t="s">
        <v>291</v>
      </c>
      <c r="G219" s="1">
        <v>24.0</v>
      </c>
      <c r="H219" s="1" t="s">
        <v>55</v>
      </c>
      <c r="I219" s="1" t="s">
        <v>100</v>
      </c>
      <c r="J219" s="1" t="s">
        <v>111</v>
      </c>
      <c r="K219" s="1" t="s">
        <v>57</v>
      </c>
      <c r="M219" s="1" t="s">
        <v>58</v>
      </c>
      <c r="N219" s="1" t="s">
        <v>58</v>
      </c>
      <c r="O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59</v>
      </c>
      <c r="Y219" s="1" t="s">
        <v>60</v>
      </c>
      <c r="Z219" s="1" t="s">
        <v>127</v>
      </c>
      <c r="AA219" s="1">
        <v>20.0</v>
      </c>
      <c r="AB219" s="1" t="s">
        <v>79</v>
      </c>
      <c r="AC219" s="1" t="s">
        <v>51</v>
      </c>
      <c r="AD219" s="1" t="s">
        <v>59</v>
      </c>
      <c r="AE219" s="1" t="s">
        <v>51</v>
      </c>
      <c r="AF219" s="1" t="s">
        <v>51</v>
      </c>
      <c r="AG219" s="1" t="s">
        <v>51</v>
      </c>
      <c r="AH219" s="1">
        <v>3.0</v>
      </c>
      <c r="AI219" s="1">
        <v>1.0</v>
      </c>
      <c r="AJ219" s="1">
        <v>0.0</v>
      </c>
      <c r="AK219" s="1">
        <v>0.0</v>
      </c>
      <c r="AL219" s="1">
        <v>0.0</v>
      </c>
      <c r="AM219" s="1" t="s">
        <v>51</v>
      </c>
      <c r="AN219" s="1">
        <v>8.44112654E8</v>
      </c>
      <c r="AP219" s="1">
        <v>4.90194764E8</v>
      </c>
      <c r="AQ219" s="1" t="s">
        <v>341</v>
      </c>
      <c r="AR219" s="1">
        <v>45808.7347</v>
      </c>
      <c r="AU219" s="1" t="s">
        <v>64</v>
      </c>
      <c r="AW219" s="1" t="s">
        <v>255</v>
      </c>
      <c r="AY219" s="1">
        <v>213.0</v>
      </c>
    </row>
    <row r="220" hidden="1">
      <c r="A220" s="1" t="s">
        <v>51</v>
      </c>
      <c r="C220" s="1" t="s">
        <v>131</v>
      </c>
      <c r="E220" s="1" t="s">
        <v>53</v>
      </c>
      <c r="F220" s="1" t="s">
        <v>85</v>
      </c>
      <c r="G220" s="1">
        <v>22.0</v>
      </c>
      <c r="H220" s="1" t="s">
        <v>55</v>
      </c>
      <c r="I220" s="1" t="s">
        <v>67</v>
      </c>
      <c r="J220" s="1" t="s">
        <v>86</v>
      </c>
      <c r="K220" s="1" t="s">
        <v>74</v>
      </c>
      <c r="M220" s="1" t="s">
        <v>58</v>
      </c>
      <c r="N220" s="1" t="s">
        <v>58</v>
      </c>
      <c r="O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59</v>
      </c>
      <c r="Y220" s="1" t="s">
        <v>82</v>
      </c>
      <c r="Z220" s="1" t="s">
        <v>108</v>
      </c>
      <c r="AA220" s="1">
        <v>20.0</v>
      </c>
      <c r="AB220" s="1" t="s">
        <v>79</v>
      </c>
      <c r="AC220" s="1" t="s">
        <v>51</v>
      </c>
      <c r="AD220" s="1" t="s">
        <v>59</v>
      </c>
      <c r="AE220" s="1" t="s">
        <v>51</v>
      </c>
      <c r="AF220" s="1" t="s">
        <v>51</v>
      </c>
      <c r="AG220" s="1" t="s">
        <v>51</v>
      </c>
      <c r="AH220" s="1">
        <v>4.0</v>
      </c>
      <c r="AI220" s="1">
        <v>1.0</v>
      </c>
      <c r="AJ220" s="1">
        <v>0.0</v>
      </c>
      <c r="AK220" s="1">
        <v>0.0</v>
      </c>
      <c r="AL220" s="1">
        <v>0.0</v>
      </c>
      <c r="AM220" s="1" t="s">
        <v>51</v>
      </c>
      <c r="AN220" s="1">
        <v>8.3324428E7</v>
      </c>
      <c r="AP220" s="1">
        <v>4.90195712E8</v>
      </c>
      <c r="AQ220" s="1" t="s">
        <v>342</v>
      </c>
      <c r="AR220" s="1">
        <v>45808.73625</v>
      </c>
      <c r="AU220" s="1" t="s">
        <v>64</v>
      </c>
      <c r="AW220" s="1" t="s">
        <v>255</v>
      </c>
      <c r="AY220" s="1">
        <v>214.0</v>
      </c>
    </row>
    <row r="221" hidden="1">
      <c r="A221" s="1" t="s">
        <v>51</v>
      </c>
      <c r="C221" s="1" t="s">
        <v>131</v>
      </c>
      <c r="E221" s="1" t="s">
        <v>53</v>
      </c>
      <c r="F221" s="1" t="s">
        <v>85</v>
      </c>
      <c r="G221" s="1">
        <v>23.0</v>
      </c>
      <c r="H221" s="1" t="s">
        <v>55</v>
      </c>
      <c r="I221" s="1" t="s">
        <v>76</v>
      </c>
      <c r="J221" s="1" t="s">
        <v>111</v>
      </c>
      <c r="K221" s="1" t="s">
        <v>78</v>
      </c>
      <c r="M221" s="1" t="s">
        <v>58</v>
      </c>
      <c r="N221" s="1" t="s">
        <v>58</v>
      </c>
      <c r="O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88</v>
      </c>
      <c r="Y221" s="1" t="s">
        <v>82</v>
      </c>
      <c r="Z221" s="1" t="s">
        <v>127</v>
      </c>
      <c r="AA221" s="1">
        <v>20.0</v>
      </c>
      <c r="AB221" s="1" t="s">
        <v>79</v>
      </c>
      <c r="AC221" s="1" t="s">
        <v>51</v>
      </c>
      <c r="AD221" s="1" t="s">
        <v>88</v>
      </c>
      <c r="AE221" s="1" t="s">
        <v>51</v>
      </c>
      <c r="AF221" s="1" t="s">
        <v>51</v>
      </c>
      <c r="AG221" s="1" t="s">
        <v>51</v>
      </c>
      <c r="AH221" s="1">
        <v>6.0</v>
      </c>
      <c r="AI221" s="1">
        <v>1.0</v>
      </c>
      <c r="AJ221" s="1">
        <v>0.0</v>
      </c>
      <c r="AK221" s="1">
        <v>0.0</v>
      </c>
      <c r="AL221" s="1">
        <v>0.0</v>
      </c>
      <c r="AM221" s="1" t="s">
        <v>51</v>
      </c>
      <c r="AN221" s="1">
        <v>6.39293953E8</v>
      </c>
      <c r="AP221" s="1">
        <v>4.90196718E8</v>
      </c>
      <c r="AQ221" s="1" t="s">
        <v>343</v>
      </c>
      <c r="AR221" s="1">
        <v>45808.73804</v>
      </c>
      <c r="AU221" s="1" t="s">
        <v>64</v>
      </c>
      <c r="AW221" s="1" t="s">
        <v>255</v>
      </c>
      <c r="AY221" s="1">
        <v>215.0</v>
      </c>
    </row>
    <row r="222" hidden="1">
      <c r="A222" s="1" t="s">
        <v>51</v>
      </c>
      <c r="C222" s="1" t="s">
        <v>52</v>
      </c>
      <c r="E222" s="1" t="s">
        <v>52</v>
      </c>
      <c r="G222" s="1">
        <v>44.0</v>
      </c>
      <c r="K222" s="1" t="s">
        <v>87</v>
      </c>
      <c r="N222" s="1" t="s">
        <v>58</v>
      </c>
      <c r="O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70</v>
      </c>
      <c r="V222" s="1" t="s">
        <v>58</v>
      </c>
      <c r="W222" s="1" t="s">
        <v>58</v>
      </c>
      <c r="X222" s="1" t="s">
        <v>81</v>
      </c>
      <c r="Y222" s="1" t="s">
        <v>60</v>
      </c>
      <c r="Z222" s="1" t="s">
        <v>89</v>
      </c>
      <c r="AA222" s="1">
        <v>100.0</v>
      </c>
      <c r="AB222" s="1" t="s">
        <v>62</v>
      </c>
      <c r="AC222" s="1" t="s">
        <v>71</v>
      </c>
      <c r="AF222" s="1" t="s">
        <v>51</v>
      </c>
      <c r="AG222" s="1" t="s">
        <v>72</v>
      </c>
      <c r="AI222" s="1">
        <v>1.0</v>
      </c>
      <c r="AJ222" s="1">
        <v>1.0</v>
      </c>
      <c r="AK222" s="1">
        <v>1.0</v>
      </c>
      <c r="AL222" s="1">
        <v>0.0</v>
      </c>
      <c r="AP222" s="1">
        <v>4.90197763E8</v>
      </c>
      <c r="AQ222" s="1" t="s">
        <v>344</v>
      </c>
      <c r="AR222" s="1">
        <v>45808.73958</v>
      </c>
      <c r="AU222" s="1" t="s">
        <v>64</v>
      </c>
      <c r="AW222" s="1" t="s">
        <v>255</v>
      </c>
      <c r="AY222" s="1">
        <v>216.0</v>
      </c>
    </row>
    <row r="223" hidden="1">
      <c r="A223" s="1" t="s">
        <v>51</v>
      </c>
      <c r="C223" s="1" t="s">
        <v>131</v>
      </c>
      <c r="E223" s="1" t="s">
        <v>53</v>
      </c>
      <c r="F223" s="1" t="s">
        <v>345</v>
      </c>
      <c r="G223" s="1">
        <v>25.0</v>
      </c>
      <c r="H223" s="1" t="s">
        <v>66</v>
      </c>
      <c r="I223" s="1" t="s">
        <v>100</v>
      </c>
      <c r="J223" s="1" t="s">
        <v>111</v>
      </c>
      <c r="K223" s="1" t="s">
        <v>78</v>
      </c>
      <c r="M223" s="1" t="s">
        <v>58</v>
      </c>
      <c r="N223" s="1" t="s">
        <v>58</v>
      </c>
      <c r="O223" s="1" t="s">
        <v>58</v>
      </c>
      <c r="Q223" s="1" t="s">
        <v>58</v>
      </c>
      <c r="R223" s="1" t="s">
        <v>58</v>
      </c>
      <c r="S223" s="1" t="s">
        <v>58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88</v>
      </c>
      <c r="Y223" s="1" t="s">
        <v>95</v>
      </c>
      <c r="Z223" s="1" t="s">
        <v>89</v>
      </c>
      <c r="AA223" s="1">
        <v>10.0</v>
      </c>
      <c r="AB223" s="1" t="s">
        <v>62</v>
      </c>
      <c r="AC223" s="1" t="s">
        <v>51</v>
      </c>
      <c r="AD223" s="1" t="s">
        <v>59</v>
      </c>
      <c r="AE223" s="1" t="s">
        <v>51</v>
      </c>
      <c r="AF223" s="1" t="s">
        <v>51</v>
      </c>
      <c r="AG223" s="1" t="s">
        <v>51</v>
      </c>
      <c r="AH223" s="1">
        <v>2.0</v>
      </c>
      <c r="AI223" s="1">
        <v>1.0</v>
      </c>
      <c r="AJ223" s="1">
        <v>0.0</v>
      </c>
      <c r="AK223" s="1">
        <v>0.0</v>
      </c>
      <c r="AL223" s="1">
        <v>0.0</v>
      </c>
      <c r="AM223" s="1" t="s">
        <v>51</v>
      </c>
      <c r="AN223" s="1">
        <v>7.35090851E8</v>
      </c>
      <c r="AP223" s="1">
        <v>4.90197869E8</v>
      </c>
      <c r="AQ223" s="1" t="s">
        <v>346</v>
      </c>
      <c r="AR223" s="1">
        <v>45808.73975</v>
      </c>
      <c r="AU223" s="1" t="s">
        <v>64</v>
      </c>
      <c r="AW223" s="1" t="s">
        <v>255</v>
      </c>
      <c r="AY223" s="1">
        <v>217.0</v>
      </c>
    </row>
    <row r="224" hidden="1">
      <c r="A224" s="1" t="s">
        <v>51</v>
      </c>
      <c r="C224" s="1" t="s">
        <v>347</v>
      </c>
      <c r="E224" s="1" t="s">
        <v>154</v>
      </c>
      <c r="G224" s="1">
        <v>38.0</v>
      </c>
      <c r="H224" s="1" t="s">
        <v>55</v>
      </c>
      <c r="J224" s="1" t="s">
        <v>86</v>
      </c>
      <c r="K224" s="1" t="s">
        <v>87</v>
      </c>
      <c r="M224" s="1" t="s">
        <v>58</v>
      </c>
      <c r="N224" s="1" t="s">
        <v>58</v>
      </c>
      <c r="O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59</v>
      </c>
      <c r="Y224" s="1" t="s">
        <v>227</v>
      </c>
      <c r="Z224" s="1" t="s">
        <v>89</v>
      </c>
      <c r="AA224" s="1">
        <v>100.0</v>
      </c>
      <c r="AB224" s="1" t="s">
        <v>62</v>
      </c>
      <c r="AC224" s="1" t="s">
        <v>51</v>
      </c>
      <c r="AD224" s="1" t="s">
        <v>81</v>
      </c>
      <c r="AE224" s="1" t="s">
        <v>51</v>
      </c>
      <c r="AF224" s="1" t="s">
        <v>51</v>
      </c>
      <c r="AG224" s="1" t="s">
        <v>51</v>
      </c>
      <c r="AH224" s="1">
        <v>100.0</v>
      </c>
      <c r="AI224" s="1">
        <v>0.0</v>
      </c>
      <c r="AJ224" s="1">
        <v>0.0</v>
      </c>
      <c r="AK224" s="1">
        <v>0.0</v>
      </c>
      <c r="AL224" s="1">
        <v>1.0</v>
      </c>
      <c r="AP224" s="1">
        <v>4.90198157E8</v>
      </c>
      <c r="AQ224" s="1" t="s">
        <v>348</v>
      </c>
      <c r="AR224" s="1">
        <v>45808.7402</v>
      </c>
      <c r="AU224" s="1" t="s">
        <v>64</v>
      </c>
      <c r="AW224" s="1" t="s">
        <v>255</v>
      </c>
      <c r="AY224" s="1">
        <v>218.0</v>
      </c>
    </row>
    <row r="225" hidden="1">
      <c r="A225" s="1" t="s">
        <v>51</v>
      </c>
      <c r="C225" s="1" t="s">
        <v>131</v>
      </c>
      <c r="E225" s="1" t="s">
        <v>53</v>
      </c>
      <c r="F225" s="1" t="s">
        <v>291</v>
      </c>
      <c r="G225" s="1">
        <v>27.0</v>
      </c>
      <c r="H225" s="1" t="s">
        <v>55</v>
      </c>
      <c r="I225" s="1" t="s">
        <v>67</v>
      </c>
      <c r="J225" s="1" t="s">
        <v>111</v>
      </c>
      <c r="K225" s="1" t="s">
        <v>78</v>
      </c>
      <c r="M225" s="1" t="s">
        <v>58</v>
      </c>
      <c r="N225" s="1" t="s">
        <v>58</v>
      </c>
      <c r="O225" s="1" t="s">
        <v>58</v>
      </c>
      <c r="Q225" s="1" t="s">
        <v>58</v>
      </c>
      <c r="R225" s="1" t="s">
        <v>58</v>
      </c>
      <c r="S225" s="1" t="s">
        <v>58</v>
      </c>
      <c r="T225" s="1" t="s">
        <v>58</v>
      </c>
      <c r="U225" s="1" t="s">
        <v>58</v>
      </c>
      <c r="V225" s="1" t="s">
        <v>58</v>
      </c>
      <c r="W225" s="1" t="s">
        <v>58</v>
      </c>
      <c r="X225" s="1" t="s">
        <v>59</v>
      </c>
      <c r="Y225" s="1" t="s">
        <v>172</v>
      </c>
      <c r="Z225" s="1" t="s">
        <v>127</v>
      </c>
      <c r="AA225" s="1">
        <v>30.0</v>
      </c>
      <c r="AB225" s="1" t="s">
        <v>62</v>
      </c>
      <c r="AC225" s="1" t="s">
        <v>51</v>
      </c>
      <c r="AD225" s="1" t="s">
        <v>59</v>
      </c>
      <c r="AE225" s="1" t="s">
        <v>51</v>
      </c>
      <c r="AF225" s="1" t="s">
        <v>51</v>
      </c>
      <c r="AI225" s="1">
        <v>1.0</v>
      </c>
      <c r="AJ225" s="1">
        <v>0.0</v>
      </c>
      <c r="AK225" s="1">
        <v>0.0</v>
      </c>
      <c r="AL225" s="1">
        <v>0.0</v>
      </c>
      <c r="AM225" s="1" t="s">
        <v>51</v>
      </c>
      <c r="AN225" s="1">
        <v>6.9329315E8</v>
      </c>
      <c r="AP225" s="1">
        <v>4.90199022E8</v>
      </c>
      <c r="AQ225" s="1" t="s">
        <v>349</v>
      </c>
      <c r="AR225" s="1">
        <v>45808.74153</v>
      </c>
      <c r="AU225" s="1" t="s">
        <v>64</v>
      </c>
      <c r="AW225" s="1" t="s">
        <v>255</v>
      </c>
      <c r="AY225" s="1">
        <v>219.0</v>
      </c>
    </row>
    <row r="226" hidden="1">
      <c r="A226" s="1" t="s">
        <v>51</v>
      </c>
      <c r="C226" s="1" t="s">
        <v>131</v>
      </c>
      <c r="E226" s="1" t="s">
        <v>53</v>
      </c>
      <c r="F226" s="1" t="s">
        <v>350</v>
      </c>
      <c r="G226" s="1">
        <v>29.0</v>
      </c>
      <c r="H226" s="1" t="s">
        <v>66</v>
      </c>
      <c r="I226" s="1" t="s">
        <v>67</v>
      </c>
      <c r="J226" s="1" t="s">
        <v>111</v>
      </c>
      <c r="K226" s="1" t="s">
        <v>57</v>
      </c>
      <c r="M226" s="1" t="s">
        <v>58</v>
      </c>
      <c r="N226" s="1" t="s">
        <v>70</v>
      </c>
      <c r="O226" s="1" t="s">
        <v>58</v>
      </c>
      <c r="Q226" s="1" t="s">
        <v>58</v>
      </c>
      <c r="R226" s="1" t="s">
        <v>58</v>
      </c>
      <c r="S226" s="1" t="s">
        <v>58</v>
      </c>
      <c r="T226" s="1" t="s">
        <v>58</v>
      </c>
      <c r="U226" s="1" t="s">
        <v>58</v>
      </c>
      <c r="V226" s="1" t="s">
        <v>58</v>
      </c>
      <c r="W226" s="1" t="s">
        <v>58</v>
      </c>
      <c r="X226" s="1" t="s">
        <v>88</v>
      </c>
      <c r="Y226" s="1" t="s">
        <v>82</v>
      </c>
      <c r="Z226" s="1" t="s">
        <v>89</v>
      </c>
      <c r="AA226" s="1">
        <v>10.0</v>
      </c>
      <c r="AB226" s="1" t="s">
        <v>79</v>
      </c>
      <c r="AC226" s="1" t="s">
        <v>51</v>
      </c>
      <c r="AD226" s="1" t="s">
        <v>88</v>
      </c>
      <c r="AF226" s="1" t="s">
        <v>51</v>
      </c>
      <c r="AG226" s="1" t="s">
        <v>51</v>
      </c>
      <c r="AI226" s="1">
        <v>1.0</v>
      </c>
      <c r="AJ226" s="1">
        <v>0.0</v>
      </c>
      <c r="AK226" s="1">
        <v>0.0</v>
      </c>
      <c r="AL226" s="1">
        <v>0.0</v>
      </c>
      <c r="AM226" s="1" t="s">
        <v>51</v>
      </c>
      <c r="AN226" s="1">
        <v>7.69616023E8</v>
      </c>
      <c r="AP226" s="1">
        <v>4.90201666E8</v>
      </c>
      <c r="AQ226" s="1" t="s">
        <v>351</v>
      </c>
      <c r="AR226" s="1">
        <v>45808.74565</v>
      </c>
      <c r="AU226" s="1" t="s">
        <v>64</v>
      </c>
      <c r="AW226" s="1" t="s">
        <v>255</v>
      </c>
      <c r="AY226" s="1">
        <v>220.0</v>
      </c>
    </row>
    <row r="227" hidden="1">
      <c r="A227" s="1" t="s">
        <v>51</v>
      </c>
      <c r="C227" s="1" t="s">
        <v>131</v>
      </c>
      <c r="E227" s="1" t="s">
        <v>53</v>
      </c>
      <c r="F227" s="1" t="s">
        <v>85</v>
      </c>
      <c r="G227" s="1">
        <v>21.0</v>
      </c>
      <c r="H227" s="1" t="s">
        <v>55</v>
      </c>
      <c r="I227" s="1" t="s">
        <v>100</v>
      </c>
      <c r="K227" s="1" t="s">
        <v>57</v>
      </c>
      <c r="M227" s="1" t="s">
        <v>70</v>
      </c>
      <c r="N227" s="1" t="s">
        <v>58</v>
      </c>
      <c r="O227" s="1" t="s">
        <v>58</v>
      </c>
      <c r="Q227" s="1" t="s">
        <v>58</v>
      </c>
      <c r="R227" s="1" t="s">
        <v>58</v>
      </c>
      <c r="S227" s="1" t="s">
        <v>58</v>
      </c>
      <c r="T227" s="1" t="s">
        <v>58</v>
      </c>
      <c r="U227" s="1" t="s">
        <v>70</v>
      </c>
      <c r="V227" s="1" t="s">
        <v>58</v>
      </c>
      <c r="X227" s="1" t="s">
        <v>88</v>
      </c>
      <c r="Y227" s="1" t="s">
        <v>82</v>
      </c>
      <c r="Z227" s="1" t="s">
        <v>89</v>
      </c>
      <c r="AA227" s="1">
        <v>20.0</v>
      </c>
      <c r="AB227" s="1" t="s">
        <v>62</v>
      </c>
      <c r="AC227" s="1" t="s">
        <v>51</v>
      </c>
      <c r="AD227" s="1" t="s">
        <v>59</v>
      </c>
      <c r="AE227" s="1" t="s">
        <v>51</v>
      </c>
      <c r="AF227" s="1" t="s">
        <v>51</v>
      </c>
      <c r="AG227" s="1" t="s">
        <v>51</v>
      </c>
      <c r="AH227" s="1">
        <v>4.0</v>
      </c>
      <c r="AI227" s="1">
        <v>1.0</v>
      </c>
      <c r="AJ227" s="1">
        <v>0.0</v>
      </c>
      <c r="AK227" s="1">
        <v>0.0</v>
      </c>
      <c r="AL227" s="1">
        <v>0.0</v>
      </c>
      <c r="AM227" s="1" t="s">
        <v>51</v>
      </c>
      <c r="AN227" s="1">
        <v>6.58208359E8</v>
      </c>
      <c r="AP227" s="1">
        <v>4.90202815E8</v>
      </c>
      <c r="AQ227" s="1" t="s">
        <v>352</v>
      </c>
      <c r="AR227" s="1">
        <v>45808.74745</v>
      </c>
      <c r="AU227" s="1" t="s">
        <v>64</v>
      </c>
      <c r="AW227" s="1" t="s">
        <v>255</v>
      </c>
      <c r="AY227" s="1">
        <v>221.0</v>
      </c>
    </row>
    <row r="228" hidden="1">
      <c r="A228" s="1" t="s">
        <v>51</v>
      </c>
      <c r="C228" s="1" t="s">
        <v>131</v>
      </c>
      <c r="E228" s="1" t="s">
        <v>53</v>
      </c>
      <c r="F228" s="1" t="s">
        <v>85</v>
      </c>
      <c r="G228" s="1">
        <v>26.0</v>
      </c>
      <c r="H228" s="1" t="s">
        <v>55</v>
      </c>
      <c r="I228" s="1" t="s">
        <v>100</v>
      </c>
      <c r="J228" s="1" t="s">
        <v>68</v>
      </c>
      <c r="K228" s="1" t="s">
        <v>57</v>
      </c>
      <c r="M228" s="1" t="s">
        <v>58</v>
      </c>
      <c r="N228" s="1" t="s">
        <v>58</v>
      </c>
      <c r="O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81</v>
      </c>
      <c r="Y228" s="1" t="s">
        <v>82</v>
      </c>
      <c r="Z228" s="1" t="s">
        <v>89</v>
      </c>
      <c r="AA228" s="1">
        <v>40.0</v>
      </c>
      <c r="AB228" s="1" t="s">
        <v>62</v>
      </c>
      <c r="AC228" s="1" t="s">
        <v>51</v>
      </c>
      <c r="AD228" s="1" t="s">
        <v>81</v>
      </c>
      <c r="AE228" s="1" t="s">
        <v>51</v>
      </c>
      <c r="AF228" s="1" t="s">
        <v>51</v>
      </c>
      <c r="AG228" s="1" t="s">
        <v>51</v>
      </c>
      <c r="AH228" s="1">
        <v>3.0</v>
      </c>
      <c r="AI228" s="1">
        <v>1.0</v>
      </c>
      <c r="AJ228" s="1">
        <v>0.0</v>
      </c>
      <c r="AK228" s="1">
        <v>0.0</v>
      </c>
      <c r="AL228" s="1">
        <v>0.0</v>
      </c>
      <c r="AM228" s="1" t="s">
        <v>51</v>
      </c>
      <c r="AN228" s="1">
        <v>7.33428072E8</v>
      </c>
      <c r="AP228" s="1">
        <v>4.9020474E8</v>
      </c>
      <c r="AQ228" s="1" t="s">
        <v>353</v>
      </c>
      <c r="AR228" s="1">
        <v>45808.75047</v>
      </c>
      <c r="AU228" s="1" t="s">
        <v>64</v>
      </c>
      <c r="AW228" s="1" t="s">
        <v>255</v>
      </c>
      <c r="AY228" s="1">
        <v>222.0</v>
      </c>
    </row>
    <row r="229" hidden="1">
      <c r="A229" s="1" t="s">
        <v>51</v>
      </c>
      <c r="C229" s="1" t="s">
        <v>131</v>
      </c>
      <c r="E229" s="1" t="s">
        <v>53</v>
      </c>
      <c r="F229" s="1" t="s">
        <v>85</v>
      </c>
      <c r="G229" s="1">
        <v>25.0</v>
      </c>
      <c r="H229" s="1" t="s">
        <v>55</v>
      </c>
      <c r="I229" s="1" t="s">
        <v>67</v>
      </c>
      <c r="J229" s="1" t="s">
        <v>111</v>
      </c>
      <c r="K229" s="1" t="s">
        <v>57</v>
      </c>
      <c r="M229" s="1" t="s">
        <v>58</v>
      </c>
      <c r="N229" s="1" t="s">
        <v>58</v>
      </c>
      <c r="O229" s="1" t="s">
        <v>58</v>
      </c>
      <c r="Q229" s="1" t="s">
        <v>58</v>
      </c>
      <c r="R229" s="1" t="s">
        <v>70</v>
      </c>
      <c r="T229" s="1" t="s">
        <v>58</v>
      </c>
      <c r="U229" s="1" t="s">
        <v>58</v>
      </c>
      <c r="V229" s="1" t="s">
        <v>58</v>
      </c>
      <c r="W229" s="1" t="s">
        <v>58</v>
      </c>
      <c r="X229" s="1" t="s">
        <v>88</v>
      </c>
      <c r="Y229" s="1" t="s">
        <v>82</v>
      </c>
      <c r="Z229" s="1" t="s">
        <v>89</v>
      </c>
      <c r="AA229" s="1">
        <v>20.0</v>
      </c>
      <c r="AB229" s="1" t="s">
        <v>79</v>
      </c>
      <c r="AC229" s="1" t="s">
        <v>51</v>
      </c>
      <c r="AD229" s="1" t="s">
        <v>59</v>
      </c>
      <c r="AE229" s="1" t="s">
        <v>51</v>
      </c>
      <c r="AF229" s="1" t="s">
        <v>51</v>
      </c>
      <c r="AG229" s="1" t="s">
        <v>51</v>
      </c>
      <c r="AH229" s="1">
        <v>20.0</v>
      </c>
      <c r="AI229" s="1">
        <v>1.0</v>
      </c>
      <c r="AJ229" s="1">
        <v>0.0</v>
      </c>
      <c r="AK229" s="1">
        <v>0.0</v>
      </c>
      <c r="AL229" s="1">
        <v>0.0</v>
      </c>
      <c r="AM229" s="1" t="s">
        <v>51</v>
      </c>
      <c r="AN229" s="1">
        <v>7.10434171E8</v>
      </c>
      <c r="AP229" s="1">
        <v>4.90206995E8</v>
      </c>
      <c r="AQ229" s="1" t="s">
        <v>354</v>
      </c>
      <c r="AR229" s="1">
        <v>45808.75424</v>
      </c>
      <c r="AU229" s="1" t="s">
        <v>64</v>
      </c>
      <c r="AW229" s="1" t="s">
        <v>255</v>
      </c>
      <c r="AY229" s="1">
        <v>223.0</v>
      </c>
    </row>
    <row r="230" hidden="1">
      <c r="A230" s="1" t="s">
        <v>51</v>
      </c>
      <c r="C230" s="1" t="s">
        <v>131</v>
      </c>
      <c r="E230" s="1" t="s">
        <v>53</v>
      </c>
      <c r="F230" s="1" t="s">
        <v>85</v>
      </c>
      <c r="G230" s="1">
        <v>21.0</v>
      </c>
      <c r="H230" s="1" t="s">
        <v>66</v>
      </c>
      <c r="I230" s="1" t="s">
        <v>100</v>
      </c>
      <c r="J230" s="1" t="s">
        <v>111</v>
      </c>
      <c r="K230" s="1" t="s">
        <v>57</v>
      </c>
      <c r="M230" s="1" t="s">
        <v>58</v>
      </c>
      <c r="N230" s="1" t="s">
        <v>58</v>
      </c>
      <c r="O230" s="1" t="s">
        <v>58</v>
      </c>
      <c r="Q230" s="1" t="s">
        <v>58</v>
      </c>
      <c r="R230" s="1" t="s">
        <v>58</v>
      </c>
      <c r="S230" s="1" t="s">
        <v>58</v>
      </c>
      <c r="T230" s="1" t="s">
        <v>58</v>
      </c>
      <c r="U230" s="1" t="s">
        <v>58</v>
      </c>
      <c r="V230" s="1" t="s">
        <v>58</v>
      </c>
      <c r="W230" s="1" t="s">
        <v>58</v>
      </c>
      <c r="X230" s="1" t="s">
        <v>59</v>
      </c>
      <c r="Y230" s="1" t="s">
        <v>60</v>
      </c>
      <c r="AA230" s="1">
        <v>20.0</v>
      </c>
      <c r="AB230" s="1" t="s">
        <v>62</v>
      </c>
      <c r="AC230" s="1" t="s">
        <v>51</v>
      </c>
      <c r="AD230" s="1" t="s">
        <v>88</v>
      </c>
      <c r="AE230" s="1" t="s">
        <v>51</v>
      </c>
      <c r="AF230" s="1" t="s">
        <v>51</v>
      </c>
      <c r="AG230" s="1" t="s">
        <v>51</v>
      </c>
      <c r="AH230" s="1">
        <v>20.0</v>
      </c>
      <c r="AI230" s="1">
        <v>1.0</v>
      </c>
      <c r="AJ230" s="1">
        <v>0.0</v>
      </c>
      <c r="AK230" s="1">
        <v>0.0</v>
      </c>
      <c r="AL230" s="1">
        <v>0.0</v>
      </c>
      <c r="AM230" s="1" t="s">
        <v>51</v>
      </c>
      <c r="AN230" s="1">
        <v>6.311026E8</v>
      </c>
      <c r="AP230" s="1">
        <v>4.90208705E8</v>
      </c>
      <c r="AQ230" s="1" t="s">
        <v>355</v>
      </c>
      <c r="AR230" s="1">
        <v>45808.75725</v>
      </c>
      <c r="AU230" s="1" t="s">
        <v>64</v>
      </c>
      <c r="AW230" s="1" t="s">
        <v>255</v>
      </c>
      <c r="AY230" s="1">
        <v>224.0</v>
      </c>
    </row>
    <row r="231" hidden="1">
      <c r="AP231" s="1">
        <v>4.90208874E8</v>
      </c>
      <c r="AQ231" s="1" t="s">
        <v>536</v>
      </c>
      <c r="AR231" s="1">
        <v>45808.75747</v>
      </c>
      <c r="AU231" s="1" t="s">
        <v>64</v>
      </c>
      <c r="AW231" s="1" t="s">
        <v>255</v>
      </c>
      <c r="AY231" s="1">
        <v>225.0</v>
      </c>
    </row>
    <row r="232" hidden="1">
      <c r="A232" s="1" t="s">
        <v>51</v>
      </c>
      <c r="C232" s="1" t="s">
        <v>52</v>
      </c>
      <c r="E232" s="1" t="s">
        <v>52</v>
      </c>
      <c r="G232" s="1">
        <v>29.0</v>
      </c>
      <c r="H232" s="1" t="s">
        <v>66</v>
      </c>
      <c r="J232" s="1" t="s">
        <v>56</v>
      </c>
      <c r="K232" s="1" t="s">
        <v>87</v>
      </c>
      <c r="M232" s="1" t="s">
        <v>58</v>
      </c>
      <c r="N232" s="1" t="s">
        <v>58</v>
      </c>
      <c r="O232" s="1" t="s">
        <v>58</v>
      </c>
      <c r="Q232" s="1" t="s">
        <v>58</v>
      </c>
      <c r="R232" s="1" t="s">
        <v>58</v>
      </c>
      <c r="S232" s="1" t="s">
        <v>69</v>
      </c>
      <c r="T232" s="1" t="s">
        <v>69</v>
      </c>
      <c r="U232" s="1" t="s">
        <v>58</v>
      </c>
      <c r="V232" s="1" t="s">
        <v>69</v>
      </c>
      <c r="W232" s="1" t="s">
        <v>69</v>
      </c>
      <c r="X232" s="1" t="s">
        <v>88</v>
      </c>
      <c r="Y232" s="1" t="s">
        <v>95</v>
      </c>
      <c r="Z232" s="1" t="s">
        <v>89</v>
      </c>
      <c r="AA232" s="1">
        <v>30.0</v>
      </c>
      <c r="AB232" s="1" t="s">
        <v>62</v>
      </c>
      <c r="AC232" s="1" t="s">
        <v>51</v>
      </c>
      <c r="AD232" s="1" t="s">
        <v>81</v>
      </c>
      <c r="AE232" s="1" t="s">
        <v>72</v>
      </c>
      <c r="AF232" s="1" t="s">
        <v>51</v>
      </c>
      <c r="AG232" s="1" t="s">
        <v>51</v>
      </c>
      <c r="AH232" s="1">
        <v>5000.0</v>
      </c>
      <c r="AI232" s="1">
        <v>0.0</v>
      </c>
      <c r="AJ232" s="1">
        <v>0.0</v>
      </c>
      <c r="AK232" s="1">
        <v>1.0</v>
      </c>
      <c r="AL232" s="1">
        <v>0.0</v>
      </c>
      <c r="AP232" s="1">
        <v>4.9022804E8</v>
      </c>
      <c r="AQ232" s="1" t="s">
        <v>356</v>
      </c>
      <c r="AR232" s="1">
        <v>45808.79471</v>
      </c>
      <c r="AU232" s="1" t="s">
        <v>64</v>
      </c>
      <c r="AW232" s="1" t="s">
        <v>255</v>
      </c>
      <c r="AY232" s="1">
        <v>226.0</v>
      </c>
    </row>
    <row r="233" hidden="1">
      <c r="A233" s="1" t="s">
        <v>51</v>
      </c>
      <c r="C233" s="1" t="s">
        <v>53</v>
      </c>
      <c r="E233" s="1" t="s">
        <v>53</v>
      </c>
      <c r="F233" s="1" t="s">
        <v>54</v>
      </c>
      <c r="G233" s="1">
        <v>29.0</v>
      </c>
      <c r="H233" s="1" t="s">
        <v>55</v>
      </c>
      <c r="I233" s="1" t="s">
        <v>121</v>
      </c>
      <c r="J233" s="1" t="s">
        <v>86</v>
      </c>
      <c r="K233" s="1" t="s">
        <v>87</v>
      </c>
      <c r="M233" s="1" t="s">
        <v>58</v>
      </c>
      <c r="N233" s="1" t="s">
        <v>58</v>
      </c>
      <c r="O233" s="1" t="s">
        <v>58</v>
      </c>
      <c r="Q233" s="1" t="s">
        <v>58</v>
      </c>
      <c r="R233" s="1" t="s">
        <v>58</v>
      </c>
      <c r="S233" s="1" t="s">
        <v>69</v>
      </c>
      <c r="T233" s="1" t="s">
        <v>58</v>
      </c>
      <c r="U233" s="1" t="s">
        <v>58</v>
      </c>
      <c r="V233" s="1" t="s">
        <v>58</v>
      </c>
      <c r="W233" s="1" t="s">
        <v>69</v>
      </c>
      <c r="X233" s="1" t="s">
        <v>81</v>
      </c>
      <c r="Y233" s="1" t="s">
        <v>227</v>
      </c>
      <c r="Z233" s="1" t="s">
        <v>89</v>
      </c>
      <c r="AA233" s="1">
        <v>100.0</v>
      </c>
      <c r="AB233" s="1" t="s">
        <v>79</v>
      </c>
      <c r="AC233" s="1" t="s">
        <v>71</v>
      </c>
      <c r="AF233" s="1" t="s">
        <v>51</v>
      </c>
      <c r="AG233" s="1" t="s">
        <v>51</v>
      </c>
      <c r="AH233" s="1">
        <v>2000.0</v>
      </c>
      <c r="AI233" s="1">
        <v>1.0</v>
      </c>
      <c r="AJ233" s="1">
        <v>1.0</v>
      </c>
      <c r="AK233" s="1">
        <v>1.0</v>
      </c>
      <c r="AL233" s="1">
        <v>1.0</v>
      </c>
      <c r="AM233" s="1" t="s">
        <v>51</v>
      </c>
      <c r="AN233" s="1">
        <v>7.11949267E8</v>
      </c>
      <c r="AP233" s="1">
        <v>4.90254059E8</v>
      </c>
      <c r="AQ233" s="1" t="s">
        <v>357</v>
      </c>
      <c r="AR233" s="1">
        <v>45808.86594</v>
      </c>
      <c r="AU233" s="1" t="s">
        <v>64</v>
      </c>
      <c r="AW233" s="1" t="s">
        <v>255</v>
      </c>
      <c r="AY233" s="1">
        <v>227.0</v>
      </c>
    </row>
    <row r="234" hidden="1">
      <c r="A234" s="1" t="s">
        <v>51</v>
      </c>
      <c r="C234" s="1" t="s">
        <v>52</v>
      </c>
      <c r="E234" s="1" t="s">
        <v>53</v>
      </c>
      <c r="F234" s="1" t="s">
        <v>54</v>
      </c>
      <c r="G234" s="1">
        <v>48.0</v>
      </c>
      <c r="H234" s="1" t="s">
        <v>66</v>
      </c>
      <c r="I234" s="1" t="s">
        <v>67</v>
      </c>
      <c r="J234" s="1" t="s">
        <v>86</v>
      </c>
      <c r="K234" s="1" t="s">
        <v>87</v>
      </c>
      <c r="M234" s="1" t="s">
        <v>58</v>
      </c>
      <c r="N234" s="1" t="s">
        <v>58</v>
      </c>
      <c r="O234" s="1" t="s">
        <v>58</v>
      </c>
      <c r="Q234" s="1" t="s">
        <v>69</v>
      </c>
      <c r="R234" s="1" t="s">
        <v>58</v>
      </c>
      <c r="S234" s="1" t="s">
        <v>69</v>
      </c>
      <c r="T234" s="1" t="s">
        <v>58</v>
      </c>
      <c r="U234" s="1" t="s">
        <v>69</v>
      </c>
      <c r="V234" s="1" t="s">
        <v>58</v>
      </c>
      <c r="W234" s="1" t="s">
        <v>69</v>
      </c>
      <c r="X234" s="1" t="s">
        <v>88</v>
      </c>
      <c r="Y234" s="1" t="s">
        <v>95</v>
      </c>
      <c r="AC234" s="1" t="s">
        <v>71</v>
      </c>
      <c r="AF234" s="1" t="s">
        <v>51</v>
      </c>
      <c r="AI234" s="1">
        <v>0.0</v>
      </c>
      <c r="AJ234" s="1">
        <v>0.0</v>
      </c>
      <c r="AK234" s="1">
        <v>0.0</v>
      </c>
      <c r="AL234" s="1">
        <v>1.0</v>
      </c>
      <c r="AM234" s="1" t="s">
        <v>51</v>
      </c>
      <c r="AN234" s="1">
        <v>7.35260674E8</v>
      </c>
      <c r="AP234" s="1">
        <v>4.90347458E8</v>
      </c>
      <c r="AQ234" s="1" t="s">
        <v>358</v>
      </c>
      <c r="AR234" s="1">
        <v>45809.29672</v>
      </c>
      <c r="AU234" s="1" t="s">
        <v>64</v>
      </c>
      <c r="AW234" s="1" t="s">
        <v>255</v>
      </c>
      <c r="AY234" s="1">
        <v>228.0</v>
      </c>
    </row>
    <row r="235" hidden="1">
      <c r="A235" s="1" t="s">
        <v>51</v>
      </c>
      <c r="C235" s="1" t="s">
        <v>52</v>
      </c>
      <c r="E235" s="1" t="s">
        <v>53</v>
      </c>
      <c r="F235" s="1" t="s">
        <v>94</v>
      </c>
      <c r="G235" s="1">
        <v>32.0</v>
      </c>
      <c r="H235" s="1" t="s">
        <v>55</v>
      </c>
      <c r="I235" s="1" t="s">
        <v>67</v>
      </c>
      <c r="J235" s="1" t="s">
        <v>111</v>
      </c>
      <c r="K235" s="1" t="s">
        <v>87</v>
      </c>
      <c r="M235" s="1" t="s">
        <v>58</v>
      </c>
      <c r="N235" s="1" t="s">
        <v>58</v>
      </c>
      <c r="O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  <c r="W235" s="1" t="s">
        <v>58</v>
      </c>
      <c r="X235" s="1" t="s">
        <v>103</v>
      </c>
      <c r="Y235" s="1" t="s">
        <v>60</v>
      </c>
      <c r="Z235" s="1" t="s">
        <v>61</v>
      </c>
      <c r="AA235" s="1">
        <v>100.0</v>
      </c>
      <c r="AB235" s="1" t="s">
        <v>79</v>
      </c>
      <c r="AC235" s="1" t="s">
        <v>72</v>
      </c>
      <c r="AF235" s="1" t="s">
        <v>51</v>
      </c>
      <c r="AG235" s="1" t="s">
        <v>72</v>
      </c>
      <c r="AI235" s="1">
        <v>0.0</v>
      </c>
      <c r="AJ235" s="1">
        <v>0.0</v>
      </c>
      <c r="AK235" s="1">
        <v>0.0</v>
      </c>
      <c r="AL235" s="1">
        <v>1.0</v>
      </c>
      <c r="AM235" s="1" t="s">
        <v>51</v>
      </c>
      <c r="AN235" s="1" t="s">
        <v>359</v>
      </c>
      <c r="AP235" s="1">
        <v>4.90355534E8</v>
      </c>
      <c r="AQ235" s="1" t="s">
        <v>360</v>
      </c>
      <c r="AR235" s="1">
        <v>45809.31793</v>
      </c>
      <c r="AU235" s="1" t="s">
        <v>64</v>
      </c>
      <c r="AW235" s="1" t="s">
        <v>255</v>
      </c>
      <c r="AY235" s="1">
        <v>229.0</v>
      </c>
    </row>
    <row r="236">
      <c r="A236" s="1" t="s">
        <v>51</v>
      </c>
      <c r="C236" s="1" t="s">
        <v>151</v>
      </c>
      <c r="E236" s="1" t="s">
        <v>151</v>
      </c>
      <c r="G236" s="1">
        <v>36.0</v>
      </c>
      <c r="H236" s="1" t="s">
        <v>66</v>
      </c>
      <c r="J236" s="1" t="s">
        <v>86</v>
      </c>
      <c r="K236" s="1" t="s">
        <v>87</v>
      </c>
      <c r="M236" s="1" t="s">
        <v>58</v>
      </c>
      <c r="N236" s="1" t="s">
        <v>58</v>
      </c>
      <c r="O236" s="1" t="s">
        <v>58</v>
      </c>
      <c r="Q236" s="1" t="s">
        <v>58</v>
      </c>
      <c r="R236" s="1" t="s">
        <v>58</v>
      </c>
      <c r="S236" s="1" t="s">
        <v>69</v>
      </c>
      <c r="T236" s="1" t="s">
        <v>69</v>
      </c>
      <c r="U236" s="1" t="s">
        <v>58</v>
      </c>
      <c r="V236" s="1" t="s">
        <v>58</v>
      </c>
      <c r="W236" s="1" t="s">
        <v>69</v>
      </c>
      <c r="X236" s="1" t="s">
        <v>81</v>
      </c>
      <c r="Y236" s="1" t="s">
        <v>60</v>
      </c>
      <c r="Z236" s="1" t="s">
        <v>89</v>
      </c>
      <c r="AA236" s="1">
        <v>50.0</v>
      </c>
      <c r="AB236" s="1" t="s">
        <v>79</v>
      </c>
      <c r="AC236" s="1" t="s">
        <v>71</v>
      </c>
      <c r="AF236" s="1" t="s">
        <v>51</v>
      </c>
      <c r="AG236" s="1" t="s">
        <v>72</v>
      </c>
      <c r="AI236" s="1">
        <v>1.0</v>
      </c>
      <c r="AJ236" s="1">
        <v>0.0</v>
      </c>
      <c r="AK236" s="1">
        <v>0.0</v>
      </c>
      <c r="AL236" s="1">
        <v>0.0</v>
      </c>
      <c r="AP236" s="1">
        <v>4.90371203E8</v>
      </c>
      <c r="AQ236" s="1" t="s">
        <v>361</v>
      </c>
      <c r="AR236" s="1">
        <v>45809.35847</v>
      </c>
      <c r="AU236" s="1" t="s">
        <v>64</v>
      </c>
      <c r="AW236" s="1" t="s">
        <v>255</v>
      </c>
      <c r="AY236" s="1">
        <v>230.0</v>
      </c>
    </row>
    <row r="237">
      <c r="A237" s="1" t="s">
        <v>51</v>
      </c>
      <c r="C237" s="1" t="s">
        <v>151</v>
      </c>
      <c r="E237" s="1" t="s">
        <v>53</v>
      </c>
      <c r="F237" s="1" t="s">
        <v>232</v>
      </c>
      <c r="G237" s="1">
        <v>37.0</v>
      </c>
      <c r="H237" s="1" t="s">
        <v>55</v>
      </c>
      <c r="I237" s="1" t="s">
        <v>67</v>
      </c>
      <c r="J237" s="1" t="s">
        <v>111</v>
      </c>
      <c r="K237" s="1" t="s">
        <v>74</v>
      </c>
      <c r="M237" s="1" t="s">
        <v>58</v>
      </c>
      <c r="N237" s="1" t="s">
        <v>58</v>
      </c>
      <c r="O237" s="1" t="s">
        <v>69</v>
      </c>
      <c r="Q237" s="1" t="s">
        <v>69</v>
      </c>
      <c r="R237" s="1" t="s">
        <v>58</v>
      </c>
      <c r="S237" s="1" t="s">
        <v>58</v>
      </c>
      <c r="T237" s="1" t="s">
        <v>69</v>
      </c>
      <c r="U237" s="1" t="s">
        <v>70</v>
      </c>
      <c r="V237" s="1" t="s">
        <v>58</v>
      </c>
      <c r="W237" s="1" t="s">
        <v>69</v>
      </c>
      <c r="X237" s="1" t="s">
        <v>81</v>
      </c>
      <c r="Y237" s="1" t="s">
        <v>82</v>
      </c>
      <c r="Z237" s="1" t="s">
        <v>89</v>
      </c>
      <c r="AA237" s="1">
        <v>100.0</v>
      </c>
      <c r="AB237" s="1" t="s">
        <v>62</v>
      </c>
      <c r="AC237" s="1" t="s">
        <v>51</v>
      </c>
      <c r="AD237" s="1" t="s">
        <v>81</v>
      </c>
      <c r="AE237" s="1" t="s">
        <v>51</v>
      </c>
      <c r="AF237" s="1" t="s">
        <v>51</v>
      </c>
      <c r="AG237" s="1" t="s">
        <v>72</v>
      </c>
      <c r="AI237" s="1">
        <v>1.0</v>
      </c>
      <c r="AJ237" s="1">
        <v>1.0</v>
      </c>
      <c r="AK237" s="1">
        <v>1.0</v>
      </c>
      <c r="AL237" s="1">
        <v>0.0</v>
      </c>
      <c r="AM237" s="1" t="s">
        <v>51</v>
      </c>
      <c r="AN237" s="1">
        <v>7.83579949E8</v>
      </c>
      <c r="AP237" s="1">
        <v>4.90398613E8</v>
      </c>
      <c r="AQ237" s="1" t="s">
        <v>362</v>
      </c>
      <c r="AR237" s="1">
        <v>45809.41785</v>
      </c>
      <c r="AU237" s="1" t="s">
        <v>64</v>
      </c>
      <c r="AW237" s="1" t="s">
        <v>191</v>
      </c>
      <c r="AY237" s="1">
        <v>231.0</v>
      </c>
    </row>
    <row r="238" hidden="1">
      <c r="A238" s="1" t="s">
        <v>51</v>
      </c>
      <c r="C238" s="1" t="s">
        <v>131</v>
      </c>
      <c r="E238" s="1" t="s">
        <v>53</v>
      </c>
      <c r="F238" s="1" t="s">
        <v>54</v>
      </c>
      <c r="G238" s="1">
        <v>34.0</v>
      </c>
      <c r="H238" s="1" t="s">
        <v>66</v>
      </c>
      <c r="I238" s="1" t="s">
        <v>67</v>
      </c>
      <c r="J238" s="1" t="s">
        <v>56</v>
      </c>
      <c r="K238" s="1" t="s">
        <v>74</v>
      </c>
      <c r="M238" s="1" t="s">
        <v>58</v>
      </c>
      <c r="N238" s="1" t="s">
        <v>58</v>
      </c>
      <c r="O238" s="1" t="s">
        <v>69</v>
      </c>
      <c r="Q238" s="1" t="s">
        <v>58</v>
      </c>
      <c r="R238" s="1" t="s">
        <v>58</v>
      </c>
      <c r="S238" s="1" t="s">
        <v>70</v>
      </c>
      <c r="T238" s="1" t="s">
        <v>70</v>
      </c>
      <c r="U238" s="1" t="s">
        <v>58</v>
      </c>
      <c r="V238" s="1" t="s">
        <v>58</v>
      </c>
      <c r="W238" s="1" t="s">
        <v>69</v>
      </c>
      <c r="X238" s="1" t="s">
        <v>81</v>
      </c>
      <c r="Y238" s="1" t="s">
        <v>172</v>
      </c>
      <c r="Z238" s="1" t="s">
        <v>108</v>
      </c>
      <c r="AA238" s="1">
        <v>50.0</v>
      </c>
      <c r="AB238" s="1" t="s">
        <v>79</v>
      </c>
      <c r="AC238" s="1" t="s">
        <v>71</v>
      </c>
      <c r="AF238" s="1" t="s">
        <v>51</v>
      </c>
      <c r="AG238" s="1" t="s">
        <v>51</v>
      </c>
      <c r="AH238" s="1">
        <v>300.0</v>
      </c>
      <c r="AI238" s="1">
        <v>0.0</v>
      </c>
      <c r="AJ238" s="1">
        <v>0.0</v>
      </c>
      <c r="AK238" s="1">
        <v>1.0</v>
      </c>
      <c r="AL238" s="1">
        <v>0.0</v>
      </c>
      <c r="AM238" s="1" t="s">
        <v>51</v>
      </c>
      <c r="AN238" s="1">
        <v>7.87607612E8</v>
      </c>
      <c r="AP238" s="1">
        <v>4.90400697E8</v>
      </c>
      <c r="AQ238" s="1" t="s">
        <v>363</v>
      </c>
      <c r="AR238" s="1">
        <v>45809.42101</v>
      </c>
      <c r="AU238" s="1" t="s">
        <v>64</v>
      </c>
      <c r="AW238" s="1" t="s">
        <v>255</v>
      </c>
      <c r="AY238" s="1">
        <v>232.0</v>
      </c>
    </row>
    <row r="239">
      <c r="A239" s="1" t="s">
        <v>51</v>
      </c>
      <c r="C239" s="1" t="s">
        <v>151</v>
      </c>
      <c r="E239" s="1" t="s">
        <v>53</v>
      </c>
      <c r="F239" s="1" t="s">
        <v>102</v>
      </c>
      <c r="G239" s="1">
        <v>24.0</v>
      </c>
      <c r="H239" s="1" t="s">
        <v>66</v>
      </c>
      <c r="I239" s="1" t="s">
        <v>100</v>
      </c>
      <c r="J239" s="1" t="s">
        <v>68</v>
      </c>
      <c r="K239" s="1" t="s">
        <v>74</v>
      </c>
      <c r="M239" s="1" t="s">
        <v>58</v>
      </c>
      <c r="N239" s="1" t="s">
        <v>58</v>
      </c>
      <c r="O239" s="1" t="s">
        <v>69</v>
      </c>
      <c r="Q239" s="1" t="s">
        <v>69</v>
      </c>
      <c r="R239" s="1" t="s">
        <v>69</v>
      </c>
      <c r="S239" s="1" t="s">
        <v>69</v>
      </c>
      <c r="T239" s="1" t="s">
        <v>69</v>
      </c>
      <c r="U239" s="1" t="s">
        <v>70</v>
      </c>
      <c r="V239" s="1" t="s">
        <v>58</v>
      </c>
      <c r="W239" s="1" t="s">
        <v>69</v>
      </c>
      <c r="X239" s="1" t="s">
        <v>81</v>
      </c>
      <c r="Y239" s="1" t="s">
        <v>60</v>
      </c>
      <c r="Z239" s="1" t="s">
        <v>61</v>
      </c>
      <c r="AA239" s="1">
        <v>10.0</v>
      </c>
      <c r="AB239" s="1" t="s">
        <v>79</v>
      </c>
      <c r="AC239" s="1" t="s">
        <v>71</v>
      </c>
      <c r="AF239" s="1" t="s">
        <v>51</v>
      </c>
      <c r="AG239" s="1" t="s">
        <v>51</v>
      </c>
      <c r="AH239" s="1">
        <v>1000.0</v>
      </c>
      <c r="AI239" s="1">
        <v>0.0</v>
      </c>
      <c r="AJ239" s="1">
        <v>0.0</v>
      </c>
      <c r="AK239" s="1">
        <v>0.0</v>
      </c>
      <c r="AL239" s="1">
        <v>1.0</v>
      </c>
      <c r="AM239" s="1" t="s">
        <v>51</v>
      </c>
      <c r="AN239" s="1">
        <v>6.05632909E8</v>
      </c>
      <c r="AP239" s="1">
        <v>4.9040118E8</v>
      </c>
      <c r="AQ239" s="1" t="s">
        <v>364</v>
      </c>
      <c r="AR239" s="1">
        <v>45809.42184</v>
      </c>
      <c r="AU239" s="1" t="s">
        <v>64</v>
      </c>
      <c r="AW239" s="1" t="s">
        <v>255</v>
      </c>
      <c r="AY239" s="1">
        <v>233.0</v>
      </c>
    </row>
    <row r="240" hidden="1">
      <c r="A240" s="1" t="s">
        <v>51</v>
      </c>
      <c r="C240" s="1" t="s">
        <v>131</v>
      </c>
      <c r="E240" s="1" t="s">
        <v>53</v>
      </c>
      <c r="F240" s="1" t="s">
        <v>54</v>
      </c>
      <c r="G240" s="1">
        <v>25.0</v>
      </c>
      <c r="H240" s="1" t="s">
        <v>55</v>
      </c>
      <c r="I240" s="1" t="s">
        <v>100</v>
      </c>
      <c r="J240" s="1" t="s">
        <v>56</v>
      </c>
      <c r="K240" s="1" t="s">
        <v>74</v>
      </c>
      <c r="M240" s="1" t="s">
        <v>58</v>
      </c>
      <c r="N240" s="1" t="s">
        <v>58</v>
      </c>
      <c r="O240" s="1" t="s">
        <v>58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X240" s="1" t="s">
        <v>81</v>
      </c>
      <c r="Y240" s="1" t="s">
        <v>60</v>
      </c>
      <c r="Z240" s="1" t="s">
        <v>108</v>
      </c>
      <c r="AA240" s="1">
        <v>50.0</v>
      </c>
      <c r="AB240" s="1" t="s">
        <v>28</v>
      </c>
      <c r="AC240" s="1" t="s">
        <v>71</v>
      </c>
      <c r="AF240" s="1" t="s">
        <v>51</v>
      </c>
      <c r="AG240" s="1" t="s">
        <v>51</v>
      </c>
      <c r="AH240" s="1">
        <v>250.0</v>
      </c>
      <c r="AI240" s="1">
        <v>0.0</v>
      </c>
      <c r="AJ240" s="1">
        <v>0.0</v>
      </c>
      <c r="AK240" s="1">
        <v>0.0</v>
      </c>
      <c r="AL240" s="1">
        <v>1.0</v>
      </c>
      <c r="AM240" s="1" t="s">
        <v>51</v>
      </c>
      <c r="AN240" s="1">
        <v>6.74566012E8</v>
      </c>
      <c r="AP240" s="1">
        <v>4.90402922E8</v>
      </c>
      <c r="AQ240" s="1" t="s">
        <v>365</v>
      </c>
      <c r="AR240" s="1">
        <v>45809.42527</v>
      </c>
      <c r="AU240" s="1" t="s">
        <v>64</v>
      </c>
      <c r="AW240" s="1" t="s">
        <v>255</v>
      </c>
      <c r="AY240" s="1">
        <v>234.0</v>
      </c>
    </row>
    <row r="241" hidden="1">
      <c r="A241" s="1" t="s">
        <v>51</v>
      </c>
      <c r="C241" s="1" t="s">
        <v>131</v>
      </c>
      <c r="E241" s="1" t="s">
        <v>53</v>
      </c>
      <c r="F241" s="1" t="s">
        <v>54</v>
      </c>
      <c r="G241" s="1">
        <v>39.0</v>
      </c>
      <c r="H241" s="1" t="s">
        <v>55</v>
      </c>
      <c r="I241" s="1" t="s">
        <v>67</v>
      </c>
      <c r="J241" s="1" t="s">
        <v>68</v>
      </c>
      <c r="K241" s="1" t="s">
        <v>74</v>
      </c>
      <c r="M241" s="1" t="s">
        <v>58</v>
      </c>
      <c r="N241" s="1" t="s">
        <v>58</v>
      </c>
      <c r="O241" s="1" t="s">
        <v>69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81</v>
      </c>
      <c r="Y241" s="1" t="s">
        <v>172</v>
      </c>
      <c r="Z241" s="1" t="s">
        <v>127</v>
      </c>
      <c r="AA241" s="1">
        <v>100.0</v>
      </c>
      <c r="AB241" s="1" t="s">
        <v>79</v>
      </c>
      <c r="AC241" s="1" t="s">
        <v>71</v>
      </c>
      <c r="AF241" s="1" t="s">
        <v>51</v>
      </c>
      <c r="AG241" s="1" t="s">
        <v>51</v>
      </c>
      <c r="AH241" s="1">
        <v>200.0</v>
      </c>
      <c r="AI241" s="1">
        <v>0.0</v>
      </c>
      <c r="AJ241" s="1">
        <v>0.0</v>
      </c>
      <c r="AK241" s="1">
        <v>0.0</v>
      </c>
      <c r="AL241" s="1">
        <v>1.0</v>
      </c>
      <c r="AM241" s="1" t="s">
        <v>51</v>
      </c>
      <c r="AN241" s="1">
        <v>7.86258839E8</v>
      </c>
      <c r="AP241" s="1">
        <v>4.90403501E8</v>
      </c>
      <c r="AQ241" s="1" t="s">
        <v>366</v>
      </c>
      <c r="AR241" s="1">
        <v>45809.42669</v>
      </c>
      <c r="AU241" s="1" t="s">
        <v>64</v>
      </c>
      <c r="AW241" s="1" t="s">
        <v>255</v>
      </c>
      <c r="AY241" s="1">
        <v>235.0</v>
      </c>
    </row>
    <row r="242">
      <c r="A242" s="1" t="s">
        <v>51</v>
      </c>
      <c r="C242" s="1" t="s">
        <v>151</v>
      </c>
      <c r="E242" s="1" t="s">
        <v>53</v>
      </c>
      <c r="F242" s="1" t="s">
        <v>102</v>
      </c>
      <c r="G242" s="1">
        <v>27.0</v>
      </c>
      <c r="H242" s="1" t="s">
        <v>55</v>
      </c>
      <c r="I242" s="1" t="s">
        <v>100</v>
      </c>
      <c r="J242" s="1" t="s">
        <v>56</v>
      </c>
      <c r="M242" s="1" t="s">
        <v>58</v>
      </c>
      <c r="N242" s="1" t="s">
        <v>58</v>
      </c>
      <c r="O242" s="1" t="s">
        <v>69</v>
      </c>
      <c r="Q242" s="1" t="s">
        <v>69</v>
      </c>
      <c r="R242" s="1" t="s">
        <v>69</v>
      </c>
      <c r="S242" s="1" t="s">
        <v>69</v>
      </c>
      <c r="T242" s="1" t="s">
        <v>69</v>
      </c>
      <c r="U242" s="1" t="s">
        <v>70</v>
      </c>
      <c r="V242" s="1" t="s">
        <v>58</v>
      </c>
      <c r="W242" s="1" t="s">
        <v>69</v>
      </c>
      <c r="X242" s="1" t="s">
        <v>81</v>
      </c>
      <c r="Y242" s="1" t="s">
        <v>82</v>
      </c>
      <c r="Z242" s="1" t="s">
        <v>61</v>
      </c>
      <c r="AA242" s="1">
        <v>50.0</v>
      </c>
      <c r="AB242" s="1" t="s">
        <v>79</v>
      </c>
      <c r="AC242" s="1" t="s">
        <v>71</v>
      </c>
      <c r="AF242" s="1" t="s">
        <v>51</v>
      </c>
      <c r="AG242" s="1" t="s">
        <v>51</v>
      </c>
      <c r="AH242" s="1">
        <v>500.0</v>
      </c>
      <c r="AI242" s="1">
        <v>1.0</v>
      </c>
      <c r="AJ242" s="1">
        <v>1.0</v>
      </c>
      <c r="AK242" s="1">
        <v>1.0</v>
      </c>
      <c r="AL242" s="1">
        <v>1.0</v>
      </c>
      <c r="AM242" s="1" t="s">
        <v>51</v>
      </c>
      <c r="AN242" s="1">
        <v>7.52289743E8</v>
      </c>
      <c r="AP242" s="1">
        <v>4.9040369E8</v>
      </c>
      <c r="AQ242" s="1" t="s">
        <v>367</v>
      </c>
      <c r="AR242" s="1">
        <v>45809.42712</v>
      </c>
      <c r="AU242" s="1" t="s">
        <v>64</v>
      </c>
      <c r="AW242" s="1" t="s">
        <v>255</v>
      </c>
      <c r="AY242" s="1">
        <v>236.0</v>
      </c>
    </row>
    <row r="243" hidden="1">
      <c r="A243" s="1" t="s">
        <v>51</v>
      </c>
      <c r="C243" s="1" t="s">
        <v>131</v>
      </c>
      <c r="E243" s="1" t="s">
        <v>53</v>
      </c>
      <c r="F243" s="1" t="s">
        <v>54</v>
      </c>
      <c r="G243" s="1">
        <v>31.0</v>
      </c>
      <c r="H243" s="1" t="s">
        <v>55</v>
      </c>
      <c r="I243" s="1" t="s">
        <v>100</v>
      </c>
      <c r="J243" s="1" t="s">
        <v>111</v>
      </c>
      <c r="K243" s="1" t="s">
        <v>74</v>
      </c>
      <c r="M243" s="1" t="s">
        <v>58</v>
      </c>
      <c r="N243" s="1" t="s">
        <v>58</v>
      </c>
      <c r="O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81</v>
      </c>
      <c r="Y243" s="1" t="s">
        <v>172</v>
      </c>
      <c r="Z243" s="1" t="s">
        <v>89</v>
      </c>
      <c r="AA243" s="1">
        <v>30.0</v>
      </c>
      <c r="AB243" s="1" t="s">
        <v>79</v>
      </c>
      <c r="AC243" s="1" t="s">
        <v>71</v>
      </c>
      <c r="AF243" s="1" t="s">
        <v>51</v>
      </c>
      <c r="AG243" s="1" t="s">
        <v>51</v>
      </c>
      <c r="AH243" s="1">
        <v>300.0</v>
      </c>
      <c r="AI243" s="1">
        <v>0.0</v>
      </c>
      <c r="AJ243" s="1">
        <v>0.0</v>
      </c>
      <c r="AK243" s="1">
        <v>0.0</v>
      </c>
      <c r="AL243" s="1">
        <v>1.0</v>
      </c>
      <c r="AM243" s="1" t="s">
        <v>51</v>
      </c>
      <c r="AN243" s="1">
        <v>6.99109406E8</v>
      </c>
      <c r="AP243" s="1">
        <v>4.90404323E8</v>
      </c>
      <c r="AQ243" s="1" t="s">
        <v>368</v>
      </c>
      <c r="AR243" s="1">
        <v>45809.42837</v>
      </c>
      <c r="AU243" s="1" t="s">
        <v>64</v>
      </c>
      <c r="AW243" s="1" t="s">
        <v>255</v>
      </c>
      <c r="AY243" s="1">
        <v>237.0</v>
      </c>
    </row>
    <row r="244" hidden="1">
      <c r="A244" s="1" t="s">
        <v>51</v>
      </c>
      <c r="C244" s="1" t="s">
        <v>131</v>
      </c>
      <c r="E244" s="1" t="s">
        <v>53</v>
      </c>
      <c r="F244" s="1" t="s">
        <v>54</v>
      </c>
      <c r="G244" s="1">
        <v>29.0</v>
      </c>
      <c r="H244" s="1" t="s">
        <v>66</v>
      </c>
      <c r="I244" s="1" t="s">
        <v>100</v>
      </c>
      <c r="J244" s="1" t="s">
        <v>111</v>
      </c>
      <c r="K244" s="1" t="s">
        <v>74</v>
      </c>
      <c r="M244" s="1" t="s">
        <v>58</v>
      </c>
      <c r="N244" s="1" t="s">
        <v>58</v>
      </c>
      <c r="O244" s="1" t="s">
        <v>58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58</v>
      </c>
      <c r="V244" s="1" t="s">
        <v>58</v>
      </c>
      <c r="W244" s="1" t="s">
        <v>58</v>
      </c>
      <c r="X244" s="1" t="s">
        <v>81</v>
      </c>
      <c r="Y244" s="1" t="s">
        <v>172</v>
      </c>
      <c r="Z244" s="1" t="s">
        <v>108</v>
      </c>
      <c r="AA244" s="1">
        <v>50.0</v>
      </c>
      <c r="AB244" s="1" t="s">
        <v>79</v>
      </c>
      <c r="AC244" s="1" t="s">
        <v>71</v>
      </c>
      <c r="AF244" s="1" t="s">
        <v>51</v>
      </c>
      <c r="AG244" s="1" t="s">
        <v>51</v>
      </c>
      <c r="AH244" s="1">
        <v>400.0</v>
      </c>
      <c r="AI244" s="1">
        <v>0.0</v>
      </c>
      <c r="AJ244" s="1">
        <v>1.0</v>
      </c>
      <c r="AK244" s="1">
        <v>0.0</v>
      </c>
      <c r="AL244" s="1">
        <v>0.0</v>
      </c>
      <c r="AM244" s="1" t="s">
        <v>51</v>
      </c>
      <c r="AN244" s="1">
        <v>7.16268779E8</v>
      </c>
      <c r="AP244" s="1">
        <v>4.90404925E8</v>
      </c>
      <c r="AQ244" s="1" t="s">
        <v>369</v>
      </c>
      <c r="AR244" s="1">
        <v>45809.42962</v>
      </c>
      <c r="AU244" s="1" t="s">
        <v>64</v>
      </c>
      <c r="AW244" s="1" t="s">
        <v>255</v>
      </c>
      <c r="AY244" s="1">
        <v>238.0</v>
      </c>
    </row>
    <row r="245" hidden="1">
      <c r="A245" s="1" t="s">
        <v>51</v>
      </c>
      <c r="C245" s="1" t="s">
        <v>131</v>
      </c>
      <c r="E245" s="1" t="s">
        <v>53</v>
      </c>
      <c r="F245" s="1" t="s">
        <v>54</v>
      </c>
      <c r="G245" s="1">
        <v>36.0</v>
      </c>
      <c r="H245" s="1" t="s">
        <v>55</v>
      </c>
      <c r="I245" s="1" t="s">
        <v>100</v>
      </c>
      <c r="J245" s="1" t="s">
        <v>111</v>
      </c>
      <c r="K245" s="1" t="s">
        <v>74</v>
      </c>
      <c r="M245" s="1" t="s">
        <v>58</v>
      </c>
      <c r="N245" s="1" t="s">
        <v>58</v>
      </c>
      <c r="O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81</v>
      </c>
      <c r="Y245" s="1" t="s">
        <v>60</v>
      </c>
      <c r="Z245" s="1" t="s">
        <v>89</v>
      </c>
      <c r="AA245" s="1">
        <v>50.0</v>
      </c>
      <c r="AB245" s="1" t="s">
        <v>79</v>
      </c>
      <c r="AC245" s="1" t="s">
        <v>51</v>
      </c>
      <c r="AD245" s="1" t="s">
        <v>81</v>
      </c>
      <c r="AE245" s="1" t="s">
        <v>51</v>
      </c>
      <c r="AF245" s="1" t="s">
        <v>51</v>
      </c>
      <c r="AG245" s="1" t="s">
        <v>51</v>
      </c>
      <c r="AH245" s="1">
        <v>500.0</v>
      </c>
      <c r="AI245" s="1">
        <v>1.0</v>
      </c>
      <c r="AJ245" s="1">
        <v>0.0</v>
      </c>
      <c r="AK245" s="1">
        <v>0.0</v>
      </c>
      <c r="AL245" s="1">
        <v>0.0</v>
      </c>
      <c r="AM245" s="1" t="s">
        <v>51</v>
      </c>
      <c r="AN245" s="1">
        <v>6.93327725E8</v>
      </c>
      <c r="AP245" s="1">
        <v>4.90405777E8</v>
      </c>
      <c r="AQ245" s="1" t="s">
        <v>370</v>
      </c>
      <c r="AR245" s="1">
        <v>45809.43125</v>
      </c>
      <c r="AU245" s="1" t="s">
        <v>64</v>
      </c>
      <c r="AW245" s="1" t="s">
        <v>255</v>
      </c>
      <c r="AY245" s="1">
        <v>239.0</v>
      </c>
    </row>
    <row r="246" hidden="1">
      <c r="A246" s="1" t="s">
        <v>51</v>
      </c>
      <c r="C246" s="1" t="s">
        <v>131</v>
      </c>
      <c r="E246" s="1" t="s">
        <v>53</v>
      </c>
      <c r="F246" s="1" t="s">
        <v>54</v>
      </c>
      <c r="G246" s="1">
        <v>23.0</v>
      </c>
      <c r="H246" s="1" t="s">
        <v>55</v>
      </c>
      <c r="I246" s="1" t="s">
        <v>100</v>
      </c>
      <c r="J246" s="1" t="s">
        <v>68</v>
      </c>
      <c r="K246" s="1" t="s">
        <v>57</v>
      </c>
      <c r="M246" s="1" t="s">
        <v>58</v>
      </c>
      <c r="N246" s="1" t="s">
        <v>58</v>
      </c>
      <c r="O246" s="1" t="s">
        <v>70</v>
      </c>
      <c r="Q246" s="1" t="s">
        <v>58</v>
      </c>
      <c r="R246" s="1" t="s">
        <v>58</v>
      </c>
      <c r="S246" s="1" t="s">
        <v>70</v>
      </c>
      <c r="T246" s="1" t="s">
        <v>70</v>
      </c>
      <c r="U246" s="1" t="s">
        <v>58</v>
      </c>
      <c r="V246" s="1" t="s">
        <v>58</v>
      </c>
      <c r="W246" s="1" t="s">
        <v>58</v>
      </c>
      <c r="X246" s="1" t="s">
        <v>81</v>
      </c>
      <c r="Y246" s="1" t="s">
        <v>60</v>
      </c>
      <c r="Z246" s="1" t="s">
        <v>96</v>
      </c>
      <c r="AA246" s="1">
        <v>100.0</v>
      </c>
      <c r="AB246" s="1" t="s">
        <v>79</v>
      </c>
      <c r="AC246" s="1" t="s">
        <v>71</v>
      </c>
      <c r="AF246" s="1" t="s">
        <v>51</v>
      </c>
      <c r="AG246" s="1" t="s">
        <v>51</v>
      </c>
      <c r="AH246" s="1">
        <v>400.0</v>
      </c>
      <c r="AI246" s="1">
        <v>0.0</v>
      </c>
      <c r="AJ246" s="1">
        <v>0.0</v>
      </c>
      <c r="AK246" s="1">
        <v>0.0</v>
      </c>
      <c r="AL246" s="1">
        <v>1.0</v>
      </c>
      <c r="AM246" s="1" t="s">
        <v>51</v>
      </c>
      <c r="AN246" s="1">
        <v>8.33399373E8</v>
      </c>
      <c r="AP246" s="1">
        <v>4.90406456E8</v>
      </c>
      <c r="AQ246" s="1" t="s">
        <v>371</v>
      </c>
      <c r="AR246" s="1">
        <v>45809.4326</v>
      </c>
      <c r="AU246" s="1" t="s">
        <v>64</v>
      </c>
      <c r="AW246" s="1" t="s">
        <v>255</v>
      </c>
      <c r="AY246" s="1">
        <v>240.0</v>
      </c>
    </row>
    <row r="247" hidden="1">
      <c r="A247" s="1" t="s">
        <v>51</v>
      </c>
      <c r="C247" s="1" t="s">
        <v>131</v>
      </c>
      <c r="E247" s="1" t="s">
        <v>53</v>
      </c>
      <c r="F247" s="1" t="s">
        <v>54</v>
      </c>
      <c r="G247" s="1">
        <v>32.0</v>
      </c>
      <c r="H247" s="1" t="s">
        <v>55</v>
      </c>
      <c r="I247" s="1" t="s">
        <v>100</v>
      </c>
      <c r="J247" s="1" t="s">
        <v>68</v>
      </c>
      <c r="K247" s="1" t="s">
        <v>74</v>
      </c>
      <c r="M247" s="1" t="s">
        <v>58</v>
      </c>
      <c r="N247" s="1" t="s">
        <v>58</v>
      </c>
      <c r="O247" s="1" t="s">
        <v>69</v>
      </c>
      <c r="Q247" s="1" t="s">
        <v>58</v>
      </c>
      <c r="R247" s="1" t="s">
        <v>58</v>
      </c>
      <c r="S247" s="1" t="s">
        <v>58</v>
      </c>
      <c r="T247" s="1" t="s">
        <v>58</v>
      </c>
      <c r="U247" s="1" t="s">
        <v>58</v>
      </c>
      <c r="V247" s="1" t="s">
        <v>58</v>
      </c>
      <c r="W247" s="1" t="s">
        <v>58</v>
      </c>
      <c r="X247" s="1" t="s">
        <v>81</v>
      </c>
      <c r="Y247" s="1" t="s">
        <v>172</v>
      </c>
      <c r="Z247" s="1" t="s">
        <v>96</v>
      </c>
      <c r="AA247" s="1">
        <v>50.0</v>
      </c>
      <c r="AB247" s="1" t="s">
        <v>79</v>
      </c>
      <c r="AC247" s="1" t="s">
        <v>71</v>
      </c>
      <c r="AF247" s="1" t="s">
        <v>51</v>
      </c>
      <c r="AG247" s="1" t="s">
        <v>51</v>
      </c>
      <c r="AH247" s="1">
        <v>300.0</v>
      </c>
      <c r="AI247" s="1">
        <v>1.0</v>
      </c>
      <c r="AJ247" s="1">
        <v>0.0</v>
      </c>
      <c r="AK247" s="1">
        <v>0.0</v>
      </c>
      <c r="AL247" s="1">
        <v>0.0</v>
      </c>
      <c r="AM247" s="1" t="s">
        <v>51</v>
      </c>
      <c r="AN247" s="1">
        <v>6.65478753E8</v>
      </c>
      <c r="AP247" s="1">
        <v>4.90407148E8</v>
      </c>
      <c r="AQ247" s="1" t="s">
        <v>372</v>
      </c>
      <c r="AR247" s="1">
        <v>45809.43403</v>
      </c>
      <c r="AU247" s="1" t="s">
        <v>64</v>
      </c>
      <c r="AW247" s="1" t="s">
        <v>255</v>
      </c>
      <c r="AY247" s="1">
        <v>241.0</v>
      </c>
    </row>
    <row r="248" hidden="1">
      <c r="A248" s="1" t="s">
        <v>51</v>
      </c>
      <c r="C248" s="1" t="s">
        <v>131</v>
      </c>
      <c r="E248" s="1" t="s">
        <v>53</v>
      </c>
      <c r="F248" s="1" t="s">
        <v>54</v>
      </c>
      <c r="G248" s="1">
        <v>33.0</v>
      </c>
      <c r="H248" s="1" t="s">
        <v>66</v>
      </c>
      <c r="I248" s="1" t="s">
        <v>100</v>
      </c>
      <c r="J248" s="1" t="s">
        <v>111</v>
      </c>
      <c r="K248" s="1" t="s">
        <v>74</v>
      </c>
      <c r="M248" s="1" t="s">
        <v>58</v>
      </c>
      <c r="N248" s="1" t="s">
        <v>58</v>
      </c>
      <c r="O248" s="1" t="s">
        <v>70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  <c r="W248" s="1" t="s">
        <v>58</v>
      </c>
      <c r="X248" s="1" t="s">
        <v>81</v>
      </c>
      <c r="Y248" s="1" t="s">
        <v>172</v>
      </c>
      <c r="Z248" s="1" t="s">
        <v>108</v>
      </c>
      <c r="AA248" s="1">
        <v>50.0</v>
      </c>
      <c r="AB248" s="1" t="s">
        <v>28</v>
      </c>
      <c r="AC248" s="1" t="s">
        <v>71</v>
      </c>
      <c r="AF248" s="1" t="s">
        <v>51</v>
      </c>
      <c r="AG248" s="1" t="s">
        <v>72</v>
      </c>
      <c r="AI248" s="1">
        <v>0.0</v>
      </c>
      <c r="AJ248" s="1">
        <v>0.0</v>
      </c>
      <c r="AK248" s="1">
        <v>0.0</v>
      </c>
      <c r="AL248" s="1">
        <v>1.0</v>
      </c>
      <c r="AM248" s="1" t="s">
        <v>51</v>
      </c>
      <c r="AN248" s="1">
        <v>7.96732437E8</v>
      </c>
      <c r="AP248" s="1">
        <v>4.90407718E8</v>
      </c>
      <c r="AQ248" s="1" t="s">
        <v>373</v>
      </c>
      <c r="AR248" s="1">
        <v>45809.43522</v>
      </c>
      <c r="AU248" s="1" t="s">
        <v>64</v>
      </c>
      <c r="AW248" s="1" t="s">
        <v>255</v>
      </c>
      <c r="AY248" s="1">
        <v>242.0</v>
      </c>
    </row>
    <row r="249" hidden="1">
      <c r="A249" s="1" t="s">
        <v>51</v>
      </c>
      <c r="C249" s="1" t="s">
        <v>131</v>
      </c>
      <c r="E249" s="1" t="s">
        <v>53</v>
      </c>
      <c r="F249" s="1" t="s">
        <v>54</v>
      </c>
      <c r="G249" s="1">
        <v>32.0</v>
      </c>
      <c r="H249" s="1" t="s">
        <v>55</v>
      </c>
      <c r="I249" s="1" t="s">
        <v>100</v>
      </c>
      <c r="J249" s="1" t="s">
        <v>68</v>
      </c>
      <c r="K249" s="1" t="s">
        <v>57</v>
      </c>
      <c r="M249" s="1" t="s">
        <v>58</v>
      </c>
      <c r="N249" s="1" t="s">
        <v>58</v>
      </c>
      <c r="O249" s="1" t="s">
        <v>70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81</v>
      </c>
      <c r="Y249" s="1" t="s">
        <v>172</v>
      </c>
      <c r="Z249" s="1" t="s">
        <v>108</v>
      </c>
      <c r="AA249" s="1">
        <v>30.0</v>
      </c>
      <c r="AB249" s="1" t="s">
        <v>28</v>
      </c>
      <c r="AC249" s="1" t="s">
        <v>71</v>
      </c>
      <c r="AF249" s="1" t="s">
        <v>51</v>
      </c>
      <c r="AG249" s="1" t="s">
        <v>72</v>
      </c>
      <c r="AI249" s="1">
        <v>0.0</v>
      </c>
      <c r="AJ249" s="1">
        <v>0.0</v>
      </c>
      <c r="AK249" s="1">
        <v>0.0</v>
      </c>
      <c r="AL249" s="1">
        <v>1.0</v>
      </c>
      <c r="AM249" s="1" t="s">
        <v>51</v>
      </c>
      <c r="AN249" s="1">
        <v>7.12023238E8</v>
      </c>
      <c r="AP249" s="1">
        <v>4.90409053E8</v>
      </c>
      <c r="AQ249" s="1" t="s">
        <v>374</v>
      </c>
      <c r="AR249" s="1">
        <v>45809.43814</v>
      </c>
      <c r="AU249" s="1" t="s">
        <v>64</v>
      </c>
      <c r="AW249" s="1" t="s">
        <v>255</v>
      </c>
      <c r="AY249" s="1">
        <v>243.0</v>
      </c>
    </row>
    <row r="250" hidden="1">
      <c r="A250" s="1" t="s">
        <v>51</v>
      </c>
      <c r="C250" s="1" t="s">
        <v>131</v>
      </c>
      <c r="E250" s="1" t="s">
        <v>53</v>
      </c>
      <c r="F250" s="1" t="s">
        <v>54</v>
      </c>
      <c r="G250" s="1">
        <v>29.0</v>
      </c>
      <c r="H250" s="1" t="s">
        <v>55</v>
      </c>
      <c r="I250" s="1" t="s">
        <v>100</v>
      </c>
      <c r="J250" s="1" t="s">
        <v>68</v>
      </c>
      <c r="K250" s="1" t="s">
        <v>74</v>
      </c>
      <c r="M250" s="1" t="s">
        <v>58</v>
      </c>
      <c r="N250" s="1" t="s">
        <v>58</v>
      </c>
      <c r="O250" s="1" t="s">
        <v>58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81</v>
      </c>
      <c r="Y250" s="1" t="s">
        <v>172</v>
      </c>
      <c r="Z250" s="1" t="s">
        <v>108</v>
      </c>
      <c r="AA250" s="1">
        <v>100.0</v>
      </c>
      <c r="AB250" s="1" t="s">
        <v>28</v>
      </c>
      <c r="AC250" s="1" t="s">
        <v>71</v>
      </c>
      <c r="AF250" s="1" t="s">
        <v>51</v>
      </c>
      <c r="AG250" s="1" t="s">
        <v>51</v>
      </c>
      <c r="AI250" s="1">
        <v>0.0</v>
      </c>
      <c r="AJ250" s="1">
        <v>0.0</v>
      </c>
      <c r="AK250" s="1">
        <v>0.0</v>
      </c>
      <c r="AL250" s="1">
        <v>1.0</v>
      </c>
      <c r="AM250" s="1" t="s">
        <v>51</v>
      </c>
      <c r="AN250" s="1">
        <v>6.55254617E8</v>
      </c>
      <c r="AP250" s="1">
        <v>4.90409857E8</v>
      </c>
      <c r="AQ250" s="1" t="s">
        <v>375</v>
      </c>
      <c r="AR250" s="1">
        <v>45809.4399</v>
      </c>
      <c r="AU250" s="1" t="s">
        <v>64</v>
      </c>
      <c r="AW250" s="1" t="s">
        <v>255</v>
      </c>
      <c r="AY250" s="1">
        <v>244.0</v>
      </c>
    </row>
    <row r="251" hidden="1">
      <c r="A251" s="1" t="s">
        <v>51</v>
      </c>
      <c r="C251" s="1" t="s">
        <v>131</v>
      </c>
      <c r="E251" s="1" t="s">
        <v>53</v>
      </c>
      <c r="F251" s="1" t="s">
        <v>54</v>
      </c>
      <c r="G251" s="1">
        <v>32.0</v>
      </c>
      <c r="H251" s="1" t="s">
        <v>55</v>
      </c>
      <c r="I251" s="1" t="s">
        <v>67</v>
      </c>
      <c r="J251" s="1" t="s">
        <v>68</v>
      </c>
      <c r="K251" s="1" t="s">
        <v>74</v>
      </c>
      <c r="M251" s="1" t="s">
        <v>58</v>
      </c>
      <c r="N251" s="1" t="s">
        <v>58</v>
      </c>
      <c r="O251" s="1" t="s">
        <v>58</v>
      </c>
      <c r="Q251" s="1" t="s">
        <v>58</v>
      </c>
      <c r="R251" s="1" t="s">
        <v>58</v>
      </c>
      <c r="S251" s="1" t="s">
        <v>58</v>
      </c>
      <c r="T251" s="1" t="s">
        <v>58</v>
      </c>
      <c r="U251" s="1" t="s">
        <v>58</v>
      </c>
      <c r="V251" s="1" t="s">
        <v>58</v>
      </c>
      <c r="W251" s="1" t="s">
        <v>58</v>
      </c>
      <c r="X251" s="1" t="s">
        <v>81</v>
      </c>
      <c r="Y251" s="1" t="s">
        <v>60</v>
      </c>
      <c r="Z251" s="1" t="s">
        <v>89</v>
      </c>
      <c r="AA251" s="1">
        <v>50.0</v>
      </c>
      <c r="AB251" s="1" t="s">
        <v>28</v>
      </c>
      <c r="AC251" s="1" t="s">
        <v>71</v>
      </c>
      <c r="AF251" s="1" t="s">
        <v>51</v>
      </c>
      <c r="AG251" s="1" t="s">
        <v>51</v>
      </c>
      <c r="AI251" s="1">
        <v>0.0</v>
      </c>
      <c r="AJ251" s="1">
        <v>0.0</v>
      </c>
      <c r="AK251" s="1">
        <v>0.0</v>
      </c>
      <c r="AL251" s="1">
        <v>1.0</v>
      </c>
      <c r="AM251" s="1" t="s">
        <v>51</v>
      </c>
      <c r="AN251" s="1">
        <v>6.01406742E8</v>
      </c>
      <c r="AP251" s="1">
        <v>4.90410637E8</v>
      </c>
      <c r="AQ251" s="1" t="s">
        <v>376</v>
      </c>
      <c r="AR251" s="1">
        <v>45809.44167</v>
      </c>
      <c r="AU251" s="1" t="s">
        <v>64</v>
      </c>
      <c r="AW251" s="1" t="s">
        <v>255</v>
      </c>
      <c r="AY251" s="1">
        <v>245.0</v>
      </c>
    </row>
    <row r="252" hidden="1">
      <c r="A252" s="1" t="s">
        <v>51</v>
      </c>
      <c r="C252" s="1" t="s">
        <v>131</v>
      </c>
      <c r="E252" s="1" t="s">
        <v>53</v>
      </c>
      <c r="F252" s="1" t="s">
        <v>54</v>
      </c>
      <c r="G252" s="1">
        <v>43.0</v>
      </c>
      <c r="H252" s="1" t="s">
        <v>55</v>
      </c>
      <c r="J252" s="1" t="s">
        <v>111</v>
      </c>
      <c r="K252" s="1" t="s">
        <v>57</v>
      </c>
      <c r="M252" s="1" t="s">
        <v>58</v>
      </c>
      <c r="N252" s="1" t="s">
        <v>58</v>
      </c>
      <c r="O252" s="1" t="s">
        <v>70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81</v>
      </c>
      <c r="Y252" s="1" t="s">
        <v>172</v>
      </c>
      <c r="Z252" s="1" t="s">
        <v>96</v>
      </c>
      <c r="AA252" s="1">
        <v>50.0</v>
      </c>
      <c r="AB252" s="1" t="s">
        <v>28</v>
      </c>
      <c r="AC252" s="1" t="s">
        <v>71</v>
      </c>
      <c r="AF252" s="1" t="s">
        <v>51</v>
      </c>
      <c r="AG252" s="1" t="s">
        <v>51</v>
      </c>
      <c r="AH252" s="1">
        <v>400.0</v>
      </c>
      <c r="AI252" s="1">
        <v>0.0</v>
      </c>
      <c r="AJ252" s="1">
        <v>0.0</v>
      </c>
      <c r="AK252" s="1">
        <v>0.0</v>
      </c>
      <c r="AL252" s="1">
        <v>1.0</v>
      </c>
      <c r="AP252" s="1">
        <v>4.9041142E8</v>
      </c>
      <c r="AQ252" s="1" t="s">
        <v>377</v>
      </c>
      <c r="AR252" s="1">
        <v>45809.44303</v>
      </c>
      <c r="AU252" s="1" t="s">
        <v>64</v>
      </c>
      <c r="AW252" s="1" t="s">
        <v>255</v>
      </c>
      <c r="AY252" s="1">
        <v>246.0</v>
      </c>
    </row>
    <row r="253" hidden="1">
      <c r="AP253" s="1">
        <v>4.90411487E8</v>
      </c>
      <c r="AQ253" s="1" t="s">
        <v>537</v>
      </c>
      <c r="AR253" s="1">
        <v>45809.44324</v>
      </c>
      <c r="AU253" s="1" t="s">
        <v>64</v>
      </c>
      <c r="AW253" s="1" t="s">
        <v>255</v>
      </c>
      <c r="AY253" s="1">
        <v>247.0</v>
      </c>
    </row>
    <row r="254" hidden="1">
      <c r="A254" s="1" t="s">
        <v>51</v>
      </c>
      <c r="C254" s="1" t="s">
        <v>131</v>
      </c>
      <c r="E254" s="1" t="s">
        <v>53</v>
      </c>
      <c r="F254" s="1" t="s">
        <v>54</v>
      </c>
      <c r="G254" s="1">
        <v>26.0</v>
      </c>
      <c r="H254" s="1" t="s">
        <v>55</v>
      </c>
      <c r="I254" s="1" t="s">
        <v>100</v>
      </c>
      <c r="J254" s="1" t="s">
        <v>111</v>
      </c>
      <c r="K254" s="1" t="s">
        <v>74</v>
      </c>
      <c r="M254" s="1" t="s">
        <v>58</v>
      </c>
      <c r="N254" s="1" t="s">
        <v>58</v>
      </c>
      <c r="O254" s="1" t="s">
        <v>69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81</v>
      </c>
      <c r="Y254" s="1" t="s">
        <v>60</v>
      </c>
      <c r="Z254" s="1" t="s">
        <v>108</v>
      </c>
      <c r="AA254" s="1">
        <v>100.0</v>
      </c>
      <c r="AB254" s="1" t="s">
        <v>28</v>
      </c>
      <c r="AC254" s="1" t="s">
        <v>71</v>
      </c>
      <c r="AG254" s="1" t="s">
        <v>51</v>
      </c>
      <c r="AH254" s="1">
        <v>500.0</v>
      </c>
      <c r="AI254" s="1">
        <v>0.0</v>
      </c>
      <c r="AJ254" s="1">
        <v>0.0</v>
      </c>
      <c r="AK254" s="1">
        <v>0.0</v>
      </c>
      <c r="AL254" s="1">
        <v>1.0</v>
      </c>
      <c r="AM254" s="1" t="s">
        <v>51</v>
      </c>
      <c r="AN254" s="1">
        <v>6.99134499E8</v>
      </c>
      <c r="AP254" s="1">
        <v>4.90412359E8</v>
      </c>
      <c r="AQ254" s="1" t="s">
        <v>378</v>
      </c>
      <c r="AR254" s="1">
        <v>45809.44534</v>
      </c>
      <c r="AU254" s="1" t="s">
        <v>64</v>
      </c>
      <c r="AW254" s="1" t="s">
        <v>255</v>
      </c>
      <c r="AY254" s="1">
        <v>248.0</v>
      </c>
    </row>
    <row r="255" hidden="1">
      <c r="A255" s="1" t="s">
        <v>51</v>
      </c>
      <c r="C255" s="1" t="s">
        <v>53</v>
      </c>
      <c r="E255" s="1" t="s">
        <v>53</v>
      </c>
      <c r="F255" s="1" t="s">
        <v>54</v>
      </c>
      <c r="G255" s="1">
        <v>41.0</v>
      </c>
      <c r="H255" s="1" t="s">
        <v>55</v>
      </c>
      <c r="I255" s="1" t="s">
        <v>121</v>
      </c>
      <c r="J255" s="1" t="s">
        <v>56</v>
      </c>
      <c r="K255" s="1" t="s">
        <v>87</v>
      </c>
      <c r="M255" s="1" t="s">
        <v>58</v>
      </c>
      <c r="N255" s="1" t="s">
        <v>58</v>
      </c>
      <c r="O255" s="1" t="s">
        <v>58</v>
      </c>
      <c r="Q255" s="1" t="s">
        <v>69</v>
      </c>
      <c r="R255" s="1" t="s">
        <v>69</v>
      </c>
      <c r="S255" s="1" t="s">
        <v>69</v>
      </c>
      <c r="T255" s="1" t="s">
        <v>69</v>
      </c>
      <c r="U255" s="1" t="s">
        <v>58</v>
      </c>
      <c r="V255" s="1" t="s">
        <v>58</v>
      </c>
      <c r="W255" s="1" t="s">
        <v>69</v>
      </c>
      <c r="X255" s="1" t="s">
        <v>81</v>
      </c>
      <c r="Y255" s="1" t="s">
        <v>227</v>
      </c>
      <c r="Z255" s="1" t="s">
        <v>89</v>
      </c>
      <c r="AA255" s="1">
        <v>100.0</v>
      </c>
      <c r="AB255" s="1" t="s">
        <v>62</v>
      </c>
      <c r="AC255" s="1" t="s">
        <v>71</v>
      </c>
      <c r="AF255" s="1" t="s">
        <v>51</v>
      </c>
      <c r="AG255" s="1" t="s">
        <v>51</v>
      </c>
      <c r="AH255" s="1">
        <v>50.0</v>
      </c>
      <c r="AI255" s="1">
        <v>0.0</v>
      </c>
      <c r="AJ255" s="1">
        <v>0.0</v>
      </c>
      <c r="AK255" s="1">
        <v>0.0</v>
      </c>
      <c r="AL255" s="1">
        <v>1.0</v>
      </c>
      <c r="AM255" s="1" t="s">
        <v>51</v>
      </c>
      <c r="AP255" s="1">
        <v>4.90413733E8</v>
      </c>
      <c r="AQ255" s="1" t="s">
        <v>379</v>
      </c>
      <c r="AR255" s="1">
        <v>45809.4483</v>
      </c>
      <c r="AU255" s="1" t="s">
        <v>64</v>
      </c>
      <c r="AW255" s="1" t="s">
        <v>255</v>
      </c>
      <c r="AY255" s="1">
        <v>249.0</v>
      </c>
    </row>
    <row r="256">
      <c r="A256" s="1" t="s">
        <v>51</v>
      </c>
      <c r="C256" s="1" t="s">
        <v>151</v>
      </c>
      <c r="E256" s="1" t="s">
        <v>53</v>
      </c>
      <c r="F256" s="1" t="s">
        <v>232</v>
      </c>
      <c r="G256" s="1">
        <v>31.0</v>
      </c>
      <c r="H256" s="1" t="s">
        <v>66</v>
      </c>
      <c r="I256" s="1" t="s">
        <v>100</v>
      </c>
      <c r="J256" s="1" t="s">
        <v>68</v>
      </c>
      <c r="K256" s="1" t="s">
        <v>74</v>
      </c>
      <c r="M256" s="1" t="s">
        <v>58</v>
      </c>
      <c r="N256" s="1" t="s">
        <v>58</v>
      </c>
      <c r="O256" s="1" t="s">
        <v>69</v>
      </c>
      <c r="Q256" s="1" t="s">
        <v>69</v>
      </c>
      <c r="R256" s="1" t="s">
        <v>69</v>
      </c>
      <c r="S256" s="1" t="s">
        <v>58</v>
      </c>
      <c r="T256" s="1" t="s">
        <v>58</v>
      </c>
      <c r="U256" s="1" t="s">
        <v>70</v>
      </c>
      <c r="V256" s="1" t="s">
        <v>58</v>
      </c>
      <c r="W256" s="1" t="s">
        <v>69</v>
      </c>
      <c r="X256" s="1" t="s">
        <v>81</v>
      </c>
      <c r="Y256" s="1" t="s">
        <v>82</v>
      </c>
      <c r="Z256" s="1" t="s">
        <v>61</v>
      </c>
      <c r="AA256" s="1">
        <v>10.0</v>
      </c>
      <c r="AB256" s="1" t="s">
        <v>79</v>
      </c>
      <c r="AC256" s="1" t="s">
        <v>71</v>
      </c>
      <c r="AF256" s="1" t="s">
        <v>51</v>
      </c>
      <c r="AG256" s="1" t="s">
        <v>72</v>
      </c>
      <c r="AI256" s="1">
        <v>1.0</v>
      </c>
      <c r="AJ256" s="1">
        <v>1.0</v>
      </c>
      <c r="AK256" s="1">
        <v>1.0</v>
      </c>
      <c r="AL256" s="1">
        <v>1.0</v>
      </c>
      <c r="AM256" s="1" t="s">
        <v>72</v>
      </c>
      <c r="AP256" s="1">
        <v>4.90413758E8</v>
      </c>
      <c r="AQ256" s="1" t="s">
        <v>380</v>
      </c>
      <c r="AR256" s="1">
        <v>45809.44838</v>
      </c>
      <c r="AU256" s="1" t="s">
        <v>64</v>
      </c>
      <c r="AW256" s="1" t="s">
        <v>255</v>
      </c>
      <c r="AY256" s="1">
        <v>250.0</v>
      </c>
    </row>
    <row r="257" hidden="1">
      <c r="A257" s="1" t="s">
        <v>51</v>
      </c>
      <c r="C257" s="1" t="s">
        <v>131</v>
      </c>
      <c r="E257" s="1" t="s">
        <v>53</v>
      </c>
      <c r="F257" s="1" t="s">
        <v>54</v>
      </c>
      <c r="G257" s="1">
        <v>33.0</v>
      </c>
      <c r="H257" s="1" t="s">
        <v>66</v>
      </c>
      <c r="I257" s="1" t="s">
        <v>67</v>
      </c>
      <c r="J257" s="1" t="s">
        <v>111</v>
      </c>
      <c r="K257" s="1" t="s">
        <v>74</v>
      </c>
      <c r="M257" s="1" t="s">
        <v>58</v>
      </c>
      <c r="N257" s="1" t="s">
        <v>58</v>
      </c>
      <c r="O257" s="1" t="s">
        <v>69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81</v>
      </c>
      <c r="Y257" s="1" t="s">
        <v>172</v>
      </c>
      <c r="Z257" s="1" t="s">
        <v>96</v>
      </c>
      <c r="AA257" s="1">
        <v>100.0</v>
      </c>
      <c r="AB257" s="1" t="s">
        <v>79</v>
      </c>
      <c r="AC257" s="1" t="s">
        <v>71</v>
      </c>
      <c r="AF257" s="1" t="s">
        <v>51</v>
      </c>
      <c r="AG257" s="1" t="s">
        <v>51</v>
      </c>
      <c r="AH257" s="1">
        <v>500.0</v>
      </c>
      <c r="AI257" s="1">
        <v>0.0</v>
      </c>
      <c r="AJ257" s="1">
        <v>0.0</v>
      </c>
      <c r="AK257" s="1">
        <v>0.0</v>
      </c>
      <c r="AL257" s="1">
        <v>1.0</v>
      </c>
      <c r="AM257" s="1" t="s">
        <v>51</v>
      </c>
      <c r="AN257" s="1">
        <v>7.27923016E8</v>
      </c>
      <c r="AP257" s="1">
        <v>4.90414212E8</v>
      </c>
      <c r="AQ257" s="1" t="s">
        <v>381</v>
      </c>
      <c r="AR257" s="1">
        <v>45809.4495</v>
      </c>
      <c r="AU257" s="1" t="s">
        <v>64</v>
      </c>
      <c r="AW257" s="1" t="s">
        <v>255</v>
      </c>
      <c r="AY257" s="1">
        <v>251.0</v>
      </c>
    </row>
    <row r="258" hidden="1">
      <c r="A258" s="1" t="s">
        <v>51</v>
      </c>
      <c r="C258" s="1" t="s">
        <v>131</v>
      </c>
      <c r="E258" s="1" t="s">
        <v>53</v>
      </c>
      <c r="F258" s="1" t="s">
        <v>54</v>
      </c>
      <c r="G258" s="1">
        <v>29.0</v>
      </c>
      <c r="H258" s="1" t="s">
        <v>55</v>
      </c>
      <c r="I258" s="1" t="s">
        <v>100</v>
      </c>
      <c r="J258" s="1" t="s">
        <v>68</v>
      </c>
      <c r="K258" s="1" t="s">
        <v>57</v>
      </c>
      <c r="M258" s="1" t="s">
        <v>58</v>
      </c>
      <c r="N258" s="1" t="s">
        <v>58</v>
      </c>
      <c r="O258" s="1" t="s">
        <v>70</v>
      </c>
      <c r="Q258" s="1" t="s">
        <v>58</v>
      </c>
      <c r="R258" s="1" t="s">
        <v>58</v>
      </c>
      <c r="S258" s="1" t="s">
        <v>58</v>
      </c>
      <c r="T258" s="1" t="s">
        <v>58</v>
      </c>
      <c r="U258" s="1" t="s">
        <v>58</v>
      </c>
      <c r="V258" s="1" t="s">
        <v>58</v>
      </c>
      <c r="W258" s="1" t="s">
        <v>58</v>
      </c>
      <c r="X258" s="1" t="s">
        <v>81</v>
      </c>
      <c r="Y258" s="1" t="s">
        <v>172</v>
      </c>
      <c r="Z258" s="1" t="s">
        <v>127</v>
      </c>
      <c r="AA258" s="1">
        <v>50.0</v>
      </c>
      <c r="AB258" s="1" t="s">
        <v>28</v>
      </c>
      <c r="AF258" s="1" t="s">
        <v>51</v>
      </c>
      <c r="AG258" s="1" t="s">
        <v>72</v>
      </c>
      <c r="AI258" s="1">
        <v>0.0</v>
      </c>
      <c r="AJ258" s="1">
        <v>0.0</v>
      </c>
      <c r="AK258" s="1">
        <v>0.0</v>
      </c>
      <c r="AL258" s="1">
        <v>1.0</v>
      </c>
      <c r="AM258" s="1" t="s">
        <v>51</v>
      </c>
      <c r="AN258" s="1">
        <v>7.38978684E8</v>
      </c>
      <c r="AP258" s="1">
        <v>4.9041502E8</v>
      </c>
      <c r="AQ258" s="1" t="s">
        <v>382</v>
      </c>
      <c r="AR258" s="1">
        <v>45809.45145</v>
      </c>
      <c r="AU258" s="1" t="s">
        <v>64</v>
      </c>
      <c r="AW258" s="1" t="s">
        <v>255</v>
      </c>
      <c r="AY258" s="1">
        <v>252.0</v>
      </c>
    </row>
    <row r="259" hidden="1">
      <c r="A259" s="1" t="s">
        <v>51</v>
      </c>
      <c r="C259" s="1" t="s">
        <v>131</v>
      </c>
      <c r="E259" s="1" t="s">
        <v>53</v>
      </c>
      <c r="F259" s="1" t="s">
        <v>54</v>
      </c>
      <c r="G259" s="1">
        <v>38.0</v>
      </c>
      <c r="H259" s="1" t="s">
        <v>55</v>
      </c>
      <c r="I259" s="1" t="s">
        <v>67</v>
      </c>
      <c r="J259" s="1" t="s">
        <v>111</v>
      </c>
      <c r="K259" s="1" t="s">
        <v>74</v>
      </c>
      <c r="M259" s="1" t="s">
        <v>58</v>
      </c>
      <c r="N259" s="1" t="s">
        <v>58</v>
      </c>
      <c r="O259" s="1" t="s">
        <v>69</v>
      </c>
      <c r="Q259" s="1" t="s">
        <v>69</v>
      </c>
      <c r="R259" s="1" t="s">
        <v>69</v>
      </c>
      <c r="S259" s="1" t="s">
        <v>58</v>
      </c>
      <c r="T259" s="1" t="s">
        <v>69</v>
      </c>
      <c r="U259" s="1" t="s">
        <v>69</v>
      </c>
      <c r="V259" s="1" t="s">
        <v>69</v>
      </c>
      <c r="W259" s="1" t="s">
        <v>69</v>
      </c>
      <c r="X259" s="1" t="s">
        <v>59</v>
      </c>
      <c r="Y259" s="1" t="s">
        <v>82</v>
      </c>
      <c r="Z259" s="1" t="s">
        <v>96</v>
      </c>
      <c r="AA259" s="1">
        <v>100.0</v>
      </c>
      <c r="AB259" s="1" t="s">
        <v>62</v>
      </c>
      <c r="AC259" s="1" t="s">
        <v>51</v>
      </c>
      <c r="AD259" s="1" t="s">
        <v>81</v>
      </c>
      <c r="AE259" s="1" t="s">
        <v>51</v>
      </c>
      <c r="AF259" s="1" t="s">
        <v>51</v>
      </c>
      <c r="AG259" s="1" t="s">
        <v>51</v>
      </c>
      <c r="AH259" s="1">
        <v>10.0</v>
      </c>
      <c r="AI259" s="1">
        <v>1.0</v>
      </c>
      <c r="AJ259" s="1">
        <v>0.0</v>
      </c>
      <c r="AK259" s="1">
        <v>0.0</v>
      </c>
      <c r="AL259" s="1">
        <v>0.0</v>
      </c>
      <c r="AM259" s="1" t="s">
        <v>51</v>
      </c>
      <c r="AN259" s="1">
        <v>6.04436785E8</v>
      </c>
      <c r="AP259" s="1">
        <v>4.90415423E8</v>
      </c>
      <c r="AQ259" s="1" t="s">
        <v>383</v>
      </c>
      <c r="AR259" s="1">
        <v>45809.45205</v>
      </c>
      <c r="AU259" s="1" t="s">
        <v>64</v>
      </c>
      <c r="AW259" s="1" t="s">
        <v>255</v>
      </c>
      <c r="AY259" s="1">
        <v>253.0</v>
      </c>
    </row>
    <row r="260" hidden="1">
      <c r="A260" s="1" t="s">
        <v>51</v>
      </c>
      <c r="C260" s="1" t="s">
        <v>52</v>
      </c>
      <c r="E260" s="1" t="s">
        <v>53</v>
      </c>
      <c r="F260" s="1" t="s">
        <v>54</v>
      </c>
      <c r="G260" s="1">
        <v>43.0</v>
      </c>
      <c r="H260" s="1" t="s">
        <v>55</v>
      </c>
      <c r="I260" s="1" t="s">
        <v>67</v>
      </c>
      <c r="J260" s="1" t="s">
        <v>56</v>
      </c>
      <c r="K260" s="1" t="s">
        <v>57</v>
      </c>
      <c r="M260" s="1" t="s">
        <v>58</v>
      </c>
      <c r="N260" s="1" t="s">
        <v>58</v>
      </c>
      <c r="O260" s="1" t="s">
        <v>69</v>
      </c>
      <c r="Q260" s="1" t="s">
        <v>58</v>
      </c>
      <c r="R260" s="1" t="s">
        <v>58</v>
      </c>
      <c r="S260" s="1" t="s">
        <v>70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81</v>
      </c>
      <c r="Y260" s="1" t="s">
        <v>172</v>
      </c>
      <c r="Z260" s="1" t="s">
        <v>96</v>
      </c>
      <c r="AA260" s="1">
        <v>50.0</v>
      </c>
      <c r="AB260" s="1" t="s">
        <v>28</v>
      </c>
      <c r="AC260" s="1" t="s">
        <v>71</v>
      </c>
      <c r="AF260" s="1" t="s">
        <v>51</v>
      </c>
      <c r="AG260" s="1" t="s">
        <v>51</v>
      </c>
      <c r="AH260" s="1">
        <v>500.0</v>
      </c>
      <c r="AI260" s="1">
        <v>0.0</v>
      </c>
      <c r="AJ260" s="1">
        <v>0.0</v>
      </c>
      <c r="AK260" s="1">
        <v>0.0</v>
      </c>
      <c r="AL260" s="1">
        <v>1.0</v>
      </c>
      <c r="AM260" s="1" t="s">
        <v>51</v>
      </c>
      <c r="AN260" s="1">
        <v>7.12667257E8</v>
      </c>
      <c r="AP260" s="1">
        <v>4.90415882E8</v>
      </c>
      <c r="AQ260" s="1" t="s">
        <v>384</v>
      </c>
      <c r="AR260" s="1">
        <v>45809.45297</v>
      </c>
      <c r="AU260" s="1" t="s">
        <v>64</v>
      </c>
      <c r="AW260" s="1" t="s">
        <v>255</v>
      </c>
      <c r="AY260" s="1">
        <v>254.0</v>
      </c>
    </row>
    <row r="261" hidden="1">
      <c r="A261" s="1" t="s">
        <v>51</v>
      </c>
      <c r="C261" s="1" t="s">
        <v>52</v>
      </c>
      <c r="E261" s="1" t="s">
        <v>53</v>
      </c>
      <c r="F261" s="1" t="s">
        <v>54</v>
      </c>
      <c r="G261" s="1">
        <v>36.0</v>
      </c>
      <c r="H261" s="1" t="s">
        <v>66</v>
      </c>
      <c r="I261" s="1" t="s">
        <v>67</v>
      </c>
      <c r="J261" s="1" t="s">
        <v>111</v>
      </c>
      <c r="K261" s="1" t="s">
        <v>57</v>
      </c>
      <c r="M261" s="1" t="s">
        <v>58</v>
      </c>
      <c r="N261" s="1" t="s">
        <v>58</v>
      </c>
      <c r="O261" s="1" t="s">
        <v>69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81</v>
      </c>
      <c r="Y261" s="1" t="s">
        <v>82</v>
      </c>
      <c r="Z261" s="1" t="s">
        <v>127</v>
      </c>
      <c r="AA261" s="1">
        <v>100.0</v>
      </c>
      <c r="AB261" s="1" t="s">
        <v>28</v>
      </c>
      <c r="AC261" s="1" t="s">
        <v>71</v>
      </c>
      <c r="AF261" s="1" t="s">
        <v>51</v>
      </c>
      <c r="AG261" s="1" t="s">
        <v>72</v>
      </c>
      <c r="AI261" s="1">
        <v>1.0</v>
      </c>
      <c r="AJ261" s="1">
        <v>0.0</v>
      </c>
      <c r="AK261" s="1">
        <v>0.0</v>
      </c>
      <c r="AL261" s="1">
        <v>0.0</v>
      </c>
      <c r="AM261" s="1" t="s">
        <v>51</v>
      </c>
      <c r="AN261" s="1">
        <v>8.37472508E8</v>
      </c>
      <c r="AP261" s="1">
        <v>4.90416674E8</v>
      </c>
      <c r="AQ261" s="1" t="s">
        <v>385</v>
      </c>
      <c r="AR261" s="1">
        <v>45809.45446</v>
      </c>
      <c r="AU261" s="1" t="s">
        <v>64</v>
      </c>
      <c r="AW261" s="1" t="s">
        <v>255</v>
      </c>
      <c r="AY261" s="1">
        <v>255.0</v>
      </c>
    </row>
    <row r="262" hidden="1">
      <c r="A262" s="1" t="s">
        <v>51</v>
      </c>
      <c r="C262" s="1" t="s">
        <v>52</v>
      </c>
      <c r="E262" s="1" t="s">
        <v>53</v>
      </c>
      <c r="F262" s="1" t="s">
        <v>54</v>
      </c>
      <c r="G262" s="1">
        <v>33.0</v>
      </c>
      <c r="H262" s="1" t="s">
        <v>55</v>
      </c>
      <c r="I262" s="1" t="s">
        <v>100</v>
      </c>
      <c r="J262" s="1" t="s">
        <v>111</v>
      </c>
      <c r="K262" s="1" t="s">
        <v>57</v>
      </c>
      <c r="M262" s="1" t="s">
        <v>58</v>
      </c>
      <c r="N262" s="1" t="s">
        <v>58</v>
      </c>
      <c r="O262" s="1" t="s">
        <v>70</v>
      </c>
      <c r="Q262" s="1" t="s">
        <v>58</v>
      </c>
      <c r="R262" s="1" t="s">
        <v>58</v>
      </c>
      <c r="S262" s="1" t="s">
        <v>58</v>
      </c>
      <c r="T262" s="1" t="s">
        <v>58</v>
      </c>
      <c r="U262" s="1" t="s">
        <v>58</v>
      </c>
      <c r="V262" s="1" t="s">
        <v>58</v>
      </c>
      <c r="W262" s="1" t="s">
        <v>58</v>
      </c>
      <c r="X262" s="1" t="s">
        <v>81</v>
      </c>
      <c r="Y262" s="1" t="s">
        <v>172</v>
      </c>
      <c r="AA262" s="1">
        <v>50.0</v>
      </c>
      <c r="AB262" s="1" t="s">
        <v>28</v>
      </c>
      <c r="AC262" s="1" t="s">
        <v>71</v>
      </c>
      <c r="AF262" s="1" t="s">
        <v>51</v>
      </c>
      <c r="AG262" s="1" t="s">
        <v>72</v>
      </c>
      <c r="AI262" s="1">
        <v>0.0</v>
      </c>
      <c r="AJ262" s="1">
        <v>0.0</v>
      </c>
      <c r="AK262" s="1">
        <v>0.0</v>
      </c>
      <c r="AL262" s="1">
        <v>1.0</v>
      </c>
      <c r="AM262" s="1" t="s">
        <v>51</v>
      </c>
      <c r="AN262" s="1">
        <v>7.87472508E8</v>
      </c>
      <c r="AP262" s="1">
        <v>4.90417179E8</v>
      </c>
      <c r="AQ262" s="1" t="s">
        <v>386</v>
      </c>
      <c r="AR262" s="1">
        <v>45809.45556</v>
      </c>
      <c r="AU262" s="1" t="s">
        <v>64</v>
      </c>
      <c r="AW262" s="1" t="s">
        <v>255</v>
      </c>
      <c r="AY262" s="1">
        <v>256.0</v>
      </c>
    </row>
    <row r="263" hidden="1">
      <c r="A263" s="1" t="s">
        <v>51</v>
      </c>
      <c r="C263" s="1" t="s">
        <v>52</v>
      </c>
      <c r="E263" s="1" t="s">
        <v>53</v>
      </c>
      <c r="F263" s="1" t="s">
        <v>54</v>
      </c>
      <c r="G263" s="1">
        <v>45.0</v>
      </c>
      <c r="H263" s="1" t="s">
        <v>66</v>
      </c>
      <c r="I263" s="1" t="s">
        <v>100</v>
      </c>
      <c r="J263" s="1" t="s">
        <v>111</v>
      </c>
      <c r="K263" s="1" t="s">
        <v>74</v>
      </c>
      <c r="M263" s="1" t="s">
        <v>58</v>
      </c>
      <c r="N263" s="1" t="s">
        <v>58</v>
      </c>
      <c r="O263" s="1" t="s">
        <v>69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58</v>
      </c>
      <c r="V263" s="1" t="s">
        <v>58</v>
      </c>
      <c r="W263" s="1" t="s">
        <v>58</v>
      </c>
      <c r="X263" s="1" t="s">
        <v>81</v>
      </c>
      <c r="Y263" s="1" t="s">
        <v>60</v>
      </c>
      <c r="Z263" s="1" t="s">
        <v>96</v>
      </c>
      <c r="AA263" s="1">
        <v>100.0</v>
      </c>
      <c r="AB263" s="1" t="s">
        <v>79</v>
      </c>
      <c r="AC263" s="1" t="s">
        <v>71</v>
      </c>
      <c r="AF263" s="1" t="s">
        <v>51</v>
      </c>
      <c r="AG263" s="1" t="s">
        <v>72</v>
      </c>
      <c r="AI263" s="1">
        <v>0.0</v>
      </c>
      <c r="AJ263" s="1">
        <v>0.0</v>
      </c>
      <c r="AK263" s="1">
        <v>0.0</v>
      </c>
      <c r="AL263" s="1">
        <v>1.0</v>
      </c>
      <c r="AM263" s="1" t="s">
        <v>51</v>
      </c>
      <c r="AN263" s="1">
        <v>7.19438817E8</v>
      </c>
      <c r="AP263" s="1">
        <v>4.90417778E8</v>
      </c>
      <c r="AQ263" s="1" t="s">
        <v>387</v>
      </c>
      <c r="AR263" s="1">
        <v>45809.45709</v>
      </c>
      <c r="AU263" s="1" t="s">
        <v>64</v>
      </c>
      <c r="AW263" s="1" t="s">
        <v>255</v>
      </c>
      <c r="AY263" s="1">
        <v>257.0</v>
      </c>
    </row>
    <row r="264" hidden="1">
      <c r="A264" s="1" t="s">
        <v>51</v>
      </c>
      <c r="C264" s="1" t="s">
        <v>52</v>
      </c>
      <c r="E264" s="1" t="s">
        <v>53</v>
      </c>
      <c r="F264" s="1" t="s">
        <v>54</v>
      </c>
      <c r="G264" s="1">
        <v>44.0</v>
      </c>
      <c r="H264" s="1" t="s">
        <v>66</v>
      </c>
      <c r="I264" s="1" t="s">
        <v>67</v>
      </c>
      <c r="J264" s="1" t="s">
        <v>68</v>
      </c>
      <c r="K264" s="1" t="s">
        <v>74</v>
      </c>
      <c r="M264" s="1" t="s">
        <v>58</v>
      </c>
      <c r="N264" s="1" t="s">
        <v>58</v>
      </c>
      <c r="O264" s="1" t="s">
        <v>69</v>
      </c>
      <c r="Q264" s="1" t="s">
        <v>58</v>
      </c>
      <c r="R264" s="1" t="s">
        <v>58</v>
      </c>
      <c r="S264" s="1" t="s">
        <v>69</v>
      </c>
      <c r="T264" s="1" t="s">
        <v>69</v>
      </c>
      <c r="U264" s="1" t="s">
        <v>58</v>
      </c>
      <c r="V264" s="1" t="s">
        <v>58</v>
      </c>
      <c r="W264" s="1" t="s">
        <v>69</v>
      </c>
      <c r="Y264" s="1" t="s">
        <v>82</v>
      </c>
      <c r="Z264" s="1" t="s">
        <v>96</v>
      </c>
      <c r="AA264" s="1">
        <v>100.0</v>
      </c>
      <c r="AB264" s="1" t="s">
        <v>28</v>
      </c>
      <c r="AC264" s="1" t="s">
        <v>71</v>
      </c>
      <c r="AF264" s="1" t="s">
        <v>51</v>
      </c>
      <c r="AG264" s="1" t="s">
        <v>72</v>
      </c>
      <c r="AI264" s="1">
        <v>0.0</v>
      </c>
      <c r="AJ264" s="1">
        <v>0.0</v>
      </c>
      <c r="AK264" s="1">
        <v>0.0</v>
      </c>
      <c r="AL264" s="1">
        <v>1.0</v>
      </c>
      <c r="AM264" s="1" t="s">
        <v>51</v>
      </c>
      <c r="AN264" s="1">
        <v>6.56267166E8</v>
      </c>
      <c r="AP264" s="1">
        <v>4.90418598E8</v>
      </c>
      <c r="AQ264" s="1" t="s">
        <v>388</v>
      </c>
      <c r="AR264" s="1">
        <v>45809.4589</v>
      </c>
      <c r="AU264" s="1" t="s">
        <v>64</v>
      </c>
      <c r="AW264" s="1" t="s">
        <v>255</v>
      </c>
      <c r="AY264" s="1">
        <v>258.0</v>
      </c>
    </row>
    <row r="265" hidden="1">
      <c r="A265" s="1" t="s">
        <v>51</v>
      </c>
      <c r="C265" s="1" t="s">
        <v>52</v>
      </c>
      <c r="E265" s="1" t="s">
        <v>53</v>
      </c>
      <c r="F265" s="1" t="s">
        <v>54</v>
      </c>
      <c r="G265" s="1">
        <v>29.0</v>
      </c>
      <c r="H265" s="1" t="s">
        <v>66</v>
      </c>
      <c r="I265" s="1" t="s">
        <v>67</v>
      </c>
      <c r="J265" s="1" t="s">
        <v>111</v>
      </c>
      <c r="K265" s="1" t="s">
        <v>74</v>
      </c>
      <c r="M265" s="1" t="s">
        <v>58</v>
      </c>
      <c r="N265" s="1" t="s">
        <v>58</v>
      </c>
      <c r="O265" s="1" t="s">
        <v>58</v>
      </c>
      <c r="Q265" s="1" t="s">
        <v>58</v>
      </c>
      <c r="R265" s="1" t="s">
        <v>58</v>
      </c>
      <c r="S265" s="1" t="s">
        <v>58</v>
      </c>
      <c r="T265" s="1" t="s">
        <v>58</v>
      </c>
      <c r="U265" s="1" t="s">
        <v>58</v>
      </c>
      <c r="V265" s="1" t="s">
        <v>58</v>
      </c>
      <c r="W265" s="1" t="s">
        <v>58</v>
      </c>
      <c r="X265" s="1" t="s">
        <v>81</v>
      </c>
      <c r="Y265" s="1" t="s">
        <v>172</v>
      </c>
      <c r="Z265" s="1" t="s">
        <v>127</v>
      </c>
      <c r="AA265" s="1">
        <v>100.0</v>
      </c>
      <c r="AB265" s="1" t="s">
        <v>28</v>
      </c>
      <c r="AC265" s="1" t="s">
        <v>71</v>
      </c>
      <c r="AF265" s="1" t="s">
        <v>51</v>
      </c>
      <c r="AI265" s="1">
        <v>0.0</v>
      </c>
      <c r="AJ265" s="1">
        <v>0.0</v>
      </c>
      <c r="AK265" s="1">
        <v>0.0</v>
      </c>
      <c r="AL265" s="1">
        <v>1.0</v>
      </c>
      <c r="AM265" s="1" t="s">
        <v>51</v>
      </c>
      <c r="AN265" s="1">
        <v>7.38839923E8</v>
      </c>
      <c r="AP265" s="1">
        <v>4.904193E8</v>
      </c>
      <c r="AQ265" s="1" t="s">
        <v>389</v>
      </c>
      <c r="AR265" s="1">
        <v>45809.46008</v>
      </c>
      <c r="AU265" s="1" t="s">
        <v>64</v>
      </c>
      <c r="AW265" s="1" t="s">
        <v>255</v>
      </c>
      <c r="AY265" s="1">
        <v>259.0</v>
      </c>
    </row>
    <row r="266" hidden="1">
      <c r="A266" s="1" t="s">
        <v>51</v>
      </c>
      <c r="C266" s="1" t="s">
        <v>52</v>
      </c>
      <c r="E266" s="1" t="s">
        <v>53</v>
      </c>
      <c r="F266" s="1" t="s">
        <v>54</v>
      </c>
      <c r="G266" s="1">
        <v>40.0</v>
      </c>
      <c r="H266" s="1" t="s">
        <v>55</v>
      </c>
      <c r="I266" s="1" t="s">
        <v>67</v>
      </c>
      <c r="J266" s="1" t="s">
        <v>111</v>
      </c>
      <c r="K266" s="1" t="s">
        <v>74</v>
      </c>
      <c r="M266" s="1" t="s">
        <v>58</v>
      </c>
      <c r="N266" s="1" t="s">
        <v>58</v>
      </c>
      <c r="O266" s="1" t="s">
        <v>69</v>
      </c>
      <c r="Q266" s="1" t="s">
        <v>58</v>
      </c>
      <c r="R266" s="1" t="s">
        <v>58</v>
      </c>
      <c r="S266" s="1" t="s">
        <v>69</v>
      </c>
      <c r="T266" s="1" t="s">
        <v>58</v>
      </c>
      <c r="U266" s="1" t="s">
        <v>70</v>
      </c>
      <c r="V266" s="1" t="s">
        <v>58</v>
      </c>
      <c r="W266" s="1" t="s">
        <v>69</v>
      </c>
      <c r="X266" s="1" t="s">
        <v>59</v>
      </c>
      <c r="Z266" s="1" t="s">
        <v>89</v>
      </c>
      <c r="AA266" s="1">
        <v>50.0</v>
      </c>
      <c r="AB266" s="1" t="s">
        <v>62</v>
      </c>
      <c r="AC266" s="1" t="s">
        <v>51</v>
      </c>
      <c r="AD266" s="1" t="s">
        <v>81</v>
      </c>
      <c r="AE266" s="1" t="s">
        <v>51</v>
      </c>
      <c r="AF266" s="1" t="s">
        <v>51</v>
      </c>
      <c r="AG266" s="1" t="s">
        <v>51</v>
      </c>
      <c r="AH266" s="1">
        <v>20.0</v>
      </c>
      <c r="AI266" s="1">
        <v>1.0</v>
      </c>
      <c r="AJ266" s="1">
        <v>0.0</v>
      </c>
      <c r="AK266" s="1">
        <v>0.0</v>
      </c>
      <c r="AL266" s="1">
        <v>0.0</v>
      </c>
      <c r="AM266" s="1" t="s">
        <v>51</v>
      </c>
      <c r="AN266" s="1">
        <v>6.2639941E8</v>
      </c>
      <c r="AP266" s="1">
        <v>4.90422919E8</v>
      </c>
      <c r="AQ266" s="1" t="s">
        <v>390</v>
      </c>
      <c r="AR266" s="1">
        <v>45809.46801</v>
      </c>
      <c r="AU266" s="1" t="s">
        <v>64</v>
      </c>
      <c r="AW266" s="1" t="s">
        <v>255</v>
      </c>
      <c r="AY266" s="1">
        <v>260.0</v>
      </c>
    </row>
    <row r="267" hidden="1">
      <c r="A267" s="1" t="s">
        <v>51</v>
      </c>
      <c r="C267" s="1" t="s">
        <v>52</v>
      </c>
      <c r="E267" s="1" t="s">
        <v>53</v>
      </c>
      <c r="F267" s="1" t="s">
        <v>54</v>
      </c>
      <c r="G267" s="1">
        <v>29.0</v>
      </c>
      <c r="H267" s="1" t="s">
        <v>55</v>
      </c>
      <c r="I267" s="1" t="s">
        <v>100</v>
      </c>
      <c r="J267" s="1" t="s">
        <v>68</v>
      </c>
      <c r="K267" s="1" t="s">
        <v>57</v>
      </c>
      <c r="M267" s="1" t="s">
        <v>58</v>
      </c>
      <c r="N267" s="1" t="s">
        <v>58</v>
      </c>
      <c r="O267" s="1" t="s">
        <v>69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81</v>
      </c>
      <c r="Y267" s="1" t="s">
        <v>172</v>
      </c>
      <c r="Z267" s="1" t="s">
        <v>96</v>
      </c>
      <c r="AA267" s="1">
        <v>100.0</v>
      </c>
      <c r="AB267" s="1" t="s">
        <v>28</v>
      </c>
      <c r="AC267" s="1" t="s">
        <v>71</v>
      </c>
      <c r="AF267" s="1" t="s">
        <v>51</v>
      </c>
      <c r="AG267" s="1" t="s">
        <v>72</v>
      </c>
      <c r="AI267" s="1">
        <v>0.0</v>
      </c>
      <c r="AJ267" s="1">
        <v>0.0</v>
      </c>
      <c r="AK267" s="1">
        <v>0.0</v>
      </c>
      <c r="AL267" s="1">
        <v>1.0</v>
      </c>
      <c r="AM267" s="1" t="s">
        <v>51</v>
      </c>
      <c r="AN267" s="1">
        <v>6.7069764E8</v>
      </c>
      <c r="AP267" s="1">
        <v>4.90424099E8</v>
      </c>
      <c r="AQ267" s="1" t="s">
        <v>391</v>
      </c>
      <c r="AR267" s="1">
        <v>45809.47068</v>
      </c>
      <c r="AU267" s="1" t="s">
        <v>64</v>
      </c>
      <c r="AW267" s="1" t="s">
        <v>255</v>
      </c>
      <c r="AY267" s="1">
        <v>261.0</v>
      </c>
    </row>
    <row r="268" hidden="1">
      <c r="A268" s="1" t="s">
        <v>51</v>
      </c>
      <c r="C268" s="1" t="s">
        <v>52</v>
      </c>
      <c r="E268" s="1" t="s">
        <v>53</v>
      </c>
      <c r="F268" s="1" t="s">
        <v>54</v>
      </c>
      <c r="G268" s="1">
        <v>30.0</v>
      </c>
      <c r="H268" s="1" t="s">
        <v>55</v>
      </c>
      <c r="I268" s="1" t="s">
        <v>100</v>
      </c>
      <c r="J268" s="1" t="s">
        <v>68</v>
      </c>
      <c r="K268" s="1" t="s">
        <v>74</v>
      </c>
      <c r="M268" s="1" t="s">
        <v>58</v>
      </c>
      <c r="N268" s="1" t="s">
        <v>58</v>
      </c>
      <c r="O268" s="1" t="s">
        <v>69</v>
      </c>
      <c r="Q268" s="1" t="s">
        <v>69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81</v>
      </c>
      <c r="Y268" s="1" t="s">
        <v>172</v>
      </c>
      <c r="Z268" s="1" t="s">
        <v>96</v>
      </c>
      <c r="AA268" s="1">
        <v>100.0</v>
      </c>
      <c r="AB268" s="1" t="s">
        <v>79</v>
      </c>
      <c r="AC268" s="1" t="s">
        <v>71</v>
      </c>
      <c r="AF268" s="1" t="s">
        <v>51</v>
      </c>
      <c r="AI268" s="1">
        <v>0.0</v>
      </c>
      <c r="AJ268" s="1">
        <v>0.0</v>
      </c>
      <c r="AK268" s="1">
        <v>0.0</v>
      </c>
      <c r="AL268" s="1">
        <v>1.0</v>
      </c>
      <c r="AM268" s="1" t="s">
        <v>51</v>
      </c>
      <c r="AN268" s="1">
        <v>8.18158267E8</v>
      </c>
      <c r="AP268" s="1">
        <v>4.90424695E8</v>
      </c>
      <c r="AQ268" s="1" t="s">
        <v>392</v>
      </c>
      <c r="AR268" s="1">
        <v>45809.47249</v>
      </c>
      <c r="AU268" s="1" t="s">
        <v>64</v>
      </c>
      <c r="AW268" s="1" t="s">
        <v>255</v>
      </c>
      <c r="AY268" s="1">
        <v>262.0</v>
      </c>
    </row>
    <row r="269" hidden="1">
      <c r="A269" s="1" t="s">
        <v>51</v>
      </c>
      <c r="C269" s="1" t="s">
        <v>52</v>
      </c>
      <c r="E269" s="1" t="s">
        <v>53</v>
      </c>
      <c r="F269" s="1" t="s">
        <v>54</v>
      </c>
      <c r="G269" s="1">
        <v>27.0</v>
      </c>
      <c r="H269" s="1" t="s">
        <v>55</v>
      </c>
      <c r="I269" s="1" t="s">
        <v>100</v>
      </c>
      <c r="J269" s="1" t="s">
        <v>68</v>
      </c>
      <c r="K269" s="1" t="s">
        <v>74</v>
      </c>
      <c r="M269" s="1" t="s">
        <v>58</v>
      </c>
      <c r="N269" s="1" t="s">
        <v>58</v>
      </c>
      <c r="O269" s="1" t="s">
        <v>69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81</v>
      </c>
      <c r="Y269" s="1" t="s">
        <v>172</v>
      </c>
      <c r="Z269" s="1" t="s">
        <v>96</v>
      </c>
      <c r="AA269" s="1">
        <v>50.0</v>
      </c>
      <c r="AB269" s="1" t="s">
        <v>79</v>
      </c>
      <c r="AC269" s="1" t="s">
        <v>71</v>
      </c>
      <c r="AF269" s="1" t="s">
        <v>51</v>
      </c>
      <c r="AG269" s="1" t="s">
        <v>51</v>
      </c>
      <c r="AH269" s="1">
        <v>300.0</v>
      </c>
      <c r="AI269" s="1">
        <v>0.0</v>
      </c>
      <c r="AJ269" s="1">
        <v>0.0</v>
      </c>
      <c r="AK269" s="1">
        <v>0.0</v>
      </c>
      <c r="AL269" s="1">
        <v>1.0</v>
      </c>
      <c r="AM269" s="1" t="s">
        <v>51</v>
      </c>
      <c r="AN269" s="1">
        <v>7.29861635E8</v>
      </c>
      <c r="AP269" s="1">
        <v>4.90425587E8</v>
      </c>
      <c r="AQ269" s="1" t="s">
        <v>393</v>
      </c>
      <c r="AR269" s="1">
        <v>45809.47427</v>
      </c>
      <c r="AU269" s="1" t="s">
        <v>64</v>
      </c>
      <c r="AW269" s="1" t="s">
        <v>255</v>
      </c>
      <c r="AY269" s="1">
        <v>263.0</v>
      </c>
    </row>
    <row r="270" hidden="1">
      <c r="A270" s="1" t="s">
        <v>51</v>
      </c>
      <c r="C270" s="1" t="s">
        <v>170</v>
      </c>
      <c r="E270" s="1" t="s">
        <v>53</v>
      </c>
      <c r="F270" s="1" t="s">
        <v>102</v>
      </c>
      <c r="G270" s="1">
        <v>37.0</v>
      </c>
      <c r="H270" s="1" t="s">
        <v>55</v>
      </c>
      <c r="I270" s="1" t="s">
        <v>100</v>
      </c>
      <c r="J270" s="1" t="s">
        <v>68</v>
      </c>
      <c r="K270" s="1" t="s">
        <v>78</v>
      </c>
      <c r="M270" s="1" t="s">
        <v>70</v>
      </c>
      <c r="N270" s="1" t="s">
        <v>70</v>
      </c>
      <c r="O270" s="1" t="s">
        <v>69</v>
      </c>
      <c r="Q270" s="1" t="s">
        <v>58</v>
      </c>
      <c r="R270" s="1" t="s">
        <v>58</v>
      </c>
      <c r="S270" s="1" t="s">
        <v>58</v>
      </c>
      <c r="T270" s="1" t="s">
        <v>69</v>
      </c>
      <c r="U270" s="1" t="s">
        <v>69</v>
      </c>
      <c r="V270" s="1" t="s">
        <v>69</v>
      </c>
      <c r="W270" s="1" t="s">
        <v>69</v>
      </c>
      <c r="X270" s="1" t="s">
        <v>81</v>
      </c>
      <c r="Y270" s="1" t="s">
        <v>60</v>
      </c>
      <c r="Z270" s="1" t="s">
        <v>61</v>
      </c>
      <c r="AA270" s="1">
        <v>10.0</v>
      </c>
      <c r="AB270" s="1" t="s">
        <v>79</v>
      </c>
      <c r="AC270" s="1" t="s">
        <v>71</v>
      </c>
      <c r="AF270" s="1" t="s">
        <v>51</v>
      </c>
      <c r="AG270" s="1" t="s">
        <v>72</v>
      </c>
      <c r="AI270" s="1">
        <v>0.0</v>
      </c>
      <c r="AJ270" s="1">
        <v>0.0</v>
      </c>
      <c r="AK270" s="1">
        <v>0.0</v>
      </c>
      <c r="AL270" s="1">
        <v>1.0</v>
      </c>
      <c r="AM270" s="1" t="s">
        <v>72</v>
      </c>
      <c r="AP270" s="1">
        <v>4.90425591E8</v>
      </c>
      <c r="AQ270" s="1" t="s">
        <v>394</v>
      </c>
      <c r="AR270" s="1">
        <v>45809.47427</v>
      </c>
      <c r="AU270" s="1" t="s">
        <v>64</v>
      </c>
      <c r="AW270" s="1" t="s">
        <v>255</v>
      </c>
      <c r="AY270" s="1">
        <v>264.0</v>
      </c>
    </row>
    <row r="271" hidden="1">
      <c r="A271" s="1" t="s">
        <v>51</v>
      </c>
      <c r="C271" s="1" t="s">
        <v>52</v>
      </c>
      <c r="E271" s="1" t="s">
        <v>53</v>
      </c>
      <c r="F271" s="1" t="s">
        <v>54</v>
      </c>
      <c r="G271" s="1">
        <v>36.0</v>
      </c>
      <c r="H271" s="1" t="s">
        <v>55</v>
      </c>
      <c r="I271" s="1" t="s">
        <v>100</v>
      </c>
      <c r="J271" s="1" t="s">
        <v>111</v>
      </c>
      <c r="K271" s="1" t="s">
        <v>74</v>
      </c>
      <c r="M271" s="1" t="s">
        <v>58</v>
      </c>
      <c r="N271" s="1" t="s">
        <v>58</v>
      </c>
      <c r="O271" s="1" t="s">
        <v>69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69</v>
      </c>
      <c r="V271" s="1" t="s">
        <v>69</v>
      </c>
      <c r="W271" s="1" t="s">
        <v>69</v>
      </c>
      <c r="X271" s="1" t="s">
        <v>59</v>
      </c>
      <c r="Y271" s="1" t="s">
        <v>172</v>
      </c>
      <c r="Z271" s="1" t="s">
        <v>96</v>
      </c>
      <c r="AA271" s="1">
        <v>50.0</v>
      </c>
      <c r="AB271" s="1" t="s">
        <v>28</v>
      </c>
      <c r="AC271" s="1" t="s">
        <v>71</v>
      </c>
      <c r="AF271" s="1" t="s">
        <v>51</v>
      </c>
      <c r="AG271" s="1" t="s">
        <v>51</v>
      </c>
      <c r="AH271" s="1">
        <v>400.0</v>
      </c>
      <c r="AI271" s="1">
        <v>0.0</v>
      </c>
      <c r="AJ271" s="1">
        <v>0.0</v>
      </c>
      <c r="AK271" s="1">
        <v>0.0</v>
      </c>
      <c r="AL271" s="1">
        <v>1.0</v>
      </c>
      <c r="AM271" s="1" t="s">
        <v>51</v>
      </c>
      <c r="AN271" s="1">
        <v>8.43748237E8</v>
      </c>
      <c r="AP271" s="1">
        <v>4.9042629E8</v>
      </c>
      <c r="AQ271" s="1" t="s">
        <v>395</v>
      </c>
      <c r="AR271" s="1">
        <v>45809.47557</v>
      </c>
      <c r="AU271" s="1" t="s">
        <v>64</v>
      </c>
      <c r="AW271" s="1" t="s">
        <v>255</v>
      </c>
      <c r="AY271" s="1">
        <v>265.0</v>
      </c>
    </row>
    <row r="272" hidden="1">
      <c r="A272" s="1" t="s">
        <v>51</v>
      </c>
      <c r="C272" s="1" t="s">
        <v>52</v>
      </c>
      <c r="E272" s="1" t="s">
        <v>53</v>
      </c>
      <c r="F272" s="1" t="s">
        <v>54</v>
      </c>
      <c r="G272" s="1">
        <v>33.0</v>
      </c>
      <c r="H272" s="1" t="s">
        <v>55</v>
      </c>
      <c r="I272" s="1" t="s">
        <v>67</v>
      </c>
      <c r="J272" s="1" t="s">
        <v>56</v>
      </c>
      <c r="K272" s="1" t="s">
        <v>74</v>
      </c>
      <c r="M272" s="1" t="s">
        <v>58</v>
      </c>
      <c r="N272" s="1" t="s">
        <v>58</v>
      </c>
      <c r="O272" s="1" t="s">
        <v>58</v>
      </c>
      <c r="Q272" s="1" t="s">
        <v>58</v>
      </c>
      <c r="R272" s="1" t="s">
        <v>58</v>
      </c>
      <c r="S272" s="1" t="s">
        <v>58</v>
      </c>
      <c r="T272" s="1" t="s">
        <v>58</v>
      </c>
      <c r="U272" s="1" t="s">
        <v>58</v>
      </c>
      <c r="V272" s="1" t="s">
        <v>58</v>
      </c>
      <c r="W272" s="1" t="s">
        <v>58</v>
      </c>
      <c r="X272" s="1" t="s">
        <v>81</v>
      </c>
      <c r="Y272" s="1" t="s">
        <v>82</v>
      </c>
      <c r="Z272" s="1" t="s">
        <v>96</v>
      </c>
      <c r="AA272" s="1">
        <v>50.0</v>
      </c>
      <c r="AB272" s="1" t="s">
        <v>79</v>
      </c>
      <c r="AC272" s="1" t="s">
        <v>71</v>
      </c>
      <c r="AF272" s="1" t="s">
        <v>51</v>
      </c>
      <c r="AI272" s="1">
        <v>0.0</v>
      </c>
      <c r="AJ272" s="1">
        <v>1.0</v>
      </c>
      <c r="AK272" s="1">
        <v>0.0</v>
      </c>
      <c r="AL272" s="1">
        <v>0.0</v>
      </c>
      <c r="AM272" s="1" t="s">
        <v>51</v>
      </c>
      <c r="AN272" s="1">
        <v>7.42414746E8</v>
      </c>
      <c r="AP272" s="1">
        <v>4.90426878E8</v>
      </c>
      <c r="AQ272" s="1" t="s">
        <v>396</v>
      </c>
      <c r="AR272" s="1">
        <v>45809.47669</v>
      </c>
      <c r="AU272" s="1" t="s">
        <v>64</v>
      </c>
      <c r="AW272" s="1" t="s">
        <v>255</v>
      </c>
      <c r="AY272" s="1">
        <v>266.0</v>
      </c>
    </row>
    <row r="273" hidden="1">
      <c r="A273" s="1" t="s">
        <v>51</v>
      </c>
      <c r="C273" s="1" t="s">
        <v>52</v>
      </c>
      <c r="E273" s="1" t="s">
        <v>53</v>
      </c>
      <c r="G273" s="1">
        <v>26.0</v>
      </c>
      <c r="H273" s="1" t="s">
        <v>66</v>
      </c>
      <c r="I273" s="1" t="s">
        <v>67</v>
      </c>
      <c r="J273" s="1" t="s">
        <v>56</v>
      </c>
      <c r="K273" s="1" t="s">
        <v>74</v>
      </c>
      <c r="M273" s="1" t="s">
        <v>58</v>
      </c>
      <c r="N273" s="1" t="s">
        <v>58</v>
      </c>
      <c r="O273" s="1" t="s">
        <v>58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81</v>
      </c>
      <c r="Y273" s="1" t="s">
        <v>172</v>
      </c>
      <c r="Z273" s="1" t="s">
        <v>96</v>
      </c>
      <c r="AA273" s="1">
        <v>50.0</v>
      </c>
      <c r="AB273" s="1" t="s">
        <v>79</v>
      </c>
      <c r="AC273" s="1" t="s">
        <v>71</v>
      </c>
      <c r="AF273" s="1" t="s">
        <v>51</v>
      </c>
      <c r="AI273" s="1">
        <v>0.0</v>
      </c>
      <c r="AJ273" s="1">
        <v>0.0</v>
      </c>
      <c r="AK273" s="1">
        <v>0.0</v>
      </c>
      <c r="AL273" s="1">
        <v>1.0</v>
      </c>
      <c r="AM273" s="1" t="s">
        <v>51</v>
      </c>
      <c r="AN273" s="1">
        <v>7.43074844E8</v>
      </c>
      <c r="AP273" s="1">
        <v>4.90427639E8</v>
      </c>
      <c r="AQ273" s="1" t="s">
        <v>397</v>
      </c>
      <c r="AR273" s="1">
        <v>45809.47786</v>
      </c>
      <c r="AU273" s="1" t="s">
        <v>64</v>
      </c>
      <c r="AW273" s="1" t="s">
        <v>255</v>
      </c>
      <c r="AY273" s="1">
        <v>267.0</v>
      </c>
    </row>
    <row r="274" hidden="1">
      <c r="A274" s="1" t="s">
        <v>51</v>
      </c>
      <c r="C274" s="1" t="s">
        <v>52</v>
      </c>
      <c r="E274" s="1" t="s">
        <v>53</v>
      </c>
      <c r="F274" s="1" t="s">
        <v>54</v>
      </c>
      <c r="G274" s="1">
        <v>30.0</v>
      </c>
      <c r="H274" s="1" t="s">
        <v>66</v>
      </c>
      <c r="I274" s="1" t="s">
        <v>67</v>
      </c>
      <c r="J274" s="1" t="s">
        <v>56</v>
      </c>
      <c r="K274" s="1" t="s">
        <v>74</v>
      </c>
      <c r="M274" s="1" t="s">
        <v>58</v>
      </c>
      <c r="N274" s="1" t="s">
        <v>58</v>
      </c>
      <c r="O274" s="1" t="s">
        <v>58</v>
      </c>
      <c r="Q274" s="1" t="s">
        <v>58</v>
      </c>
      <c r="R274" s="1" t="s">
        <v>58</v>
      </c>
      <c r="S274" s="1" t="s">
        <v>58</v>
      </c>
      <c r="T274" s="1" t="s">
        <v>58</v>
      </c>
      <c r="U274" s="1" t="s">
        <v>58</v>
      </c>
      <c r="V274" s="1" t="s">
        <v>58</v>
      </c>
      <c r="W274" s="1" t="s">
        <v>58</v>
      </c>
      <c r="X274" s="1" t="s">
        <v>81</v>
      </c>
      <c r="Y274" s="1" t="s">
        <v>60</v>
      </c>
      <c r="Z274" s="1" t="s">
        <v>96</v>
      </c>
      <c r="AA274" s="1">
        <v>50.0</v>
      </c>
      <c r="AB274" s="1" t="s">
        <v>79</v>
      </c>
      <c r="AC274" s="1" t="s">
        <v>71</v>
      </c>
      <c r="AF274" s="1" t="s">
        <v>51</v>
      </c>
      <c r="AI274" s="1">
        <v>0.0</v>
      </c>
      <c r="AJ274" s="1">
        <v>0.0</v>
      </c>
      <c r="AK274" s="1">
        <v>0.0</v>
      </c>
      <c r="AL274" s="1">
        <v>1.0</v>
      </c>
      <c r="AM274" s="1" t="s">
        <v>51</v>
      </c>
      <c r="AN274" s="1">
        <v>6.44607283E8</v>
      </c>
      <c r="AP274" s="1">
        <v>4.90428229E8</v>
      </c>
      <c r="AQ274" s="1" t="s">
        <v>398</v>
      </c>
      <c r="AR274" s="1">
        <v>45809.47894</v>
      </c>
      <c r="AU274" s="1" t="s">
        <v>64</v>
      </c>
      <c r="AW274" s="1" t="s">
        <v>255</v>
      </c>
      <c r="AY274" s="1">
        <v>268.0</v>
      </c>
    </row>
    <row r="275" hidden="1">
      <c r="A275" s="1" t="s">
        <v>51</v>
      </c>
      <c r="C275" s="1" t="s">
        <v>52</v>
      </c>
      <c r="E275" s="1" t="s">
        <v>53</v>
      </c>
      <c r="F275" s="1" t="s">
        <v>54</v>
      </c>
      <c r="G275" s="1">
        <v>39.0</v>
      </c>
      <c r="H275" s="1" t="s">
        <v>55</v>
      </c>
      <c r="I275" s="1" t="s">
        <v>67</v>
      </c>
      <c r="J275" s="1" t="s">
        <v>68</v>
      </c>
      <c r="K275" s="1" t="s">
        <v>74</v>
      </c>
      <c r="M275" s="1" t="s">
        <v>58</v>
      </c>
      <c r="N275" s="1" t="s">
        <v>58</v>
      </c>
      <c r="O275" s="1" t="s">
        <v>58</v>
      </c>
      <c r="Q275" s="1" t="s">
        <v>58</v>
      </c>
      <c r="R275" s="1" t="s">
        <v>58</v>
      </c>
      <c r="S275" s="1" t="s">
        <v>58</v>
      </c>
      <c r="T275" s="1" t="s">
        <v>58</v>
      </c>
      <c r="U275" s="1" t="s">
        <v>58</v>
      </c>
      <c r="V275" s="1" t="s">
        <v>58</v>
      </c>
      <c r="W275" s="1" t="s">
        <v>58</v>
      </c>
      <c r="X275" s="1" t="s">
        <v>81</v>
      </c>
      <c r="Y275" s="1" t="s">
        <v>172</v>
      </c>
      <c r="Z275" s="1" t="s">
        <v>96</v>
      </c>
      <c r="AA275" s="1">
        <v>50.0</v>
      </c>
      <c r="AB275" s="1" t="s">
        <v>28</v>
      </c>
      <c r="AC275" s="1" t="s">
        <v>71</v>
      </c>
      <c r="AF275" s="1" t="s">
        <v>51</v>
      </c>
      <c r="AI275" s="1">
        <v>0.0</v>
      </c>
      <c r="AJ275" s="1">
        <v>0.0</v>
      </c>
      <c r="AK275" s="1">
        <v>0.0</v>
      </c>
      <c r="AL275" s="1">
        <v>1.0</v>
      </c>
      <c r="AM275" s="1" t="s">
        <v>51</v>
      </c>
      <c r="AN275" s="1">
        <v>6.1803172E8</v>
      </c>
      <c r="AP275" s="1">
        <v>4.9042889E8</v>
      </c>
      <c r="AQ275" s="1" t="s">
        <v>399</v>
      </c>
      <c r="AR275" s="1">
        <v>45809.48024</v>
      </c>
      <c r="AU275" s="1" t="s">
        <v>64</v>
      </c>
      <c r="AW275" s="1" t="s">
        <v>255</v>
      </c>
      <c r="AY275" s="1">
        <v>269.0</v>
      </c>
    </row>
    <row r="276" hidden="1">
      <c r="A276" s="1" t="s">
        <v>51</v>
      </c>
      <c r="C276" s="1" t="s">
        <v>52</v>
      </c>
      <c r="E276" s="1" t="s">
        <v>53</v>
      </c>
      <c r="F276" s="1" t="s">
        <v>54</v>
      </c>
      <c r="G276" s="1">
        <v>32.0</v>
      </c>
      <c r="H276" s="1" t="s">
        <v>66</v>
      </c>
      <c r="I276" s="1" t="s">
        <v>67</v>
      </c>
      <c r="J276" s="1" t="s">
        <v>68</v>
      </c>
      <c r="K276" s="1" t="s">
        <v>74</v>
      </c>
      <c r="M276" s="1" t="s">
        <v>58</v>
      </c>
      <c r="N276" s="1" t="s">
        <v>58</v>
      </c>
      <c r="O276" s="1" t="s">
        <v>58</v>
      </c>
      <c r="Q276" s="1" t="s">
        <v>58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81</v>
      </c>
      <c r="Y276" s="1" t="s">
        <v>60</v>
      </c>
      <c r="Z276" s="1" t="s">
        <v>108</v>
      </c>
      <c r="AA276" s="1">
        <v>100.0</v>
      </c>
      <c r="AB276" s="1" t="s">
        <v>62</v>
      </c>
      <c r="AC276" s="1" t="s">
        <v>71</v>
      </c>
      <c r="AF276" s="1" t="s">
        <v>51</v>
      </c>
      <c r="AI276" s="1">
        <v>0.0</v>
      </c>
      <c r="AJ276" s="1">
        <v>0.0</v>
      </c>
      <c r="AK276" s="1">
        <v>0.0</v>
      </c>
      <c r="AL276" s="1">
        <v>1.0</v>
      </c>
      <c r="AM276" s="1" t="s">
        <v>51</v>
      </c>
      <c r="AN276" s="1">
        <v>6.56507643E8</v>
      </c>
      <c r="AP276" s="1">
        <v>4.90429346E8</v>
      </c>
      <c r="AQ276" s="1" t="s">
        <v>400</v>
      </c>
      <c r="AR276" s="1">
        <v>45809.48139</v>
      </c>
      <c r="AU276" s="1" t="s">
        <v>64</v>
      </c>
      <c r="AW276" s="1" t="s">
        <v>255</v>
      </c>
      <c r="AY276" s="1">
        <v>270.0</v>
      </c>
    </row>
    <row r="277" hidden="1">
      <c r="A277" s="1" t="s">
        <v>51</v>
      </c>
      <c r="C277" s="1" t="s">
        <v>52</v>
      </c>
      <c r="E277" s="1" t="s">
        <v>53</v>
      </c>
      <c r="F277" s="1" t="s">
        <v>54</v>
      </c>
      <c r="G277" s="1">
        <v>38.0</v>
      </c>
      <c r="H277" s="1" t="s">
        <v>55</v>
      </c>
      <c r="I277" s="1" t="s">
        <v>67</v>
      </c>
      <c r="J277" s="1" t="s">
        <v>111</v>
      </c>
      <c r="K277" s="1" t="s">
        <v>74</v>
      </c>
      <c r="M277" s="1" t="s">
        <v>58</v>
      </c>
      <c r="N277" s="1" t="s">
        <v>58</v>
      </c>
      <c r="O277" s="1" t="s">
        <v>69</v>
      </c>
      <c r="Q277" s="1" t="s">
        <v>58</v>
      </c>
      <c r="R277" s="1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  <c r="W277" s="1" t="s">
        <v>58</v>
      </c>
      <c r="X277" s="1" t="s">
        <v>81</v>
      </c>
      <c r="Y277" s="1" t="s">
        <v>60</v>
      </c>
      <c r="Z277" s="1" t="s">
        <v>127</v>
      </c>
      <c r="AA277" s="1">
        <v>100.0</v>
      </c>
      <c r="AB277" s="1" t="s">
        <v>62</v>
      </c>
      <c r="AC277" s="1" t="s">
        <v>71</v>
      </c>
      <c r="AF277" s="1" t="s">
        <v>51</v>
      </c>
      <c r="AI277" s="1">
        <v>0.0</v>
      </c>
      <c r="AJ277" s="1">
        <v>0.0</v>
      </c>
      <c r="AK277" s="1">
        <v>0.0</v>
      </c>
      <c r="AL277" s="1">
        <v>1.0</v>
      </c>
      <c r="AM277" s="1" t="s">
        <v>51</v>
      </c>
      <c r="AN277" s="1">
        <v>6.56507643E8</v>
      </c>
      <c r="AP277" s="1">
        <v>4.90429896E8</v>
      </c>
      <c r="AQ277" s="1" t="s">
        <v>401</v>
      </c>
      <c r="AR277" s="1">
        <v>45809.48266</v>
      </c>
      <c r="AU277" s="1" t="s">
        <v>64</v>
      </c>
      <c r="AW277" s="1" t="s">
        <v>255</v>
      </c>
      <c r="AY277" s="1">
        <v>271.0</v>
      </c>
    </row>
    <row r="278" hidden="1">
      <c r="A278" s="1" t="s">
        <v>51</v>
      </c>
      <c r="C278" s="1" t="s">
        <v>52</v>
      </c>
      <c r="E278" s="1" t="s">
        <v>53</v>
      </c>
      <c r="F278" s="1" t="s">
        <v>54</v>
      </c>
      <c r="G278" s="1">
        <v>26.0</v>
      </c>
      <c r="H278" s="1" t="s">
        <v>55</v>
      </c>
      <c r="I278" s="1" t="s">
        <v>100</v>
      </c>
      <c r="J278" s="1" t="s">
        <v>68</v>
      </c>
      <c r="K278" s="1" t="s">
        <v>74</v>
      </c>
      <c r="M278" s="1" t="s">
        <v>58</v>
      </c>
      <c r="N278" s="1" t="s">
        <v>58</v>
      </c>
      <c r="O278" s="1" t="s">
        <v>58</v>
      </c>
      <c r="Q278" s="1" t="s">
        <v>58</v>
      </c>
      <c r="R278" s="1" t="s">
        <v>58</v>
      </c>
      <c r="S278" s="1" t="s">
        <v>58</v>
      </c>
      <c r="T278" s="1" t="s">
        <v>58</v>
      </c>
      <c r="U278" s="1" t="s">
        <v>58</v>
      </c>
      <c r="V278" s="1" t="s">
        <v>58</v>
      </c>
      <c r="W278" s="1" t="s">
        <v>58</v>
      </c>
      <c r="X278" s="1" t="s">
        <v>81</v>
      </c>
      <c r="Y278" s="1" t="s">
        <v>60</v>
      </c>
      <c r="Z278" s="1" t="s">
        <v>127</v>
      </c>
      <c r="AA278" s="1">
        <v>50.0</v>
      </c>
      <c r="AB278" s="1" t="s">
        <v>62</v>
      </c>
      <c r="AC278" s="1" t="s">
        <v>71</v>
      </c>
      <c r="AF278" s="1" t="s">
        <v>51</v>
      </c>
      <c r="AI278" s="1">
        <v>0.0</v>
      </c>
      <c r="AJ278" s="1">
        <v>0.0</v>
      </c>
      <c r="AK278" s="1">
        <v>0.0</v>
      </c>
      <c r="AL278" s="1">
        <v>1.0</v>
      </c>
      <c r="AM278" s="1" t="s">
        <v>51</v>
      </c>
      <c r="AN278" s="1">
        <v>8.45540475E8</v>
      </c>
      <c r="AP278" s="1">
        <v>4.90430332E8</v>
      </c>
      <c r="AQ278" s="1" t="s">
        <v>402</v>
      </c>
      <c r="AR278" s="1">
        <v>45809.48391</v>
      </c>
      <c r="AU278" s="1" t="s">
        <v>64</v>
      </c>
      <c r="AW278" s="1" t="s">
        <v>255</v>
      </c>
      <c r="AY278" s="1">
        <v>272.0</v>
      </c>
    </row>
    <row r="279" hidden="1">
      <c r="A279" s="1" t="s">
        <v>51</v>
      </c>
      <c r="C279" s="1" t="s">
        <v>52</v>
      </c>
      <c r="E279" s="1" t="s">
        <v>53</v>
      </c>
      <c r="F279" s="1" t="s">
        <v>54</v>
      </c>
      <c r="G279" s="1">
        <v>35.0</v>
      </c>
      <c r="H279" s="1" t="s">
        <v>55</v>
      </c>
      <c r="I279" s="1" t="s">
        <v>67</v>
      </c>
      <c r="J279" s="1" t="s">
        <v>68</v>
      </c>
      <c r="K279" s="1" t="s">
        <v>74</v>
      </c>
      <c r="M279" s="1" t="s">
        <v>58</v>
      </c>
      <c r="N279" s="1" t="s">
        <v>58</v>
      </c>
      <c r="O279" s="1" t="s">
        <v>58</v>
      </c>
      <c r="Q279" s="1" t="s">
        <v>58</v>
      </c>
      <c r="R279" s="1" t="s">
        <v>58</v>
      </c>
      <c r="S279" s="1" t="s">
        <v>58</v>
      </c>
      <c r="T279" s="1" t="s">
        <v>58</v>
      </c>
      <c r="U279" s="1" t="s">
        <v>58</v>
      </c>
      <c r="V279" s="1" t="s">
        <v>58</v>
      </c>
      <c r="W279" s="1" t="s">
        <v>58</v>
      </c>
      <c r="Y279" s="1" t="s">
        <v>82</v>
      </c>
      <c r="Z279" s="1" t="s">
        <v>61</v>
      </c>
      <c r="AA279" s="1">
        <v>20.0</v>
      </c>
      <c r="AB279" s="1" t="s">
        <v>79</v>
      </c>
      <c r="AC279" s="1" t="s">
        <v>51</v>
      </c>
      <c r="AD279" s="1" t="s">
        <v>59</v>
      </c>
      <c r="AF279" s="1" t="s">
        <v>51</v>
      </c>
      <c r="AG279" s="1" t="s">
        <v>51</v>
      </c>
      <c r="AI279" s="1">
        <v>0.0</v>
      </c>
      <c r="AJ279" s="1">
        <v>1.0</v>
      </c>
      <c r="AK279" s="1">
        <v>0.0</v>
      </c>
      <c r="AL279" s="1">
        <v>0.0</v>
      </c>
      <c r="AM279" s="1" t="s">
        <v>51</v>
      </c>
      <c r="AP279" s="1">
        <v>4.90430818E8</v>
      </c>
      <c r="AQ279" s="1" t="s">
        <v>403</v>
      </c>
      <c r="AR279" s="1">
        <v>45809.48487</v>
      </c>
      <c r="AU279" s="1" t="s">
        <v>64</v>
      </c>
      <c r="AW279" s="1" t="s">
        <v>255</v>
      </c>
      <c r="AY279" s="1">
        <v>273.0</v>
      </c>
    </row>
    <row r="280" hidden="1">
      <c r="A280" s="1" t="s">
        <v>51</v>
      </c>
      <c r="C280" s="1" t="s">
        <v>52</v>
      </c>
      <c r="E280" s="1" t="s">
        <v>53</v>
      </c>
      <c r="F280" s="1" t="s">
        <v>54</v>
      </c>
      <c r="G280" s="1">
        <v>30.0</v>
      </c>
      <c r="H280" s="1" t="s">
        <v>55</v>
      </c>
      <c r="I280" s="1" t="s">
        <v>100</v>
      </c>
      <c r="J280" s="1" t="s">
        <v>68</v>
      </c>
      <c r="K280" s="1" t="s">
        <v>74</v>
      </c>
      <c r="M280" s="1" t="s">
        <v>58</v>
      </c>
      <c r="N280" s="1" t="s">
        <v>58</v>
      </c>
      <c r="O280" s="1" t="s">
        <v>69</v>
      </c>
      <c r="Q280" s="1" t="s">
        <v>58</v>
      </c>
      <c r="R280" s="1" t="s">
        <v>58</v>
      </c>
      <c r="S280" s="1" t="s">
        <v>69</v>
      </c>
      <c r="T280" s="1" t="s">
        <v>69</v>
      </c>
      <c r="U280" s="1" t="s">
        <v>69</v>
      </c>
      <c r="V280" s="1" t="s">
        <v>58</v>
      </c>
      <c r="W280" s="1" t="s">
        <v>58</v>
      </c>
      <c r="X280" s="1" t="s">
        <v>81</v>
      </c>
      <c r="Y280" s="1" t="s">
        <v>172</v>
      </c>
      <c r="Z280" s="1" t="s">
        <v>96</v>
      </c>
      <c r="AA280" s="1">
        <v>100.0</v>
      </c>
      <c r="AB280" s="1" t="s">
        <v>62</v>
      </c>
      <c r="AC280" s="1" t="s">
        <v>71</v>
      </c>
      <c r="AF280" s="1" t="s">
        <v>51</v>
      </c>
      <c r="AG280" s="1" t="s">
        <v>72</v>
      </c>
      <c r="AI280" s="1">
        <v>0.0</v>
      </c>
      <c r="AJ280" s="1">
        <v>0.0</v>
      </c>
      <c r="AK280" s="1">
        <v>0.0</v>
      </c>
      <c r="AL280" s="1">
        <v>1.0</v>
      </c>
      <c r="AP280" s="1">
        <v>4.90431866E8</v>
      </c>
      <c r="AQ280" s="1" t="s">
        <v>404</v>
      </c>
      <c r="AR280" s="1">
        <v>45809.48755</v>
      </c>
      <c r="AU280" s="1" t="s">
        <v>64</v>
      </c>
      <c r="AW280" s="1" t="s">
        <v>255</v>
      </c>
      <c r="AY280" s="1">
        <v>274.0</v>
      </c>
    </row>
    <row r="281" hidden="1">
      <c r="A281" s="1" t="s">
        <v>51</v>
      </c>
      <c r="C281" s="1" t="s">
        <v>52</v>
      </c>
      <c r="E281" s="1" t="s">
        <v>53</v>
      </c>
      <c r="F281" s="1" t="s">
        <v>54</v>
      </c>
      <c r="G281" s="1">
        <v>34.0</v>
      </c>
      <c r="H281" s="1" t="s">
        <v>55</v>
      </c>
      <c r="I281" s="1" t="s">
        <v>67</v>
      </c>
      <c r="J281" s="1" t="s">
        <v>68</v>
      </c>
      <c r="K281" s="1" t="s">
        <v>74</v>
      </c>
      <c r="M281" s="1" t="s">
        <v>58</v>
      </c>
      <c r="N281" s="1" t="s">
        <v>58</v>
      </c>
      <c r="O281" s="1" t="s">
        <v>69</v>
      </c>
      <c r="Q281" s="1" t="s">
        <v>58</v>
      </c>
      <c r="R281" s="1" t="s">
        <v>58</v>
      </c>
      <c r="S281" s="1" t="s">
        <v>69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81</v>
      </c>
      <c r="Y281" s="1" t="s">
        <v>60</v>
      </c>
      <c r="Z281" s="1" t="s">
        <v>96</v>
      </c>
      <c r="AA281" s="1">
        <v>100.0</v>
      </c>
      <c r="AB281" s="1" t="s">
        <v>62</v>
      </c>
      <c r="AC281" s="1" t="s">
        <v>71</v>
      </c>
      <c r="AF281" s="1" t="s">
        <v>51</v>
      </c>
      <c r="AI281" s="1">
        <v>0.0</v>
      </c>
      <c r="AJ281" s="1">
        <v>0.0</v>
      </c>
      <c r="AK281" s="1">
        <v>0.0</v>
      </c>
      <c r="AL281" s="1">
        <v>1.0</v>
      </c>
      <c r="AM281" s="1" t="s">
        <v>51</v>
      </c>
      <c r="AN281" s="1">
        <v>8.43131062E8</v>
      </c>
      <c r="AP281" s="1">
        <v>4.904325E8</v>
      </c>
      <c r="AQ281" s="1" t="s">
        <v>405</v>
      </c>
      <c r="AR281" s="1">
        <v>45809.48904</v>
      </c>
      <c r="AU281" s="1" t="s">
        <v>64</v>
      </c>
      <c r="AW281" s="1" t="s">
        <v>255</v>
      </c>
      <c r="AY281" s="1">
        <v>275.0</v>
      </c>
    </row>
    <row r="282" hidden="1">
      <c r="A282" s="1" t="s">
        <v>51</v>
      </c>
      <c r="C282" s="1" t="s">
        <v>52</v>
      </c>
      <c r="E282" s="1" t="s">
        <v>53</v>
      </c>
      <c r="F282" s="1" t="s">
        <v>54</v>
      </c>
      <c r="G282" s="1">
        <v>29.0</v>
      </c>
      <c r="H282" s="1" t="s">
        <v>55</v>
      </c>
      <c r="I282" s="1" t="s">
        <v>67</v>
      </c>
      <c r="J282" s="1" t="s">
        <v>56</v>
      </c>
      <c r="K282" s="1" t="s">
        <v>74</v>
      </c>
      <c r="M282" s="1" t="s">
        <v>58</v>
      </c>
      <c r="N282" s="1" t="s">
        <v>58</v>
      </c>
      <c r="O282" s="1" t="s">
        <v>58</v>
      </c>
      <c r="Q282" s="1" t="s">
        <v>58</v>
      </c>
      <c r="R282" s="1" t="s">
        <v>58</v>
      </c>
      <c r="S282" s="1" t="s">
        <v>58</v>
      </c>
      <c r="T282" s="1" t="s">
        <v>58</v>
      </c>
      <c r="U282" s="1" t="s">
        <v>70</v>
      </c>
      <c r="V282" s="1" t="s">
        <v>58</v>
      </c>
      <c r="W282" s="1" t="s">
        <v>58</v>
      </c>
      <c r="X282" s="1" t="s">
        <v>59</v>
      </c>
      <c r="Y282" s="1" t="s">
        <v>60</v>
      </c>
      <c r="Z282" s="1" t="s">
        <v>108</v>
      </c>
      <c r="AA282" s="1">
        <v>100.0</v>
      </c>
      <c r="AB282" s="1" t="s">
        <v>62</v>
      </c>
      <c r="AC282" s="1" t="s">
        <v>71</v>
      </c>
      <c r="AF282" s="1" t="s">
        <v>51</v>
      </c>
      <c r="AG282" s="1" t="s">
        <v>51</v>
      </c>
      <c r="AH282" s="1">
        <v>200.0</v>
      </c>
      <c r="AI282" s="1">
        <v>0.0</v>
      </c>
      <c r="AJ282" s="1">
        <v>0.0</v>
      </c>
      <c r="AK282" s="1">
        <v>1.0</v>
      </c>
      <c r="AL282" s="1">
        <v>0.0</v>
      </c>
      <c r="AM282" s="1" t="s">
        <v>51</v>
      </c>
      <c r="AN282" s="1">
        <v>6.38118772E8</v>
      </c>
      <c r="AP282" s="1">
        <v>4.9043351E8</v>
      </c>
      <c r="AQ282" s="1" t="s">
        <v>406</v>
      </c>
      <c r="AR282" s="1">
        <v>45809.49069</v>
      </c>
      <c r="AU282" s="1" t="s">
        <v>64</v>
      </c>
      <c r="AW282" s="1" t="s">
        <v>255</v>
      </c>
      <c r="AY282" s="1">
        <v>276.0</v>
      </c>
    </row>
    <row r="283" hidden="1">
      <c r="A283" s="1" t="s">
        <v>51</v>
      </c>
      <c r="C283" s="1" t="s">
        <v>52</v>
      </c>
      <c r="E283" s="1" t="s">
        <v>53</v>
      </c>
      <c r="F283" s="1" t="s">
        <v>54</v>
      </c>
      <c r="G283" s="1">
        <v>32.0</v>
      </c>
      <c r="H283" s="1" t="s">
        <v>55</v>
      </c>
      <c r="I283" s="1" t="s">
        <v>67</v>
      </c>
      <c r="J283" s="1" t="s">
        <v>111</v>
      </c>
      <c r="K283" s="1" t="s">
        <v>74</v>
      </c>
      <c r="M283" s="1" t="s">
        <v>58</v>
      </c>
      <c r="N283" s="1" t="s">
        <v>58</v>
      </c>
      <c r="O283" s="1" t="s">
        <v>70</v>
      </c>
      <c r="Q283" s="1" t="s">
        <v>58</v>
      </c>
      <c r="R283" s="1" t="s">
        <v>58</v>
      </c>
      <c r="S283" s="1" t="s">
        <v>58</v>
      </c>
      <c r="T283" s="1" t="s">
        <v>69</v>
      </c>
      <c r="U283" s="1" t="s">
        <v>58</v>
      </c>
      <c r="V283" s="1" t="s">
        <v>58</v>
      </c>
      <c r="W283" s="1" t="s">
        <v>69</v>
      </c>
      <c r="X283" s="1" t="s">
        <v>59</v>
      </c>
      <c r="Y283" s="1" t="s">
        <v>60</v>
      </c>
      <c r="Z283" s="1" t="s">
        <v>127</v>
      </c>
      <c r="AA283" s="1">
        <v>50.0</v>
      </c>
      <c r="AB283" s="1" t="s">
        <v>62</v>
      </c>
      <c r="AC283" s="1" t="s">
        <v>71</v>
      </c>
      <c r="AF283" s="1" t="s">
        <v>51</v>
      </c>
      <c r="AG283" s="1" t="s">
        <v>51</v>
      </c>
      <c r="AH283" s="1">
        <v>350.0</v>
      </c>
      <c r="AI283" s="1">
        <v>0.0</v>
      </c>
      <c r="AJ283" s="1">
        <v>1.0</v>
      </c>
      <c r="AK283" s="1">
        <v>0.0</v>
      </c>
      <c r="AL283" s="1">
        <v>0.0</v>
      </c>
      <c r="AM283" s="1" t="s">
        <v>51</v>
      </c>
      <c r="AN283" s="1">
        <v>6.9334195E8</v>
      </c>
      <c r="AP283" s="1">
        <v>4.90434382E8</v>
      </c>
      <c r="AQ283" s="1" t="s">
        <v>407</v>
      </c>
      <c r="AR283" s="1">
        <v>45809.49219</v>
      </c>
      <c r="AU283" s="1" t="s">
        <v>64</v>
      </c>
      <c r="AW283" s="1" t="s">
        <v>255</v>
      </c>
      <c r="AY283" s="1">
        <v>277.0</v>
      </c>
    </row>
    <row r="284" hidden="1">
      <c r="A284" s="1" t="s">
        <v>51</v>
      </c>
      <c r="C284" s="1" t="s">
        <v>52</v>
      </c>
      <c r="E284" s="1" t="s">
        <v>53</v>
      </c>
      <c r="F284" s="1" t="s">
        <v>54</v>
      </c>
      <c r="G284" s="1">
        <v>28.0</v>
      </c>
      <c r="H284" s="1" t="s">
        <v>55</v>
      </c>
      <c r="I284" s="1" t="s">
        <v>100</v>
      </c>
      <c r="J284" s="1" t="s">
        <v>68</v>
      </c>
      <c r="K284" s="1" t="s">
        <v>74</v>
      </c>
      <c r="M284" s="1" t="s">
        <v>58</v>
      </c>
      <c r="N284" s="1" t="s">
        <v>58</v>
      </c>
      <c r="O284" s="1" t="s">
        <v>69</v>
      </c>
      <c r="Q284" s="1" t="s">
        <v>69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69</v>
      </c>
      <c r="X284" s="1" t="s">
        <v>59</v>
      </c>
      <c r="Y284" s="1" t="s">
        <v>60</v>
      </c>
      <c r="Z284" s="1" t="s">
        <v>108</v>
      </c>
      <c r="AA284" s="1">
        <v>100.0</v>
      </c>
      <c r="AB284" s="1" t="s">
        <v>62</v>
      </c>
      <c r="AC284" s="1" t="s">
        <v>71</v>
      </c>
      <c r="AG284" s="1" t="s">
        <v>51</v>
      </c>
      <c r="AH284" s="1">
        <v>400.0</v>
      </c>
      <c r="AI284" s="1">
        <v>0.0</v>
      </c>
      <c r="AJ284" s="1">
        <v>0.0</v>
      </c>
      <c r="AK284" s="1">
        <v>0.0</v>
      </c>
      <c r="AL284" s="1">
        <v>1.0</v>
      </c>
      <c r="AM284" s="1" t="s">
        <v>51</v>
      </c>
      <c r="AN284" s="1">
        <v>6.93913293E8</v>
      </c>
      <c r="AP284" s="1">
        <v>4.90434959E8</v>
      </c>
      <c r="AQ284" s="1" t="s">
        <v>408</v>
      </c>
      <c r="AR284" s="1">
        <v>45809.4935</v>
      </c>
      <c r="AU284" s="1" t="s">
        <v>64</v>
      </c>
      <c r="AW284" s="1" t="s">
        <v>255</v>
      </c>
      <c r="AY284" s="1">
        <v>278.0</v>
      </c>
    </row>
    <row r="285" hidden="1">
      <c r="A285" s="1" t="s">
        <v>51</v>
      </c>
      <c r="C285" s="1" t="s">
        <v>131</v>
      </c>
      <c r="E285" s="1" t="s">
        <v>53</v>
      </c>
      <c r="F285" s="1" t="s">
        <v>54</v>
      </c>
      <c r="G285" s="1">
        <v>32.0</v>
      </c>
      <c r="H285" s="1" t="s">
        <v>55</v>
      </c>
      <c r="I285" s="1" t="s">
        <v>67</v>
      </c>
      <c r="J285" s="1" t="s">
        <v>68</v>
      </c>
      <c r="K285" s="1" t="s">
        <v>57</v>
      </c>
      <c r="M285" s="1" t="s">
        <v>58</v>
      </c>
      <c r="N285" s="1" t="s">
        <v>58</v>
      </c>
      <c r="O285" s="1" t="s">
        <v>70</v>
      </c>
      <c r="Q285" s="1" t="s">
        <v>69</v>
      </c>
      <c r="R285" s="1" t="s">
        <v>58</v>
      </c>
      <c r="S285" s="1" t="s">
        <v>69</v>
      </c>
      <c r="T285" s="1" t="s">
        <v>69</v>
      </c>
      <c r="U285" s="1" t="s">
        <v>70</v>
      </c>
      <c r="V285" s="1" t="s">
        <v>69</v>
      </c>
      <c r="W285" s="1" t="s">
        <v>69</v>
      </c>
      <c r="X285" s="1" t="s">
        <v>81</v>
      </c>
      <c r="Y285" s="1" t="s">
        <v>82</v>
      </c>
      <c r="Z285" s="1" t="s">
        <v>96</v>
      </c>
      <c r="AA285" s="1">
        <v>100.0</v>
      </c>
      <c r="AB285" s="1" t="s">
        <v>79</v>
      </c>
      <c r="AC285" s="1" t="s">
        <v>72</v>
      </c>
      <c r="AF285" s="1" t="s">
        <v>51</v>
      </c>
      <c r="AG285" s="1" t="s">
        <v>51</v>
      </c>
      <c r="AH285" s="1">
        <v>10.0</v>
      </c>
      <c r="AI285" s="1">
        <v>0.0</v>
      </c>
      <c r="AJ285" s="1">
        <v>0.0</v>
      </c>
      <c r="AK285" s="1">
        <v>0.0</v>
      </c>
      <c r="AL285" s="1">
        <v>1.0</v>
      </c>
      <c r="AM285" s="1" t="s">
        <v>51</v>
      </c>
      <c r="AN285" s="1">
        <v>6.37219103E8</v>
      </c>
      <c r="AP285" s="1">
        <v>4.90437016E8</v>
      </c>
      <c r="AQ285" s="1" t="s">
        <v>409</v>
      </c>
      <c r="AR285" s="1">
        <v>45809.49846</v>
      </c>
      <c r="AU285" s="1" t="s">
        <v>64</v>
      </c>
      <c r="AW285" s="1" t="s">
        <v>255</v>
      </c>
      <c r="AY285" s="1">
        <v>279.0</v>
      </c>
    </row>
    <row r="286">
      <c r="A286" s="1" t="s">
        <v>51</v>
      </c>
      <c r="C286" s="1" t="s">
        <v>151</v>
      </c>
      <c r="E286" s="1" t="s">
        <v>151</v>
      </c>
      <c r="G286" s="1">
        <v>33.0</v>
      </c>
      <c r="H286" s="1" t="s">
        <v>55</v>
      </c>
      <c r="J286" s="1" t="s">
        <v>86</v>
      </c>
      <c r="K286" s="1" t="s">
        <v>74</v>
      </c>
      <c r="M286" s="1" t="s">
        <v>58</v>
      </c>
      <c r="N286" s="1" t="s">
        <v>58</v>
      </c>
      <c r="O286" s="1" t="s">
        <v>69</v>
      </c>
      <c r="Q286" s="1" t="s">
        <v>69</v>
      </c>
      <c r="R286" s="1" t="s">
        <v>58</v>
      </c>
      <c r="S286" s="1" t="s">
        <v>69</v>
      </c>
      <c r="T286" s="1" t="s">
        <v>69</v>
      </c>
      <c r="U286" s="1" t="s">
        <v>58</v>
      </c>
      <c r="V286" s="1" t="s">
        <v>58</v>
      </c>
      <c r="W286" s="1" t="s">
        <v>69</v>
      </c>
      <c r="X286" s="1" t="s">
        <v>81</v>
      </c>
      <c r="Y286" s="1" t="s">
        <v>82</v>
      </c>
      <c r="Z286" s="1" t="s">
        <v>89</v>
      </c>
      <c r="AA286" s="1">
        <v>20.0</v>
      </c>
      <c r="AB286" s="1" t="s">
        <v>62</v>
      </c>
      <c r="AC286" s="1" t="s">
        <v>71</v>
      </c>
      <c r="AF286" s="1" t="s">
        <v>51</v>
      </c>
      <c r="AG286" s="1" t="s">
        <v>72</v>
      </c>
      <c r="AI286" s="1">
        <v>1.0</v>
      </c>
      <c r="AJ286" s="1">
        <v>1.0</v>
      </c>
      <c r="AK286" s="1">
        <v>1.0</v>
      </c>
      <c r="AL286" s="1">
        <v>0.0</v>
      </c>
      <c r="AP286" s="1">
        <v>4.90437613E8</v>
      </c>
      <c r="AQ286" s="1" t="s">
        <v>410</v>
      </c>
      <c r="AR286" s="1">
        <v>45809.50008</v>
      </c>
      <c r="AU286" s="1" t="s">
        <v>64</v>
      </c>
      <c r="AW286" s="1" t="s">
        <v>255</v>
      </c>
      <c r="AY286" s="1">
        <v>280.0</v>
      </c>
    </row>
    <row r="287">
      <c r="A287" s="1" t="s">
        <v>51</v>
      </c>
      <c r="C287" s="1" t="s">
        <v>151</v>
      </c>
      <c r="E287" s="1" t="s">
        <v>53</v>
      </c>
      <c r="F287" s="1" t="s">
        <v>102</v>
      </c>
      <c r="G287" s="1">
        <v>19.0</v>
      </c>
      <c r="H287" s="1" t="s">
        <v>55</v>
      </c>
      <c r="I287" s="1" t="s">
        <v>100</v>
      </c>
      <c r="J287" s="1" t="s">
        <v>56</v>
      </c>
      <c r="K287" s="1" t="s">
        <v>57</v>
      </c>
      <c r="M287" s="1" t="s">
        <v>70</v>
      </c>
      <c r="N287" s="1" t="s">
        <v>70</v>
      </c>
      <c r="O287" s="1" t="s">
        <v>69</v>
      </c>
      <c r="Q287" s="1" t="s">
        <v>70</v>
      </c>
      <c r="R287" s="1" t="s">
        <v>70</v>
      </c>
      <c r="S287" s="1" t="s">
        <v>58</v>
      </c>
      <c r="T287" s="1" t="s">
        <v>58</v>
      </c>
      <c r="U287" s="1" t="s">
        <v>70</v>
      </c>
      <c r="V287" s="1" t="s">
        <v>58</v>
      </c>
      <c r="W287" s="1" t="s">
        <v>58</v>
      </c>
      <c r="X287" s="1" t="s">
        <v>59</v>
      </c>
      <c r="Y287" s="1" t="s">
        <v>60</v>
      </c>
      <c r="Z287" s="1" t="s">
        <v>89</v>
      </c>
      <c r="AA287" s="1">
        <v>50.0</v>
      </c>
      <c r="AB287" s="1" t="s">
        <v>79</v>
      </c>
      <c r="AC287" s="1" t="s">
        <v>72</v>
      </c>
      <c r="AF287" s="1" t="s">
        <v>51</v>
      </c>
      <c r="AG287" s="1" t="s">
        <v>51</v>
      </c>
      <c r="AH287" s="1">
        <v>100.0</v>
      </c>
      <c r="AI287" s="1">
        <v>0.0</v>
      </c>
      <c r="AJ287" s="1">
        <v>1.0</v>
      </c>
      <c r="AK287" s="1">
        <v>0.0</v>
      </c>
      <c r="AL287" s="1">
        <v>0.0</v>
      </c>
      <c r="AM287" s="1" t="s">
        <v>72</v>
      </c>
      <c r="AP287" s="1">
        <v>4.90438774E8</v>
      </c>
      <c r="AQ287" s="1" t="s">
        <v>411</v>
      </c>
      <c r="AR287" s="1">
        <v>45809.50295</v>
      </c>
      <c r="AU287" s="1" t="s">
        <v>64</v>
      </c>
      <c r="AW287" s="1" t="s">
        <v>255</v>
      </c>
      <c r="AY287" s="1">
        <v>281.0</v>
      </c>
    </row>
    <row r="288">
      <c r="A288" s="1" t="s">
        <v>51</v>
      </c>
      <c r="C288" s="1" t="s">
        <v>151</v>
      </c>
      <c r="E288" s="1" t="s">
        <v>53</v>
      </c>
      <c r="F288" s="1" t="s">
        <v>232</v>
      </c>
      <c r="G288" s="1">
        <v>29.0</v>
      </c>
      <c r="H288" s="1" t="s">
        <v>66</v>
      </c>
      <c r="I288" s="1" t="s">
        <v>67</v>
      </c>
      <c r="J288" s="1" t="s">
        <v>68</v>
      </c>
      <c r="K288" s="1" t="s">
        <v>92</v>
      </c>
      <c r="M288" s="1" t="s">
        <v>58</v>
      </c>
      <c r="N288" s="1" t="s">
        <v>58</v>
      </c>
      <c r="O288" s="1" t="s">
        <v>69</v>
      </c>
      <c r="Q288" s="1" t="s">
        <v>58</v>
      </c>
      <c r="R288" s="1" t="s">
        <v>58</v>
      </c>
      <c r="S288" s="1" t="s">
        <v>69</v>
      </c>
      <c r="T288" s="1" t="s">
        <v>69</v>
      </c>
      <c r="U288" s="1" t="s">
        <v>70</v>
      </c>
      <c r="V288" s="1" t="s">
        <v>58</v>
      </c>
      <c r="W288" s="1" t="s">
        <v>69</v>
      </c>
      <c r="X288" s="1" t="s">
        <v>81</v>
      </c>
      <c r="Y288" s="1" t="s">
        <v>82</v>
      </c>
      <c r="Z288" s="1" t="s">
        <v>61</v>
      </c>
      <c r="AA288" s="1">
        <v>20.0</v>
      </c>
      <c r="AB288" s="1" t="s">
        <v>79</v>
      </c>
      <c r="AC288" s="1" t="s">
        <v>71</v>
      </c>
      <c r="AF288" s="1" t="s">
        <v>51</v>
      </c>
      <c r="AG288" s="1" t="s">
        <v>51</v>
      </c>
      <c r="AH288" s="1">
        <v>250.0</v>
      </c>
      <c r="AI288" s="1">
        <v>1.0</v>
      </c>
      <c r="AJ288" s="1">
        <v>1.0</v>
      </c>
      <c r="AK288" s="1">
        <v>1.0</v>
      </c>
      <c r="AL288" s="1">
        <v>1.0</v>
      </c>
      <c r="AM288" s="1" t="s">
        <v>72</v>
      </c>
      <c r="AP288" s="1">
        <v>4.90440004E8</v>
      </c>
      <c r="AQ288" s="1" t="s">
        <v>412</v>
      </c>
      <c r="AR288" s="1">
        <v>45809.50516</v>
      </c>
      <c r="AU288" s="1" t="s">
        <v>64</v>
      </c>
      <c r="AW288" s="1" t="s">
        <v>255</v>
      </c>
      <c r="AY288" s="1">
        <v>282.0</v>
      </c>
    </row>
    <row r="289">
      <c r="A289" s="1" t="s">
        <v>51</v>
      </c>
      <c r="C289" s="1" t="s">
        <v>151</v>
      </c>
      <c r="E289" s="1" t="s">
        <v>53</v>
      </c>
      <c r="F289" s="1" t="s">
        <v>102</v>
      </c>
      <c r="G289" s="1">
        <v>25.0</v>
      </c>
      <c r="H289" s="1" t="s">
        <v>55</v>
      </c>
      <c r="I289" s="1" t="s">
        <v>76</v>
      </c>
      <c r="J289" s="1" t="s">
        <v>68</v>
      </c>
      <c r="K289" s="1" t="s">
        <v>74</v>
      </c>
      <c r="M289" s="1" t="s">
        <v>58</v>
      </c>
      <c r="N289" s="1" t="s">
        <v>58</v>
      </c>
      <c r="O289" s="1" t="s">
        <v>69</v>
      </c>
      <c r="Q289" s="1" t="s">
        <v>69</v>
      </c>
      <c r="R289" s="1" t="s">
        <v>58</v>
      </c>
      <c r="S289" s="1" t="s">
        <v>58</v>
      </c>
      <c r="T289" s="1" t="s">
        <v>58</v>
      </c>
      <c r="U289" s="1" t="s">
        <v>70</v>
      </c>
      <c r="V289" s="1" t="s">
        <v>58</v>
      </c>
      <c r="W289" s="1" t="s">
        <v>58</v>
      </c>
      <c r="X289" s="1" t="s">
        <v>81</v>
      </c>
      <c r="Y289" s="1" t="s">
        <v>82</v>
      </c>
      <c r="Z289" s="1" t="s">
        <v>61</v>
      </c>
      <c r="AA289" s="1">
        <v>10.0</v>
      </c>
      <c r="AB289" s="1" t="s">
        <v>62</v>
      </c>
      <c r="AC289" s="1" t="s">
        <v>71</v>
      </c>
      <c r="AF289" s="1" t="s">
        <v>51</v>
      </c>
      <c r="AG289" s="1" t="s">
        <v>72</v>
      </c>
      <c r="AI289" s="1">
        <v>0.0</v>
      </c>
      <c r="AJ289" s="1">
        <v>0.0</v>
      </c>
      <c r="AK289" s="1">
        <v>0.0</v>
      </c>
      <c r="AL289" s="1">
        <v>1.0</v>
      </c>
      <c r="AM289" s="1" t="s">
        <v>72</v>
      </c>
      <c r="AP289" s="1">
        <v>4.90442696E8</v>
      </c>
      <c r="AQ289" s="1" t="s">
        <v>413</v>
      </c>
      <c r="AR289" s="1">
        <v>45809.51083</v>
      </c>
      <c r="AU289" s="1" t="s">
        <v>64</v>
      </c>
      <c r="AW289" s="1" t="s">
        <v>255</v>
      </c>
      <c r="AY289" s="1">
        <v>283.0</v>
      </c>
    </row>
    <row r="290">
      <c r="A290" s="1" t="s">
        <v>51</v>
      </c>
      <c r="C290" s="1" t="s">
        <v>151</v>
      </c>
      <c r="E290" s="1" t="s">
        <v>151</v>
      </c>
      <c r="G290" s="1">
        <v>46.0</v>
      </c>
      <c r="H290" s="1" t="s">
        <v>66</v>
      </c>
      <c r="J290" s="1" t="s">
        <v>111</v>
      </c>
      <c r="K290" s="1" t="s">
        <v>87</v>
      </c>
      <c r="M290" s="1" t="s">
        <v>58</v>
      </c>
      <c r="N290" s="1" t="s">
        <v>58</v>
      </c>
      <c r="O290" s="1" t="s">
        <v>69</v>
      </c>
      <c r="Q290" s="1" t="s">
        <v>69</v>
      </c>
      <c r="R290" s="1" t="s">
        <v>69</v>
      </c>
      <c r="S290" s="1" t="s">
        <v>69</v>
      </c>
      <c r="T290" s="1" t="s">
        <v>58</v>
      </c>
      <c r="U290" s="1" t="s">
        <v>69</v>
      </c>
      <c r="V290" s="1" t="s">
        <v>58</v>
      </c>
      <c r="W290" s="1" t="s">
        <v>69</v>
      </c>
      <c r="X290" s="1" t="s">
        <v>81</v>
      </c>
      <c r="Y290" s="1" t="s">
        <v>82</v>
      </c>
      <c r="Z290" s="1" t="s">
        <v>61</v>
      </c>
      <c r="AA290" s="1">
        <v>10.0</v>
      </c>
      <c r="AB290" s="1" t="s">
        <v>79</v>
      </c>
      <c r="AC290" s="1" t="s">
        <v>71</v>
      </c>
      <c r="AF290" s="1" t="s">
        <v>51</v>
      </c>
      <c r="AG290" s="1" t="s">
        <v>72</v>
      </c>
      <c r="AI290" s="1">
        <v>1.0</v>
      </c>
      <c r="AJ290" s="1">
        <v>1.0</v>
      </c>
      <c r="AK290" s="1">
        <v>0.0</v>
      </c>
      <c r="AL290" s="1">
        <v>0.0</v>
      </c>
      <c r="AP290" s="1">
        <v>4.90445028E8</v>
      </c>
      <c r="AQ290" s="1" t="s">
        <v>414</v>
      </c>
      <c r="AR290" s="1">
        <v>45809.51612</v>
      </c>
      <c r="AU290" s="1" t="s">
        <v>64</v>
      </c>
      <c r="AW290" s="1" t="s">
        <v>255</v>
      </c>
      <c r="AY290" s="1">
        <v>284.0</v>
      </c>
    </row>
    <row r="291">
      <c r="A291" s="1" t="s">
        <v>51</v>
      </c>
      <c r="C291" s="1" t="s">
        <v>151</v>
      </c>
      <c r="E291" s="1" t="s">
        <v>151</v>
      </c>
      <c r="G291" s="1">
        <v>20.0</v>
      </c>
      <c r="H291" s="1" t="s">
        <v>55</v>
      </c>
      <c r="J291" s="1" t="s">
        <v>68</v>
      </c>
      <c r="K291" s="1" t="s">
        <v>74</v>
      </c>
      <c r="M291" s="1" t="s">
        <v>58</v>
      </c>
      <c r="N291" s="1" t="s">
        <v>58</v>
      </c>
      <c r="O291" s="1" t="s">
        <v>69</v>
      </c>
      <c r="Q291" s="1" t="s">
        <v>69</v>
      </c>
      <c r="R291" s="1" t="s">
        <v>58</v>
      </c>
      <c r="S291" s="1" t="s">
        <v>69</v>
      </c>
      <c r="T291" s="1" t="s">
        <v>69</v>
      </c>
      <c r="U291" s="1" t="s">
        <v>70</v>
      </c>
      <c r="V291" s="1" t="s">
        <v>58</v>
      </c>
      <c r="W291" s="1" t="s">
        <v>69</v>
      </c>
      <c r="X291" s="1" t="s">
        <v>81</v>
      </c>
      <c r="Y291" s="1" t="s">
        <v>60</v>
      </c>
      <c r="Z291" s="1" t="s">
        <v>61</v>
      </c>
      <c r="AA291" s="1">
        <v>10.0</v>
      </c>
      <c r="AB291" s="1" t="s">
        <v>79</v>
      </c>
      <c r="AC291" s="1" t="s">
        <v>71</v>
      </c>
      <c r="AF291" s="1" t="s">
        <v>51</v>
      </c>
      <c r="AG291" s="1" t="s">
        <v>72</v>
      </c>
      <c r="AI291" s="1">
        <v>1.0</v>
      </c>
      <c r="AJ291" s="1">
        <v>1.0</v>
      </c>
      <c r="AK291" s="1">
        <v>1.0</v>
      </c>
      <c r="AL291" s="1">
        <v>1.0</v>
      </c>
      <c r="AP291" s="1">
        <v>4.9044811E8</v>
      </c>
      <c r="AQ291" s="1" t="s">
        <v>415</v>
      </c>
      <c r="AR291" s="1">
        <v>45809.52318</v>
      </c>
      <c r="AU291" s="1" t="s">
        <v>64</v>
      </c>
      <c r="AW291" s="1" t="s">
        <v>255</v>
      </c>
      <c r="AY291" s="1">
        <v>285.0</v>
      </c>
    </row>
    <row r="292" hidden="1">
      <c r="AP292" s="1">
        <v>4.90493239E8</v>
      </c>
      <c r="AQ292" s="1" t="s">
        <v>538</v>
      </c>
      <c r="AR292" s="1">
        <v>45809.60697</v>
      </c>
      <c r="AU292" s="1" t="s">
        <v>64</v>
      </c>
      <c r="AW292" s="1" t="s">
        <v>255</v>
      </c>
      <c r="AY292" s="1">
        <v>286.0</v>
      </c>
    </row>
    <row r="293" hidden="1">
      <c r="AP293" s="1">
        <v>4.90494441E8</v>
      </c>
      <c r="AQ293" s="1" t="s">
        <v>539</v>
      </c>
      <c r="AR293" s="1">
        <v>45809.60904</v>
      </c>
      <c r="AU293" s="1" t="s">
        <v>64</v>
      </c>
      <c r="AW293" s="1" t="s">
        <v>255</v>
      </c>
      <c r="AY293" s="1">
        <v>287.0</v>
      </c>
    </row>
    <row r="294" hidden="1">
      <c r="AP294" s="1">
        <v>4.90496329E8</v>
      </c>
      <c r="AQ294" s="1" t="s">
        <v>540</v>
      </c>
      <c r="AR294" s="1">
        <v>45809.61179</v>
      </c>
      <c r="AU294" s="1" t="s">
        <v>64</v>
      </c>
      <c r="AW294" s="1" t="s">
        <v>255</v>
      </c>
      <c r="AY294" s="1">
        <v>288.0</v>
      </c>
    </row>
    <row r="295" hidden="1">
      <c r="AP295" s="1">
        <v>4.90497886E8</v>
      </c>
      <c r="AQ295" s="1" t="s">
        <v>541</v>
      </c>
      <c r="AR295" s="1">
        <v>45809.61461</v>
      </c>
      <c r="AU295" s="1" t="s">
        <v>64</v>
      </c>
      <c r="AW295" s="1" t="s">
        <v>255</v>
      </c>
      <c r="AY295" s="1">
        <v>289.0</v>
      </c>
    </row>
    <row r="296">
      <c r="A296" s="1" t="s">
        <v>51</v>
      </c>
      <c r="C296" s="1" t="s">
        <v>151</v>
      </c>
      <c r="E296" s="1" t="s">
        <v>53</v>
      </c>
      <c r="G296" s="1">
        <v>25.0</v>
      </c>
      <c r="H296" s="1" t="s">
        <v>55</v>
      </c>
      <c r="J296" s="1" t="s">
        <v>56</v>
      </c>
      <c r="K296" s="1" t="s">
        <v>87</v>
      </c>
      <c r="M296" s="1" t="s">
        <v>58</v>
      </c>
      <c r="N296" s="1" t="s">
        <v>58</v>
      </c>
      <c r="O296" s="1" t="s">
        <v>58</v>
      </c>
      <c r="Q296" s="1" t="s">
        <v>58</v>
      </c>
      <c r="R296" s="1" t="s">
        <v>58</v>
      </c>
      <c r="S296" s="1" t="s">
        <v>58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81</v>
      </c>
      <c r="Y296" s="1" t="s">
        <v>95</v>
      </c>
      <c r="Z296" s="1" t="s">
        <v>89</v>
      </c>
      <c r="AA296" s="1">
        <v>10.0</v>
      </c>
      <c r="AB296" s="1" t="s">
        <v>79</v>
      </c>
      <c r="AC296" s="1" t="s">
        <v>51</v>
      </c>
      <c r="AD296" s="1" t="s">
        <v>81</v>
      </c>
      <c r="AE296" s="1" t="s">
        <v>51</v>
      </c>
      <c r="AF296" s="1" t="s">
        <v>51</v>
      </c>
      <c r="AG296" s="1" t="s">
        <v>72</v>
      </c>
      <c r="AI296" s="1">
        <v>1.0</v>
      </c>
      <c r="AJ296" s="1">
        <v>0.0</v>
      </c>
      <c r="AK296" s="1">
        <v>0.0</v>
      </c>
      <c r="AL296" s="1">
        <v>0.0</v>
      </c>
      <c r="AM296" s="1" t="s">
        <v>51</v>
      </c>
      <c r="AN296" s="1">
        <v>6.32773846E8</v>
      </c>
      <c r="AP296" s="1">
        <v>4.90506285E8</v>
      </c>
      <c r="AQ296" s="1" t="s">
        <v>416</v>
      </c>
      <c r="AR296" s="1">
        <v>45809.63079</v>
      </c>
      <c r="AU296" s="1" t="s">
        <v>64</v>
      </c>
      <c r="AW296" s="1" t="s">
        <v>255</v>
      </c>
      <c r="AY296" s="1">
        <v>290.0</v>
      </c>
    </row>
    <row r="297" hidden="1">
      <c r="A297" s="1" t="s">
        <v>51</v>
      </c>
      <c r="C297" s="1" t="s">
        <v>131</v>
      </c>
      <c r="E297" s="1" t="s">
        <v>53</v>
      </c>
      <c r="F297" s="1" t="s">
        <v>85</v>
      </c>
      <c r="G297" s="1">
        <v>20.0</v>
      </c>
      <c r="H297" s="1" t="s">
        <v>55</v>
      </c>
      <c r="I297" s="1" t="s">
        <v>100</v>
      </c>
      <c r="J297" s="1" t="s">
        <v>111</v>
      </c>
      <c r="K297" s="1" t="s">
        <v>57</v>
      </c>
      <c r="M297" s="1" t="s">
        <v>58</v>
      </c>
      <c r="N297" s="1" t="s">
        <v>58</v>
      </c>
      <c r="O297" s="1" t="s">
        <v>58</v>
      </c>
      <c r="Q297" s="1" t="s">
        <v>58</v>
      </c>
      <c r="R297" s="1" t="s">
        <v>58</v>
      </c>
      <c r="S297" s="1" t="s">
        <v>58</v>
      </c>
      <c r="T297" s="1" t="s">
        <v>58</v>
      </c>
      <c r="U297" s="1" t="s">
        <v>58</v>
      </c>
      <c r="V297" s="1" t="s">
        <v>58</v>
      </c>
      <c r="W297" s="1" t="s">
        <v>58</v>
      </c>
      <c r="X297" s="1" t="s">
        <v>59</v>
      </c>
      <c r="Y297" s="1" t="s">
        <v>60</v>
      </c>
      <c r="Z297" s="1" t="s">
        <v>89</v>
      </c>
      <c r="AA297" s="1">
        <v>30.0</v>
      </c>
      <c r="AB297" s="1" t="s">
        <v>62</v>
      </c>
      <c r="AC297" s="1" t="s">
        <v>51</v>
      </c>
      <c r="AD297" s="1" t="s">
        <v>59</v>
      </c>
      <c r="AE297" s="1" t="s">
        <v>51</v>
      </c>
      <c r="AF297" s="1" t="s">
        <v>51</v>
      </c>
      <c r="AG297" s="1" t="s">
        <v>51</v>
      </c>
      <c r="AH297" s="1">
        <v>5.0</v>
      </c>
      <c r="AI297" s="1">
        <v>0.0</v>
      </c>
      <c r="AJ297" s="1">
        <v>1.0</v>
      </c>
      <c r="AK297" s="1">
        <v>0.0</v>
      </c>
      <c r="AL297" s="1">
        <v>0.0</v>
      </c>
      <c r="AM297" s="1" t="s">
        <v>51</v>
      </c>
      <c r="AN297" s="1">
        <v>6.5515584E8</v>
      </c>
      <c r="AP297" s="1">
        <v>4.90507921E8</v>
      </c>
      <c r="AQ297" s="1" t="s">
        <v>417</v>
      </c>
      <c r="AR297" s="1">
        <v>45809.63337</v>
      </c>
      <c r="AU297" s="1" t="s">
        <v>64</v>
      </c>
      <c r="AW297" s="1" t="s">
        <v>255</v>
      </c>
      <c r="AY297" s="1">
        <v>291.0</v>
      </c>
    </row>
    <row r="298" hidden="1">
      <c r="A298" s="1" t="s">
        <v>51</v>
      </c>
      <c r="C298" s="1" t="s">
        <v>131</v>
      </c>
      <c r="E298" s="1" t="s">
        <v>53</v>
      </c>
      <c r="F298" s="1" t="s">
        <v>291</v>
      </c>
      <c r="G298" s="1">
        <v>22.0</v>
      </c>
      <c r="H298" s="1" t="s">
        <v>66</v>
      </c>
      <c r="I298" s="1" t="s">
        <v>76</v>
      </c>
      <c r="J298" s="1" t="s">
        <v>68</v>
      </c>
      <c r="K298" s="1" t="s">
        <v>74</v>
      </c>
      <c r="M298" s="1" t="s">
        <v>58</v>
      </c>
      <c r="N298" s="1" t="s">
        <v>58</v>
      </c>
      <c r="O298" s="1" t="s">
        <v>58</v>
      </c>
      <c r="Q298" s="1" t="s">
        <v>58</v>
      </c>
      <c r="R298" s="1" t="s">
        <v>58</v>
      </c>
      <c r="S298" s="1" t="s">
        <v>58</v>
      </c>
      <c r="T298" s="1" t="s">
        <v>58</v>
      </c>
      <c r="U298" s="1" t="s">
        <v>58</v>
      </c>
      <c r="V298" s="1" t="s">
        <v>58</v>
      </c>
      <c r="W298" s="1" t="s">
        <v>58</v>
      </c>
      <c r="X298" s="1" t="s">
        <v>81</v>
      </c>
      <c r="Y298" s="1" t="s">
        <v>82</v>
      </c>
      <c r="Z298" s="1" t="s">
        <v>108</v>
      </c>
      <c r="AA298" s="1">
        <v>50.0</v>
      </c>
      <c r="AB298" s="1" t="s">
        <v>79</v>
      </c>
      <c r="AC298" s="1" t="s">
        <v>51</v>
      </c>
      <c r="AD298" s="1" t="s">
        <v>59</v>
      </c>
      <c r="AE298" s="1" t="s">
        <v>51</v>
      </c>
      <c r="AF298" s="1" t="s">
        <v>51</v>
      </c>
      <c r="AG298" s="1" t="s">
        <v>51</v>
      </c>
      <c r="AH298" s="1">
        <v>3.0</v>
      </c>
      <c r="AI298" s="1">
        <v>1.0</v>
      </c>
      <c r="AJ298" s="1">
        <v>0.0</v>
      </c>
      <c r="AK298" s="1">
        <v>0.0</v>
      </c>
      <c r="AL298" s="1">
        <v>0.0</v>
      </c>
      <c r="AM298" s="1" t="s">
        <v>51</v>
      </c>
      <c r="AN298" s="1">
        <v>6.311026E8</v>
      </c>
      <c r="AP298" s="1">
        <v>4.90509604E8</v>
      </c>
      <c r="AQ298" s="1" t="s">
        <v>418</v>
      </c>
      <c r="AR298" s="1">
        <v>45809.63671</v>
      </c>
      <c r="AU298" s="1" t="s">
        <v>64</v>
      </c>
      <c r="AW298" s="1" t="s">
        <v>255</v>
      </c>
      <c r="AY298" s="1">
        <v>292.0</v>
      </c>
    </row>
    <row r="299" hidden="1">
      <c r="A299" s="1" t="s">
        <v>51</v>
      </c>
      <c r="C299" s="1" t="s">
        <v>131</v>
      </c>
      <c r="E299" s="1" t="s">
        <v>53</v>
      </c>
      <c r="F299" s="1" t="s">
        <v>291</v>
      </c>
      <c r="G299" s="1">
        <v>25.0</v>
      </c>
      <c r="H299" s="1" t="s">
        <v>55</v>
      </c>
      <c r="I299" s="1" t="s">
        <v>419</v>
      </c>
      <c r="J299" s="1" t="s">
        <v>86</v>
      </c>
      <c r="K299" s="1" t="s">
        <v>78</v>
      </c>
      <c r="M299" s="1" t="s">
        <v>70</v>
      </c>
      <c r="N299" s="1" t="s">
        <v>58</v>
      </c>
      <c r="O299" s="1" t="s">
        <v>58</v>
      </c>
      <c r="Q299" s="1" t="s">
        <v>58</v>
      </c>
      <c r="R299" s="1" t="s">
        <v>58</v>
      </c>
      <c r="S299" s="1" t="s">
        <v>58</v>
      </c>
      <c r="T299" s="1" t="s">
        <v>58</v>
      </c>
      <c r="U299" s="1" t="s">
        <v>58</v>
      </c>
      <c r="V299" s="1" t="s">
        <v>58</v>
      </c>
      <c r="W299" s="1" t="s">
        <v>58</v>
      </c>
      <c r="X299" s="1" t="s">
        <v>88</v>
      </c>
      <c r="Y299" s="1" t="s">
        <v>60</v>
      </c>
      <c r="Z299" s="1" t="s">
        <v>127</v>
      </c>
      <c r="AA299" s="1">
        <v>20.0</v>
      </c>
      <c r="AB299" s="1" t="s">
        <v>79</v>
      </c>
      <c r="AC299" s="1" t="s">
        <v>51</v>
      </c>
      <c r="AD299" s="1" t="s">
        <v>59</v>
      </c>
      <c r="AE299" s="1" t="s">
        <v>51</v>
      </c>
      <c r="AF299" s="1" t="s">
        <v>51</v>
      </c>
      <c r="AG299" s="1" t="s">
        <v>51</v>
      </c>
      <c r="AH299" s="1">
        <v>2.0</v>
      </c>
      <c r="AI299" s="1">
        <v>1.0</v>
      </c>
      <c r="AJ299" s="1">
        <v>0.0</v>
      </c>
      <c r="AK299" s="1">
        <v>0.0</v>
      </c>
      <c r="AL299" s="1">
        <v>0.0</v>
      </c>
      <c r="AM299" s="1" t="s">
        <v>51</v>
      </c>
      <c r="AN299" s="1">
        <v>8.15732989E8</v>
      </c>
      <c r="AP299" s="1">
        <v>4.90509749E8</v>
      </c>
      <c r="AQ299" s="1" t="s">
        <v>420</v>
      </c>
      <c r="AR299" s="1">
        <v>45809.63701</v>
      </c>
      <c r="AU299" s="1" t="s">
        <v>64</v>
      </c>
      <c r="AW299" s="1" t="s">
        <v>255</v>
      </c>
      <c r="AY299" s="1">
        <v>293.0</v>
      </c>
    </row>
    <row r="300" hidden="1">
      <c r="A300" s="1" t="s">
        <v>51</v>
      </c>
      <c r="C300" s="1" t="s">
        <v>131</v>
      </c>
      <c r="E300" s="1" t="s">
        <v>53</v>
      </c>
      <c r="F300" s="1" t="s">
        <v>85</v>
      </c>
      <c r="G300" s="1">
        <v>23.0</v>
      </c>
      <c r="H300" s="1" t="s">
        <v>55</v>
      </c>
      <c r="I300" s="1" t="s">
        <v>67</v>
      </c>
      <c r="J300" s="1" t="s">
        <v>111</v>
      </c>
      <c r="K300" s="1" t="s">
        <v>78</v>
      </c>
      <c r="M300" s="1" t="s">
        <v>58</v>
      </c>
      <c r="N300" s="1" t="s">
        <v>58</v>
      </c>
      <c r="O300" s="1" t="s">
        <v>58</v>
      </c>
      <c r="Q300" s="1" t="s">
        <v>58</v>
      </c>
      <c r="R300" s="1" t="s">
        <v>70</v>
      </c>
      <c r="T300" s="1" t="s">
        <v>58</v>
      </c>
      <c r="U300" s="1" t="s">
        <v>70</v>
      </c>
      <c r="V300" s="1" t="s">
        <v>58</v>
      </c>
      <c r="W300" s="1" t="s">
        <v>58</v>
      </c>
      <c r="X300" s="1" t="s">
        <v>81</v>
      </c>
      <c r="Y300" s="1" t="s">
        <v>172</v>
      </c>
      <c r="Z300" s="1" t="s">
        <v>127</v>
      </c>
      <c r="AA300" s="1">
        <v>10.0</v>
      </c>
      <c r="AB300" s="1" t="s">
        <v>79</v>
      </c>
      <c r="AC300" s="1" t="s">
        <v>51</v>
      </c>
      <c r="AD300" s="1" t="s">
        <v>81</v>
      </c>
      <c r="AE300" s="1" t="s">
        <v>51</v>
      </c>
      <c r="AF300" s="1" t="s">
        <v>51</v>
      </c>
      <c r="AG300" s="1" t="s">
        <v>51</v>
      </c>
      <c r="AH300" s="1">
        <v>6.0</v>
      </c>
      <c r="AI300" s="1">
        <v>0.0</v>
      </c>
      <c r="AJ300" s="1">
        <v>1.0</v>
      </c>
      <c r="AK300" s="1">
        <v>0.0</v>
      </c>
      <c r="AL300" s="1">
        <v>0.0</v>
      </c>
      <c r="AM300" s="1" t="s">
        <v>51</v>
      </c>
      <c r="AN300" s="1">
        <v>6.1713361E8</v>
      </c>
      <c r="AP300" s="1">
        <v>4.90511459E8</v>
      </c>
      <c r="AQ300" s="1" t="s">
        <v>421</v>
      </c>
      <c r="AR300" s="1">
        <v>45809.63978</v>
      </c>
      <c r="AU300" s="1" t="s">
        <v>64</v>
      </c>
      <c r="AW300" s="1" t="s">
        <v>255</v>
      </c>
      <c r="AY300" s="1">
        <v>294.0</v>
      </c>
    </row>
    <row r="301" hidden="1">
      <c r="A301" s="1" t="s">
        <v>51</v>
      </c>
      <c r="C301" s="1" t="s">
        <v>131</v>
      </c>
      <c r="E301" s="1" t="s">
        <v>53</v>
      </c>
      <c r="F301" s="1" t="s">
        <v>85</v>
      </c>
      <c r="G301" s="1">
        <v>29.0</v>
      </c>
      <c r="H301" s="1" t="s">
        <v>66</v>
      </c>
      <c r="I301" s="1" t="s">
        <v>67</v>
      </c>
      <c r="J301" s="1" t="s">
        <v>111</v>
      </c>
      <c r="K301" s="1" t="s">
        <v>78</v>
      </c>
      <c r="M301" s="1" t="s">
        <v>70</v>
      </c>
      <c r="N301" s="1" t="s">
        <v>58</v>
      </c>
      <c r="O301" s="1" t="s">
        <v>58</v>
      </c>
      <c r="Q301" s="1" t="s">
        <v>70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59</v>
      </c>
      <c r="Y301" s="1" t="s">
        <v>82</v>
      </c>
      <c r="Z301" s="1" t="s">
        <v>89</v>
      </c>
      <c r="AA301" s="1">
        <v>30.0</v>
      </c>
      <c r="AB301" s="1" t="s">
        <v>62</v>
      </c>
      <c r="AC301" s="1" t="s">
        <v>51</v>
      </c>
      <c r="AD301" s="1" t="s">
        <v>59</v>
      </c>
      <c r="AE301" s="1" t="s">
        <v>51</v>
      </c>
      <c r="AF301" s="1" t="s">
        <v>51</v>
      </c>
      <c r="AG301" s="1" t="s">
        <v>51</v>
      </c>
      <c r="AH301" s="1">
        <v>4.0</v>
      </c>
      <c r="AI301" s="1">
        <v>0.0</v>
      </c>
      <c r="AJ301" s="1">
        <v>1.0</v>
      </c>
      <c r="AK301" s="1">
        <v>0.0</v>
      </c>
      <c r="AL301" s="1">
        <v>0.0</v>
      </c>
      <c r="AM301" s="1" t="s">
        <v>51</v>
      </c>
      <c r="AN301" s="1">
        <v>7.83879656E8</v>
      </c>
      <c r="AP301" s="1">
        <v>4.90511932E8</v>
      </c>
      <c r="AQ301" s="1" t="s">
        <v>422</v>
      </c>
      <c r="AR301" s="1">
        <v>45809.64065</v>
      </c>
      <c r="AU301" s="1" t="s">
        <v>64</v>
      </c>
      <c r="AW301" s="1" t="s">
        <v>255</v>
      </c>
      <c r="AY301" s="1">
        <v>295.0</v>
      </c>
    </row>
    <row r="302" hidden="1">
      <c r="A302" s="1" t="s">
        <v>51</v>
      </c>
      <c r="C302" s="1" t="s">
        <v>131</v>
      </c>
      <c r="E302" s="1" t="s">
        <v>53</v>
      </c>
      <c r="F302" s="1" t="s">
        <v>350</v>
      </c>
      <c r="G302" s="1">
        <v>27.0</v>
      </c>
      <c r="H302" s="1" t="s">
        <v>55</v>
      </c>
      <c r="I302" s="1" t="s">
        <v>67</v>
      </c>
      <c r="J302" s="1" t="s">
        <v>111</v>
      </c>
      <c r="K302" s="1" t="s">
        <v>57</v>
      </c>
      <c r="M302" s="1" t="s">
        <v>58</v>
      </c>
      <c r="N302" s="1" t="s">
        <v>58</v>
      </c>
      <c r="O302" s="1" t="s">
        <v>58</v>
      </c>
      <c r="Q302" s="1" t="s">
        <v>70</v>
      </c>
      <c r="R302" s="1" t="s">
        <v>58</v>
      </c>
      <c r="S302" s="1" t="s">
        <v>58</v>
      </c>
      <c r="T302" s="1" t="s">
        <v>58</v>
      </c>
      <c r="U302" s="1" t="s">
        <v>58</v>
      </c>
      <c r="V302" s="1" t="s">
        <v>58</v>
      </c>
      <c r="W302" s="1" t="s">
        <v>58</v>
      </c>
      <c r="X302" s="1" t="s">
        <v>59</v>
      </c>
      <c r="Y302" s="1" t="s">
        <v>82</v>
      </c>
      <c r="Z302" s="1" t="s">
        <v>89</v>
      </c>
      <c r="AA302" s="1">
        <v>10.0</v>
      </c>
      <c r="AB302" s="1" t="s">
        <v>79</v>
      </c>
      <c r="AC302" s="1" t="s">
        <v>51</v>
      </c>
      <c r="AD302" s="1" t="s">
        <v>59</v>
      </c>
      <c r="AE302" s="1" t="s">
        <v>51</v>
      </c>
      <c r="AF302" s="1" t="s">
        <v>51</v>
      </c>
      <c r="AG302" s="1" t="s">
        <v>51</v>
      </c>
      <c r="AH302" s="1">
        <v>8.0</v>
      </c>
      <c r="AI302" s="1">
        <v>0.0</v>
      </c>
      <c r="AJ302" s="1">
        <v>1.0</v>
      </c>
      <c r="AK302" s="1">
        <v>0.0</v>
      </c>
      <c r="AL302" s="1">
        <v>0.0</v>
      </c>
      <c r="AM302" s="1" t="s">
        <v>51</v>
      </c>
      <c r="AN302" s="1">
        <v>7.83106168E8</v>
      </c>
      <c r="AP302" s="1">
        <v>4.90512955E8</v>
      </c>
      <c r="AQ302" s="1" t="s">
        <v>423</v>
      </c>
      <c r="AR302" s="1">
        <v>45809.64241</v>
      </c>
      <c r="AU302" s="1" t="s">
        <v>64</v>
      </c>
      <c r="AW302" s="1" t="s">
        <v>255</v>
      </c>
      <c r="AY302" s="1">
        <v>296.0</v>
      </c>
    </row>
    <row r="303" hidden="1">
      <c r="A303" s="1" t="s">
        <v>51</v>
      </c>
      <c r="C303" s="1" t="s">
        <v>131</v>
      </c>
      <c r="E303" s="1" t="s">
        <v>53</v>
      </c>
      <c r="F303" s="1" t="s">
        <v>85</v>
      </c>
      <c r="G303" s="1">
        <v>21.0</v>
      </c>
      <c r="H303" s="1" t="s">
        <v>55</v>
      </c>
      <c r="I303" s="1" t="s">
        <v>419</v>
      </c>
      <c r="J303" s="1" t="s">
        <v>111</v>
      </c>
      <c r="K303" s="1" t="s">
        <v>78</v>
      </c>
      <c r="M303" s="1" t="s">
        <v>58</v>
      </c>
      <c r="N303" s="1" t="s">
        <v>58</v>
      </c>
      <c r="O303" s="1" t="s">
        <v>58</v>
      </c>
      <c r="Q303" s="1" t="s">
        <v>58</v>
      </c>
      <c r="R303" s="1" t="s">
        <v>58</v>
      </c>
      <c r="S303" s="1" t="s">
        <v>58</v>
      </c>
      <c r="T303" s="1" t="s">
        <v>58</v>
      </c>
      <c r="U303" s="1" t="s">
        <v>58</v>
      </c>
      <c r="V303" s="1" t="s">
        <v>58</v>
      </c>
      <c r="W303" s="1" t="s">
        <v>58</v>
      </c>
      <c r="X303" s="1" t="s">
        <v>59</v>
      </c>
      <c r="Y303" s="1" t="s">
        <v>60</v>
      </c>
      <c r="Z303" s="1" t="s">
        <v>89</v>
      </c>
      <c r="AA303" s="1">
        <v>10.0</v>
      </c>
      <c r="AB303" s="1" t="s">
        <v>79</v>
      </c>
      <c r="AC303" s="1" t="s">
        <v>51</v>
      </c>
      <c r="AD303" s="1" t="s">
        <v>81</v>
      </c>
      <c r="AE303" s="1" t="s">
        <v>51</v>
      </c>
      <c r="AF303" s="1" t="s">
        <v>51</v>
      </c>
      <c r="AG303" s="1" t="s">
        <v>51</v>
      </c>
      <c r="AH303" s="1">
        <v>2.0</v>
      </c>
      <c r="AI303" s="1">
        <v>1.0</v>
      </c>
      <c r="AJ303" s="1">
        <v>0.0</v>
      </c>
      <c r="AK303" s="1">
        <v>0.0</v>
      </c>
      <c r="AL303" s="1">
        <v>0.0</v>
      </c>
      <c r="AM303" s="1" t="s">
        <v>51</v>
      </c>
      <c r="AN303" s="1">
        <v>6.33869547E8</v>
      </c>
      <c r="AP303" s="1">
        <v>4.90513881E8</v>
      </c>
      <c r="AQ303" s="1" t="s">
        <v>424</v>
      </c>
      <c r="AR303" s="1">
        <v>45809.64403</v>
      </c>
      <c r="AU303" s="1" t="s">
        <v>64</v>
      </c>
      <c r="AW303" s="1" t="s">
        <v>255</v>
      </c>
      <c r="AY303" s="1">
        <v>297.0</v>
      </c>
    </row>
    <row r="304" hidden="1">
      <c r="A304" s="1" t="s">
        <v>51</v>
      </c>
      <c r="C304" s="1" t="s">
        <v>131</v>
      </c>
      <c r="E304" s="1" t="s">
        <v>53</v>
      </c>
      <c r="F304" s="1" t="s">
        <v>291</v>
      </c>
      <c r="G304" s="1">
        <v>23.0</v>
      </c>
      <c r="H304" s="1" t="s">
        <v>66</v>
      </c>
      <c r="I304" s="1" t="s">
        <v>67</v>
      </c>
      <c r="J304" s="1" t="s">
        <v>111</v>
      </c>
      <c r="K304" s="1" t="s">
        <v>57</v>
      </c>
      <c r="M304" s="1" t="s">
        <v>58</v>
      </c>
      <c r="N304" s="1" t="s">
        <v>58</v>
      </c>
      <c r="O304" s="1" t="s">
        <v>58</v>
      </c>
      <c r="Q304" s="1" t="s">
        <v>58</v>
      </c>
      <c r="R304" s="1" t="s">
        <v>58</v>
      </c>
      <c r="S304" s="1" t="s">
        <v>58</v>
      </c>
      <c r="T304" s="1" t="s">
        <v>58</v>
      </c>
      <c r="U304" s="1" t="s">
        <v>58</v>
      </c>
      <c r="V304" s="1" t="s">
        <v>58</v>
      </c>
      <c r="W304" s="1" t="s">
        <v>58</v>
      </c>
      <c r="X304" s="1" t="s">
        <v>81</v>
      </c>
      <c r="Y304" s="1" t="s">
        <v>82</v>
      </c>
      <c r="Z304" s="1" t="s">
        <v>89</v>
      </c>
      <c r="AA304" s="1">
        <v>20.0</v>
      </c>
      <c r="AB304" s="1" t="s">
        <v>62</v>
      </c>
      <c r="AC304" s="1" t="s">
        <v>51</v>
      </c>
      <c r="AD304" s="1" t="s">
        <v>81</v>
      </c>
      <c r="AE304" s="1" t="s">
        <v>51</v>
      </c>
      <c r="AF304" s="1" t="s">
        <v>51</v>
      </c>
      <c r="AG304" s="1" t="s">
        <v>51</v>
      </c>
      <c r="AH304" s="1">
        <v>4.0</v>
      </c>
      <c r="AI304" s="1">
        <v>1.0</v>
      </c>
      <c r="AJ304" s="1">
        <v>0.0</v>
      </c>
      <c r="AK304" s="1">
        <v>0.0</v>
      </c>
      <c r="AL304" s="1">
        <v>0.0</v>
      </c>
      <c r="AM304" s="1" t="s">
        <v>51</v>
      </c>
      <c r="AN304" s="1">
        <v>6.04141344E8</v>
      </c>
      <c r="AP304" s="1">
        <v>4.90516923E8</v>
      </c>
      <c r="AQ304" s="1" t="s">
        <v>425</v>
      </c>
      <c r="AR304" s="1">
        <v>45809.64917</v>
      </c>
      <c r="AU304" s="1" t="s">
        <v>64</v>
      </c>
      <c r="AW304" s="1" t="s">
        <v>255</v>
      </c>
      <c r="AY304" s="1">
        <v>298.0</v>
      </c>
    </row>
    <row r="305">
      <c r="A305" s="1" t="s">
        <v>51</v>
      </c>
      <c r="C305" s="1" t="s">
        <v>151</v>
      </c>
      <c r="E305" s="1" t="s">
        <v>53</v>
      </c>
      <c r="F305" s="1" t="s">
        <v>54</v>
      </c>
      <c r="G305" s="1">
        <v>51.0</v>
      </c>
      <c r="H305" s="1" t="s">
        <v>66</v>
      </c>
      <c r="I305" s="1" t="s">
        <v>67</v>
      </c>
      <c r="J305" s="1" t="s">
        <v>68</v>
      </c>
      <c r="K305" s="1" t="s">
        <v>57</v>
      </c>
      <c r="M305" s="1" t="s">
        <v>58</v>
      </c>
      <c r="N305" s="1" t="s">
        <v>58</v>
      </c>
      <c r="O305" s="1" t="s">
        <v>58</v>
      </c>
      <c r="Q305" s="1" t="s">
        <v>69</v>
      </c>
      <c r="R305" s="1" t="s">
        <v>58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81</v>
      </c>
      <c r="Y305" s="1" t="s">
        <v>82</v>
      </c>
      <c r="Z305" s="1" t="s">
        <v>89</v>
      </c>
      <c r="AA305" s="1">
        <v>30.0</v>
      </c>
      <c r="AB305" s="1" t="s">
        <v>79</v>
      </c>
      <c r="AC305" s="1" t="s">
        <v>71</v>
      </c>
      <c r="AF305" s="1" t="s">
        <v>51</v>
      </c>
      <c r="AG305" s="1" t="s">
        <v>51</v>
      </c>
      <c r="AH305" s="1">
        <v>200.0</v>
      </c>
      <c r="AI305" s="1">
        <v>0.0</v>
      </c>
      <c r="AJ305" s="1">
        <v>0.0</v>
      </c>
      <c r="AK305" s="1">
        <v>0.0</v>
      </c>
      <c r="AL305" s="1">
        <v>1.0</v>
      </c>
      <c r="AM305" s="1" t="s">
        <v>51</v>
      </c>
      <c r="AN305" s="1">
        <v>6.49779116E8</v>
      </c>
      <c r="AP305" s="1">
        <v>4.90386915E8</v>
      </c>
      <c r="AQ305" s="1" t="s">
        <v>512</v>
      </c>
      <c r="AR305" s="1">
        <v>45809.39319</v>
      </c>
      <c r="AU305" s="1" t="s">
        <v>64</v>
      </c>
      <c r="AW305" s="1" t="s">
        <v>513</v>
      </c>
      <c r="AY305" s="1">
        <v>1.0</v>
      </c>
    </row>
    <row r="306" hidden="1">
      <c r="A306" s="1" t="s">
        <v>51</v>
      </c>
      <c r="C306" s="1" t="s">
        <v>53</v>
      </c>
      <c r="E306" s="1" t="s">
        <v>53</v>
      </c>
      <c r="F306" s="1" t="s">
        <v>54</v>
      </c>
      <c r="G306" s="1">
        <v>42.0</v>
      </c>
      <c r="H306" s="1" t="s">
        <v>55</v>
      </c>
      <c r="I306" s="1" t="s">
        <v>121</v>
      </c>
      <c r="J306" s="1" t="s">
        <v>68</v>
      </c>
      <c r="K306" s="1" t="s">
        <v>57</v>
      </c>
      <c r="M306" s="1" t="s">
        <v>58</v>
      </c>
      <c r="N306" s="1" t="s">
        <v>58</v>
      </c>
      <c r="O306" s="1" t="s">
        <v>58</v>
      </c>
      <c r="Q306" s="1" t="s">
        <v>58</v>
      </c>
      <c r="R306" s="1" t="s">
        <v>69</v>
      </c>
      <c r="S306" s="1" t="s">
        <v>69</v>
      </c>
      <c r="T306" s="1" t="s">
        <v>69</v>
      </c>
      <c r="U306" s="1" t="s">
        <v>69</v>
      </c>
      <c r="V306" s="1" t="s">
        <v>69</v>
      </c>
      <c r="W306" s="1" t="s">
        <v>69</v>
      </c>
      <c r="X306" s="1" t="s">
        <v>59</v>
      </c>
      <c r="Y306" s="1" t="s">
        <v>227</v>
      </c>
      <c r="Z306" s="1" t="s">
        <v>61</v>
      </c>
      <c r="AA306" s="1">
        <v>100.0</v>
      </c>
      <c r="AB306" s="1" t="s">
        <v>79</v>
      </c>
      <c r="AC306" s="1" t="s">
        <v>71</v>
      </c>
      <c r="AF306" s="1" t="s">
        <v>51</v>
      </c>
      <c r="AG306" s="1" t="s">
        <v>51</v>
      </c>
      <c r="AH306" s="1">
        <v>50.0</v>
      </c>
      <c r="AI306" s="1">
        <v>0.0</v>
      </c>
      <c r="AJ306" s="1">
        <v>0.0</v>
      </c>
      <c r="AK306" s="1">
        <v>0.0</v>
      </c>
      <c r="AL306" s="1">
        <v>1.0</v>
      </c>
      <c r="AM306" s="1" t="s">
        <v>51</v>
      </c>
      <c r="AN306" s="1">
        <v>6.73003512E8</v>
      </c>
      <c r="AP306" s="1">
        <v>4.90394724E8</v>
      </c>
      <c r="AQ306" s="1" t="s">
        <v>514</v>
      </c>
      <c r="AR306" s="1">
        <v>45809.40868</v>
      </c>
      <c r="AU306" s="1" t="s">
        <v>64</v>
      </c>
      <c r="AW306" s="1" t="s">
        <v>513</v>
      </c>
      <c r="AY306" s="1">
        <v>2.0</v>
      </c>
    </row>
    <row r="307" hidden="1">
      <c r="A307" s="1" t="s">
        <v>51</v>
      </c>
      <c r="C307" s="1" t="s">
        <v>53</v>
      </c>
      <c r="E307" s="1" t="s">
        <v>53</v>
      </c>
      <c r="F307" s="1" t="s">
        <v>54</v>
      </c>
      <c r="G307" s="1">
        <v>30.0</v>
      </c>
      <c r="H307" s="1" t="s">
        <v>55</v>
      </c>
      <c r="I307" s="1" t="s">
        <v>121</v>
      </c>
      <c r="J307" s="1" t="s">
        <v>56</v>
      </c>
      <c r="K307" s="1" t="s">
        <v>57</v>
      </c>
      <c r="M307" s="1" t="s">
        <v>58</v>
      </c>
      <c r="N307" s="1" t="s">
        <v>58</v>
      </c>
      <c r="O307" s="1" t="s">
        <v>58</v>
      </c>
      <c r="Q307" s="1" t="s">
        <v>58</v>
      </c>
      <c r="R307" s="1" t="s">
        <v>69</v>
      </c>
      <c r="S307" s="1" t="s">
        <v>69</v>
      </c>
      <c r="T307" s="1" t="s">
        <v>58</v>
      </c>
      <c r="U307" s="1" t="s">
        <v>58</v>
      </c>
      <c r="V307" s="1" t="s">
        <v>69</v>
      </c>
      <c r="W307" s="1" t="s">
        <v>69</v>
      </c>
      <c r="X307" s="1" t="s">
        <v>81</v>
      </c>
      <c r="Y307" s="1" t="s">
        <v>82</v>
      </c>
      <c r="Z307" s="1" t="s">
        <v>89</v>
      </c>
      <c r="AA307" s="1">
        <v>40.0</v>
      </c>
      <c r="AB307" s="1" t="s">
        <v>79</v>
      </c>
      <c r="AC307" s="1" t="s">
        <v>71</v>
      </c>
      <c r="AF307" s="1" t="s">
        <v>51</v>
      </c>
      <c r="AG307" s="1" t="s">
        <v>51</v>
      </c>
      <c r="AH307" s="1">
        <v>300.0</v>
      </c>
      <c r="AI307" s="1">
        <v>1.0</v>
      </c>
      <c r="AJ307" s="1">
        <v>0.0</v>
      </c>
      <c r="AK307" s="1">
        <v>0.0</v>
      </c>
      <c r="AL307" s="1">
        <v>0.0</v>
      </c>
      <c r="AM307" s="1" t="s">
        <v>51</v>
      </c>
      <c r="AN307" s="1">
        <v>6.73583337E8</v>
      </c>
      <c r="AP307" s="1">
        <v>4.90394919E8</v>
      </c>
      <c r="AQ307" s="1" t="s">
        <v>515</v>
      </c>
      <c r="AR307" s="1">
        <v>45809.40925</v>
      </c>
      <c r="AU307" s="1" t="s">
        <v>64</v>
      </c>
      <c r="AW307" s="1" t="s">
        <v>513</v>
      </c>
      <c r="AY307" s="1">
        <v>3.0</v>
      </c>
    </row>
    <row r="308">
      <c r="A308" s="1" t="s">
        <v>51</v>
      </c>
      <c r="C308" s="1" t="s">
        <v>151</v>
      </c>
      <c r="E308" s="1" t="s">
        <v>53</v>
      </c>
      <c r="F308" s="1" t="s">
        <v>54</v>
      </c>
      <c r="G308" s="1">
        <v>27.0</v>
      </c>
      <c r="H308" s="1" t="s">
        <v>55</v>
      </c>
      <c r="I308" s="1" t="s">
        <v>76</v>
      </c>
      <c r="J308" s="1" t="s">
        <v>56</v>
      </c>
      <c r="K308" s="1" t="s">
        <v>74</v>
      </c>
      <c r="M308" s="1" t="s">
        <v>58</v>
      </c>
      <c r="N308" s="1" t="s">
        <v>58</v>
      </c>
      <c r="O308" s="1" t="s">
        <v>58</v>
      </c>
      <c r="Q308" s="1" t="s">
        <v>58</v>
      </c>
      <c r="R308" s="1" t="s">
        <v>58</v>
      </c>
      <c r="S308" s="1" t="s">
        <v>58</v>
      </c>
      <c r="T308" s="1" t="s">
        <v>58</v>
      </c>
      <c r="U308" s="1" t="s">
        <v>58</v>
      </c>
      <c r="V308" s="1" t="s">
        <v>58</v>
      </c>
      <c r="W308" s="1" t="s">
        <v>58</v>
      </c>
      <c r="X308" s="1" t="s">
        <v>81</v>
      </c>
      <c r="Y308" s="1" t="s">
        <v>60</v>
      </c>
      <c r="Z308" s="1" t="s">
        <v>89</v>
      </c>
      <c r="AA308" s="1">
        <v>50.0</v>
      </c>
      <c r="AB308" s="1" t="s">
        <v>62</v>
      </c>
      <c r="AC308" s="1" t="s">
        <v>51</v>
      </c>
      <c r="AD308" s="1" t="s">
        <v>81</v>
      </c>
      <c r="AE308" s="1" t="s">
        <v>51</v>
      </c>
      <c r="AF308" s="1" t="s">
        <v>51</v>
      </c>
      <c r="AG308" s="1" t="s">
        <v>51</v>
      </c>
      <c r="AI308" s="1">
        <v>0.0</v>
      </c>
      <c r="AJ308" s="1">
        <v>0.0</v>
      </c>
      <c r="AK308" s="1">
        <v>0.0</v>
      </c>
      <c r="AL308" s="1">
        <v>1.0</v>
      </c>
      <c r="AM308" s="1" t="s">
        <v>51</v>
      </c>
      <c r="AN308" s="1">
        <v>6.888317704E9</v>
      </c>
      <c r="AP308" s="1">
        <v>4.90397468E8</v>
      </c>
      <c r="AQ308" s="1" t="s">
        <v>516</v>
      </c>
      <c r="AR308" s="1">
        <v>45809.4153</v>
      </c>
      <c r="AU308" s="1" t="s">
        <v>64</v>
      </c>
      <c r="AW308" s="1" t="s">
        <v>513</v>
      </c>
      <c r="AY308" s="1">
        <v>4.0</v>
      </c>
    </row>
    <row r="309" hidden="1">
      <c r="A309" s="1" t="s">
        <v>51</v>
      </c>
      <c r="C309" s="1" t="s">
        <v>53</v>
      </c>
      <c r="E309" s="1" t="s">
        <v>53</v>
      </c>
      <c r="F309" s="1" t="s">
        <v>54</v>
      </c>
      <c r="G309" s="1">
        <v>36.0</v>
      </c>
      <c r="H309" s="1" t="s">
        <v>55</v>
      </c>
      <c r="I309" s="1" t="s">
        <v>121</v>
      </c>
      <c r="J309" s="1" t="s">
        <v>86</v>
      </c>
      <c r="K309" s="1" t="s">
        <v>74</v>
      </c>
      <c r="M309" s="1" t="s">
        <v>58</v>
      </c>
      <c r="N309" s="1" t="s">
        <v>58</v>
      </c>
      <c r="O309" s="1" t="s">
        <v>58</v>
      </c>
      <c r="Q309" s="1" t="s">
        <v>58</v>
      </c>
      <c r="R309" s="1" t="s">
        <v>58</v>
      </c>
      <c r="S309" s="1" t="s">
        <v>58</v>
      </c>
      <c r="T309" s="1" t="s">
        <v>58</v>
      </c>
      <c r="U309" s="1" t="s">
        <v>58</v>
      </c>
      <c r="V309" s="1" t="s">
        <v>58</v>
      </c>
      <c r="W309" s="1" t="s">
        <v>58</v>
      </c>
      <c r="X309" s="1" t="s">
        <v>59</v>
      </c>
      <c r="Y309" s="1" t="s">
        <v>60</v>
      </c>
      <c r="Z309" s="1" t="s">
        <v>61</v>
      </c>
      <c r="AA309" s="1">
        <v>20.0</v>
      </c>
      <c r="AB309" s="1" t="s">
        <v>62</v>
      </c>
      <c r="AC309" s="1" t="s">
        <v>51</v>
      </c>
      <c r="AD309" s="1" t="s">
        <v>59</v>
      </c>
      <c r="AE309" s="1" t="s">
        <v>51</v>
      </c>
      <c r="AF309" s="1" t="s">
        <v>51</v>
      </c>
      <c r="AG309" s="1" t="s">
        <v>51</v>
      </c>
      <c r="AI309" s="1">
        <v>1.0</v>
      </c>
      <c r="AJ309" s="1">
        <v>0.0</v>
      </c>
      <c r="AK309" s="1">
        <v>0.0</v>
      </c>
      <c r="AL309" s="1">
        <v>0.0</v>
      </c>
      <c r="AM309" s="1" t="s">
        <v>51</v>
      </c>
      <c r="AP309" s="1">
        <v>4.90400535E8</v>
      </c>
      <c r="AQ309" s="1" t="s">
        <v>517</v>
      </c>
      <c r="AR309" s="1">
        <v>45809.42064</v>
      </c>
      <c r="AU309" s="1" t="s">
        <v>64</v>
      </c>
      <c r="AW309" s="1" t="s">
        <v>513</v>
      </c>
      <c r="AY309" s="1">
        <v>5.0</v>
      </c>
    </row>
    <row r="310">
      <c r="A310" s="1" t="s">
        <v>51</v>
      </c>
      <c r="C310" s="1" t="s">
        <v>151</v>
      </c>
      <c r="E310" s="1" t="s">
        <v>53</v>
      </c>
      <c r="F310" s="1" t="s">
        <v>54</v>
      </c>
      <c r="G310" s="1">
        <v>35.0</v>
      </c>
      <c r="H310" s="1" t="s">
        <v>55</v>
      </c>
      <c r="I310" s="1" t="s">
        <v>67</v>
      </c>
      <c r="J310" s="1" t="s">
        <v>68</v>
      </c>
      <c r="K310" s="1" t="s">
        <v>74</v>
      </c>
      <c r="M310" s="1" t="s">
        <v>58</v>
      </c>
      <c r="N310" s="1" t="s">
        <v>58</v>
      </c>
      <c r="O310" s="1" t="s">
        <v>69</v>
      </c>
      <c r="Q310" s="1" t="s">
        <v>58</v>
      </c>
      <c r="R310" s="1" t="s">
        <v>69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59</v>
      </c>
      <c r="Y310" s="1" t="s">
        <v>82</v>
      </c>
      <c r="Z310" s="1" t="s">
        <v>89</v>
      </c>
      <c r="AA310" s="1">
        <v>50.0</v>
      </c>
      <c r="AB310" s="1" t="s">
        <v>79</v>
      </c>
      <c r="AC310" s="1" t="s">
        <v>71</v>
      </c>
      <c r="AF310" s="1" t="s">
        <v>51</v>
      </c>
      <c r="AG310" s="1" t="s">
        <v>51</v>
      </c>
      <c r="AH310" s="1">
        <v>10.0</v>
      </c>
      <c r="AI310" s="1">
        <v>1.0</v>
      </c>
      <c r="AJ310" s="1">
        <v>0.0</v>
      </c>
      <c r="AK310" s="1">
        <v>0.0</v>
      </c>
      <c r="AL310" s="1">
        <v>1.0</v>
      </c>
      <c r="AM310" s="1" t="s">
        <v>51</v>
      </c>
      <c r="AN310" s="1">
        <v>6.86703189E8</v>
      </c>
      <c r="AP310" s="1">
        <v>4.90400705E8</v>
      </c>
      <c r="AQ310" s="1" t="s">
        <v>518</v>
      </c>
      <c r="AR310" s="1">
        <v>45809.42102</v>
      </c>
      <c r="AU310" s="1" t="s">
        <v>64</v>
      </c>
      <c r="AW310" s="1" t="s">
        <v>513</v>
      </c>
      <c r="AY310" s="1">
        <v>6.0</v>
      </c>
    </row>
    <row r="311">
      <c r="A311" s="1" t="s">
        <v>51</v>
      </c>
      <c r="C311" s="1" t="s">
        <v>151</v>
      </c>
      <c r="E311" s="1" t="s">
        <v>53</v>
      </c>
      <c r="F311" s="1" t="s">
        <v>54</v>
      </c>
      <c r="G311" s="1">
        <v>28.0</v>
      </c>
      <c r="H311" s="1" t="s">
        <v>66</v>
      </c>
      <c r="I311" s="1" t="s">
        <v>100</v>
      </c>
      <c r="J311" s="1" t="s">
        <v>56</v>
      </c>
      <c r="K311" s="1" t="s">
        <v>74</v>
      </c>
      <c r="M311" s="1" t="s">
        <v>58</v>
      </c>
      <c r="N311" s="1" t="s">
        <v>58</v>
      </c>
      <c r="O311" s="1" t="s">
        <v>58</v>
      </c>
      <c r="Q311" s="1" t="s">
        <v>69</v>
      </c>
      <c r="R311" s="1" t="s">
        <v>69</v>
      </c>
      <c r="S311" s="1" t="s">
        <v>69</v>
      </c>
      <c r="T311" s="1" t="s">
        <v>69</v>
      </c>
      <c r="V311" s="1" t="s">
        <v>69</v>
      </c>
      <c r="W311" s="1" t="s">
        <v>69</v>
      </c>
      <c r="X311" s="1" t="s">
        <v>59</v>
      </c>
      <c r="Y311" s="1" t="s">
        <v>82</v>
      </c>
      <c r="Z311" s="1" t="s">
        <v>61</v>
      </c>
      <c r="AA311" s="1">
        <v>50.0</v>
      </c>
      <c r="AB311" s="1" t="s">
        <v>79</v>
      </c>
      <c r="AC311" s="1" t="s">
        <v>71</v>
      </c>
      <c r="AF311" s="1" t="s">
        <v>51</v>
      </c>
      <c r="AG311" s="1" t="s">
        <v>51</v>
      </c>
      <c r="AH311" s="1">
        <v>59.0</v>
      </c>
      <c r="AI311" s="1">
        <v>0.0</v>
      </c>
      <c r="AJ311" s="1">
        <v>0.0</v>
      </c>
      <c r="AK311" s="1">
        <v>0.0</v>
      </c>
      <c r="AL311" s="1">
        <v>1.0</v>
      </c>
      <c r="AM311" s="1" t="s">
        <v>51</v>
      </c>
      <c r="AN311" s="1">
        <v>6.05023987E8</v>
      </c>
      <c r="AP311" s="1">
        <v>4.90403176E8</v>
      </c>
      <c r="AQ311" s="1" t="s">
        <v>519</v>
      </c>
      <c r="AR311" s="1">
        <v>45809.42591</v>
      </c>
      <c r="AU311" s="1" t="s">
        <v>64</v>
      </c>
      <c r="AW311" s="1" t="s">
        <v>513</v>
      </c>
      <c r="AY311" s="1">
        <v>7.0</v>
      </c>
    </row>
    <row r="312">
      <c r="A312" s="1" t="s">
        <v>51</v>
      </c>
      <c r="C312" s="1" t="s">
        <v>151</v>
      </c>
      <c r="E312" s="1" t="s">
        <v>53</v>
      </c>
      <c r="F312" s="1" t="s">
        <v>54</v>
      </c>
      <c r="G312" s="1">
        <v>28.0</v>
      </c>
      <c r="H312" s="1" t="s">
        <v>55</v>
      </c>
      <c r="I312" s="1" t="s">
        <v>67</v>
      </c>
      <c r="J312" s="1" t="s">
        <v>111</v>
      </c>
      <c r="K312" s="1" t="s">
        <v>74</v>
      </c>
      <c r="M312" s="1" t="s">
        <v>58</v>
      </c>
      <c r="N312" s="1" t="s">
        <v>58</v>
      </c>
      <c r="O312" s="1" t="s">
        <v>58</v>
      </c>
      <c r="Q312" s="1" t="s">
        <v>58</v>
      </c>
      <c r="R312" s="1" t="s">
        <v>58</v>
      </c>
      <c r="S312" s="1" t="s">
        <v>58</v>
      </c>
      <c r="T312" s="1" t="s">
        <v>58</v>
      </c>
      <c r="U312" s="1" t="s">
        <v>58</v>
      </c>
      <c r="V312" s="1" t="s">
        <v>58</v>
      </c>
      <c r="W312" s="1" t="s">
        <v>58</v>
      </c>
      <c r="X312" s="1" t="s">
        <v>103</v>
      </c>
      <c r="Y312" s="1" t="s">
        <v>82</v>
      </c>
      <c r="Z312" s="1" t="s">
        <v>61</v>
      </c>
      <c r="AA312" s="1">
        <v>50.0</v>
      </c>
      <c r="AB312" s="1" t="s">
        <v>79</v>
      </c>
      <c r="AC312" s="1" t="s">
        <v>51</v>
      </c>
      <c r="AD312" s="1" t="s">
        <v>81</v>
      </c>
      <c r="AE312" s="1" t="s">
        <v>51</v>
      </c>
      <c r="AF312" s="1" t="s">
        <v>51</v>
      </c>
      <c r="AG312" s="1" t="s">
        <v>51</v>
      </c>
      <c r="AH312" s="1">
        <v>300.0</v>
      </c>
      <c r="AI312" s="1">
        <v>0.0</v>
      </c>
      <c r="AJ312" s="1">
        <v>1.0</v>
      </c>
      <c r="AK312" s="1">
        <v>0.0</v>
      </c>
      <c r="AL312" s="1">
        <v>0.0</v>
      </c>
      <c r="AM312" s="1" t="s">
        <v>51</v>
      </c>
      <c r="AN312" s="1">
        <v>6.05023987E8</v>
      </c>
      <c r="AP312" s="1">
        <v>4.90406325E8</v>
      </c>
      <c r="AQ312" s="1" t="s">
        <v>520</v>
      </c>
      <c r="AR312" s="1">
        <v>45809.4324</v>
      </c>
      <c r="AU312" s="1" t="s">
        <v>64</v>
      </c>
      <c r="AW312" s="1" t="s">
        <v>513</v>
      </c>
      <c r="AY312" s="1">
        <v>8.0</v>
      </c>
    </row>
    <row r="313">
      <c r="A313" s="1" t="s">
        <v>51</v>
      </c>
      <c r="C313" s="1" t="s">
        <v>151</v>
      </c>
      <c r="E313" s="1" t="s">
        <v>53</v>
      </c>
      <c r="F313" s="1" t="s">
        <v>54</v>
      </c>
      <c r="G313" s="1">
        <v>30.0</v>
      </c>
      <c r="H313" s="1" t="s">
        <v>55</v>
      </c>
      <c r="I313" s="1" t="s">
        <v>76</v>
      </c>
      <c r="J313" s="1" t="s">
        <v>56</v>
      </c>
      <c r="K313" s="1" t="s">
        <v>57</v>
      </c>
      <c r="M313" s="1" t="s">
        <v>58</v>
      </c>
      <c r="N313" s="1" t="s">
        <v>58</v>
      </c>
      <c r="O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58</v>
      </c>
      <c r="X313" s="1" t="s">
        <v>81</v>
      </c>
      <c r="Y313" s="1" t="s">
        <v>82</v>
      </c>
      <c r="Z313" s="1" t="s">
        <v>61</v>
      </c>
      <c r="AA313" s="1">
        <v>40.0</v>
      </c>
      <c r="AB313" s="1" t="s">
        <v>79</v>
      </c>
      <c r="AC313" s="1" t="s">
        <v>51</v>
      </c>
      <c r="AD313" s="1" t="s">
        <v>81</v>
      </c>
      <c r="AE313" s="1" t="s">
        <v>51</v>
      </c>
      <c r="AF313" s="1" t="s">
        <v>51</v>
      </c>
      <c r="AG313" s="1" t="s">
        <v>51</v>
      </c>
      <c r="AH313" s="1">
        <v>700.0</v>
      </c>
      <c r="AI313" s="1">
        <v>1.0</v>
      </c>
      <c r="AJ313" s="1">
        <v>0.0</v>
      </c>
      <c r="AK313" s="1">
        <v>0.0</v>
      </c>
      <c r="AL313" s="1">
        <v>0.0</v>
      </c>
      <c r="AM313" s="1" t="s">
        <v>51</v>
      </c>
      <c r="AN313" s="1">
        <v>5.932364E7</v>
      </c>
      <c r="AP313" s="1">
        <v>4.90410469E8</v>
      </c>
      <c r="AQ313" s="1" t="s">
        <v>521</v>
      </c>
      <c r="AR313" s="1">
        <v>45809.44119</v>
      </c>
      <c r="AU313" s="1" t="s">
        <v>64</v>
      </c>
      <c r="AW313" s="1" t="s">
        <v>513</v>
      </c>
      <c r="AY313" s="1">
        <v>9.0</v>
      </c>
    </row>
    <row r="314" hidden="1">
      <c r="A314" s="1" t="s">
        <v>51</v>
      </c>
      <c r="C314" s="1" t="s">
        <v>53</v>
      </c>
      <c r="E314" s="1" t="s">
        <v>53</v>
      </c>
      <c r="F314" s="1" t="s">
        <v>54</v>
      </c>
      <c r="G314" s="1">
        <v>33.0</v>
      </c>
      <c r="H314" s="1" t="s">
        <v>55</v>
      </c>
      <c r="I314" s="1" t="s">
        <v>121</v>
      </c>
      <c r="J314" s="1" t="s">
        <v>68</v>
      </c>
      <c r="K314" s="1" t="s">
        <v>74</v>
      </c>
      <c r="M314" s="1" t="s">
        <v>58</v>
      </c>
      <c r="N314" s="1" t="s">
        <v>58</v>
      </c>
      <c r="O314" s="1" t="s">
        <v>58</v>
      </c>
      <c r="Q314" s="1" t="s">
        <v>58</v>
      </c>
      <c r="R314" s="1" t="s">
        <v>70</v>
      </c>
      <c r="S314" s="1" t="s">
        <v>70</v>
      </c>
      <c r="T314" s="1" t="s">
        <v>58</v>
      </c>
      <c r="U314" s="1" t="s">
        <v>70</v>
      </c>
      <c r="V314" s="1" t="s">
        <v>58</v>
      </c>
      <c r="W314" s="1" t="s">
        <v>58</v>
      </c>
      <c r="X314" s="1" t="s">
        <v>81</v>
      </c>
      <c r="Y314" s="1" t="s">
        <v>82</v>
      </c>
      <c r="Z314" s="1" t="s">
        <v>89</v>
      </c>
      <c r="AA314" s="1">
        <v>30.0</v>
      </c>
      <c r="AB314" s="1" t="s">
        <v>62</v>
      </c>
      <c r="AC314" s="1" t="s">
        <v>51</v>
      </c>
      <c r="AD314" s="1" t="s">
        <v>81</v>
      </c>
      <c r="AE314" s="1" t="s">
        <v>51</v>
      </c>
      <c r="AF314" s="1" t="s">
        <v>51</v>
      </c>
      <c r="AG314" s="1" t="s">
        <v>51</v>
      </c>
      <c r="AH314" s="1">
        <v>500.0</v>
      </c>
      <c r="AI314" s="1">
        <v>1.0</v>
      </c>
      <c r="AJ314" s="1">
        <v>0.0</v>
      </c>
      <c r="AK314" s="1">
        <v>0.0</v>
      </c>
      <c r="AL314" s="1">
        <v>0.0</v>
      </c>
      <c r="AM314" s="1" t="s">
        <v>51</v>
      </c>
      <c r="AN314" s="1">
        <v>7.2234359E8</v>
      </c>
      <c r="AP314" s="1">
        <v>4.90415914E8</v>
      </c>
      <c r="AQ314" s="1" t="s">
        <v>522</v>
      </c>
      <c r="AR314" s="1">
        <v>45809.45304</v>
      </c>
      <c r="AU314" s="1" t="s">
        <v>64</v>
      </c>
      <c r="AW314" s="1" t="s">
        <v>513</v>
      </c>
      <c r="AY314" s="1">
        <v>10.0</v>
      </c>
    </row>
    <row r="315">
      <c r="A315" s="1" t="s">
        <v>51</v>
      </c>
      <c r="C315" s="1" t="s">
        <v>151</v>
      </c>
      <c r="E315" s="1" t="s">
        <v>53</v>
      </c>
      <c r="F315" s="1" t="s">
        <v>54</v>
      </c>
      <c r="G315" s="1">
        <v>38.0</v>
      </c>
      <c r="H315" s="1" t="s">
        <v>66</v>
      </c>
      <c r="I315" s="1" t="s">
        <v>67</v>
      </c>
      <c r="J315" s="1" t="s">
        <v>56</v>
      </c>
      <c r="K315" s="1" t="s">
        <v>78</v>
      </c>
      <c r="M315" s="1" t="s">
        <v>58</v>
      </c>
      <c r="N315" s="1" t="s">
        <v>58</v>
      </c>
      <c r="O315" s="1" t="s">
        <v>58</v>
      </c>
      <c r="Q315" s="1" t="s">
        <v>58</v>
      </c>
      <c r="R315" s="1" t="s">
        <v>70</v>
      </c>
      <c r="S315" s="1" t="s">
        <v>70</v>
      </c>
      <c r="T315" s="1" t="s">
        <v>58</v>
      </c>
      <c r="U315" s="1" t="s">
        <v>70</v>
      </c>
      <c r="V315" s="1" t="s">
        <v>70</v>
      </c>
      <c r="W315" s="1" t="s">
        <v>70</v>
      </c>
      <c r="X315" s="1" t="s">
        <v>88</v>
      </c>
      <c r="Y315" s="1" t="s">
        <v>82</v>
      </c>
      <c r="Z315" s="1" t="s">
        <v>89</v>
      </c>
      <c r="AA315" s="1">
        <v>10.0</v>
      </c>
      <c r="AB315" s="1" t="s">
        <v>79</v>
      </c>
      <c r="AC315" s="1" t="s">
        <v>51</v>
      </c>
      <c r="AD315" s="1" t="s">
        <v>81</v>
      </c>
      <c r="AE315" s="1" t="s">
        <v>51</v>
      </c>
      <c r="AF315" s="1" t="s">
        <v>51</v>
      </c>
      <c r="AG315" s="1" t="s">
        <v>51</v>
      </c>
      <c r="AH315" s="1">
        <v>150000.0</v>
      </c>
      <c r="AI315" s="1">
        <v>1.0</v>
      </c>
      <c r="AJ315" s="1">
        <v>0.0</v>
      </c>
      <c r="AK315" s="1">
        <v>0.0</v>
      </c>
      <c r="AL315" s="1">
        <v>0.0</v>
      </c>
      <c r="AM315" s="1" t="s">
        <v>51</v>
      </c>
      <c r="AN315" s="1">
        <v>7.81882812E8</v>
      </c>
      <c r="AP315" s="1">
        <v>4.90438105E8</v>
      </c>
      <c r="AQ315" s="1" t="s">
        <v>523</v>
      </c>
      <c r="AR315" s="1">
        <v>45809.50147</v>
      </c>
      <c r="AU315" s="1" t="s">
        <v>64</v>
      </c>
      <c r="AW315" s="1" t="s">
        <v>513</v>
      </c>
      <c r="AY315" s="1">
        <v>11.0</v>
      </c>
    </row>
    <row r="316">
      <c r="A316" s="1" t="s">
        <v>51</v>
      </c>
      <c r="C316" s="1" t="s">
        <v>151</v>
      </c>
      <c r="E316" s="1" t="s">
        <v>53</v>
      </c>
      <c r="F316" s="1" t="s">
        <v>54</v>
      </c>
      <c r="G316" s="1">
        <v>39.0</v>
      </c>
      <c r="H316" s="1" t="s">
        <v>66</v>
      </c>
      <c r="I316" s="1" t="s">
        <v>100</v>
      </c>
      <c r="J316" s="1" t="s">
        <v>68</v>
      </c>
      <c r="K316" s="1" t="s">
        <v>78</v>
      </c>
      <c r="M316" s="1" t="s">
        <v>58</v>
      </c>
      <c r="N316" s="1" t="s">
        <v>58</v>
      </c>
      <c r="O316" s="1" t="s">
        <v>58</v>
      </c>
      <c r="Q316" s="1" t="s">
        <v>58</v>
      </c>
      <c r="R316" s="1" t="s">
        <v>58</v>
      </c>
      <c r="S316" s="1" t="s">
        <v>58</v>
      </c>
      <c r="T316" s="1" t="s">
        <v>58</v>
      </c>
      <c r="U316" s="1" t="s">
        <v>58</v>
      </c>
      <c r="V316" s="1" t="s">
        <v>58</v>
      </c>
      <c r="W316" s="1" t="s">
        <v>58</v>
      </c>
      <c r="X316" s="1" t="s">
        <v>81</v>
      </c>
      <c r="Y316" s="1" t="s">
        <v>82</v>
      </c>
      <c r="Z316" s="1" t="s">
        <v>89</v>
      </c>
      <c r="AA316" s="1">
        <v>20.0</v>
      </c>
      <c r="AB316" s="1" t="s">
        <v>79</v>
      </c>
      <c r="AC316" s="1" t="s">
        <v>51</v>
      </c>
      <c r="AD316" s="1" t="s">
        <v>81</v>
      </c>
      <c r="AE316" s="1" t="s">
        <v>51</v>
      </c>
      <c r="AF316" s="1" t="s">
        <v>51</v>
      </c>
      <c r="AG316" s="1" t="s">
        <v>51</v>
      </c>
      <c r="AH316" s="1">
        <v>400.0</v>
      </c>
      <c r="AI316" s="1">
        <v>1.0</v>
      </c>
      <c r="AJ316" s="1">
        <v>0.0</v>
      </c>
      <c r="AK316" s="1">
        <v>0.0</v>
      </c>
      <c r="AL316" s="1">
        <v>0.0</v>
      </c>
      <c r="AM316" s="1" t="s">
        <v>51</v>
      </c>
      <c r="AN316" s="1">
        <v>6.34482526E8</v>
      </c>
      <c r="AP316" s="1">
        <v>4.9044075E8</v>
      </c>
      <c r="AQ316" s="1" t="s">
        <v>524</v>
      </c>
      <c r="AR316" s="1">
        <v>45809.50674</v>
      </c>
      <c r="AU316" s="1" t="s">
        <v>64</v>
      </c>
      <c r="AW316" s="1" t="s">
        <v>513</v>
      </c>
      <c r="AY316" s="1">
        <v>12.0</v>
      </c>
    </row>
    <row r="317">
      <c r="A317" s="1" t="s">
        <v>51</v>
      </c>
      <c r="C317" s="1" t="s">
        <v>151</v>
      </c>
      <c r="E317" s="1" t="s">
        <v>53</v>
      </c>
      <c r="F317" s="1" t="s">
        <v>54</v>
      </c>
      <c r="G317" s="1">
        <v>33.0</v>
      </c>
      <c r="H317" s="1" t="s">
        <v>66</v>
      </c>
      <c r="I317" s="1" t="s">
        <v>419</v>
      </c>
      <c r="J317" s="1" t="s">
        <v>56</v>
      </c>
      <c r="K317" s="1" t="s">
        <v>57</v>
      </c>
      <c r="M317" s="1" t="s">
        <v>58</v>
      </c>
      <c r="N317" s="1" t="s">
        <v>58</v>
      </c>
      <c r="O317" s="1" t="s">
        <v>69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59</v>
      </c>
      <c r="Y317" s="1" t="s">
        <v>82</v>
      </c>
      <c r="Z317" s="1" t="s">
        <v>61</v>
      </c>
      <c r="AA317" s="1">
        <v>10.0</v>
      </c>
      <c r="AB317" s="1" t="s">
        <v>62</v>
      </c>
      <c r="AC317" s="1" t="s">
        <v>51</v>
      </c>
      <c r="AD317" s="1" t="s">
        <v>59</v>
      </c>
      <c r="AE317" s="1" t="s">
        <v>51</v>
      </c>
      <c r="AF317" s="1" t="s">
        <v>51</v>
      </c>
      <c r="AG317" s="1" t="s">
        <v>51</v>
      </c>
      <c r="AH317" s="1">
        <v>300.0</v>
      </c>
      <c r="AI317" s="1">
        <v>0.0</v>
      </c>
      <c r="AJ317" s="1">
        <v>1.0</v>
      </c>
      <c r="AK317" s="1">
        <v>0.0</v>
      </c>
      <c r="AL317" s="1">
        <v>0.0</v>
      </c>
      <c r="AM317" s="1" t="s">
        <v>51</v>
      </c>
      <c r="AN317" s="1">
        <v>6.14698223E8</v>
      </c>
      <c r="AP317" s="1">
        <v>4.90444316E8</v>
      </c>
      <c r="AQ317" s="1" t="s">
        <v>525</v>
      </c>
      <c r="AR317" s="1">
        <v>45809.51458</v>
      </c>
      <c r="AU317" s="1" t="s">
        <v>64</v>
      </c>
      <c r="AW317" s="1" t="s">
        <v>513</v>
      </c>
      <c r="AY317" s="1">
        <v>13.0</v>
      </c>
    </row>
    <row r="318">
      <c r="A318" s="1" t="s">
        <v>51</v>
      </c>
      <c r="C318" s="1" t="s">
        <v>151</v>
      </c>
      <c r="E318" s="1" t="s">
        <v>53</v>
      </c>
      <c r="F318" s="1" t="s">
        <v>54</v>
      </c>
      <c r="G318" s="1">
        <v>39.0</v>
      </c>
      <c r="H318" s="1" t="s">
        <v>55</v>
      </c>
      <c r="I318" s="1" t="s">
        <v>100</v>
      </c>
      <c r="J318" s="1" t="s">
        <v>56</v>
      </c>
      <c r="K318" s="1" t="s">
        <v>57</v>
      </c>
      <c r="M318" s="1" t="s">
        <v>58</v>
      </c>
      <c r="N318" s="1" t="s">
        <v>58</v>
      </c>
      <c r="O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59</v>
      </c>
      <c r="Y318" s="1" t="s">
        <v>82</v>
      </c>
      <c r="Z318" s="1" t="s">
        <v>89</v>
      </c>
      <c r="AA318" s="1">
        <v>10.0</v>
      </c>
      <c r="AB318" s="1" t="s">
        <v>28</v>
      </c>
      <c r="AC318" s="1" t="s">
        <v>51</v>
      </c>
      <c r="AD318" s="1" t="s">
        <v>59</v>
      </c>
      <c r="AE318" s="1" t="s">
        <v>51</v>
      </c>
      <c r="AF318" s="1" t="s">
        <v>51</v>
      </c>
      <c r="AG318" s="1" t="s">
        <v>51</v>
      </c>
      <c r="AH318" s="1">
        <v>200.0</v>
      </c>
      <c r="AI318" s="1">
        <v>1.0</v>
      </c>
      <c r="AJ318" s="1">
        <v>0.0</v>
      </c>
      <c r="AK318" s="1">
        <v>0.0</v>
      </c>
      <c r="AL318" s="1">
        <v>0.0</v>
      </c>
      <c r="AM318" s="1" t="s">
        <v>51</v>
      </c>
      <c r="AN318" s="1">
        <v>7.99866781E8</v>
      </c>
      <c r="AP318" s="1">
        <v>4.90451443E8</v>
      </c>
      <c r="AQ318" s="1" t="s">
        <v>526</v>
      </c>
      <c r="AR318" s="1">
        <v>45809.52955</v>
      </c>
      <c r="AU318" s="1" t="s">
        <v>64</v>
      </c>
      <c r="AW318" s="1" t="s">
        <v>513</v>
      </c>
      <c r="AY318" s="1">
        <v>14.0</v>
      </c>
    </row>
    <row r="319">
      <c r="A319" s="1" t="s">
        <v>51</v>
      </c>
      <c r="C319" s="1" t="s">
        <v>151</v>
      </c>
      <c r="E319" s="1" t="s">
        <v>53</v>
      </c>
      <c r="F319" s="1" t="s">
        <v>54</v>
      </c>
      <c r="G319" s="1">
        <v>40.0</v>
      </c>
      <c r="H319" s="1" t="s">
        <v>55</v>
      </c>
      <c r="I319" s="1" t="s">
        <v>100</v>
      </c>
      <c r="J319" s="1" t="s">
        <v>86</v>
      </c>
      <c r="K319" s="1" t="s">
        <v>57</v>
      </c>
      <c r="M319" s="1" t="s">
        <v>58</v>
      </c>
      <c r="N319" s="1" t="s">
        <v>58</v>
      </c>
      <c r="O319" s="1" t="s">
        <v>69</v>
      </c>
      <c r="Q319" s="1" t="s">
        <v>58</v>
      </c>
      <c r="R319" s="1" t="s">
        <v>58</v>
      </c>
      <c r="S319" s="1" t="s">
        <v>69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88</v>
      </c>
      <c r="Y319" s="1" t="s">
        <v>60</v>
      </c>
      <c r="Z319" s="1" t="s">
        <v>61</v>
      </c>
      <c r="AA319" s="1">
        <v>10.0</v>
      </c>
      <c r="AB319" s="1" t="s">
        <v>79</v>
      </c>
      <c r="AC319" s="1" t="s">
        <v>72</v>
      </c>
      <c r="AF319" s="1" t="s">
        <v>51</v>
      </c>
      <c r="AG319" s="1" t="s">
        <v>51</v>
      </c>
      <c r="AH319" s="1">
        <v>200.0</v>
      </c>
      <c r="AI319" s="1">
        <v>1.0</v>
      </c>
      <c r="AJ319" s="1">
        <v>0.0</v>
      </c>
      <c r="AK319" s="1">
        <v>0.0</v>
      </c>
      <c r="AL319" s="1">
        <v>0.0</v>
      </c>
      <c r="AM319" s="1" t="s">
        <v>51</v>
      </c>
      <c r="AN319" s="1">
        <v>7.11230687E8</v>
      </c>
      <c r="AP319" s="1">
        <v>4.90455501E8</v>
      </c>
      <c r="AQ319" s="1" t="s">
        <v>527</v>
      </c>
      <c r="AR319" s="1">
        <v>45809.53716</v>
      </c>
      <c r="AU319" s="1" t="s">
        <v>64</v>
      </c>
      <c r="AW319" s="1" t="s">
        <v>513</v>
      </c>
      <c r="AY319" s="1">
        <v>15.0</v>
      </c>
    </row>
    <row r="320">
      <c r="A320" s="1" t="s">
        <v>51</v>
      </c>
      <c r="C320" s="1" t="s">
        <v>151</v>
      </c>
      <c r="E320" s="1" t="s">
        <v>53</v>
      </c>
      <c r="F320" s="1" t="s">
        <v>54</v>
      </c>
      <c r="G320" s="1">
        <v>39.0</v>
      </c>
      <c r="H320" s="1" t="s">
        <v>55</v>
      </c>
      <c r="I320" s="1" t="s">
        <v>100</v>
      </c>
      <c r="J320" s="1" t="s">
        <v>68</v>
      </c>
      <c r="K320" s="1" t="s">
        <v>57</v>
      </c>
      <c r="M320" s="1" t="s">
        <v>58</v>
      </c>
      <c r="N320" s="1" t="s">
        <v>58</v>
      </c>
      <c r="O320" s="1" t="s">
        <v>58</v>
      </c>
      <c r="Q320" s="1" t="s">
        <v>58</v>
      </c>
      <c r="R320" s="1" t="s">
        <v>58</v>
      </c>
      <c r="T320" s="1" t="s">
        <v>58</v>
      </c>
      <c r="U320" s="1" t="s">
        <v>58</v>
      </c>
      <c r="W320" s="1" t="s">
        <v>58</v>
      </c>
      <c r="X320" s="1" t="s">
        <v>81</v>
      </c>
      <c r="Y320" s="1" t="s">
        <v>227</v>
      </c>
      <c r="Z320" s="1" t="s">
        <v>89</v>
      </c>
      <c r="AA320" s="1">
        <v>10.0</v>
      </c>
      <c r="AB320" s="1" t="s">
        <v>62</v>
      </c>
      <c r="AC320" s="1" t="s">
        <v>51</v>
      </c>
      <c r="AD320" s="1" t="s">
        <v>81</v>
      </c>
      <c r="AE320" s="1" t="s">
        <v>51</v>
      </c>
      <c r="AF320" s="1" t="s">
        <v>72</v>
      </c>
      <c r="AG320" s="1" t="s">
        <v>72</v>
      </c>
      <c r="AI320" s="1">
        <v>0.0</v>
      </c>
      <c r="AJ320" s="1">
        <v>0.0</v>
      </c>
      <c r="AK320" s="1">
        <v>0.0</v>
      </c>
      <c r="AL320" s="1">
        <v>1.0</v>
      </c>
      <c r="AM320" s="1" t="s">
        <v>51</v>
      </c>
      <c r="AN320" s="1">
        <v>7.93682104E8</v>
      </c>
      <c r="AP320" s="1">
        <v>4.90459871E8</v>
      </c>
      <c r="AQ320" s="1" t="s">
        <v>528</v>
      </c>
      <c r="AR320" s="1">
        <v>45809.54628</v>
      </c>
      <c r="AU320" s="1" t="s">
        <v>64</v>
      </c>
      <c r="AW320" s="1" t="s">
        <v>513</v>
      </c>
      <c r="AY320" s="1">
        <v>16.0</v>
      </c>
    </row>
    <row r="321">
      <c r="A321" s="1" t="s">
        <v>51</v>
      </c>
      <c r="C321" s="1" t="s">
        <v>151</v>
      </c>
      <c r="E321" s="1" t="s">
        <v>53</v>
      </c>
      <c r="F321" s="1" t="s">
        <v>54</v>
      </c>
      <c r="G321" s="1">
        <v>35.0</v>
      </c>
      <c r="H321" s="1" t="s">
        <v>55</v>
      </c>
      <c r="I321" s="1" t="s">
        <v>67</v>
      </c>
      <c r="J321" s="1" t="s">
        <v>86</v>
      </c>
      <c r="K321" s="1" t="s">
        <v>74</v>
      </c>
      <c r="M321" s="1" t="s">
        <v>58</v>
      </c>
      <c r="N321" s="1" t="s">
        <v>58</v>
      </c>
      <c r="O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59</v>
      </c>
      <c r="Y321" s="1" t="s">
        <v>60</v>
      </c>
      <c r="Z321" s="1" t="s">
        <v>61</v>
      </c>
      <c r="AA321" s="1">
        <v>10.0</v>
      </c>
      <c r="AB321" s="1" t="s">
        <v>79</v>
      </c>
      <c r="AC321" s="1" t="s">
        <v>51</v>
      </c>
      <c r="AD321" s="1" t="s">
        <v>59</v>
      </c>
      <c r="AE321" s="1" t="s">
        <v>51</v>
      </c>
      <c r="AF321" s="1" t="s">
        <v>51</v>
      </c>
      <c r="AG321" s="1" t="s">
        <v>51</v>
      </c>
      <c r="AH321" s="1">
        <v>500.0</v>
      </c>
      <c r="AI321" s="1">
        <v>1.0</v>
      </c>
      <c r="AJ321" s="1">
        <v>0.0</v>
      </c>
      <c r="AK321" s="1">
        <v>0.0</v>
      </c>
      <c r="AL321" s="1">
        <v>0.0</v>
      </c>
      <c r="AM321" s="1" t="s">
        <v>51</v>
      </c>
      <c r="AN321" s="1">
        <v>6.47722465E8</v>
      </c>
      <c r="AP321" s="1">
        <v>4.90464896E8</v>
      </c>
      <c r="AQ321" s="1" t="s">
        <v>529</v>
      </c>
      <c r="AR321" s="1">
        <v>45809.55693</v>
      </c>
      <c r="AU321" s="1" t="s">
        <v>64</v>
      </c>
      <c r="AW321" s="1" t="s">
        <v>513</v>
      </c>
      <c r="AY321" s="1">
        <v>17.0</v>
      </c>
    </row>
    <row r="322">
      <c r="A322" s="1"/>
      <c r="C322" s="1"/>
      <c r="E322" s="1"/>
      <c r="F322" s="1"/>
      <c r="G322" s="1"/>
      <c r="H322" s="1"/>
      <c r="I322" s="1"/>
      <c r="J322" s="1"/>
      <c r="K322" s="1"/>
      <c r="M322" s="1"/>
      <c r="N322" s="1"/>
      <c r="O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U322" s="1"/>
      <c r="AW322" s="1"/>
      <c r="AY322" s="1"/>
    </row>
    <row r="323">
      <c r="A323" s="1"/>
      <c r="C323" s="1"/>
      <c r="E323" s="1"/>
      <c r="F323" s="1"/>
      <c r="G323" s="1"/>
      <c r="H323" s="1"/>
      <c r="I323" s="1"/>
      <c r="J323" s="1"/>
      <c r="K323" s="1"/>
      <c r="M323" s="1"/>
      <c r="N323" s="1"/>
      <c r="O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U323" s="1"/>
      <c r="AW323" s="1"/>
      <c r="AY323" s="1"/>
    </row>
    <row r="324">
      <c r="A324" s="1"/>
      <c r="C324" s="1"/>
      <c r="E324" s="1"/>
      <c r="F324" s="1"/>
      <c r="G324" s="1"/>
      <c r="H324" s="1"/>
      <c r="I324" s="1"/>
      <c r="J324" s="1"/>
      <c r="K324" s="1"/>
      <c r="M324" s="1"/>
      <c r="N324" s="1"/>
      <c r="O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U324" s="1"/>
      <c r="AW324" s="1"/>
      <c r="AY324" s="1"/>
    </row>
    <row r="325">
      <c r="A325" s="1"/>
      <c r="C325" s="1"/>
      <c r="E325" s="1"/>
      <c r="F325" s="1"/>
      <c r="G325" s="1"/>
      <c r="H325" s="1"/>
      <c r="I325" s="1"/>
      <c r="J325" s="1"/>
      <c r="K325" s="1"/>
      <c r="M325" s="1"/>
      <c r="N325" s="1"/>
      <c r="O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U325" s="1"/>
      <c r="AW325" s="1"/>
      <c r="AY325" s="1"/>
    </row>
    <row r="326">
      <c r="A326" s="1"/>
      <c r="C326" s="1"/>
      <c r="E326" s="1"/>
      <c r="F326" s="1"/>
      <c r="G326" s="1"/>
      <c r="H326" s="1"/>
      <c r="I326" s="1"/>
      <c r="J326" s="1"/>
      <c r="K326" s="1"/>
      <c r="M326" s="1"/>
      <c r="N326" s="1"/>
      <c r="O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U326" s="1"/>
      <c r="AW326" s="1"/>
      <c r="AY326" s="1"/>
    </row>
    <row r="327">
      <c r="A327" s="1"/>
      <c r="C327" s="1"/>
      <c r="E327" s="1"/>
      <c r="F327" s="1"/>
      <c r="G327" s="1"/>
      <c r="H327" s="1"/>
      <c r="I327" s="1"/>
      <c r="J327" s="1"/>
      <c r="K327" s="1"/>
      <c r="M327" s="1"/>
      <c r="N327" s="1"/>
      <c r="O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U327" s="1"/>
      <c r="AW327" s="1"/>
      <c r="AY327" s="1"/>
    </row>
    <row r="328">
      <c r="A328" s="1"/>
      <c r="C328" s="1"/>
      <c r="E328" s="1"/>
      <c r="F328" s="1"/>
      <c r="G328" s="1"/>
      <c r="H328" s="1"/>
      <c r="I328" s="1"/>
      <c r="J328" s="1"/>
      <c r="K328" s="1"/>
      <c r="M328" s="1"/>
      <c r="N328" s="1"/>
      <c r="O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U328" s="1"/>
      <c r="AW328" s="1"/>
      <c r="AY328" s="1"/>
    </row>
    <row r="329">
      <c r="A329" s="1"/>
      <c r="C329" s="1"/>
      <c r="E329" s="1"/>
      <c r="F329" s="1"/>
      <c r="G329" s="1"/>
      <c r="H329" s="1"/>
      <c r="I329" s="1"/>
      <c r="J329" s="1"/>
      <c r="K329" s="1"/>
      <c r="M329" s="1"/>
      <c r="N329" s="1"/>
      <c r="O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U329" s="1"/>
      <c r="AW329" s="1"/>
      <c r="AY329" s="1"/>
    </row>
    <row r="330">
      <c r="A330" s="1"/>
      <c r="C330" s="1"/>
      <c r="E330" s="1"/>
      <c r="F330" s="1"/>
      <c r="G330" s="1"/>
      <c r="H330" s="1"/>
      <c r="I330" s="1"/>
      <c r="J330" s="1"/>
      <c r="K330" s="1"/>
      <c r="M330" s="1"/>
      <c r="N330" s="1"/>
      <c r="O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U330" s="1"/>
      <c r="AW330" s="1"/>
      <c r="AY330" s="1"/>
    </row>
    <row r="331">
      <c r="A331" s="1"/>
      <c r="C331" s="1"/>
      <c r="E331" s="1"/>
      <c r="F331" s="1"/>
      <c r="G331" s="1"/>
      <c r="H331" s="1"/>
      <c r="I331" s="1"/>
      <c r="J331" s="1"/>
      <c r="K331" s="1"/>
      <c r="M331" s="1"/>
      <c r="N331" s="1"/>
      <c r="O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U331" s="1"/>
      <c r="AW331" s="1"/>
      <c r="AY331" s="1"/>
    </row>
    <row r="332">
      <c r="A332" s="1"/>
      <c r="C332" s="1"/>
      <c r="E332" s="1"/>
      <c r="F332" s="1"/>
      <c r="G332" s="1"/>
      <c r="H332" s="1"/>
      <c r="I332" s="1"/>
      <c r="J332" s="1"/>
      <c r="K332" s="1"/>
      <c r="M332" s="1"/>
      <c r="N332" s="1"/>
      <c r="O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U332" s="1"/>
      <c r="AW332" s="1"/>
      <c r="AY332" s="1"/>
    </row>
    <row r="333">
      <c r="A333" s="1"/>
      <c r="C333" s="1"/>
      <c r="E333" s="1"/>
      <c r="F333" s="1"/>
      <c r="G333" s="1"/>
      <c r="H333" s="1"/>
      <c r="I333" s="1"/>
      <c r="J333" s="1"/>
      <c r="K333" s="1"/>
      <c r="M333" s="1"/>
      <c r="N333" s="1"/>
      <c r="O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U333" s="1"/>
      <c r="AW333" s="1"/>
      <c r="AY333" s="1"/>
    </row>
    <row r="334">
      <c r="A334" s="1"/>
      <c r="C334" s="1"/>
      <c r="E334" s="1"/>
      <c r="F334" s="1"/>
      <c r="G334" s="1"/>
      <c r="H334" s="1"/>
      <c r="I334" s="1"/>
      <c r="J334" s="1"/>
      <c r="K334" s="1"/>
      <c r="M334" s="1"/>
      <c r="N334" s="1"/>
      <c r="O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U334" s="1"/>
      <c r="AW334" s="1"/>
      <c r="AY334" s="1"/>
    </row>
    <row r="335">
      <c r="A335" s="1"/>
      <c r="C335" s="1"/>
      <c r="E335" s="1"/>
      <c r="F335" s="1"/>
      <c r="G335" s="1"/>
      <c r="H335" s="1"/>
      <c r="I335" s="1"/>
      <c r="J335" s="1"/>
      <c r="K335" s="1"/>
      <c r="M335" s="1"/>
      <c r="N335" s="1"/>
      <c r="O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U335" s="1"/>
      <c r="AW335" s="1"/>
      <c r="AY335" s="1"/>
    </row>
    <row r="336">
      <c r="A336" s="1"/>
      <c r="C336" s="1"/>
      <c r="E336" s="1"/>
      <c r="F336" s="1"/>
      <c r="G336" s="1"/>
      <c r="H336" s="1"/>
      <c r="I336" s="1"/>
      <c r="J336" s="1"/>
      <c r="K336" s="1"/>
      <c r="M336" s="1"/>
      <c r="N336" s="1"/>
      <c r="O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U336" s="1"/>
      <c r="AW336" s="1"/>
      <c r="AY336" s="1"/>
    </row>
    <row r="337">
      <c r="A337" s="1"/>
      <c r="C337" s="1"/>
      <c r="E337" s="1"/>
      <c r="F337" s="1"/>
      <c r="G337" s="1"/>
      <c r="H337" s="1"/>
      <c r="I337" s="1"/>
      <c r="J337" s="1"/>
      <c r="K337" s="1"/>
      <c r="M337" s="1"/>
      <c r="N337" s="1"/>
      <c r="O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U337" s="1"/>
      <c r="AW337" s="1"/>
      <c r="AY337" s="1"/>
    </row>
    <row r="338">
      <c r="A338" s="1"/>
      <c r="C338" s="1"/>
      <c r="E338" s="1"/>
      <c r="F338" s="1"/>
      <c r="G338" s="1"/>
      <c r="H338" s="1"/>
      <c r="I338" s="1"/>
      <c r="J338" s="1"/>
      <c r="K338" s="1"/>
      <c r="M338" s="1"/>
      <c r="N338" s="1"/>
      <c r="O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U338" s="1"/>
      <c r="AW338" s="1"/>
      <c r="AY338" s="1"/>
    </row>
    <row r="339">
      <c r="A339" s="1"/>
      <c r="C339" s="1"/>
      <c r="E339" s="1"/>
      <c r="F339" s="1"/>
      <c r="G339" s="1"/>
      <c r="H339" s="1"/>
      <c r="I339" s="1"/>
      <c r="J339" s="1"/>
      <c r="K339" s="1"/>
      <c r="M339" s="1"/>
      <c r="N339" s="1"/>
      <c r="O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U339" s="1"/>
      <c r="AW339" s="1"/>
      <c r="AY339" s="1"/>
    </row>
    <row r="340">
      <c r="A340" s="1"/>
      <c r="C340" s="1"/>
      <c r="E340" s="1"/>
      <c r="F340" s="1"/>
      <c r="G340" s="1"/>
      <c r="H340" s="1"/>
      <c r="I340" s="1"/>
      <c r="J340" s="1"/>
      <c r="K340" s="1"/>
      <c r="M340" s="1"/>
      <c r="N340" s="1"/>
      <c r="O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U340" s="1"/>
      <c r="AW340" s="1"/>
      <c r="AY340" s="1"/>
    </row>
    <row r="341">
      <c r="A341" s="1"/>
      <c r="C341" s="1"/>
      <c r="E341" s="1"/>
      <c r="F341" s="1"/>
      <c r="G341" s="1"/>
      <c r="H341" s="1"/>
      <c r="I341" s="1"/>
      <c r="J341" s="1"/>
      <c r="K341" s="1"/>
      <c r="M341" s="1"/>
      <c r="N341" s="1"/>
      <c r="O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U341" s="1"/>
      <c r="AW341" s="1"/>
      <c r="AY341" s="1"/>
    </row>
    <row r="342">
      <c r="A342" s="1"/>
      <c r="C342" s="1"/>
      <c r="E342" s="1"/>
      <c r="F342" s="1"/>
      <c r="G342" s="1"/>
      <c r="H342" s="1"/>
      <c r="I342" s="1"/>
      <c r="J342" s="1"/>
      <c r="K342" s="1"/>
      <c r="M342" s="1"/>
      <c r="N342" s="1"/>
      <c r="O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U342" s="1"/>
      <c r="AW342" s="1"/>
      <c r="AY342" s="1"/>
    </row>
    <row r="343">
      <c r="A343" s="1"/>
      <c r="C343" s="1"/>
      <c r="E343" s="1"/>
      <c r="F343" s="1"/>
      <c r="G343" s="1"/>
      <c r="H343" s="1"/>
      <c r="I343" s="1"/>
      <c r="J343" s="1"/>
      <c r="K343" s="1"/>
      <c r="M343" s="1"/>
      <c r="N343" s="1"/>
      <c r="O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U343" s="1"/>
      <c r="AW343" s="1"/>
      <c r="AY343" s="1"/>
    </row>
    <row r="344">
      <c r="A344" s="1"/>
      <c r="C344" s="1"/>
      <c r="E344" s="1"/>
      <c r="F344" s="1"/>
      <c r="G344" s="1"/>
      <c r="H344" s="1"/>
      <c r="I344" s="1"/>
      <c r="J344" s="1"/>
      <c r="K344" s="1"/>
      <c r="M344" s="1"/>
      <c r="N344" s="1"/>
      <c r="O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U344" s="1"/>
      <c r="AW344" s="1"/>
      <c r="AY344" s="1"/>
    </row>
    <row r="345">
      <c r="A345" s="1"/>
      <c r="C345" s="1"/>
      <c r="E345" s="1"/>
      <c r="F345" s="1"/>
      <c r="G345" s="1"/>
      <c r="H345" s="1"/>
      <c r="I345" s="1"/>
      <c r="J345" s="1"/>
      <c r="K345" s="1"/>
      <c r="M345" s="1"/>
      <c r="N345" s="1"/>
      <c r="O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U345" s="1"/>
      <c r="AW345" s="1"/>
      <c r="AY345" s="1"/>
    </row>
    <row r="346">
      <c r="A346" s="1"/>
      <c r="C346" s="1"/>
      <c r="E346" s="1"/>
      <c r="F346" s="1"/>
      <c r="G346" s="1"/>
      <c r="H346" s="1"/>
      <c r="I346" s="1"/>
      <c r="J346" s="1"/>
      <c r="K346" s="1"/>
      <c r="M346" s="1"/>
      <c r="N346" s="1"/>
      <c r="O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U346" s="1"/>
      <c r="AW346" s="1"/>
      <c r="AY346" s="1"/>
    </row>
    <row r="347">
      <c r="A347" s="1"/>
      <c r="C347" s="1"/>
      <c r="E347" s="1"/>
      <c r="F347" s="1"/>
      <c r="G347" s="1"/>
      <c r="H347" s="1"/>
      <c r="I347" s="1"/>
      <c r="J347" s="1"/>
      <c r="K347" s="1"/>
      <c r="M347" s="1"/>
      <c r="N347" s="1"/>
      <c r="O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U347" s="1"/>
      <c r="AW347" s="1"/>
      <c r="AY347" s="1"/>
    </row>
    <row r="348">
      <c r="A348" s="1"/>
      <c r="C348" s="1"/>
      <c r="E348" s="1"/>
      <c r="F348" s="1"/>
      <c r="G348" s="1"/>
      <c r="H348" s="1"/>
      <c r="I348" s="1"/>
      <c r="J348" s="1"/>
      <c r="K348" s="1"/>
      <c r="M348" s="1"/>
      <c r="N348" s="1"/>
      <c r="O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U348" s="1"/>
      <c r="AW348" s="1"/>
      <c r="AY348" s="1"/>
    </row>
    <row r="349">
      <c r="A349" s="1"/>
      <c r="C349" s="1"/>
      <c r="E349" s="1"/>
      <c r="F349" s="1"/>
      <c r="G349" s="1"/>
      <c r="H349" s="1"/>
      <c r="I349" s="1"/>
      <c r="J349" s="1"/>
      <c r="K349" s="1"/>
      <c r="M349" s="1"/>
      <c r="N349" s="1"/>
      <c r="O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U349" s="1"/>
      <c r="AW349" s="1"/>
      <c r="AY349" s="1"/>
    </row>
    <row r="350">
      <c r="A350" s="1"/>
      <c r="C350" s="1"/>
      <c r="E350" s="1"/>
      <c r="F350" s="1"/>
      <c r="G350" s="1"/>
      <c r="H350" s="1"/>
      <c r="I350" s="1"/>
      <c r="J350" s="1"/>
      <c r="K350" s="1"/>
      <c r="M350" s="1"/>
      <c r="N350" s="1"/>
      <c r="O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U350" s="1"/>
      <c r="AW350" s="1"/>
      <c r="AY350" s="1"/>
    </row>
    <row r="351">
      <c r="A351" s="1"/>
      <c r="C351" s="1"/>
      <c r="E351" s="1"/>
      <c r="F351" s="1"/>
      <c r="G351" s="1"/>
      <c r="H351" s="1"/>
      <c r="I351" s="1"/>
      <c r="J351" s="1"/>
      <c r="K351" s="1"/>
      <c r="M351" s="1"/>
      <c r="N351" s="1"/>
      <c r="O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U351" s="1"/>
      <c r="AW351" s="1"/>
      <c r="AY351" s="1"/>
    </row>
    <row r="352">
      <c r="A352" s="1"/>
      <c r="C352" s="1"/>
      <c r="E352" s="1"/>
      <c r="F352" s="1"/>
      <c r="G352" s="1"/>
      <c r="H352" s="1"/>
      <c r="I352" s="1"/>
      <c r="J352" s="1"/>
      <c r="K352" s="1"/>
      <c r="M352" s="1"/>
      <c r="N352" s="1"/>
      <c r="O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U352" s="1"/>
      <c r="AW352" s="1"/>
      <c r="AY352" s="1"/>
    </row>
    <row r="353">
      <c r="A353" s="1"/>
      <c r="C353" s="1"/>
      <c r="E353" s="1"/>
      <c r="F353" s="1"/>
      <c r="G353" s="1"/>
      <c r="H353" s="1"/>
      <c r="I353" s="1"/>
      <c r="J353" s="1"/>
      <c r="K353" s="1"/>
      <c r="M353" s="1"/>
      <c r="N353" s="1"/>
      <c r="O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U353" s="1"/>
      <c r="AW353" s="1"/>
      <c r="AY353" s="1"/>
    </row>
    <row r="354">
      <c r="A354" s="1"/>
      <c r="C354" s="1"/>
      <c r="E354" s="1"/>
      <c r="F354" s="1"/>
      <c r="G354" s="1"/>
      <c r="H354" s="1"/>
      <c r="I354" s="1"/>
      <c r="J354" s="1"/>
      <c r="K354" s="1"/>
      <c r="M354" s="1"/>
      <c r="N354" s="1"/>
      <c r="O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U354" s="1"/>
      <c r="AW354" s="1"/>
      <c r="AY354" s="1"/>
    </row>
    <row r="355">
      <c r="A355" s="1"/>
      <c r="C355" s="1"/>
      <c r="E355" s="1"/>
      <c r="F355" s="1"/>
      <c r="G355" s="1"/>
      <c r="H355" s="1"/>
      <c r="I355" s="1"/>
      <c r="J355" s="1"/>
      <c r="K355" s="1"/>
      <c r="M355" s="1"/>
      <c r="N355" s="1"/>
      <c r="O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U355" s="1"/>
      <c r="AW355" s="1"/>
      <c r="AY355" s="1"/>
    </row>
    <row r="356">
      <c r="A356" s="1"/>
      <c r="C356" s="1"/>
      <c r="E356" s="1"/>
      <c r="F356" s="1"/>
      <c r="G356" s="1"/>
      <c r="H356" s="1"/>
      <c r="I356" s="1"/>
      <c r="J356" s="1"/>
      <c r="K356" s="1"/>
      <c r="M356" s="1"/>
      <c r="N356" s="1"/>
      <c r="O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U356" s="1"/>
      <c r="AW356" s="1"/>
      <c r="AY356" s="1"/>
    </row>
    <row r="357">
      <c r="A357" s="1"/>
      <c r="C357" s="1"/>
      <c r="E357" s="1"/>
      <c r="F357" s="1"/>
      <c r="G357" s="1"/>
      <c r="H357" s="1"/>
      <c r="I357" s="1"/>
      <c r="J357" s="1"/>
      <c r="K357" s="1"/>
      <c r="M357" s="1"/>
      <c r="N357" s="1"/>
      <c r="O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U357" s="1"/>
      <c r="AW357" s="1"/>
      <c r="AY357" s="1"/>
    </row>
    <row r="358">
      <c r="A358" s="1"/>
      <c r="C358" s="1"/>
      <c r="E358" s="1"/>
      <c r="F358" s="1"/>
      <c r="G358" s="1"/>
      <c r="H358" s="1"/>
      <c r="I358" s="1"/>
      <c r="J358" s="1"/>
      <c r="K358" s="1"/>
      <c r="M358" s="1"/>
      <c r="N358" s="1"/>
      <c r="O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U358" s="1"/>
      <c r="AW358" s="1"/>
      <c r="AY358" s="1"/>
    </row>
    <row r="359">
      <c r="A359" s="1"/>
      <c r="C359" s="1"/>
      <c r="E359" s="1"/>
      <c r="F359" s="1"/>
      <c r="G359" s="1"/>
      <c r="H359" s="1"/>
      <c r="I359" s="1"/>
      <c r="J359" s="1"/>
      <c r="K359" s="1"/>
      <c r="M359" s="1"/>
      <c r="N359" s="1"/>
      <c r="O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U359" s="1"/>
      <c r="AW359" s="1"/>
      <c r="AY359" s="1"/>
    </row>
    <row r="360">
      <c r="A360" s="1"/>
      <c r="C360" s="1"/>
      <c r="E360" s="1"/>
      <c r="F360" s="1"/>
      <c r="G360" s="1"/>
      <c r="H360" s="1"/>
      <c r="I360" s="1"/>
      <c r="J360" s="1"/>
      <c r="K360" s="1"/>
      <c r="M360" s="1"/>
      <c r="N360" s="1"/>
      <c r="O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U360" s="1"/>
      <c r="AW360" s="1"/>
      <c r="AY360" s="1"/>
    </row>
    <row r="361">
      <c r="A361" s="1"/>
      <c r="C361" s="1"/>
      <c r="E361" s="1"/>
      <c r="F361" s="1"/>
      <c r="G361" s="1"/>
      <c r="H361" s="1"/>
      <c r="I361" s="1"/>
      <c r="J361" s="1"/>
      <c r="K361" s="1"/>
      <c r="M361" s="1"/>
      <c r="N361" s="1"/>
      <c r="O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U361" s="1"/>
      <c r="AW361" s="1"/>
      <c r="AY361" s="1"/>
    </row>
    <row r="362">
      <c r="A362" s="1"/>
      <c r="C362" s="1"/>
      <c r="E362" s="1"/>
      <c r="F362" s="1"/>
      <c r="G362" s="1"/>
      <c r="H362" s="1"/>
      <c r="I362" s="1"/>
      <c r="J362" s="1"/>
      <c r="K362" s="1"/>
      <c r="M362" s="1"/>
      <c r="N362" s="1"/>
      <c r="O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U362" s="1"/>
      <c r="AW362" s="1"/>
      <c r="AY362" s="1"/>
    </row>
    <row r="363">
      <c r="A363" s="1"/>
      <c r="C363" s="1"/>
      <c r="E363" s="1"/>
      <c r="F363" s="1"/>
      <c r="G363" s="1"/>
      <c r="H363" s="1"/>
      <c r="I363" s="1"/>
      <c r="J363" s="1"/>
      <c r="K363" s="1"/>
      <c r="M363" s="1"/>
      <c r="N363" s="1"/>
      <c r="O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U363" s="1"/>
      <c r="AW363" s="1"/>
      <c r="AY363" s="1"/>
    </row>
    <row r="364">
      <c r="A364" s="1"/>
      <c r="C364" s="1"/>
      <c r="E364" s="1"/>
      <c r="F364" s="1"/>
      <c r="G364" s="1"/>
      <c r="H364" s="1"/>
      <c r="I364" s="1"/>
      <c r="J364" s="1"/>
      <c r="K364" s="1"/>
      <c r="M364" s="1"/>
      <c r="N364" s="1"/>
      <c r="O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U364" s="1"/>
      <c r="AW364" s="1"/>
      <c r="AY364" s="1"/>
    </row>
    <row r="365">
      <c r="A365" s="1"/>
      <c r="C365" s="1"/>
      <c r="E365" s="1"/>
      <c r="F365" s="1"/>
      <c r="G365" s="1"/>
      <c r="H365" s="1"/>
      <c r="I365" s="1"/>
      <c r="J365" s="1"/>
      <c r="K365" s="1"/>
      <c r="M365" s="1"/>
      <c r="N365" s="1"/>
      <c r="O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U365" s="1"/>
      <c r="AW365" s="1"/>
      <c r="AY365" s="1"/>
    </row>
    <row r="366">
      <c r="A366" s="1"/>
      <c r="C366" s="1"/>
      <c r="E366" s="1"/>
      <c r="F366" s="1"/>
      <c r="G366" s="1"/>
      <c r="H366" s="1"/>
      <c r="I366" s="1"/>
      <c r="J366" s="1"/>
      <c r="K366" s="1"/>
      <c r="M366" s="1"/>
      <c r="N366" s="1"/>
      <c r="O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U366" s="1"/>
      <c r="AW366" s="1"/>
      <c r="AY366" s="1"/>
    </row>
    <row r="367">
      <c r="A367" s="1"/>
      <c r="C367" s="1"/>
      <c r="E367" s="1"/>
      <c r="F367" s="1"/>
      <c r="G367" s="1"/>
      <c r="H367" s="1"/>
      <c r="I367" s="1"/>
      <c r="J367" s="1"/>
      <c r="K367" s="1"/>
      <c r="M367" s="1"/>
      <c r="N367" s="1"/>
      <c r="O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U367" s="1"/>
      <c r="AW367" s="1"/>
      <c r="AY367" s="1"/>
    </row>
    <row r="368">
      <c r="A368" s="1"/>
      <c r="C368" s="1"/>
      <c r="E368" s="1"/>
      <c r="F368" s="1"/>
      <c r="G368" s="1"/>
      <c r="H368" s="1"/>
      <c r="I368" s="1"/>
      <c r="J368" s="1"/>
      <c r="K368" s="1"/>
      <c r="M368" s="1"/>
      <c r="N368" s="1"/>
      <c r="O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U368" s="1"/>
      <c r="AW368" s="1"/>
      <c r="AY368" s="1"/>
    </row>
    <row r="369">
      <c r="A369" s="1"/>
      <c r="C369" s="1"/>
      <c r="E369" s="1"/>
      <c r="F369" s="1"/>
      <c r="G369" s="1"/>
      <c r="H369" s="1"/>
      <c r="I369" s="1"/>
      <c r="J369" s="1"/>
      <c r="K369" s="1"/>
      <c r="M369" s="1"/>
      <c r="N369" s="1"/>
      <c r="O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U369" s="1"/>
      <c r="AW369" s="1"/>
      <c r="AY369" s="1"/>
    </row>
    <row r="370">
      <c r="A370" s="1"/>
      <c r="C370" s="1"/>
      <c r="E370" s="1"/>
      <c r="F370" s="1"/>
      <c r="G370" s="1"/>
      <c r="H370" s="1"/>
      <c r="I370" s="1"/>
      <c r="J370" s="1"/>
      <c r="K370" s="1"/>
      <c r="M370" s="1"/>
      <c r="N370" s="1"/>
      <c r="O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U370" s="1"/>
      <c r="AW370" s="1"/>
      <c r="AY370" s="1"/>
    </row>
    <row r="371">
      <c r="A371" s="1"/>
      <c r="C371" s="1"/>
      <c r="E371" s="1"/>
      <c r="F371" s="1"/>
      <c r="G371" s="1"/>
      <c r="H371" s="1"/>
      <c r="I371" s="1"/>
      <c r="J371" s="1"/>
      <c r="K371" s="1"/>
      <c r="M371" s="1"/>
      <c r="N371" s="1"/>
      <c r="O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U371" s="1"/>
      <c r="AW371" s="1"/>
      <c r="AY371" s="1"/>
    </row>
    <row r="372">
      <c r="A372" s="1"/>
      <c r="C372" s="1"/>
      <c r="E372" s="1"/>
      <c r="F372" s="1"/>
      <c r="G372" s="1"/>
      <c r="H372" s="1"/>
      <c r="I372" s="1"/>
      <c r="J372" s="1"/>
      <c r="K372" s="1"/>
      <c r="M372" s="1"/>
      <c r="N372" s="1"/>
      <c r="O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U372" s="1"/>
      <c r="AW372" s="1"/>
      <c r="AY372" s="1"/>
    </row>
    <row r="373">
      <c r="A373" s="1"/>
      <c r="C373" s="1"/>
      <c r="E373" s="1"/>
      <c r="F373" s="1"/>
      <c r="G373" s="1"/>
      <c r="H373" s="1"/>
      <c r="I373" s="1"/>
      <c r="J373" s="1"/>
      <c r="K373" s="1"/>
      <c r="M373" s="1"/>
      <c r="N373" s="1"/>
      <c r="O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U373" s="1"/>
      <c r="AW373" s="1"/>
      <c r="AY373" s="1"/>
    </row>
    <row r="374">
      <c r="A374" s="1"/>
      <c r="C374" s="1"/>
      <c r="E374" s="1"/>
      <c r="F374" s="1"/>
      <c r="G374" s="1"/>
      <c r="H374" s="1"/>
      <c r="I374" s="1"/>
      <c r="J374" s="1"/>
      <c r="K374" s="1"/>
      <c r="M374" s="1"/>
      <c r="N374" s="1"/>
      <c r="O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U374" s="1"/>
      <c r="AW374" s="1"/>
      <c r="AY374" s="1"/>
    </row>
    <row r="375">
      <c r="A375" s="1"/>
      <c r="C375" s="1"/>
      <c r="E375" s="1"/>
      <c r="F375" s="1"/>
      <c r="G375" s="1"/>
      <c r="H375" s="1"/>
      <c r="I375" s="1"/>
      <c r="J375" s="1"/>
      <c r="K375" s="1"/>
      <c r="M375" s="1"/>
      <c r="N375" s="1"/>
      <c r="O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U375" s="1"/>
      <c r="AW375" s="1"/>
      <c r="AY375" s="1"/>
    </row>
    <row r="376">
      <c r="A376" s="1"/>
      <c r="C376" s="1"/>
      <c r="E376" s="1"/>
      <c r="F376" s="1"/>
      <c r="G376" s="1"/>
      <c r="H376" s="1"/>
      <c r="I376" s="1"/>
      <c r="J376" s="1"/>
      <c r="K376" s="1"/>
      <c r="M376" s="1"/>
      <c r="N376" s="1"/>
      <c r="O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U376" s="1"/>
      <c r="AW376" s="1"/>
      <c r="AY376" s="1"/>
    </row>
    <row r="377">
      <c r="A377" s="1"/>
      <c r="C377" s="1"/>
      <c r="E377" s="1"/>
      <c r="F377" s="1"/>
      <c r="G377" s="1"/>
      <c r="H377" s="1"/>
      <c r="I377" s="1"/>
      <c r="J377" s="1"/>
      <c r="K377" s="1"/>
      <c r="M377" s="1"/>
      <c r="N377" s="1"/>
      <c r="O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U377" s="1"/>
      <c r="AW377" s="1"/>
      <c r="AY377" s="1"/>
    </row>
    <row r="378">
      <c r="A378" s="1"/>
      <c r="C378" s="1"/>
      <c r="E378" s="1"/>
      <c r="F378" s="1"/>
      <c r="G378" s="1"/>
      <c r="H378" s="1"/>
      <c r="I378" s="1"/>
      <c r="J378" s="1"/>
      <c r="K378" s="1"/>
      <c r="M378" s="1"/>
      <c r="N378" s="1"/>
      <c r="O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U378" s="1"/>
      <c r="AW378" s="1"/>
      <c r="AY378" s="1"/>
    </row>
    <row r="379">
      <c r="A379" s="1"/>
      <c r="C379" s="1"/>
      <c r="E379" s="1"/>
      <c r="F379" s="1"/>
      <c r="G379" s="1"/>
      <c r="H379" s="1"/>
      <c r="I379" s="1"/>
      <c r="J379" s="1"/>
      <c r="K379" s="1"/>
      <c r="M379" s="1"/>
      <c r="N379" s="1"/>
      <c r="O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U379" s="1"/>
      <c r="AW379" s="1"/>
      <c r="AY379" s="1"/>
    </row>
    <row r="380">
      <c r="A380" s="1"/>
      <c r="C380" s="1"/>
      <c r="E380" s="1"/>
      <c r="F380" s="1"/>
      <c r="G380" s="1"/>
      <c r="H380" s="1"/>
      <c r="I380" s="1"/>
      <c r="J380" s="1"/>
      <c r="K380" s="1"/>
      <c r="M380" s="1"/>
      <c r="N380" s="1"/>
      <c r="O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U380" s="1"/>
      <c r="AW380" s="1"/>
      <c r="AY380" s="1"/>
    </row>
    <row r="381">
      <c r="A381" s="1"/>
      <c r="C381" s="1"/>
      <c r="E381" s="1"/>
      <c r="F381" s="1"/>
      <c r="G381" s="1"/>
      <c r="H381" s="1"/>
      <c r="I381" s="1"/>
      <c r="J381" s="1"/>
      <c r="K381" s="1"/>
      <c r="M381" s="1"/>
      <c r="N381" s="1"/>
      <c r="O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U381" s="1"/>
      <c r="AW381" s="1"/>
      <c r="AY381" s="1"/>
    </row>
    <row r="382">
      <c r="A382" s="1"/>
      <c r="C382" s="1"/>
      <c r="E382" s="1"/>
      <c r="F382" s="1"/>
      <c r="G382" s="1"/>
      <c r="H382" s="1"/>
      <c r="I382" s="1"/>
      <c r="J382" s="1"/>
      <c r="K382" s="1"/>
      <c r="M382" s="1"/>
      <c r="N382" s="1"/>
      <c r="O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U382" s="1"/>
      <c r="AW382" s="1"/>
      <c r="AY382" s="1"/>
    </row>
    <row r="383">
      <c r="A383" s="1"/>
      <c r="C383" s="1"/>
      <c r="E383" s="1"/>
      <c r="F383" s="1"/>
      <c r="G383" s="1"/>
      <c r="H383" s="1"/>
      <c r="I383" s="1"/>
      <c r="J383" s="1"/>
      <c r="K383" s="1"/>
      <c r="M383" s="1"/>
      <c r="N383" s="1"/>
      <c r="O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U383" s="1"/>
      <c r="AW383" s="1"/>
      <c r="AY383" s="1"/>
    </row>
    <row r="384">
      <c r="A384" s="1"/>
      <c r="C384" s="1"/>
      <c r="E384" s="1"/>
      <c r="F384" s="1"/>
      <c r="G384" s="1"/>
      <c r="H384" s="1"/>
      <c r="I384" s="1"/>
      <c r="J384" s="1"/>
      <c r="K384" s="1"/>
      <c r="M384" s="1"/>
      <c r="N384" s="1"/>
      <c r="O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U384" s="1"/>
      <c r="AW384" s="1"/>
      <c r="AY384" s="1"/>
    </row>
    <row r="385">
      <c r="A385" s="1"/>
      <c r="C385" s="1"/>
      <c r="E385" s="1"/>
      <c r="F385" s="1"/>
      <c r="G385" s="1"/>
      <c r="H385" s="1"/>
      <c r="I385" s="1"/>
      <c r="J385" s="1"/>
      <c r="K385" s="1"/>
      <c r="M385" s="1"/>
      <c r="N385" s="1"/>
      <c r="O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U385" s="1"/>
      <c r="AW385" s="1"/>
      <c r="AY385" s="1"/>
    </row>
    <row r="386">
      <c r="A386" s="1"/>
      <c r="C386" s="1"/>
      <c r="E386" s="1"/>
      <c r="F386" s="1"/>
      <c r="G386" s="1"/>
      <c r="H386" s="1"/>
      <c r="I386" s="1"/>
      <c r="J386" s="1"/>
      <c r="K386" s="1"/>
      <c r="M386" s="1"/>
      <c r="N386" s="1"/>
      <c r="O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U386" s="1"/>
      <c r="AW386" s="1"/>
      <c r="AY386" s="1"/>
    </row>
    <row r="387">
      <c r="A387" s="1"/>
      <c r="C387" s="1"/>
      <c r="E387" s="1"/>
      <c r="F387" s="1"/>
      <c r="G387" s="1"/>
      <c r="H387" s="1"/>
      <c r="I387" s="1"/>
      <c r="J387" s="1"/>
      <c r="K387" s="1"/>
      <c r="M387" s="1"/>
      <c r="N387" s="1"/>
      <c r="O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U387" s="1"/>
      <c r="AW387" s="1"/>
      <c r="AY387" s="1"/>
    </row>
    <row r="388">
      <c r="A388" s="1"/>
      <c r="C388" s="1"/>
      <c r="E388" s="1"/>
      <c r="F388" s="1"/>
      <c r="G388" s="1"/>
      <c r="H388" s="1"/>
      <c r="I388" s="1"/>
      <c r="J388" s="1"/>
      <c r="K388" s="1"/>
      <c r="M388" s="1"/>
      <c r="N388" s="1"/>
      <c r="O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U388" s="1"/>
      <c r="AW388" s="1"/>
      <c r="AY388" s="1"/>
    </row>
    <row r="389">
      <c r="A389" s="1"/>
      <c r="C389" s="1"/>
      <c r="E389" s="1"/>
      <c r="F389" s="1"/>
      <c r="G389" s="1"/>
      <c r="H389" s="1"/>
      <c r="I389" s="1"/>
      <c r="J389" s="1"/>
      <c r="K389" s="1"/>
      <c r="M389" s="1"/>
      <c r="N389" s="1"/>
      <c r="O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U389" s="1"/>
      <c r="AW389" s="1"/>
      <c r="AY389" s="1"/>
    </row>
    <row r="390">
      <c r="A390" s="1"/>
      <c r="C390" s="1"/>
      <c r="E390" s="1"/>
      <c r="F390" s="1"/>
      <c r="G390" s="1"/>
      <c r="H390" s="1"/>
      <c r="I390" s="1"/>
      <c r="J390" s="1"/>
      <c r="K390" s="1"/>
      <c r="M390" s="1"/>
      <c r="N390" s="1"/>
      <c r="O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U390" s="1"/>
      <c r="AW390" s="1"/>
      <c r="AY390" s="1"/>
    </row>
    <row r="391">
      <c r="A391" s="1"/>
      <c r="C391" s="1"/>
      <c r="E391" s="1"/>
      <c r="F391" s="1"/>
      <c r="G391" s="1"/>
      <c r="H391" s="1"/>
      <c r="I391" s="1"/>
      <c r="J391" s="1"/>
      <c r="K391" s="1"/>
      <c r="M391" s="1"/>
      <c r="N391" s="1"/>
      <c r="O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U391" s="1"/>
      <c r="AW391" s="1"/>
      <c r="AY391" s="1"/>
    </row>
    <row r="392">
      <c r="A392" s="1"/>
      <c r="C392" s="1"/>
      <c r="E392" s="1"/>
      <c r="F392" s="1"/>
      <c r="G392" s="1"/>
      <c r="H392" s="1"/>
      <c r="I392" s="1"/>
      <c r="J392" s="1"/>
      <c r="K392" s="1"/>
      <c r="M392" s="1"/>
      <c r="N392" s="1"/>
      <c r="O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U392" s="1"/>
      <c r="AW392" s="1"/>
      <c r="AY392" s="1"/>
    </row>
    <row r="393">
      <c r="A393" s="1"/>
      <c r="C393" s="1"/>
      <c r="E393" s="1"/>
      <c r="F393" s="1"/>
      <c r="G393" s="1"/>
      <c r="H393" s="1"/>
      <c r="I393" s="1"/>
      <c r="J393" s="1"/>
      <c r="K393" s="1"/>
      <c r="M393" s="1"/>
      <c r="N393" s="1"/>
      <c r="O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U393" s="1"/>
      <c r="AW393" s="1"/>
      <c r="AY393" s="1"/>
    </row>
    <row r="394">
      <c r="A394" s="1"/>
      <c r="C394" s="1"/>
      <c r="E394" s="1"/>
      <c r="F394" s="1"/>
      <c r="G394" s="1"/>
      <c r="H394" s="1"/>
      <c r="I394" s="1"/>
      <c r="J394" s="1"/>
      <c r="K394" s="1"/>
      <c r="M394" s="1"/>
      <c r="N394" s="1"/>
      <c r="O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U394" s="1"/>
      <c r="AW394" s="1"/>
      <c r="AY394" s="1"/>
    </row>
    <row r="395">
      <c r="A395" s="1"/>
      <c r="C395" s="1"/>
      <c r="E395" s="1"/>
      <c r="F395" s="1"/>
      <c r="G395" s="1"/>
      <c r="H395" s="1"/>
      <c r="I395" s="1"/>
      <c r="J395" s="1"/>
      <c r="K395" s="1"/>
      <c r="M395" s="1"/>
      <c r="N395" s="1"/>
      <c r="O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U395" s="1"/>
      <c r="AW395" s="1"/>
      <c r="AY395" s="1"/>
    </row>
    <row r="396">
      <c r="A396" s="1"/>
      <c r="C396" s="1"/>
      <c r="E396" s="1"/>
      <c r="F396" s="1"/>
      <c r="G396" s="1"/>
      <c r="H396" s="1"/>
      <c r="I396" s="1"/>
      <c r="J396" s="1"/>
      <c r="K396" s="1"/>
      <c r="M396" s="1"/>
      <c r="N396" s="1"/>
      <c r="O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U396" s="1"/>
      <c r="AW396" s="1"/>
      <c r="AY396" s="1"/>
    </row>
    <row r="397">
      <c r="A397" s="1"/>
      <c r="C397" s="1"/>
      <c r="E397" s="1"/>
      <c r="F397" s="1"/>
      <c r="G397" s="1"/>
      <c r="H397" s="1"/>
      <c r="I397" s="1"/>
      <c r="J397" s="1"/>
      <c r="K397" s="1"/>
      <c r="M397" s="1"/>
      <c r="N397" s="1"/>
      <c r="O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U397" s="1"/>
      <c r="AW397" s="1"/>
      <c r="AY397" s="1"/>
    </row>
    <row r="398">
      <c r="A398" s="1"/>
      <c r="C398" s="1"/>
      <c r="E398" s="1"/>
      <c r="F398" s="1"/>
      <c r="G398" s="1"/>
      <c r="H398" s="1"/>
      <c r="I398" s="1"/>
      <c r="J398" s="1"/>
      <c r="K398" s="1"/>
      <c r="M398" s="1"/>
      <c r="N398" s="1"/>
      <c r="O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U398" s="1"/>
      <c r="AW398" s="1"/>
      <c r="AY398" s="1"/>
    </row>
    <row r="399">
      <c r="A399" s="1"/>
      <c r="C399" s="1"/>
      <c r="E399" s="1"/>
      <c r="F399" s="1"/>
      <c r="G399" s="1"/>
      <c r="H399" s="1"/>
      <c r="I399" s="1"/>
      <c r="J399" s="1"/>
      <c r="K399" s="1"/>
      <c r="M399" s="1"/>
      <c r="N399" s="1"/>
      <c r="O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U399" s="1"/>
      <c r="AW399" s="1"/>
      <c r="AY399" s="1"/>
    </row>
    <row r="400">
      <c r="A400" s="1"/>
      <c r="C400" s="1"/>
      <c r="E400" s="1"/>
      <c r="F400" s="1"/>
      <c r="G400" s="1"/>
      <c r="H400" s="1"/>
      <c r="I400" s="1"/>
      <c r="J400" s="1"/>
      <c r="K400" s="1"/>
      <c r="M400" s="1"/>
      <c r="N400" s="1"/>
      <c r="O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U400" s="1"/>
      <c r="AW400" s="1"/>
      <c r="AY400" s="1"/>
    </row>
    <row r="401">
      <c r="A401" s="1"/>
      <c r="C401" s="1"/>
      <c r="E401" s="1"/>
      <c r="F401" s="1"/>
      <c r="G401" s="1"/>
      <c r="H401" s="1"/>
      <c r="I401" s="1"/>
      <c r="J401" s="1"/>
      <c r="K401" s="1"/>
      <c r="M401" s="1"/>
      <c r="N401" s="1"/>
      <c r="O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U401" s="1"/>
      <c r="AW401" s="1"/>
      <c r="AY401" s="1"/>
    </row>
    <row r="402">
      <c r="A402" s="1"/>
      <c r="C402" s="1"/>
      <c r="E402" s="1"/>
      <c r="F402" s="1"/>
      <c r="G402" s="1"/>
      <c r="H402" s="1"/>
      <c r="I402" s="1"/>
      <c r="J402" s="1"/>
      <c r="K402" s="1"/>
      <c r="M402" s="1"/>
      <c r="N402" s="1"/>
      <c r="O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U402" s="1"/>
      <c r="AW402" s="1"/>
      <c r="AY402" s="1"/>
    </row>
    <row r="403">
      <c r="A403" s="1"/>
      <c r="C403" s="1"/>
      <c r="E403" s="1"/>
      <c r="F403" s="1"/>
      <c r="G403" s="1"/>
      <c r="H403" s="1"/>
      <c r="I403" s="1"/>
      <c r="J403" s="1"/>
      <c r="K403" s="1"/>
      <c r="M403" s="1"/>
      <c r="N403" s="1"/>
      <c r="O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U403" s="1"/>
      <c r="AW403" s="1"/>
      <c r="AY403" s="1"/>
    </row>
    <row r="404">
      <c r="A404" s="1"/>
      <c r="C404" s="1"/>
      <c r="E404" s="1"/>
      <c r="F404" s="1"/>
      <c r="G404" s="1"/>
      <c r="H404" s="1"/>
      <c r="I404" s="1"/>
      <c r="J404" s="1"/>
      <c r="K404" s="1"/>
      <c r="M404" s="1"/>
      <c r="N404" s="1"/>
      <c r="O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U404" s="1"/>
      <c r="AW404" s="1"/>
      <c r="AY404" s="1"/>
    </row>
    <row r="405">
      <c r="A405" s="1"/>
      <c r="C405" s="1"/>
      <c r="E405" s="1"/>
      <c r="F405" s="1"/>
      <c r="G405" s="1"/>
      <c r="H405" s="1"/>
      <c r="I405" s="1"/>
      <c r="J405" s="1"/>
      <c r="K405" s="1"/>
      <c r="M405" s="1"/>
      <c r="N405" s="1"/>
      <c r="O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U405" s="1"/>
      <c r="AW405" s="1"/>
      <c r="AY405" s="1"/>
    </row>
    <row r="406">
      <c r="A406" s="1"/>
      <c r="C406" s="1"/>
      <c r="E406" s="1"/>
      <c r="F406" s="1"/>
      <c r="G406" s="1"/>
      <c r="H406" s="1"/>
      <c r="I406" s="1"/>
      <c r="J406" s="1"/>
      <c r="K406" s="1"/>
      <c r="M406" s="1"/>
      <c r="N406" s="1"/>
      <c r="O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U406" s="1"/>
      <c r="AW406" s="1"/>
      <c r="AY406" s="1"/>
    </row>
    <row r="407">
      <c r="A407" s="1"/>
      <c r="C407" s="1"/>
      <c r="E407" s="1"/>
      <c r="F407" s="1"/>
      <c r="G407" s="1"/>
      <c r="H407" s="1"/>
      <c r="I407" s="1"/>
      <c r="J407" s="1"/>
      <c r="K407" s="1"/>
      <c r="M407" s="1"/>
      <c r="N407" s="1"/>
      <c r="O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U407" s="1"/>
      <c r="AW407" s="1"/>
      <c r="AY407" s="1"/>
    </row>
    <row r="408">
      <c r="A408" s="1"/>
      <c r="C408" s="1"/>
      <c r="E408" s="1"/>
      <c r="F408" s="1"/>
      <c r="G408" s="1"/>
      <c r="H408" s="1"/>
      <c r="I408" s="1"/>
      <c r="J408" s="1"/>
      <c r="K408" s="1"/>
      <c r="M408" s="1"/>
      <c r="N408" s="1"/>
      <c r="O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U408" s="1"/>
      <c r="AW408" s="1"/>
      <c r="AY408" s="1"/>
    </row>
    <row r="409">
      <c r="A409" s="1"/>
      <c r="C409" s="1"/>
      <c r="E409" s="1"/>
      <c r="F409" s="1"/>
      <c r="G409" s="1"/>
      <c r="H409" s="1"/>
      <c r="I409" s="1"/>
      <c r="J409" s="1"/>
      <c r="K409" s="1"/>
      <c r="M409" s="1"/>
      <c r="N409" s="1"/>
      <c r="O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U409" s="1"/>
      <c r="AW409" s="1"/>
      <c r="AY409" s="1"/>
    </row>
    <row r="410">
      <c r="A410" s="1"/>
      <c r="C410" s="1"/>
      <c r="E410" s="1"/>
      <c r="F410" s="1"/>
      <c r="G410" s="1"/>
      <c r="H410" s="1"/>
      <c r="I410" s="1"/>
      <c r="J410" s="1"/>
      <c r="K410" s="1"/>
      <c r="M410" s="1"/>
      <c r="N410" s="1"/>
      <c r="O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U410" s="1"/>
      <c r="AW410" s="1"/>
      <c r="AY410" s="1"/>
    </row>
    <row r="411">
      <c r="A411" s="1"/>
      <c r="C411" s="1"/>
      <c r="E411" s="1"/>
      <c r="F411" s="1"/>
      <c r="G411" s="1"/>
      <c r="H411" s="1"/>
      <c r="I411" s="1"/>
      <c r="J411" s="1"/>
      <c r="K411" s="1"/>
      <c r="M411" s="1"/>
      <c r="N411" s="1"/>
      <c r="O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U411" s="1"/>
      <c r="AW411" s="1"/>
      <c r="AY411" s="1"/>
    </row>
    <row r="412">
      <c r="A412" s="1"/>
      <c r="C412" s="1"/>
      <c r="E412" s="1"/>
      <c r="F412" s="1"/>
      <c r="G412" s="1"/>
      <c r="H412" s="1"/>
      <c r="I412" s="1"/>
      <c r="J412" s="1"/>
      <c r="K412" s="1"/>
      <c r="M412" s="1"/>
      <c r="N412" s="1"/>
      <c r="O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U412" s="1"/>
      <c r="AW412" s="1"/>
      <c r="AY412" s="1"/>
    </row>
    <row r="413">
      <c r="A413" s="1"/>
      <c r="C413" s="1"/>
      <c r="E413" s="1"/>
      <c r="F413" s="1"/>
      <c r="G413" s="1"/>
      <c r="H413" s="1"/>
      <c r="I413" s="1"/>
      <c r="J413" s="1"/>
      <c r="K413" s="1"/>
      <c r="M413" s="1"/>
      <c r="N413" s="1"/>
      <c r="O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U413" s="1"/>
      <c r="AW413" s="1"/>
      <c r="AY413" s="1"/>
    </row>
    <row r="414">
      <c r="A414" s="1"/>
      <c r="C414" s="1"/>
      <c r="E414" s="1"/>
      <c r="F414" s="1"/>
      <c r="G414" s="1"/>
      <c r="H414" s="1"/>
      <c r="I414" s="1"/>
      <c r="J414" s="1"/>
      <c r="K414" s="1"/>
      <c r="M414" s="1"/>
      <c r="N414" s="1"/>
      <c r="O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U414" s="1"/>
      <c r="AW414" s="1"/>
      <c r="AY414" s="1"/>
    </row>
    <row r="415">
      <c r="A415" s="1"/>
      <c r="C415" s="1"/>
      <c r="E415" s="1"/>
      <c r="F415" s="1"/>
      <c r="G415" s="1"/>
      <c r="H415" s="1"/>
      <c r="I415" s="1"/>
      <c r="J415" s="1"/>
      <c r="K415" s="1"/>
      <c r="M415" s="1"/>
      <c r="N415" s="1"/>
      <c r="O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U415" s="1"/>
      <c r="AW415" s="1"/>
      <c r="AY415" s="1"/>
    </row>
    <row r="416">
      <c r="A416" s="1"/>
      <c r="C416" s="1"/>
      <c r="E416" s="1"/>
      <c r="F416" s="1"/>
      <c r="G416" s="1"/>
      <c r="H416" s="1"/>
      <c r="I416" s="1"/>
      <c r="J416" s="1"/>
      <c r="K416" s="1"/>
      <c r="M416" s="1"/>
      <c r="N416" s="1"/>
      <c r="O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U416" s="1"/>
      <c r="AW416" s="1"/>
      <c r="AY416" s="1"/>
    </row>
    <row r="417">
      <c r="A417" s="1"/>
      <c r="C417" s="1"/>
      <c r="E417" s="1"/>
      <c r="F417" s="1"/>
      <c r="G417" s="1"/>
      <c r="H417" s="1"/>
      <c r="I417" s="1"/>
      <c r="J417" s="1"/>
      <c r="K417" s="1"/>
      <c r="M417" s="1"/>
      <c r="N417" s="1"/>
      <c r="O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U417" s="1"/>
      <c r="AW417" s="1"/>
      <c r="AY417" s="1"/>
    </row>
    <row r="418">
      <c r="A418" s="1"/>
      <c r="C418" s="1"/>
      <c r="E418" s="1"/>
      <c r="F418" s="1"/>
      <c r="G418" s="1"/>
      <c r="H418" s="1"/>
      <c r="I418" s="1"/>
      <c r="J418" s="1"/>
      <c r="K418" s="1"/>
      <c r="M418" s="1"/>
      <c r="N418" s="1"/>
      <c r="O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U418" s="1"/>
      <c r="AW418" s="1"/>
      <c r="AY418" s="1"/>
    </row>
    <row r="419">
      <c r="A419" s="1"/>
      <c r="C419" s="1"/>
      <c r="E419" s="1"/>
      <c r="F419" s="1"/>
      <c r="G419" s="1"/>
      <c r="H419" s="1"/>
      <c r="I419" s="1"/>
      <c r="J419" s="1"/>
      <c r="K419" s="1"/>
      <c r="M419" s="1"/>
      <c r="N419" s="1"/>
      <c r="O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U419" s="1"/>
      <c r="AW419" s="1"/>
      <c r="AY419" s="1"/>
    </row>
    <row r="420">
      <c r="A420" s="1"/>
      <c r="C420" s="1"/>
      <c r="E420" s="1"/>
      <c r="F420" s="1"/>
      <c r="G420" s="1"/>
      <c r="H420" s="1"/>
      <c r="I420" s="1"/>
      <c r="J420" s="1"/>
      <c r="K420" s="1"/>
      <c r="M420" s="1"/>
      <c r="N420" s="1"/>
      <c r="O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U420" s="1"/>
      <c r="AW420" s="1"/>
      <c r="AY420" s="1"/>
    </row>
    <row r="421">
      <c r="A421" s="1"/>
      <c r="C421" s="1"/>
      <c r="E421" s="1"/>
      <c r="F421" s="1"/>
      <c r="G421" s="1"/>
      <c r="H421" s="1"/>
      <c r="I421" s="1"/>
      <c r="J421" s="1"/>
      <c r="K421" s="1"/>
      <c r="M421" s="1"/>
      <c r="N421" s="1"/>
      <c r="O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U421" s="1"/>
      <c r="AW421" s="1"/>
      <c r="AY421" s="1"/>
    </row>
    <row r="422">
      <c r="A422" s="1"/>
      <c r="C422" s="1"/>
      <c r="E422" s="1"/>
      <c r="F422" s="1"/>
      <c r="G422" s="1"/>
      <c r="H422" s="1"/>
      <c r="I422" s="1"/>
      <c r="J422" s="1"/>
      <c r="K422" s="1"/>
      <c r="M422" s="1"/>
      <c r="N422" s="1"/>
      <c r="O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U422" s="1"/>
      <c r="AW422" s="1"/>
      <c r="AY422" s="1"/>
    </row>
    <row r="423">
      <c r="A423" s="1"/>
      <c r="C423" s="1"/>
      <c r="E423" s="1"/>
      <c r="F423" s="1"/>
      <c r="G423" s="1"/>
      <c r="H423" s="1"/>
      <c r="I423" s="1"/>
      <c r="J423" s="1"/>
      <c r="K423" s="1"/>
      <c r="M423" s="1"/>
      <c r="N423" s="1"/>
      <c r="O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U423" s="1"/>
      <c r="AW423" s="1"/>
      <c r="AY423" s="1"/>
    </row>
    <row r="424">
      <c r="A424" s="1"/>
      <c r="C424" s="1"/>
      <c r="E424" s="1"/>
      <c r="F424" s="1"/>
      <c r="G424" s="1"/>
      <c r="H424" s="1"/>
      <c r="I424" s="1"/>
      <c r="J424" s="1"/>
      <c r="K424" s="1"/>
      <c r="M424" s="1"/>
      <c r="N424" s="1"/>
      <c r="O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U424" s="1"/>
      <c r="AW424" s="1"/>
      <c r="AY424" s="1"/>
    </row>
    <row r="425">
      <c r="A425" s="1"/>
      <c r="C425" s="1"/>
      <c r="E425" s="1"/>
      <c r="F425" s="1"/>
      <c r="G425" s="1"/>
      <c r="H425" s="1"/>
      <c r="I425" s="1"/>
      <c r="J425" s="1"/>
      <c r="K425" s="1"/>
      <c r="M425" s="1"/>
      <c r="N425" s="1"/>
      <c r="O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U425" s="1"/>
      <c r="AW425" s="1"/>
      <c r="AY425" s="1"/>
    </row>
    <row r="426">
      <c r="A426" s="1"/>
      <c r="C426" s="1"/>
      <c r="E426" s="1"/>
      <c r="F426" s="1"/>
      <c r="G426" s="1"/>
      <c r="H426" s="1"/>
      <c r="I426" s="1"/>
      <c r="J426" s="1"/>
      <c r="K426" s="1"/>
      <c r="M426" s="1"/>
      <c r="N426" s="1"/>
      <c r="O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U426" s="1"/>
      <c r="AW426" s="1"/>
      <c r="AY426" s="1"/>
    </row>
    <row r="427">
      <c r="A427" s="1"/>
      <c r="C427" s="1"/>
      <c r="E427" s="1"/>
      <c r="F427" s="1"/>
      <c r="G427" s="1"/>
      <c r="H427" s="1"/>
      <c r="I427" s="1"/>
      <c r="J427" s="1"/>
      <c r="K427" s="1"/>
      <c r="M427" s="1"/>
      <c r="N427" s="1"/>
      <c r="O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U427" s="1"/>
      <c r="AW427" s="1"/>
      <c r="AY427" s="1"/>
    </row>
    <row r="428">
      <c r="A428" s="1"/>
      <c r="C428" s="1"/>
      <c r="E428" s="1"/>
      <c r="F428" s="1"/>
      <c r="G428" s="1"/>
      <c r="H428" s="1"/>
      <c r="I428" s="1"/>
      <c r="J428" s="1"/>
      <c r="K428" s="1"/>
      <c r="M428" s="1"/>
      <c r="N428" s="1"/>
      <c r="O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U428" s="1"/>
      <c r="AW428" s="1"/>
      <c r="AY428" s="1"/>
    </row>
    <row r="429">
      <c r="A429" s="1"/>
      <c r="C429" s="1"/>
      <c r="E429" s="1"/>
      <c r="F429" s="1"/>
      <c r="G429" s="1"/>
      <c r="H429" s="1"/>
      <c r="I429" s="1"/>
      <c r="J429" s="1"/>
      <c r="K429" s="1"/>
      <c r="M429" s="1"/>
      <c r="N429" s="1"/>
      <c r="O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U429" s="1"/>
      <c r="AW429" s="1"/>
      <c r="AY429" s="1"/>
    </row>
    <row r="430">
      <c r="A430" s="1"/>
      <c r="C430" s="1"/>
      <c r="E430" s="1"/>
      <c r="F430" s="1"/>
      <c r="G430" s="1"/>
      <c r="H430" s="1"/>
      <c r="I430" s="1"/>
      <c r="J430" s="1"/>
      <c r="K430" s="1"/>
      <c r="M430" s="1"/>
      <c r="N430" s="1"/>
      <c r="O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U430" s="1"/>
      <c r="AW430" s="1"/>
      <c r="AY430" s="1"/>
    </row>
    <row r="431">
      <c r="A431" s="1"/>
      <c r="C431" s="1"/>
      <c r="E431" s="1"/>
      <c r="F431" s="1"/>
      <c r="G431" s="1"/>
      <c r="H431" s="1"/>
      <c r="I431" s="1"/>
      <c r="J431" s="1"/>
      <c r="K431" s="1"/>
      <c r="M431" s="1"/>
      <c r="N431" s="1"/>
      <c r="O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U431" s="1"/>
      <c r="AW431" s="1"/>
      <c r="AY431" s="1"/>
    </row>
    <row r="432">
      <c r="A432" s="1"/>
      <c r="C432" s="1"/>
      <c r="E432" s="1"/>
      <c r="F432" s="1"/>
      <c r="G432" s="1"/>
      <c r="H432" s="1"/>
      <c r="I432" s="1"/>
      <c r="J432" s="1"/>
      <c r="K432" s="1"/>
      <c r="M432" s="1"/>
      <c r="N432" s="1"/>
      <c r="O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U432" s="1"/>
      <c r="AW432" s="1"/>
      <c r="AY432" s="1"/>
    </row>
    <row r="433">
      <c r="A433" s="1"/>
      <c r="C433" s="1"/>
      <c r="E433" s="1"/>
      <c r="F433" s="1"/>
      <c r="G433" s="1"/>
      <c r="H433" s="1"/>
      <c r="I433" s="1"/>
      <c r="J433" s="1"/>
      <c r="K433" s="1"/>
      <c r="M433" s="1"/>
      <c r="N433" s="1"/>
      <c r="O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U433" s="1"/>
      <c r="AW433" s="1"/>
      <c r="AY433" s="1"/>
    </row>
    <row r="434">
      <c r="A434" s="1"/>
      <c r="C434" s="1"/>
      <c r="E434" s="1"/>
      <c r="F434" s="1"/>
      <c r="G434" s="1"/>
      <c r="H434" s="1"/>
      <c r="I434" s="1"/>
      <c r="J434" s="1"/>
      <c r="K434" s="1"/>
      <c r="M434" s="1"/>
      <c r="N434" s="1"/>
      <c r="O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U434" s="1"/>
      <c r="AW434" s="1"/>
      <c r="AY434" s="1"/>
    </row>
    <row r="435">
      <c r="A435" s="1"/>
      <c r="C435" s="1"/>
      <c r="E435" s="1"/>
      <c r="F435" s="1"/>
      <c r="G435" s="1"/>
      <c r="H435" s="1"/>
      <c r="I435" s="1"/>
      <c r="J435" s="1"/>
      <c r="K435" s="1"/>
      <c r="M435" s="1"/>
      <c r="N435" s="1"/>
      <c r="O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U435" s="1"/>
      <c r="AW435" s="1"/>
      <c r="AY435" s="1"/>
    </row>
    <row r="436">
      <c r="A436" s="1"/>
      <c r="C436" s="1"/>
      <c r="E436" s="1"/>
      <c r="F436" s="1"/>
      <c r="G436" s="1"/>
      <c r="H436" s="1"/>
      <c r="I436" s="1"/>
      <c r="J436" s="1"/>
      <c r="K436" s="1"/>
      <c r="M436" s="1"/>
      <c r="N436" s="1"/>
      <c r="O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U436" s="1"/>
      <c r="AW436" s="1"/>
      <c r="AY436" s="1"/>
    </row>
    <row r="437">
      <c r="A437" s="1"/>
      <c r="C437" s="1"/>
      <c r="E437" s="1"/>
      <c r="F437" s="1"/>
      <c r="G437" s="1"/>
      <c r="H437" s="1"/>
      <c r="I437" s="1"/>
      <c r="J437" s="1"/>
      <c r="K437" s="1"/>
      <c r="M437" s="1"/>
      <c r="N437" s="1"/>
      <c r="O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U437" s="1"/>
      <c r="AW437" s="1"/>
      <c r="AY437" s="1"/>
    </row>
    <row r="438">
      <c r="A438" s="1"/>
      <c r="C438" s="1"/>
      <c r="E438" s="1"/>
      <c r="F438" s="1"/>
      <c r="G438" s="1"/>
      <c r="H438" s="1"/>
      <c r="I438" s="1"/>
      <c r="J438" s="1"/>
      <c r="K438" s="1"/>
      <c r="M438" s="1"/>
      <c r="N438" s="1"/>
      <c r="O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U438" s="1"/>
      <c r="AW438" s="1"/>
      <c r="AY438" s="1"/>
    </row>
    <row r="439">
      <c r="A439" s="1"/>
      <c r="C439" s="1"/>
      <c r="E439" s="1"/>
      <c r="F439" s="1"/>
      <c r="G439" s="1"/>
      <c r="H439" s="1"/>
      <c r="I439" s="1"/>
      <c r="J439" s="1"/>
      <c r="K439" s="1"/>
      <c r="M439" s="1"/>
      <c r="N439" s="1"/>
      <c r="O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U439" s="1"/>
      <c r="AW439" s="1"/>
      <c r="AY439" s="1"/>
    </row>
    <row r="440">
      <c r="A440" s="1"/>
      <c r="C440" s="1"/>
      <c r="E440" s="1"/>
      <c r="F440" s="1"/>
      <c r="G440" s="1"/>
      <c r="H440" s="1"/>
      <c r="I440" s="1"/>
      <c r="J440" s="1"/>
      <c r="K440" s="1"/>
      <c r="M440" s="1"/>
      <c r="N440" s="1"/>
      <c r="O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U440" s="1"/>
      <c r="AW440" s="1"/>
      <c r="AY440" s="1"/>
    </row>
    <row r="441">
      <c r="A441" s="1"/>
      <c r="C441" s="1"/>
      <c r="E441" s="1"/>
      <c r="F441" s="1"/>
      <c r="G441" s="1"/>
      <c r="H441" s="1"/>
      <c r="I441" s="1"/>
      <c r="J441" s="1"/>
      <c r="K441" s="1"/>
      <c r="M441" s="1"/>
      <c r="N441" s="1"/>
      <c r="O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U441" s="1"/>
      <c r="AW441" s="1"/>
      <c r="AY441" s="1"/>
    </row>
    <row r="442">
      <c r="A442" s="1"/>
      <c r="C442" s="1"/>
      <c r="E442" s="1"/>
      <c r="F442" s="1"/>
      <c r="G442" s="1"/>
      <c r="H442" s="1"/>
      <c r="I442" s="1"/>
      <c r="J442" s="1"/>
      <c r="K442" s="1"/>
      <c r="M442" s="1"/>
      <c r="N442" s="1"/>
      <c r="O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U442" s="1"/>
      <c r="AW442" s="1"/>
      <c r="AY442" s="1"/>
    </row>
    <row r="443">
      <c r="A443" s="1"/>
      <c r="C443" s="1"/>
      <c r="E443" s="1"/>
      <c r="F443" s="1"/>
      <c r="G443" s="1"/>
      <c r="H443" s="1"/>
      <c r="I443" s="1"/>
      <c r="J443" s="1"/>
      <c r="K443" s="1"/>
      <c r="M443" s="1"/>
      <c r="N443" s="1"/>
      <c r="O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U443" s="1"/>
      <c r="AW443" s="1"/>
      <c r="AY443" s="1"/>
    </row>
    <row r="444">
      <c r="A444" s="1"/>
      <c r="C444" s="1"/>
      <c r="E444" s="1"/>
      <c r="F444" s="1"/>
      <c r="G444" s="1"/>
      <c r="H444" s="1"/>
      <c r="I444" s="1"/>
      <c r="J444" s="1"/>
      <c r="K444" s="1"/>
      <c r="M444" s="1"/>
      <c r="N444" s="1"/>
      <c r="O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U444" s="1"/>
      <c r="AW444" s="1"/>
      <c r="AY444" s="1"/>
    </row>
    <row r="445">
      <c r="A445" s="1"/>
      <c r="C445" s="1"/>
      <c r="E445" s="1"/>
      <c r="F445" s="1"/>
      <c r="G445" s="1"/>
      <c r="H445" s="1"/>
      <c r="I445" s="1"/>
      <c r="J445" s="1"/>
      <c r="K445" s="1"/>
      <c r="M445" s="1"/>
      <c r="N445" s="1"/>
      <c r="O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U445" s="1"/>
      <c r="AW445" s="1"/>
      <c r="AY445" s="1"/>
    </row>
    <row r="446">
      <c r="A446" s="1"/>
      <c r="C446" s="1"/>
      <c r="E446" s="1"/>
      <c r="F446" s="1"/>
      <c r="G446" s="1"/>
      <c r="H446" s="1"/>
      <c r="I446" s="1"/>
      <c r="J446" s="1"/>
      <c r="K446" s="1"/>
      <c r="M446" s="1"/>
      <c r="N446" s="1"/>
      <c r="O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U446" s="1"/>
      <c r="AW446" s="1"/>
      <c r="AY446" s="1"/>
    </row>
    <row r="447">
      <c r="A447" s="1"/>
      <c r="C447" s="1"/>
      <c r="E447" s="1"/>
      <c r="F447" s="1"/>
      <c r="G447" s="1"/>
      <c r="H447" s="1"/>
      <c r="I447" s="1"/>
      <c r="J447" s="1"/>
      <c r="K447" s="1"/>
      <c r="M447" s="1"/>
      <c r="N447" s="1"/>
      <c r="O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U447" s="1"/>
      <c r="AW447" s="1"/>
      <c r="AY447" s="1"/>
    </row>
    <row r="448">
      <c r="A448" s="1"/>
      <c r="C448" s="1"/>
      <c r="E448" s="1"/>
      <c r="F448" s="1"/>
      <c r="G448" s="1"/>
      <c r="H448" s="1"/>
      <c r="I448" s="1"/>
      <c r="J448" s="1"/>
      <c r="K448" s="1"/>
      <c r="M448" s="1"/>
      <c r="N448" s="1"/>
      <c r="O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U448" s="1"/>
      <c r="AW448" s="1"/>
      <c r="AY448" s="1"/>
    </row>
    <row r="449">
      <c r="A449" s="1"/>
      <c r="C449" s="1"/>
      <c r="E449" s="1"/>
      <c r="F449" s="1"/>
      <c r="G449" s="1"/>
      <c r="H449" s="1"/>
      <c r="I449" s="1"/>
      <c r="J449" s="1"/>
      <c r="K449" s="1"/>
      <c r="M449" s="1"/>
      <c r="N449" s="1"/>
      <c r="O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U449" s="1"/>
      <c r="AW449" s="1"/>
      <c r="AY449" s="1"/>
    </row>
    <row r="450">
      <c r="A450" s="1"/>
      <c r="C450" s="1"/>
      <c r="E450" s="1"/>
      <c r="F450" s="1"/>
      <c r="G450" s="1"/>
      <c r="H450" s="1"/>
      <c r="I450" s="1"/>
      <c r="J450" s="1"/>
      <c r="K450" s="1"/>
      <c r="M450" s="1"/>
      <c r="N450" s="1"/>
      <c r="O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U450" s="1"/>
      <c r="AW450" s="1"/>
      <c r="AY450" s="1"/>
    </row>
    <row r="451">
      <c r="A451" s="1"/>
      <c r="C451" s="1"/>
      <c r="E451" s="1"/>
      <c r="F451" s="1"/>
      <c r="G451" s="1"/>
      <c r="H451" s="1"/>
      <c r="I451" s="1"/>
      <c r="J451" s="1"/>
      <c r="K451" s="1"/>
      <c r="M451" s="1"/>
      <c r="N451" s="1"/>
      <c r="O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U451" s="1"/>
      <c r="AW451" s="1"/>
      <c r="AY451" s="1"/>
    </row>
    <row r="452">
      <c r="A452" s="1"/>
      <c r="C452" s="1"/>
      <c r="E452" s="1"/>
      <c r="F452" s="1"/>
      <c r="G452" s="1"/>
      <c r="H452" s="1"/>
      <c r="I452" s="1"/>
      <c r="J452" s="1"/>
      <c r="K452" s="1"/>
      <c r="M452" s="1"/>
      <c r="N452" s="1"/>
      <c r="O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U452" s="1"/>
      <c r="AW452" s="1"/>
      <c r="AY452" s="1"/>
    </row>
    <row r="453">
      <c r="A453" s="1"/>
      <c r="C453" s="1"/>
      <c r="E453" s="1"/>
      <c r="F453" s="1"/>
      <c r="G453" s="1"/>
      <c r="H453" s="1"/>
      <c r="I453" s="1"/>
      <c r="J453" s="1"/>
      <c r="K453" s="1"/>
      <c r="M453" s="1"/>
      <c r="N453" s="1"/>
      <c r="O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U453" s="1"/>
      <c r="AW453" s="1"/>
      <c r="AY453" s="1"/>
    </row>
    <row r="454">
      <c r="A454" s="1"/>
      <c r="C454" s="1"/>
      <c r="E454" s="1"/>
      <c r="F454" s="1"/>
      <c r="G454" s="1"/>
      <c r="H454" s="1"/>
      <c r="I454" s="1"/>
      <c r="J454" s="1"/>
      <c r="K454" s="1"/>
      <c r="M454" s="1"/>
      <c r="N454" s="1"/>
      <c r="O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U454" s="1"/>
      <c r="AW454" s="1"/>
      <c r="AY454" s="1"/>
    </row>
    <row r="455">
      <c r="A455" s="1"/>
      <c r="C455" s="1"/>
      <c r="E455" s="1"/>
      <c r="F455" s="1"/>
      <c r="G455" s="1"/>
      <c r="H455" s="1"/>
      <c r="I455" s="1"/>
      <c r="J455" s="1"/>
      <c r="K455" s="1"/>
      <c r="M455" s="1"/>
      <c r="N455" s="1"/>
      <c r="O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U455" s="1"/>
      <c r="AW455" s="1"/>
      <c r="AY455" s="1"/>
    </row>
    <row r="456">
      <c r="A456" s="1"/>
      <c r="C456" s="1"/>
      <c r="E456" s="1"/>
      <c r="F456" s="1"/>
      <c r="G456" s="1"/>
      <c r="H456" s="1"/>
      <c r="I456" s="1"/>
      <c r="J456" s="1"/>
      <c r="K456" s="1"/>
      <c r="M456" s="1"/>
      <c r="N456" s="1"/>
      <c r="O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U456" s="1"/>
      <c r="AW456" s="1"/>
      <c r="AY456" s="1"/>
    </row>
    <row r="457">
      <c r="A457" s="1"/>
      <c r="C457" s="1"/>
      <c r="E457" s="1"/>
      <c r="F457" s="1"/>
      <c r="G457" s="1"/>
      <c r="H457" s="1"/>
      <c r="I457" s="1"/>
      <c r="J457" s="1"/>
      <c r="K457" s="1"/>
      <c r="M457" s="1"/>
      <c r="N457" s="1"/>
      <c r="O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U457" s="1"/>
      <c r="AW457" s="1"/>
      <c r="AY457" s="1"/>
    </row>
    <row r="458">
      <c r="A458" s="1"/>
      <c r="C458" s="1"/>
      <c r="E458" s="1"/>
      <c r="F458" s="1"/>
      <c r="G458" s="1"/>
      <c r="H458" s="1"/>
      <c r="I458" s="1"/>
      <c r="J458" s="1"/>
      <c r="K458" s="1"/>
      <c r="M458" s="1"/>
      <c r="N458" s="1"/>
      <c r="O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U458" s="1"/>
      <c r="AW458" s="1"/>
      <c r="AY458" s="1"/>
    </row>
    <row r="459">
      <c r="A459" s="1"/>
      <c r="C459" s="1"/>
      <c r="E459" s="1"/>
      <c r="F459" s="1"/>
      <c r="G459" s="1"/>
      <c r="H459" s="1"/>
      <c r="I459" s="1"/>
      <c r="J459" s="1"/>
      <c r="K459" s="1"/>
      <c r="M459" s="1"/>
      <c r="N459" s="1"/>
      <c r="O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U459" s="1"/>
      <c r="AW459" s="1"/>
      <c r="AY459" s="1"/>
    </row>
    <row r="460">
      <c r="A460" s="1"/>
      <c r="C460" s="1"/>
      <c r="E460" s="1"/>
      <c r="F460" s="1"/>
      <c r="G460" s="1"/>
      <c r="H460" s="1"/>
      <c r="I460" s="1"/>
      <c r="J460" s="1"/>
      <c r="K460" s="1"/>
      <c r="M460" s="1"/>
      <c r="N460" s="1"/>
      <c r="O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U460" s="1"/>
      <c r="AW460" s="1"/>
      <c r="AY460" s="1"/>
    </row>
    <row r="461">
      <c r="A461" s="1"/>
      <c r="C461" s="1"/>
      <c r="E461" s="1"/>
      <c r="F461" s="1"/>
      <c r="G461" s="1"/>
      <c r="H461" s="1"/>
      <c r="I461" s="1"/>
      <c r="J461" s="1"/>
      <c r="K461" s="1"/>
      <c r="M461" s="1"/>
      <c r="N461" s="1"/>
      <c r="O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U461" s="1"/>
      <c r="AW461" s="1"/>
      <c r="AY461" s="1"/>
    </row>
    <row r="462">
      <c r="A462" s="1"/>
      <c r="C462" s="1"/>
      <c r="E462" s="1"/>
      <c r="F462" s="1"/>
      <c r="G462" s="1"/>
      <c r="H462" s="1"/>
      <c r="I462" s="1"/>
      <c r="J462" s="1"/>
      <c r="K462" s="1"/>
      <c r="M462" s="1"/>
      <c r="N462" s="1"/>
      <c r="O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U462" s="1"/>
      <c r="AW462" s="1"/>
      <c r="AY462" s="1"/>
    </row>
    <row r="463">
      <c r="A463" s="1"/>
      <c r="C463" s="1"/>
      <c r="E463" s="1"/>
      <c r="F463" s="1"/>
      <c r="G463" s="1"/>
      <c r="H463" s="1"/>
      <c r="I463" s="1"/>
      <c r="J463" s="1"/>
      <c r="K463" s="1"/>
      <c r="M463" s="1"/>
      <c r="N463" s="1"/>
      <c r="O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U463" s="1"/>
      <c r="AW463" s="1"/>
      <c r="AY463" s="1"/>
    </row>
    <row r="464">
      <c r="A464" s="1"/>
      <c r="C464" s="1"/>
      <c r="E464" s="1"/>
      <c r="F464" s="1"/>
      <c r="G464" s="1"/>
      <c r="H464" s="1"/>
      <c r="I464" s="1"/>
      <c r="J464" s="1"/>
      <c r="K464" s="1"/>
      <c r="M464" s="1"/>
      <c r="N464" s="1"/>
      <c r="O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U464" s="1"/>
      <c r="AW464" s="1"/>
      <c r="AY464" s="1"/>
    </row>
    <row r="465">
      <c r="A465" s="1"/>
      <c r="C465" s="1"/>
      <c r="E465" s="1"/>
      <c r="F465" s="1"/>
      <c r="G465" s="1"/>
      <c r="H465" s="1"/>
      <c r="I465" s="1"/>
      <c r="J465" s="1"/>
      <c r="K465" s="1"/>
      <c r="M465" s="1"/>
      <c r="N465" s="1"/>
      <c r="O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U465" s="1"/>
      <c r="AW465" s="1"/>
      <c r="AY465" s="1"/>
    </row>
    <row r="466">
      <c r="A466" s="1"/>
      <c r="C466" s="1"/>
      <c r="E466" s="1"/>
      <c r="F466" s="1"/>
      <c r="G466" s="1"/>
      <c r="H466" s="1"/>
      <c r="I466" s="1"/>
      <c r="J466" s="1"/>
      <c r="K466" s="1"/>
      <c r="M466" s="1"/>
      <c r="N466" s="1"/>
      <c r="O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U466" s="1"/>
      <c r="AW466" s="1"/>
      <c r="AY466" s="1"/>
    </row>
    <row r="467">
      <c r="A467" s="1"/>
      <c r="C467" s="1"/>
      <c r="E467" s="1"/>
      <c r="F467" s="1"/>
      <c r="G467" s="1"/>
      <c r="H467" s="1"/>
      <c r="I467" s="1"/>
      <c r="J467" s="1"/>
      <c r="K467" s="1"/>
      <c r="M467" s="1"/>
      <c r="N467" s="1"/>
      <c r="O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U467" s="1"/>
      <c r="AW467" s="1"/>
      <c r="AY467" s="1"/>
    </row>
    <row r="468">
      <c r="A468" s="1"/>
      <c r="C468" s="1"/>
      <c r="E468" s="1"/>
      <c r="F468" s="1"/>
      <c r="G468" s="1"/>
      <c r="H468" s="1"/>
      <c r="I468" s="1"/>
      <c r="J468" s="1"/>
      <c r="K468" s="1"/>
      <c r="M468" s="1"/>
      <c r="N468" s="1"/>
      <c r="O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U468" s="1"/>
      <c r="AW468" s="1"/>
      <c r="AY468" s="1"/>
    </row>
    <row r="469">
      <c r="A469" s="1"/>
      <c r="C469" s="1"/>
      <c r="E469" s="1"/>
      <c r="F469" s="1"/>
      <c r="G469" s="1"/>
      <c r="H469" s="1"/>
      <c r="I469" s="1"/>
      <c r="J469" s="1"/>
      <c r="K469" s="1"/>
      <c r="M469" s="1"/>
      <c r="N469" s="1"/>
      <c r="O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U469" s="1"/>
      <c r="AW469" s="1"/>
      <c r="AY469" s="1"/>
    </row>
    <row r="470">
      <c r="A470" s="1"/>
      <c r="C470" s="1"/>
      <c r="E470" s="1"/>
      <c r="F470" s="1"/>
      <c r="G470" s="1"/>
      <c r="H470" s="1"/>
      <c r="I470" s="1"/>
      <c r="J470" s="1"/>
      <c r="K470" s="1"/>
      <c r="M470" s="1"/>
      <c r="N470" s="1"/>
      <c r="O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U470" s="1"/>
      <c r="AW470" s="1"/>
      <c r="AY470" s="1"/>
    </row>
    <row r="471">
      <c r="A471" s="1"/>
      <c r="C471" s="1"/>
      <c r="E471" s="1"/>
      <c r="F471" s="1"/>
      <c r="G471" s="1"/>
      <c r="H471" s="1"/>
      <c r="I471" s="1"/>
      <c r="J471" s="1"/>
      <c r="K471" s="1"/>
      <c r="M471" s="1"/>
      <c r="N471" s="1"/>
      <c r="O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U471" s="1"/>
      <c r="AW471" s="1"/>
      <c r="AY471" s="1"/>
    </row>
    <row r="472">
      <c r="A472" s="1"/>
      <c r="C472" s="1"/>
      <c r="E472" s="1"/>
      <c r="F472" s="1"/>
      <c r="G472" s="1"/>
      <c r="H472" s="1"/>
      <c r="I472" s="1"/>
      <c r="J472" s="1"/>
      <c r="K472" s="1"/>
      <c r="M472" s="1"/>
      <c r="N472" s="1"/>
      <c r="O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U472" s="1"/>
      <c r="AW472" s="1"/>
      <c r="AY472" s="1"/>
    </row>
    <row r="473">
      <c r="A473" s="1"/>
      <c r="C473" s="1"/>
      <c r="E473" s="1"/>
      <c r="F473" s="1"/>
      <c r="G473" s="1"/>
      <c r="H473" s="1"/>
      <c r="I473" s="1"/>
      <c r="J473" s="1"/>
      <c r="K473" s="1"/>
      <c r="M473" s="1"/>
      <c r="N473" s="1"/>
      <c r="O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U473" s="1"/>
      <c r="AW473" s="1"/>
      <c r="AY473" s="1"/>
    </row>
    <row r="474">
      <c r="A474" s="1"/>
      <c r="C474" s="1"/>
      <c r="E474" s="1"/>
      <c r="F474" s="1"/>
      <c r="G474" s="1"/>
      <c r="H474" s="1"/>
      <c r="I474" s="1"/>
      <c r="J474" s="1"/>
      <c r="K474" s="1"/>
      <c r="M474" s="1"/>
      <c r="N474" s="1"/>
      <c r="O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U474" s="1"/>
      <c r="AW474" s="1"/>
      <c r="AY474" s="1"/>
    </row>
    <row r="475">
      <c r="A475" s="1"/>
      <c r="C475" s="1"/>
      <c r="E475" s="1"/>
      <c r="F475" s="1"/>
      <c r="G475" s="1"/>
      <c r="H475" s="1"/>
      <c r="I475" s="1"/>
      <c r="J475" s="1"/>
      <c r="K475" s="1"/>
      <c r="M475" s="1"/>
      <c r="N475" s="1"/>
      <c r="O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U475" s="1"/>
      <c r="AW475" s="1"/>
      <c r="AY475" s="1"/>
    </row>
    <row r="476">
      <c r="A476" s="1"/>
      <c r="C476" s="1"/>
      <c r="E476" s="1"/>
      <c r="F476" s="1"/>
      <c r="G476" s="1"/>
      <c r="H476" s="1"/>
      <c r="I476" s="1"/>
      <c r="J476" s="1"/>
      <c r="K476" s="1"/>
      <c r="M476" s="1"/>
      <c r="N476" s="1"/>
      <c r="O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U476" s="1"/>
      <c r="AW476" s="1"/>
      <c r="AY476" s="1"/>
    </row>
    <row r="477">
      <c r="A477" s="1"/>
      <c r="C477" s="1"/>
      <c r="E477" s="1"/>
      <c r="F477" s="1"/>
      <c r="G477" s="1"/>
      <c r="H477" s="1"/>
      <c r="I477" s="1"/>
      <c r="J477" s="1"/>
      <c r="K477" s="1"/>
      <c r="M477" s="1"/>
      <c r="N477" s="1"/>
      <c r="O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U477" s="1"/>
      <c r="AW477" s="1"/>
      <c r="AY477" s="1"/>
    </row>
    <row r="478">
      <c r="A478" s="1"/>
      <c r="C478" s="1"/>
      <c r="E478" s="1"/>
      <c r="F478" s="1"/>
      <c r="G478" s="1"/>
      <c r="H478" s="1"/>
      <c r="I478" s="1"/>
      <c r="J478" s="1"/>
      <c r="K478" s="1"/>
      <c r="M478" s="1"/>
      <c r="N478" s="1"/>
      <c r="O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U478" s="1"/>
      <c r="AW478" s="1"/>
      <c r="AY478" s="1"/>
    </row>
    <row r="479">
      <c r="A479" s="1"/>
      <c r="C479" s="1"/>
      <c r="E479" s="1"/>
      <c r="F479" s="1"/>
      <c r="G479" s="1"/>
      <c r="H479" s="1"/>
      <c r="I479" s="1"/>
      <c r="J479" s="1"/>
      <c r="K479" s="1"/>
      <c r="M479" s="1"/>
      <c r="N479" s="1"/>
      <c r="O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U479" s="1"/>
      <c r="AW479" s="1"/>
      <c r="AY479" s="1"/>
    </row>
    <row r="480">
      <c r="A480" s="1"/>
      <c r="C480" s="1"/>
      <c r="E480" s="1"/>
      <c r="F480" s="1"/>
      <c r="G480" s="1"/>
      <c r="H480" s="1"/>
      <c r="I480" s="1"/>
      <c r="J480" s="1"/>
      <c r="K480" s="1"/>
      <c r="M480" s="1"/>
      <c r="N480" s="1"/>
      <c r="O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U480" s="1"/>
      <c r="AW480" s="1"/>
      <c r="AY480" s="1"/>
    </row>
    <row r="481">
      <c r="A481" s="1"/>
      <c r="C481" s="1"/>
      <c r="E481" s="1"/>
      <c r="F481" s="1"/>
      <c r="G481" s="1"/>
      <c r="H481" s="1"/>
      <c r="I481" s="1"/>
      <c r="J481" s="1"/>
      <c r="K481" s="1"/>
      <c r="M481" s="1"/>
      <c r="N481" s="1"/>
      <c r="O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U481" s="1"/>
      <c r="AW481" s="1"/>
      <c r="AY481" s="1"/>
    </row>
    <row r="482">
      <c r="A482" s="1"/>
      <c r="C482" s="1"/>
      <c r="E482" s="1"/>
      <c r="F482" s="1"/>
      <c r="G482" s="1"/>
      <c r="H482" s="1"/>
      <c r="I482" s="1"/>
      <c r="J482" s="1"/>
      <c r="K482" s="1"/>
      <c r="M482" s="1"/>
      <c r="N482" s="1"/>
      <c r="O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U482" s="1"/>
      <c r="AW482" s="1"/>
      <c r="AY482" s="1"/>
    </row>
    <row r="483">
      <c r="A483" s="1"/>
      <c r="C483" s="1"/>
      <c r="E483" s="1"/>
      <c r="F483" s="1"/>
      <c r="G483" s="1"/>
      <c r="H483" s="1"/>
      <c r="I483" s="1"/>
      <c r="J483" s="1"/>
      <c r="K483" s="1"/>
      <c r="M483" s="1"/>
      <c r="N483" s="1"/>
      <c r="O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U483" s="1"/>
      <c r="AW483" s="1"/>
      <c r="AY483" s="1"/>
    </row>
    <row r="484">
      <c r="A484" s="1"/>
      <c r="C484" s="1"/>
      <c r="E484" s="1"/>
      <c r="F484" s="1"/>
      <c r="G484" s="1"/>
      <c r="H484" s="1"/>
      <c r="I484" s="1"/>
      <c r="J484" s="1"/>
      <c r="K484" s="1"/>
      <c r="M484" s="1"/>
      <c r="N484" s="1"/>
      <c r="O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U484" s="1"/>
      <c r="AW484" s="1"/>
      <c r="AY484" s="1"/>
    </row>
    <row r="485">
      <c r="A485" s="1"/>
      <c r="C485" s="1"/>
      <c r="E485" s="1"/>
      <c r="F485" s="1"/>
      <c r="G485" s="1"/>
      <c r="H485" s="1"/>
      <c r="I485" s="1"/>
      <c r="J485" s="1"/>
      <c r="K485" s="1"/>
      <c r="M485" s="1"/>
      <c r="N485" s="1"/>
      <c r="O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U485" s="1"/>
      <c r="AW485" s="1"/>
      <c r="AY485" s="1"/>
    </row>
    <row r="486">
      <c r="A486" s="1"/>
      <c r="C486" s="1"/>
      <c r="E486" s="1"/>
      <c r="F486" s="1"/>
      <c r="G486" s="1"/>
      <c r="H486" s="1"/>
      <c r="I486" s="1"/>
      <c r="J486" s="1"/>
      <c r="K486" s="1"/>
      <c r="M486" s="1"/>
      <c r="N486" s="1"/>
      <c r="O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U486" s="1"/>
      <c r="AW486" s="1"/>
      <c r="AY486" s="1"/>
    </row>
    <row r="487">
      <c r="A487" s="1"/>
      <c r="C487" s="1"/>
      <c r="E487" s="1"/>
      <c r="F487" s="1"/>
      <c r="G487" s="1"/>
      <c r="H487" s="1"/>
      <c r="I487" s="1"/>
      <c r="J487" s="1"/>
      <c r="K487" s="1"/>
      <c r="M487" s="1"/>
      <c r="N487" s="1"/>
      <c r="O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U487" s="1"/>
      <c r="AW487" s="1"/>
      <c r="AY487" s="1"/>
    </row>
    <row r="488">
      <c r="A488" s="1"/>
      <c r="C488" s="1"/>
      <c r="E488" s="1"/>
      <c r="F488" s="1"/>
      <c r="G488" s="1"/>
      <c r="H488" s="1"/>
      <c r="I488" s="1"/>
      <c r="J488" s="1"/>
      <c r="K488" s="1"/>
      <c r="M488" s="1"/>
      <c r="N488" s="1"/>
      <c r="O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U488" s="1"/>
      <c r="AW488" s="1"/>
      <c r="AY488" s="1"/>
    </row>
    <row r="489">
      <c r="A489" s="1"/>
      <c r="C489" s="1"/>
      <c r="E489" s="1"/>
      <c r="F489" s="1"/>
      <c r="G489" s="1"/>
      <c r="H489" s="1"/>
      <c r="I489" s="1"/>
      <c r="J489" s="1"/>
      <c r="K489" s="1"/>
      <c r="M489" s="1"/>
      <c r="N489" s="1"/>
      <c r="O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U489" s="1"/>
      <c r="AW489" s="1"/>
      <c r="AY489" s="1"/>
    </row>
    <row r="490">
      <c r="A490" s="1"/>
      <c r="C490" s="1"/>
      <c r="E490" s="1"/>
      <c r="F490" s="1"/>
      <c r="G490" s="1"/>
      <c r="H490" s="1"/>
      <c r="I490" s="1"/>
      <c r="J490" s="1"/>
      <c r="K490" s="1"/>
      <c r="M490" s="1"/>
      <c r="N490" s="1"/>
      <c r="O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U490" s="1"/>
      <c r="AW490" s="1"/>
      <c r="AY490" s="1"/>
    </row>
    <row r="491">
      <c r="A491" s="1"/>
      <c r="C491" s="1"/>
      <c r="E491" s="1"/>
      <c r="F491" s="1"/>
      <c r="G491" s="1"/>
      <c r="H491" s="1"/>
      <c r="I491" s="1"/>
      <c r="J491" s="1"/>
      <c r="K491" s="1"/>
      <c r="M491" s="1"/>
      <c r="N491" s="1"/>
      <c r="O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U491" s="1"/>
      <c r="AW491" s="1"/>
      <c r="AY491" s="1"/>
    </row>
    <row r="492">
      <c r="A492" s="1"/>
      <c r="C492" s="1"/>
      <c r="E492" s="1"/>
      <c r="F492" s="1"/>
      <c r="G492" s="1"/>
      <c r="H492" s="1"/>
      <c r="I492" s="1"/>
      <c r="J492" s="1"/>
      <c r="K492" s="1"/>
      <c r="M492" s="1"/>
      <c r="N492" s="1"/>
      <c r="O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U492" s="1"/>
      <c r="AW492" s="1"/>
      <c r="AY492" s="1"/>
    </row>
    <row r="493">
      <c r="A493" s="1"/>
      <c r="C493" s="1"/>
      <c r="E493" s="1"/>
      <c r="F493" s="1"/>
      <c r="G493" s="1"/>
      <c r="H493" s="1"/>
      <c r="I493" s="1"/>
      <c r="J493" s="1"/>
      <c r="K493" s="1"/>
      <c r="M493" s="1"/>
      <c r="N493" s="1"/>
      <c r="O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U493" s="1"/>
      <c r="AW493" s="1"/>
      <c r="AY493" s="1"/>
    </row>
    <row r="494">
      <c r="A494" s="1"/>
      <c r="C494" s="1"/>
      <c r="E494" s="1"/>
      <c r="F494" s="1"/>
      <c r="G494" s="1"/>
      <c r="H494" s="1"/>
      <c r="I494" s="1"/>
      <c r="J494" s="1"/>
      <c r="K494" s="1"/>
      <c r="M494" s="1"/>
      <c r="N494" s="1"/>
      <c r="O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U494" s="1"/>
      <c r="AW494" s="1"/>
      <c r="AY494" s="1"/>
    </row>
    <row r="495">
      <c r="A495" s="1"/>
      <c r="C495" s="1"/>
      <c r="E495" s="1"/>
      <c r="F495" s="1"/>
      <c r="G495" s="1"/>
      <c r="H495" s="1"/>
      <c r="I495" s="1"/>
      <c r="J495" s="1"/>
      <c r="K495" s="1"/>
      <c r="M495" s="1"/>
      <c r="N495" s="1"/>
      <c r="O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U495" s="1"/>
      <c r="AW495" s="1"/>
      <c r="AY495" s="1"/>
    </row>
    <row r="496">
      <c r="A496" s="1"/>
      <c r="C496" s="1"/>
      <c r="E496" s="1"/>
      <c r="F496" s="1"/>
      <c r="G496" s="1"/>
      <c r="H496" s="1"/>
      <c r="I496" s="1"/>
      <c r="J496" s="1"/>
      <c r="K496" s="1"/>
      <c r="M496" s="1"/>
      <c r="N496" s="1"/>
      <c r="O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U496" s="1"/>
      <c r="AW496" s="1"/>
      <c r="AY496" s="1"/>
    </row>
    <row r="497">
      <c r="A497" s="1"/>
      <c r="C497" s="1"/>
      <c r="E497" s="1"/>
      <c r="F497" s="1"/>
      <c r="G497" s="1"/>
      <c r="H497" s="1"/>
      <c r="I497" s="1"/>
      <c r="J497" s="1"/>
      <c r="K497" s="1"/>
      <c r="M497" s="1"/>
      <c r="N497" s="1"/>
      <c r="O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U497" s="1"/>
      <c r="AW497" s="1"/>
      <c r="AY497" s="1"/>
    </row>
    <row r="498">
      <c r="A498" s="1"/>
      <c r="C498" s="1"/>
      <c r="E498" s="1"/>
      <c r="F498" s="1"/>
      <c r="G498" s="1"/>
      <c r="H498" s="1"/>
      <c r="I498" s="1"/>
      <c r="J498" s="1"/>
      <c r="K498" s="1"/>
      <c r="M498" s="1"/>
      <c r="N498" s="1"/>
      <c r="O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U498" s="1"/>
      <c r="AW498" s="1"/>
      <c r="AY498" s="1"/>
    </row>
    <row r="499">
      <c r="A499" s="1"/>
      <c r="C499" s="1"/>
      <c r="E499" s="1"/>
      <c r="F499" s="1"/>
      <c r="G499" s="1"/>
      <c r="H499" s="1"/>
      <c r="I499" s="1"/>
      <c r="J499" s="1"/>
      <c r="K499" s="1"/>
      <c r="M499" s="1"/>
      <c r="N499" s="1"/>
      <c r="O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U499" s="1"/>
      <c r="AW499" s="1"/>
      <c r="AY499" s="1"/>
    </row>
    <row r="500">
      <c r="A500" s="1"/>
      <c r="C500" s="1"/>
      <c r="E500" s="1"/>
      <c r="F500" s="1"/>
      <c r="G500" s="1"/>
      <c r="H500" s="1"/>
      <c r="I500" s="1"/>
      <c r="J500" s="1"/>
      <c r="K500" s="1"/>
      <c r="M500" s="1"/>
      <c r="N500" s="1"/>
      <c r="O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U500" s="1"/>
      <c r="AW500" s="1"/>
      <c r="AY500" s="1"/>
    </row>
    <row r="501">
      <c r="A501" s="1"/>
      <c r="C501" s="1"/>
      <c r="E501" s="1"/>
      <c r="F501" s="1"/>
      <c r="G501" s="1"/>
      <c r="H501" s="1"/>
      <c r="I501" s="1"/>
      <c r="J501" s="1"/>
      <c r="K501" s="1"/>
      <c r="M501" s="1"/>
      <c r="N501" s="1"/>
      <c r="O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U501" s="1"/>
      <c r="AW501" s="1"/>
      <c r="AY501" s="1"/>
    </row>
    <row r="502">
      <c r="A502" s="1"/>
      <c r="C502" s="1"/>
      <c r="E502" s="1"/>
      <c r="F502" s="1"/>
      <c r="G502" s="1"/>
      <c r="H502" s="1"/>
      <c r="I502" s="1"/>
      <c r="J502" s="1"/>
      <c r="K502" s="1"/>
      <c r="M502" s="1"/>
      <c r="N502" s="1"/>
      <c r="O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U502" s="1"/>
      <c r="AW502" s="1"/>
      <c r="AY502" s="1"/>
    </row>
    <row r="503">
      <c r="A503" s="1"/>
      <c r="C503" s="1"/>
      <c r="E503" s="1"/>
      <c r="F503" s="1"/>
      <c r="G503" s="1"/>
      <c r="H503" s="1"/>
      <c r="I503" s="1"/>
      <c r="J503" s="1"/>
      <c r="K503" s="1"/>
      <c r="M503" s="1"/>
      <c r="N503" s="1"/>
      <c r="O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U503" s="1"/>
      <c r="AW503" s="1"/>
      <c r="AY503" s="1"/>
    </row>
    <row r="504">
      <c r="A504" s="1"/>
      <c r="C504" s="1"/>
      <c r="E504" s="1"/>
      <c r="F504" s="1"/>
      <c r="G504" s="1"/>
      <c r="H504" s="1"/>
      <c r="I504" s="1"/>
      <c r="J504" s="1"/>
      <c r="K504" s="1"/>
      <c r="M504" s="1"/>
      <c r="N504" s="1"/>
      <c r="O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U504" s="1"/>
      <c r="AW504" s="1"/>
      <c r="AY504" s="1"/>
    </row>
    <row r="505">
      <c r="A505" s="1"/>
      <c r="C505" s="1"/>
      <c r="E505" s="1"/>
      <c r="F505" s="1"/>
      <c r="G505" s="1"/>
      <c r="H505" s="1"/>
      <c r="I505" s="1"/>
      <c r="J505" s="1"/>
      <c r="K505" s="1"/>
      <c r="M505" s="1"/>
      <c r="N505" s="1"/>
      <c r="O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U505" s="1"/>
      <c r="AW505" s="1"/>
      <c r="AY505" s="1"/>
    </row>
    <row r="506">
      <c r="A506" s="1"/>
      <c r="C506" s="1"/>
      <c r="E506" s="1"/>
      <c r="F506" s="1"/>
      <c r="G506" s="1"/>
      <c r="H506" s="1"/>
      <c r="I506" s="1"/>
      <c r="J506" s="1"/>
      <c r="K506" s="1"/>
      <c r="M506" s="1"/>
      <c r="N506" s="1"/>
      <c r="O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U506" s="1"/>
      <c r="AW506" s="1"/>
      <c r="AY506" s="1"/>
    </row>
    <row r="507">
      <c r="A507" s="1"/>
      <c r="C507" s="1"/>
      <c r="E507" s="1"/>
      <c r="F507" s="1"/>
      <c r="G507" s="1"/>
      <c r="H507" s="1"/>
      <c r="I507" s="1"/>
      <c r="J507" s="1"/>
      <c r="K507" s="1"/>
      <c r="M507" s="1"/>
      <c r="N507" s="1"/>
      <c r="O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U507" s="1"/>
      <c r="AW507" s="1"/>
      <c r="AY507" s="1"/>
    </row>
    <row r="508">
      <c r="A508" s="1"/>
      <c r="C508" s="1"/>
      <c r="E508" s="1"/>
      <c r="F508" s="1"/>
      <c r="G508" s="1"/>
      <c r="H508" s="1"/>
      <c r="I508" s="1"/>
      <c r="J508" s="1"/>
      <c r="K508" s="1"/>
      <c r="M508" s="1"/>
      <c r="N508" s="1"/>
      <c r="O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U508" s="1"/>
      <c r="AW508" s="1"/>
      <c r="AY508" s="1"/>
    </row>
    <row r="509">
      <c r="A509" s="1"/>
      <c r="C509" s="1"/>
      <c r="E509" s="1"/>
      <c r="F509" s="1"/>
      <c r="G509" s="1"/>
      <c r="H509" s="1"/>
      <c r="I509" s="1"/>
      <c r="J509" s="1"/>
      <c r="K509" s="1"/>
      <c r="M509" s="1"/>
      <c r="N509" s="1"/>
      <c r="O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U509" s="1"/>
      <c r="AW509" s="1"/>
      <c r="AY509" s="1"/>
    </row>
    <row r="510">
      <c r="A510" s="1"/>
      <c r="C510" s="1"/>
      <c r="E510" s="1"/>
      <c r="F510" s="1"/>
      <c r="G510" s="1"/>
      <c r="H510" s="1"/>
      <c r="I510" s="1"/>
      <c r="J510" s="1"/>
      <c r="K510" s="1"/>
      <c r="M510" s="1"/>
      <c r="N510" s="1"/>
      <c r="O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U510" s="1"/>
      <c r="AW510" s="1"/>
      <c r="AY510" s="1"/>
    </row>
    <row r="511">
      <c r="A511" s="1"/>
      <c r="C511" s="1"/>
      <c r="E511" s="1"/>
      <c r="F511" s="1"/>
      <c r="G511" s="1"/>
      <c r="H511" s="1"/>
      <c r="I511" s="1"/>
      <c r="J511" s="1"/>
      <c r="K511" s="1"/>
      <c r="M511" s="1"/>
      <c r="N511" s="1"/>
      <c r="O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U511" s="1"/>
      <c r="AW511" s="1"/>
      <c r="AY511" s="1"/>
    </row>
    <row r="512">
      <c r="A512" s="1"/>
      <c r="C512" s="1"/>
      <c r="E512" s="1"/>
      <c r="F512" s="1"/>
      <c r="G512" s="1"/>
      <c r="H512" s="1"/>
      <c r="I512" s="1"/>
      <c r="J512" s="1"/>
      <c r="K512" s="1"/>
      <c r="M512" s="1"/>
      <c r="N512" s="1"/>
      <c r="O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U512" s="1"/>
      <c r="AW512" s="1"/>
      <c r="AY512" s="1"/>
    </row>
    <row r="513">
      <c r="A513" s="1"/>
      <c r="C513" s="1"/>
      <c r="E513" s="1"/>
      <c r="F513" s="1"/>
      <c r="G513" s="1"/>
      <c r="H513" s="1"/>
      <c r="I513" s="1"/>
      <c r="J513" s="1"/>
      <c r="K513" s="1"/>
      <c r="M513" s="1"/>
      <c r="N513" s="1"/>
      <c r="O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U513" s="1"/>
      <c r="AW513" s="1"/>
      <c r="AY513" s="1"/>
    </row>
    <row r="514">
      <c r="A514" s="1"/>
      <c r="C514" s="1"/>
      <c r="E514" s="1"/>
      <c r="F514" s="1"/>
      <c r="G514" s="1"/>
      <c r="H514" s="1"/>
      <c r="I514" s="1"/>
      <c r="J514" s="1"/>
      <c r="K514" s="1"/>
      <c r="M514" s="1"/>
      <c r="N514" s="1"/>
      <c r="O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U514" s="1"/>
      <c r="AW514" s="1"/>
      <c r="AY514" s="1"/>
    </row>
    <row r="515">
      <c r="A515" s="1"/>
      <c r="C515" s="1"/>
      <c r="E515" s="1"/>
      <c r="F515" s="1"/>
      <c r="G515" s="1"/>
      <c r="H515" s="1"/>
      <c r="I515" s="1"/>
      <c r="J515" s="1"/>
      <c r="K515" s="1"/>
      <c r="M515" s="1"/>
      <c r="N515" s="1"/>
      <c r="O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U515" s="1"/>
      <c r="AW515" s="1"/>
      <c r="AY515" s="1"/>
    </row>
    <row r="516">
      <c r="A516" s="1"/>
      <c r="C516" s="1"/>
      <c r="E516" s="1"/>
      <c r="F516" s="1"/>
      <c r="G516" s="1"/>
      <c r="H516" s="1"/>
      <c r="I516" s="1"/>
      <c r="J516" s="1"/>
      <c r="K516" s="1"/>
      <c r="M516" s="1"/>
      <c r="N516" s="1"/>
      <c r="O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U516" s="1"/>
      <c r="AW516" s="1"/>
      <c r="AY516" s="1"/>
    </row>
    <row r="517">
      <c r="A517" s="1"/>
      <c r="C517" s="1"/>
      <c r="E517" s="1"/>
      <c r="F517" s="1"/>
      <c r="G517" s="1"/>
      <c r="H517" s="1"/>
      <c r="I517" s="1"/>
      <c r="J517" s="1"/>
      <c r="K517" s="1"/>
      <c r="M517" s="1"/>
      <c r="N517" s="1"/>
      <c r="O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U517" s="1"/>
      <c r="AW517" s="1"/>
      <c r="AY517" s="1"/>
    </row>
    <row r="518">
      <c r="A518" s="1"/>
      <c r="C518" s="1"/>
      <c r="E518" s="1"/>
      <c r="F518" s="1"/>
      <c r="G518" s="1"/>
      <c r="H518" s="1"/>
      <c r="I518" s="1"/>
      <c r="J518" s="1"/>
      <c r="K518" s="1"/>
      <c r="M518" s="1"/>
      <c r="N518" s="1"/>
      <c r="O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U518" s="1"/>
      <c r="AW518" s="1"/>
      <c r="AY518" s="1"/>
    </row>
    <row r="519">
      <c r="A519" s="1"/>
      <c r="C519" s="1"/>
      <c r="E519" s="1"/>
      <c r="F519" s="1"/>
      <c r="G519" s="1"/>
      <c r="H519" s="1"/>
      <c r="I519" s="1"/>
      <c r="J519" s="1"/>
      <c r="K519" s="1"/>
      <c r="M519" s="1"/>
      <c r="N519" s="1"/>
      <c r="O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U519" s="1"/>
      <c r="AW519" s="1"/>
      <c r="AY519" s="1"/>
    </row>
    <row r="520">
      <c r="A520" s="1"/>
      <c r="C520" s="1"/>
      <c r="E520" s="1"/>
      <c r="F520" s="1"/>
      <c r="G520" s="1"/>
      <c r="H520" s="1"/>
      <c r="I520" s="1"/>
      <c r="J520" s="1"/>
      <c r="K520" s="1"/>
      <c r="M520" s="1"/>
      <c r="N520" s="1"/>
      <c r="O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U520" s="1"/>
      <c r="AW520" s="1"/>
      <c r="AY520" s="1"/>
    </row>
    <row r="521">
      <c r="A521" s="1"/>
      <c r="C521" s="1"/>
      <c r="E521" s="1"/>
      <c r="F521" s="1"/>
      <c r="G521" s="1"/>
      <c r="H521" s="1"/>
      <c r="I521" s="1"/>
      <c r="J521" s="1"/>
      <c r="K521" s="1"/>
      <c r="M521" s="1"/>
      <c r="N521" s="1"/>
      <c r="O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U521" s="1"/>
      <c r="AW521" s="1"/>
      <c r="AY521" s="1"/>
    </row>
    <row r="522">
      <c r="A522" s="1"/>
      <c r="C522" s="1"/>
      <c r="E522" s="1"/>
      <c r="F522" s="1"/>
      <c r="G522" s="1"/>
      <c r="H522" s="1"/>
      <c r="I522" s="1"/>
      <c r="J522" s="1"/>
      <c r="K522" s="1"/>
      <c r="M522" s="1"/>
      <c r="N522" s="1"/>
      <c r="O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U522" s="1"/>
      <c r="AW522" s="1"/>
      <c r="AY522" s="1"/>
    </row>
    <row r="523">
      <c r="A523" s="1"/>
      <c r="C523" s="1"/>
      <c r="E523" s="1"/>
      <c r="F523" s="1"/>
      <c r="G523" s="1"/>
      <c r="H523" s="1"/>
      <c r="I523" s="1"/>
      <c r="J523" s="1"/>
      <c r="K523" s="1"/>
      <c r="M523" s="1"/>
      <c r="N523" s="1"/>
      <c r="O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U523" s="1"/>
      <c r="AW523" s="1"/>
      <c r="AY523" s="1"/>
    </row>
    <row r="524">
      <c r="A524" s="1"/>
      <c r="C524" s="1"/>
      <c r="E524" s="1"/>
      <c r="F524" s="1"/>
      <c r="G524" s="1"/>
      <c r="H524" s="1"/>
      <c r="I524" s="1"/>
      <c r="J524" s="1"/>
      <c r="K524" s="1"/>
      <c r="M524" s="1"/>
      <c r="N524" s="1"/>
      <c r="O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U524" s="1"/>
      <c r="AW524" s="1"/>
      <c r="AY524" s="1"/>
    </row>
    <row r="525">
      <c r="A525" s="1"/>
      <c r="C525" s="1"/>
      <c r="E525" s="1"/>
      <c r="F525" s="1"/>
      <c r="G525" s="1"/>
      <c r="H525" s="1"/>
      <c r="I525" s="1"/>
      <c r="J525" s="1"/>
      <c r="K525" s="1"/>
      <c r="M525" s="1"/>
      <c r="N525" s="1"/>
      <c r="O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U525" s="1"/>
      <c r="AW525" s="1"/>
      <c r="AY525" s="1"/>
    </row>
    <row r="526">
      <c r="A526" s="1"/>
      <c r="C526" s="1"/>
      <c r="E526" s="1"/>
      <c r="F526" s="1"/>
      <c r="G526" s="1"/>
      <c r="H526" s="1"/>
      <c r="I526" s="1"/>
      <c r="J526" s="1"/>
      <c r="K526" s="1"/>
      <c r="M526" s="1"/>
      <c r="N526" s="1"/>
      <c r="O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U526" s="1"/>
      <c r="AW526" s="1"/>
      <c r="AY526" s="1"/>
    </row>
    <row r="527">
      <c r="A527" s="1"/>
      <c r="C527" s="1"/>
      <c r="E527" s="1"/>
      <c r="F527" s="1"/>
      <c r="G527" s="1"/>
      <c r="H527" s="1"/>
      <c r="I527" s="1"/>
      <c r="J527" s="1"/>
      <c r="K527" s="1"/>
      <c r="M527" s="1"/>
      <c r="N527" s="1"/>
      <c r="O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U527" s="1"/>
      <c r="AW527" s="1"/>
      <c r="AY527" s="1"/>
    </row>
    <row r="528">
      <c r="A528" s="1"/>
      <c r="C528" s="1"/>
      <c r="E528" s="1"/>
      <c r="F528" s="1"/>
      <c r="G528" s="1"/>
      <c r="H528" s="1"/>
      <c r="I528" s="1"/>
      <c r="J528" s="1"/>
      <c r="K528" s="1"/>
      <c r="M528" s="1"/>
      <c r="N528" s="1"/>
      <c r="O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U528" s="1"/>
      <c r="AW528" s="1"/>
      <c r="AY528" s="1"/>
    </row>
    <row r="529">
      <c r="A529" s="1"/>
      <c r="C529" s="1"/>
      <c r="E529" s="1"/>
      <c r="F529" s="1"/>
      <c r="G529" s="1"/>
      <c r="H529" s="1"/>
      <c r="I529" s="1"/>
      <c r="J529" s="1"/>
      <c r="K529" s="1"/>
      <c r="M529" s="1"/>
      <c r="N529" s="1"/>
      <c r="O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U529" s="1"/>
      <c r="AW529" s="1"/>
      <c r="AY529" s="1"/>
    </row>
    <row r="530">
      <c r="A530" s="1"/>
      <c r="C530" s="1"/>
      <c r="E530" s="1"/>
      <c r="F530" s="1"/>
      <c r="G530" s="1"/>
      <c r="H530" s="1"/>
      <c r="I530" s="1"/>
      <c r="J530" s="1"/>
      <c r="K530" s="1"/>
      <c r="M530" s="1"/>
      <c r="N530" s="1"/>
      <c r="O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U530" s="1"/>
      <c r="AW530" s="1"/>
      <c r="AY530" s="1"/>
    </row>
    <row r="531">
      <c r="A531" s="1"/>
      <c r="C531" s="1"/>
      <c r="E531" s="1"/>
      <c r="F531" s="1"/>
      <c r="G531" s="1"/>
      <c r="H531" s="1"/>
      <c r="I531" s="1"/>
      <c r="J531" s="1"/>
      <c r="K531" s="1"/>
      <c r="M531" s="1"/>
      <c r="N531" s="1"/>
      <c r="O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U531" s="1"/>
      <c r="AW531" s="1"/>
      <c r="AY531" s="1"/>
    </row>
    <row r="532">
      <c r="A532" s="1"/>
      <c r="C532" s="1"/>
      <c r="E532" s="1"/>
      <c r="F532" s="1"/>
      <c r="G532" s="1"/>
      <c r="H532" s="1"/>
      <c r="I532" s="1"/>
      <c r="J532" s="1"/>
      <c r="K532" s="1"/>
      <c r="M532" s="1"/>
      <c r="N532" s="1"/>
      <c r="O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U532" s="1"/>
      <c r="AW532" s="1"/>
      <c r="AY532" s="1"/>
    </row>
    <row r="533">
      <c r="A533" s="1"/>
      <c r="C533" s="1"/>
      <c r="E533" s="1"/>
      <c r="F533" s="1"/>
      <c r="G533" s="1"/>
      <c r="H533" s="1"/>
      <c r="I533" s="1"/>
      <c r="J533" s="1"/>
      <c r="K533" s="1"/>
      <c r="M533" s="1"/>
      <c r="N533" s="1"/>
      <c r="O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U533" s="1"/>
      <c r="AW533" s="1"/>
      <c r="AY533" s="1"/>
    </row>
    <row r="534">
      <c r="A534" s="1"/>
      <c r="C534" s="1"/>
      <c r="E534" s="1"/>
      <c r="F534" s="1"/>
      <c r="G534" s="1"/>
      <c r="H534" s="1"/>
      <c r="I534" s="1"/>
      <c r="J534" s="1"/>
      <c r="K534" s="1"/>
      <c r="M534" s="1"/>
      <c r="N534" s="1"/>
      <c r="O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U534" s="1"/>
      <c r="AW534" s="1"/>
      <c r="AY534" s="1"/>
    </row>
    <row r="535">
      <c r="A535" s="1"/>
      <c r="C535" s="1"/>
      <c r="E535" s="1"/>
      <c r="F535" s="1"/>
      <c r="G535" s="1"/>
      <c r="H535" s="1"/>
      <c r="I535" s="1"/>
      <c r="J535" s="1"/>
      <c r="K535" s="1"/>
      <c r="M535" s="1"/>
      <c r="N535" s="1"/>
      <c r="O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U535" s="1"/>
      <c r="AW535" s="1"/>
      <c r="AY535" s="1"/>
    </row>
    <row r="536">
      <c r="A536" s="1"/>
      <c r="C536" s="1"/>
      <c r="E536" s="1"/>
      <c r="F536" s="1"/>
      <c r="G536" s="1"/>
      <c r="H536" s="1"/>
      <c r="I536" s="1"/>
      <c r="J536" s="1"/>
      <c r="K536" s="1"/>
      <c r="M536" s="1"/>
      <c r="N536" s="1"/>
      <c r="O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U536" s="1"/>
      <c r="AW536" s="1"/>
      <c r="AY536" s="1"/>
    </row>
    <row r="537">
      <c r="A537" s="1"/>
      <c r="C537" s="1"/>
      <c r="E537" s="1"/>
      <c r="F537" s="1"/>
      <c r="G537" s="1"/>
      <c r="H537" s="1"/>
      <c r="I537" s="1"/>
      <c r="J537" s="1"/>
      <c r="K537" s="1"/>
      <c r="M537" s="1"/>
      <c r="N537" s="1"/>
      <c r="O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U537" s="1"/>
      <c r="AW537" s="1"/>
      <c r="AY537" s="1"/>
    </row>
    <row r="538">
      <c r="A538" s="1"/>
      <c r="C538" s="1"/>
      <c r="E538" s="1"/>
      <c r="F538" s="1"/>
      <c r="G538" s="1"/>
      <c r="H538" s="1"/>
      <c r="I538" s="1"/>
      <c r="J538" s="1"/>
      <c r="K538" s="1"/>
      <c r="M538" s="1"/>
      <c r="N538" s="1"/>
      <c r="O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U538" s="1"/>
      <c r="AW538" s="1"/>
      <c r="AY538" s="1"/>
    </row>
    <row r="539">
      <c r="A539" s="1"/>
      <c r="C539" s="1"/>
      <c r="E539" s="1"/>
      <c r="F539" s="1"/>
      <c r="G539" s="1"/>
      <c r="H539" s="1"/>
      <c r="I539" s="1"/>
      <c r="J539" s="1"/>
      <c r="K539" s="1"/>
      <c r="M539" s="1"/>
      <c r="N539" s="1"/>
      <c r="O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U539" s="1"/>
      <c r="AW539" s="1"/>
      <c r="AY539" s="1"/>
    </row>
    <row r="540">
      <c r="A540" s="1"/>
      <c r="C540" s="1"/>
      <c r="E540" s="1"/>
      <c r="F540" s="1"/>
      <c r="G540" s="1"/>
      <c r="H540" s="1"/>
      <c r="I540" s="1"/>
      <c r="J540" s="1"/>
      <c r="K540" s="1"/>
      <c r="M540" s="1"/>
      <c r="N540" s="1"/>
      <c r="O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U540" s="1"/>
      <c r="AW540" s="1"/>
      <c r="AY540" s="1"/>
    </row>
    <row r="541">
      <c r="A541" s="1"/>
      <c r="C541" s="1"/>
      <c r="E541" s="1"/>
      <c r="F541" s="1"/>
      <c r="G541" s="1"/>
      <c r="H541" s="1"/>
      <c r="I541" s="1"/>
      <c r="J541" s="1"/>
      <c r="K541" s="1"/>
      <c r="M541" s="1"/>
      <c r="N541" s="1"/>
      <c r="O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U541" s="1"/>
      <c r="AW541" s="1"/>
      <c r="AY541" s="1"/>
    </row>
    <row r="542">
      <c r="A542" s="1"/>
      <c r="C542" s="1"/>
      <c r="E542" s="1"/>
      <c r="F542" s="1"/>
      <c r="G542" s="1"/>
      <c r="H542" s="1"/>
      <c r="I542" s="1"/>
      <c r="J542" s="1"/>
      <c r="K542" s="1"/>
      <c r="M542" s="1"/>
      <c r="N542" s="1"/>
      <c r="O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U542" s="1"/>
      <c r="AW542" s="1"/>
      <c r="AY542" s="1"/>
    </row>
    <row r="543">
      <c r="A543" s="1"/>
      <c r="C543" s="1"/>
      <c r="E543" s="1"/>
      <c r="F543" s="1"/>
      <c r="G543" s="1"/>
      <c r="H543" s="1"/>
      <c r="I543" s="1"/>
      <c r="J543" s="1"/>
      <c r="K543" s="1"/>
      <c r="M543" s="1"/>
      <c r="N543" s="1"/>
      <c r="O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U543" s="1"/>
      <c r="AW543" s="1"/>
      <c r="AY543" s="1"/>
    </row>
    <row r="544">
      <c r="A544" s="1"/>
      <c r="C544" s="1"/>
      <c r="E544" s="1"/>
      <c r="F544" s="1"/>
      <c r="G544" s="1"/>
      <c r="H544" s="1"/>
      <c r="I544" s="1"/>
      <c r="J544" s="1"/>
      <c r="K544" s="1"/>
      <c r="M544" s="1"/>
      <c r="N544" s="1"/>
      <c r="O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U544" s="1"/>
      <c r="AW544" s="1"/>
      <c r="AY544" s="1"/>
    </row>
    <row r="545">
      <c r="A545" s="1"/>
      <c r="C545" s="1"/>
      <c r="E545" s="1"/>
      <c r="F545" s="1"/>
      <c r="G545" s="1"/>
      <c r="H545" s="1"/>
      <c r="I545" s="1"/>
      <c r="J545" s="1"/>
      <c r="K545" s="1"/>
      <c r="M545" s="1"/>
      <c r="N545" s="1"/>
      <c r="O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U545" s="1"/>
      <c r="AW545" s="1"/>
      <c r="AY545" s="1"/>
    </row>
    <row r="546">
      <c r="A546" s="1"/>
      <c r="C546" s="1"/>
      <c r="E546" s="1"/>
      <c r="F546" s="1"/>
      <c r="G546" s="1"/>
      <c r="H546" s="1"/>
      <c r="I546" s="1"/>
      <c r="J546" s="1"/>
      <c r="K546" s="1"/>
      <c r="M546" s="1"/>
      <c r="N546" s="1"/>
      <c r="O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U546" s="1"/>
      <c r="AW546" s="1"/>
      <c r="AY546" s="1"/>
    </row>
    <row r="547">
      <c r="A547" s="1"/>
      <c r="C547" s="1"/>
      <c r="E547" s="1"/>
      <c r="F547" s="1"/>
      <c r="G547" s="1"/>
      <c r="H547" s="1"/>
      <c r="I547" s="1"/>
      <c r="J547" s="1"/>
      <c r="K547" s="1"/>
      <c r="M547" s="1"/>
      <c r="N547" s="1"/>
      <c r="O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U547" s="1"/>
      <c r="AW547" s="1"/>
      <c r="AY547" s="1"/>
    </row>
    <row r="548">
      <c r="A548" s="1"/>
      <c r="C548" s="1"/>
      <c r="E548" s="1"/>
      <c r="F548" s="1"/>
      <c r="G548" s="1"/>
      <c r="H548" s="1"/>
      <c r="I548" s="1"/>
      <c r="J548" s="1"/>
      <c r="K548" s="1"/>
      <c r="M548" s="1"/>
      <c r="N548" s="1"/>
      <c r="O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U548" s="1"/>
      <c r="AW548" s="1"/>
      <c r="AY548" s="1"/>
    </row>
    <row r="549">
      <c r="A549" s="1"/>
      <c r="C549" s="1"/>
      <c r="E549" s="1"/>
      <c r="F549" s="1"/>
      <c r="G549" s="1"/>
      <c r="H549" s="1"/>
      <c r="I549" s="1"/>
      <c r="J549" s="1"/>
      <c r="K549" s="1"/>
      <c r="M549" s="1"/>
      <c r="N549" s="1"/>
      <c r="O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U549" s="1"/>
      <c r="AW549" s="1"/>
      <c r="AY549" s="1"/>
    </row>
    <row r="550">
      <c r="A550" s="1"/>
      <c r="C550" s="1"/>
      <c r="E550" s="1"/>
      <c r="F550" s="1"/>
      <c r="G550" s="1"/>
      <c r="H550" s="1"/>
      <c r="I550" s="1"/>
      <c r="J550" s="1"/>
      <c r="K550" s="1"/>
      <c r="M550" s="1"/>
      <c r="N550" s="1"/>
      <c r="O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U550" s="1"/>
      <c r="AW550" s="1"/>
      <c r="AY550" s="1"/>
    </row>
    <row r="551">
      <c r="A551" s="1"/>
      <c r="C551" s="1"/>
      <c r="E551" s="1"/>
      <c r="F551" s="1"/>
      <c r="G551" s="1"/>
      <c r="H551" s="1"/>
      <c r="I551" s="1"/>
      <c r="J551" s="1"/>
      <c r="K551" s="1"/>
      <c r="M551" s="1"/>
      <c r="N551" s="1"/>
      <c r="O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U551" s="1"/>
      <c r="AW551" s="1"/>
      <c r="AY551" s="1"/>
    </row>
    <row r="552">
      <c r="A552" s="1"/>
      <c r="C552" s="1"/>
      <c r="E552" s="1"/>
      <c r="F552" s="1"/>
      <c r="G552" s="1"/>
      <c r="H552" s="1"/>
      <c r="I552" s="1"/>
      <c r="J552" s="1"/>
      <c r="K552" s="1"/>
      <c r="M552" s="1"/>
      <c r="N552" s="1"/>
      <c r="O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U552" s="1"/>
      <c r="AW552" s="1"/>
      <c r="AY552" s="1"/>
    </row>
    <row r="553">
      <c r="A553" s="1"/>
      <c r="C553" s="1"/>
      <c r="E553" s="1"/>
      <c r="F553" s="1"/>
      <c r="G553" s="1"/>
      <c r="H553" s="1"/>
      <c r="I553" s="1"/>
      <c r="J553" s="1"/>
      <c r="K553" s="1"/>
      <c r="M553" s="1"/>
      <c r="N553" s="1"/>
      <c r="O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U553" s="1"/>
      <c r="AW553" s="1"/>
      <c r="AY553" s="1"/>
    </row>
    <row r="554">
      <c r="A554" s="1"/>
      <c r="C554" s="1"/>
      <c r="E554" s="1"/>
      <c r="F554" s="1"/>
      <c r="G554" s="1"/>
      <c r="H554" s="1"/>
      <c r="I554" s="1"/>
      <c r="J554" s="1"/>
      <c r="K554" s="1"/>
      <c r="M554" s="1"/>
      <c r="N554" s="1"/>
      <c r="O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U554" s="1"/>
      <c r="AW554" s="1"/>
      <c r="AY554" s="1"/>
    </row>
    <row r="555">
      <c r="A555" s="1"/>
      <c r="C555" s="1"/>
      <c r="E555" s="1"/>
      <c r="F555" s="1"/>
      <c r="G555" s="1"/>
      <c r="H555" s="1"/>
      <c r="I555" s="1"/>
      <c r="J555" s="1"/>
      <c r="K555" s="1"/>
      <c r="M555" s="1"/>
      <c r="N555" s="1"/>
      <c r="O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U555" s="1"/>
      <c r="AW555" s="1"/>
      <c r="AY555" s="1"/>
    </row>
    <row r="556">
      <c r="A556" s="1"/>
      <c r="C556" s="1"/>
      <c r="E556" s="1"/>
      <c r="F556" s="1"/>
      <c r="G556" s="1"/>
      <c r="H556" s="1"/>
      <c r="I556" s="1"/>
      <c r="J556" s="1"/>
      <c r="K556" s="1"/>
      <c r="M556" s="1"/>
      <c r="N556" s="1"/>
      <c r="O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U556" s="1"/>
      <c r="AW556" s="1"/>
      <c r="AY556" s="1"/>
    </row>
    <row r="557">
      <c r="A557" s="1"/>
      <c r="C557" s="1"/>
      <c r="E557" s="1"/>
      <c r="F557" s="1"/>
      <c r="G557" s="1"/>
      <c r="H557" s="1"/>
      <c r="I557" s="1"/>
      <c r="J557" s="1"/>
      <c r="K557" s="1"/>
      <c r="M557" s="1"/>
      <c r="N557" s="1"/>
      <c r="O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U557" s="1"/>
      <c r="AW557" s="1"/>
      <c r="AY557" s="1"/>
    </row>
    <row r="558">
      <c r="A558" s="1"/>
      <c r="C558" s="1"/>
      <c r="E558" s="1"/>
      <c r="F558" s="1"/>
      <c r="G558" s="1"/>
      <c r="H558" s="1"/>
      <c r="I558" s="1"/>
      <c r="J558" s="1"/>
      <c r="K558" s="1"/>
      <c r="M558" s="1"/>
      <c r="N558" s="1"/>
      <c r="O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U558" s="1"/>
      <c r="AW558" s="1"/>
      <c r="AY558" s="1"/>
    </row>
    <row r="559">
      <c r="A559" s="1"/>
      <c r="C559" s="1"/>
      <c r="E559" s="1"/>
      <c r="F559" s="1"/>
      <c r="G559" s="1"/>
      <c r="H559" s="1"/>
      <c r="I559" s="1"/>
      <c r="J559" s="1"/>
      <c r="K559" s="1"/>
      <c r="M559" s="1"/>
      <c r="N559" s="1"/>
      <c r="O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U559" s="1"/>
      <c r="AW559" s="1"/>
      <c r="AY559" s="1"/>
    </row>
    <row r="560">
      <c r="A560" s="1"/>
      <c r="C560" s="1"/>
      <c r="E560" s="1"/>
      <c r="F560" s="1"/>
      <c r="G560" s="1"/>
      <c r="H560" s="1"/>
      <c r="I560" s="1"/>
      <c r="J560" s="1"/>
      <c r="K560" s="1"/>
      <c r="M560" s="1"/>
      <c r="N560" s="1"/>
      <c r="O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U560" s="1"/>
      <c r="AW560" s="1"/>
      <c r="AY560" s="1"/>
    </row>
    <row r="561">
      <c r="A561" s="1"/>
      <c r="C561" s="1"/>
      <c r="E561" s="1"/>
      <c r="F561" s="1"/>
      <c r="G561" s="1"/>
      <c r="H561" s="1"/>
      <c r="I561" s="1"/>
      <c r="J561" s="1"/>
      <c r="K561" s="1"/>
      <c r="M561" s="1"/>
      <c r="N561" s="1"/>
      <c r="O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U561" s="1"/>
      <c r="AW561" s="1"/>
      <c r="AY561" s="1"/>
    </row>
    <row r="562">
      <c r="A562" s="1"/>
      <c r="C562" s="1"/>
      <c r="E562" s="1"/>
      <c r="F562" s="1"/>
      <c r="G562" s="1"/>
      <c r="H562" s="1"/>
      <c r="I562" s="1"/>
      <c r="J562" s="1"/>
      <c r="K562" s="1"/>
      <c r="M562" s="1"/>
      <c r="N562" s="1"/>
      <c r="O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U562" s="1"/>
      <c r="AW562" s="1"/>
      <c r="AY562" s="1"/>
    </row>
    <row r="563">
      <c r="A563" s="1"/>
      <c r="C563" s="1"/>
      <c r="E563" s="1"/>
      <c r="F563" s="1"/>
      <c r="G563" s="1"/>
      <c r="H563" s="1"/>
      <c r="I563" s="1"/>
      <c r="J563" s="1"/>
      <c r="K563" s="1"/>
      <c r="M563" s="1"/>
      <c r="N563" s="1"/>
      <c r="O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U563" s="1"/>
      <c r="AW563" s="1"/>
      <c r="AY563" s="1"/>
    </row>
    <row r="564">
      <c r="A564" s="1"/>
      <c r="C564" s="1"/>
      <c r="E564" s="1"/>
      <c r="F564" s="1"/>
      <c r="G564" s="1"/>
      <c r="H564" s="1"/>
      <c r="I564" s="1"/>
      <c r="J564" s="1"/>
      <c r="K564" s="1"/>
      <c r="M564" s="1"/>
      <c r="N564" s="1"/>
      <c r="O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U564" s="1"/>
      <c r="AW564" s="1"/>
      <c r="AY564" s="1"/>
    </row>
    <row r="565">
      <c r="A565" s="1"/>
      <c r="C565" s="1"/>
      <c r="E565" s="1"/>
      <c r="F565" s="1"/>
      <c r="G565" s="1"/>
      <c r="H565" s="1"/>
      <c r="I565" s="1"/>
      <c r="J565" s="1"/>
      <c r="K565" s="1"/>
      <c r="M565" s="1"/>
      <c r="N565" s="1"/>
      <c r="O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U565" s="1"/>
      <c r="AW565" s="1"/>
      <c r="AY565" s="1"/>
    </row>
    <row r="566">
      <c r="A566" s="1"/>
      <c r="C566" s="1"/>
      <c r="E566" s="1"/>
      <c r="F566" s="1"/>
      <c r="G566" s="1"/>
      <c r="H566" s="1"/>
      <c r="I566" s="1"/>
      <c r="J566" s="1"/>
      <c r="K566" s="1"/>
      <c r="M566" s="1"/>
      <c r="N566" s="1"/>
      <c r="O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U566" s="1"/>
      <c r="AW566" s="1"/>
      <c r="AY566" s="1"/>
    </row>
    <row r="567">
      <c r="A567" s="1"/>
      <c r="C567" s="1"/>
      <c r="E567" s="1"/>
      <c r="F567" s="1"/>
      <c r="G567" s="1"/>
      <c r="H567" s="1"/>
      <c r="I567" s="1"/>
      <c r="J567" s="1"/>
      <c r="K567" s="1"/>
      <c r="M567" s="1"/>
      <c r="N567" s="1"/>
      <c r="O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U567" s="1"/>
      <c r="AW567" s="1"/>
      <c r="AY567" s="1"/>
    </row>
    <row r="568">
      <c r="A568" s="1"/>
      <c r="C568" s="1"/>
      <c r="E568" s="1"/>
      <c r="F568" s="1"/>
      <c r="G568" s="1"/>
      <c r="H568" s="1"/>
      <c r="I568" s="1"/>
      <c r="J568" s="1"/>
      <c r="K568" s="1"/>
      <c r="M568" s="1"/>
      <c r="N568" s="1"/>
      <c r="O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U568" s="1"/>
      <c r="AW568" s="1"/>
      <c r="AY568" s="1"/>
    </row>
    <row r="569">
      <c r="A569" s="1"/>
      <c r="C569" s="1"/>
      <c r="E569" s="1"/>
      <c r="F569" s="1"/>
      <c r="G569" s="1"/>
      <c r="H569" s="1"/>
      <c r="I569" s="1"/>
      <c r="J569" s="1"/>
      <c r="K569" s="1"/>
      <c r="M569" s="1"/>
      <c r="N569" s="1"/>
      <c r="O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U569" s="1"/>
      <c r="AW569" s="1"/>
      <c r="AY569" s="1"/>
    </row>
    <row r="570">
      <c r="A570" s="1"/>
      <c r="C570" s="1"/>
      <c r="E570" s="1"/>
      <c r="F570" s="1"/>
      <c r="G570" s="1"/>
      <c r="H570" s="1"/>
      <c r="I570" s="1"/>
      <c r="J570" s="1"/>
      <c r="K570" s="1"/>
      <c r="M570" s="1"/>
      <c r="N570" s="1"/>
      <c r="O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U570" s="1"/>
      <c r="AW570" s="1"/>
      <c r="AY570" s="1"/>
    </row>
    <row r="571">
      <c r="A571" s="1"/>
      <c r="C571" s="1"/>
      <c r="E571" s="1"/>
      <c r="F571" s="1"/>
      <c r="G571" s="1"/>
      <c r="H571" s="1"/>
      <c r="I571" s="1"/>
      <c r="J571" s="1"/>
      <c r="K571" s="1"/>
      <c r="M571" s="1"/>
      <c r="N571" s="1"/>
      <c r="O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U571" s="1"/>
      <c r="AW571" s="1"/>
      <c r="AY571" s="1"/>
    </row>
    <row r="572">
      <c r="A572" s="1"/>
      <c r="C572" s="1"/>
      <c r="E572" s="1"/>
      <c r="F572" s="1"/>
      <c r="G572" s="1"/>
      <c r="H572" s="1"/>
      <c r="I572" s="1"/>
      <c r="J572" s="1"/>
      <c r="K572" s="1"/>
      <c r="M572" s="1"/>
      <c r="N572" s="1"/>
      <c r="O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U572" s="1"/>
      <c r="AW572" s="1"/>
      <c r="AY572" s="1"/>
    </row>
    <row r="573">
      <c r="A573" s="1"/>
      <c r="C573" s="1"/>
      <c r="E573" s="1"/>
      <c r="F573" s="1"/>
      <c r="G573" s="1"/>
      <c r="H573" s="1"/>
      <c r="I573" s="1"/>
      <c r="J573" s="1"/>
      <c r="K573" s="1"/>
      <c r="M573" s="1"/>
      <c r="N573" s="1"/>
      <c r="O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U573" s="1"/>
      <c r="AW573" s="1"/>
      <c r="AY573" s="1"/>
    </row>
    <row r="574">
      <c r="A574" s="1"/>
      <c r="C574" s="1"/>
      <c r="E574" s="1"/>
      <c r="F574" s="1"/>
      <c r="G574" s="1"/>
      <c r="H574" s="1"/>
      <c r="I574" s="1"/>
      <c r="J574" s="1"/>
      <c r="K574" s="1"/>
      <c r="M574" s="1"/>
      <c r="N574" s="1"/>
      <c r="O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U574" s="1"/>
      <c r="AW574" s="1"/>
      <c r="AY574" s="1"/>
    </row>
    <row r="575">
      <c r="A575" s="1"/>
      <c r="C575" s="1"/>
      <c r="E575" s="1"/>
      <c r="F575" s="1"/>
      <c r="G575" s="1"/>
      <c r="H575" s="1"/>
      <c r="I575" s="1"/>
      <c r="J575" s="1"/>
      <c r="K575" s="1"/>
      <c r="M575" s="1"/>
      <c r="N575" s="1"/>
      <c r="O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U575" s="1"/>
      <c r="AW575" s="1"/>
      <c r="AY575" s="1"/>
    </row>
    <row r="576">
      <c r="A576" s="1"/>
      <c r="C576" s="1"/>
      <c r="E576" s="1"/>
      <c r="F576" s="1"/>
      <c r="G576" s="1"/>
      <c r="H576" s="1"/>
      <c r="I576" s="1"/>
      <c r="J576" s="1"/>
      <c r="K576" s="1"/>
      <c r="M576" s="1"/>
      <c r="N576" s="1"/>
      <c r="O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U576" s="1"/>
      <c r="AW576" s="1"/>
      <c r="AY576" s="1"/>
    </row>
    <row r="577">
      <c r="A577" s="1"/>
      <c r="C577" s="1"/>
      <c r="E577" s="1"/>
      <c r="F577" s="1"/>
      <c r="G577" s="1"/>
      <c r="H577" s="1"/>
      <c r="I577" s="1"/>
      <c r="J577" s="1"/>
      <c r="K577" s="1"/>
      <c r="M577" s="1"/>
      <c r="N577" s="1"/>
      <c r="O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U577" s="1"/>
      <c r="AW577" s="1"/>
      <c r="AY577" s="1"/>
    </row>
    <row r="578">
      <c r="A578" s="1"/>
      <c r="C578" s="1"/>
      <c r="E578" s="1"/>
      <c r="F578" s="1"/>
      <c r="G578" s="1"/>
      <c r="H578" s="1"/>
      <c r="I578" s="1"/>
      <c r="J578" s="1"/>
      <c r="K578" s="1"/>
      <c r="M578" s="1"/>
      <c r="N578" s="1"/>
      <c r="O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U578" s="1"/>
      <c r="AW578" s="1"/>
      <c r="AY578" s="1"/>
    </row>
    <row r="579">
      <c r="A579" s="1"/>
      <c r="C579" s="1"/>
      <c r="E579" s="1"/>
      <c r="F579" s="1"/>
      <c r="G579" s="1"/>
      <c r="H579" s="1"/>
      <c r="I579" s="1"/>
      <c r="J579" s="1"/>
      <c r="K579" s="1"/>
      <c r="M579" s="1"/>
      <c r="N579" s="1"/>
      <c r="O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U579" s="1"/>
      <c r="AW579" s="1"/>
      <c r="AY579" s="1"/>
    </row>
    <row r="580">
      <c r="A580" s="1"/>
      <c r="C580" s="1"/>
      <c r="E580" s="1"/>
      <c r="F580" s="1"/>
      <c r="G580" s="1"/>
      <c r="H580" s="1"/>
      <c r="I580" s="1"/>
      <c r="J580" s="1"/>
      <c r="K580" s="1"/>
      <c r="M580" s="1"/>
      <c r="N580" s="1"/>
      <c r="O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U580" s="1"/>
      <c r="AW580" s="1"/>
      <c r="AY580" s="1"/>
    </row>
    <row r="581">
      <c r="A581" s="1"/>
      <c r="C581" s="1"/>
      <c r="E581" s="1"/>
      <c r="F581" s="1"/>
      <c r="G581" s="1"/>
      <c r="H581" s="1"/>
      <c r="I581" s="1"/>
      <c r="J581" s="1"/>
      <c r="K581" s="1"/>
      <c r="M581" s="1"/>
      <c r="N581" s="1"/>
      <c r="O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U581" s="1"/>
      <c r="AW581" s="1"/>
      <c r="AY581" s="1"/>
    </row>
    <row r="582">
      <c r="A582" s="1"/>
      <c r="C582" s="1"/>
      <c r="E582" s="1"/>
      <c r="F582" s="1"/>
      <c r="G582" s="1"/>
      <c r="H582" s="1"/>
      <c r="I582" s="1"/>
      <c r="J582" s="1"/>
      <c r="K582" s="1"/>
      <c r="M582" s="1"/>
      <c r="N582" s="1"/>
      <c r="O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U582" s="1"/>
      <c r="AW582" s="1"/>
      <c r="AY582" s="1"/>
    </row>
    <row r="583">
      <c r="A583" s="1"/>
      <c r="C583" s="1"/>
      <c r="E583" s="1"/>
      <c r="F583" s="1"/>
      <c r="G583" s="1"/>
      <c r="H583" s="1"/>
      <c r="I583" s="1"/>
      <c r="J583" s="1"/>
      <c r="K583" s="1"/>
      <c r="M583" s="1"/>
      <c r="N583" s="1"/>
      <c r="O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U583" s="1"/>
      <c r="AW583" s="1"/>
      <c r="AY583" s="1"/>
    </row>
    <row r="584">
      <c r="A584" s="1"/>
      <c r="C584" s="1"/>
      <c r="E584" s="1"/>
      <c r="F584" s="1"/>
      <c r="G584" s="1"/>
      <c r="H584" s="1"/>
      <c r="I584" s="1"/>
      <c r="J584" s="1"/>
      <c r="K584" s="1"/>
      <c r="M584" s="1"/>
      <c r="N584" s="1"/>
      <c r="O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U584" s="1"/>
      <c r="AW584" s="1"/>
      <c r="AY584" s="1"/>
    </row>
    <row r="585">
      <c r="A585" s="1"/>
      <c r="C585" s="1"/>
      <c r="E585" s="1"/>
      <c r="F585" s="1"/>
      <c r="G585" s="1"/>
      <c r="H585" s="1"/>
      <c r="I585" s="1"/>
      <c r="J585" s="1"/>
      <c r="K585" s="1"/>
      <c r="M585" s="1"/>
      <c r="N585" s="1"/>
      <c r="O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U585" s="1"/>
      <c r="AW585" s="1"/>
      <c r="AY585" s="1"/>
    </row>
    <row r="586">
      <c r="A586" s="1"/>
      <c r="C586" s="1"/>
      <c r="E586" s="1"/>
      <c r="F586" s="1"/>
      <c r="G586" s="1"/>
      <c r="H586" s="1"/>
      <c r="I586" s="1"/>
      <c r="J586" s="1"/>
      <c r="K586" s="1"/>
      <c r="M586" s="1"/>
      <c r="N586" s="1"/>
      <c r="O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U586" s="1"/>
      <c r="AW586" s="1"/>
      <c r="AY586" s="1"/>
    </row>
    <row r="587">
      <c r="A587" s="1"/>
      <c r="C587" s="1"/>
      <c r="E587" s="1"/>
      <c r="F587" s="1"/>
      <c r="G587" s="1"/>
      <c r="H587" s="1"/>
      <c r="I587" s="1"/>
      <c r="J587" s="1"/>
      <c r="K587" s="1"/>
      <c r="M587" s="1"/>
      <c r="N587" s="1"/>
      <c r="O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U587" s="1"/>
      <c r="AW587" s="1"/>
      <c r="AY587" s="1"/>
    </row>
    <row r="588">
      <c r="A588" s="1"/>
      <c r="C588" s="1"/>
      <c r="E588" s="1"/>
      <c r="F588" s="1"/>
      <c r="G588" s="1"/>
      <c r="H588" s="1"/>
      <c r="I588" s="1"/>
      <c r="J588" s="1"/>
      <c r="K588" s="1"/>
      <c r="M588" s="1"/>
      <c r="N588" s="1"/>
      <c r="O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U588" s="1"/>
      <c r="AW588" s="1"/>
      <c r="AY588" s="1"/>
    </row>
    <row r="589">
      <c r="A589" s="1"/>
      <c r="C589" s="1"/>
      <c r="E589" s="1"/>
      <c r="F589" s="1"/>
      <c r="G589" s="1"/>
      <c r="H589" s="1"/>
      <c r="I589" s="1"/>
      <c r="J589" s="1"/>
      <c r="K589" s="1"/>
      <c r="M589" s="1"/>
      <c r="N589" s="1"/>
      <c r="O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U589" s="1"/>
      <c r="AW589" s="1"/>
      <c r="AY589" s="1"/>
    </row>
    <row r="590">
      <c r="A590" s="1"/>
      <c r="C590" s="1"/>
      <c r="E590" s="1"/>
      <c r="F590" s="1"/>
      <c r="G590" s="1"/>
      <c r="H590" s="1"/>
      <c r="I590" s="1"/>
      <c r="J590" s="1"/>
      <c r="K590" s="1"/>
      <c r="M590" s="1"/>
      <c r="N590" s="1"/>
      <c r="O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U590" s="1"/>
      <c r="AW590" s="1"/>
      <c r="AY590" s="1"/>
    </row>
    <row r="591">
      <c r="A591" s="1"/>
      <c r="C591" s="1"/>
      <c r="E591" s="1"/>
      <c r="F591" s="1"/>
      <c r="G591" s="1"/>
      <c r="H591" s="1"/>
      <c r="I591" s="1"/>
      <c r="J591" s="1"/>
      <c r="K591" s="1"/>
      <c r="M591" s="1"/>
      <c r="N591" s="1"/>
      <c r="O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U591" s="1"/>
      <c r="AW591" s="1"/>
      <c r="AY591" s="1"/>
    </row>
    <row r="592">
      <c r="A592" s="1"/>
      <c r="C592" s="1"/>
      <c r="E592" s="1"/>
      <c r="F592" s="1"/>
      <c r="G592" s="1"/>
      <c r="H592" s="1"/>
      <c r="I592" s="1"/>
      <c r="J592" s="1"/>
      <c r="K592" s="1"/>
      <c r="M592" s="1"/>
      <c r="N592" s="1"/>
      <c r="O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U592" s="1"/>
      <c r="AW592" s="1"/>
      <c r="AY592" s="1"/>
    </row>
    <row r="593">
      <c r="A593" s="1"/>
      <c r="C593" s="1"/>
      <c r="E593" s="1"/>
      <c r="F593" s="1"/>
      <c r="G593" s="1"/>
      <c r="H593" s="1"/>
      <c r="I593" s="1"/>
      <c r="J593" s="1"/>
      <c r="K593" s="1"/>
      <c r="M593" s="1"/>
      <c r="N593" s="1"/>
      <c r="O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U593" s="1"/>
      <c r="AW593" s="1"/>
      <c r="AY593" s="1"/>
    </row>
    <row r="594">
      <c r="A594" s="1"/>
      <c r="C594" s="1"/>
      <c r="E594" s="1"/>
      <c r="F594" s="1"/>
      <c r="G594" s="1"/>
      <c r="H594" s="1"/>
      <c r="I594" s="1"/>
      <c r="J594" s="1"/>
      <c r="K594" s="1"/>
      <c r="M594" s="1"/>
      <c r="N594" s="1"/>
      <c r="O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U594" s="1"/>
      <c r="AW594" s="1"/>
      <c r="AY594" s="1"/>
    </row>
    <row r="595">
      <c r="A595" s="1"/>
      <c r="C595" s="1"/>
      <c r="E595" s="1"/>
      <c r="F595" s="1"/>
      <c r="G595" s="1"/>
      <c r="H595" s="1"/>
      <c r="I595" s="1"/>
      <c r="J595" s="1"/>
      <c r="K595" s="1"/>
      <c r="M595" s="1"/>
      <c r="N595" s="1"/>
      <c r="O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U595" s="1"/>
      <c r="AW595" s="1"/>
      <c r="AY595" s="1"/>
    </row>
    <row r="596">
      <c r="A596" s="1"/>
      <c r="C596" s="1"/>
      <c r="E596" s="1"/>
      <c r="F596" s="1"/>
      <c r="G596" s="1"/>
      <c r="H596" s="1"/>
      <c r="I596" s="1"/>
      <c r="J596" s="1"/>
      <c r="K596" s="1"/>
      <c r="M596" s="1"/>
      <c r="N596" s="1"/>
      <c r="O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U596" s="1"/>
      <c r="AW596" s="1"/>
      <c r="AY596" s="1"/>
    </row>
    <row r="597">
      <c r="A597" s="1"/>
      <c r="C597" s="1"/>
      <c r="E597" s="1"/>
      <c r="F597" s="1"/>
      <c r="G597" s="1"/>
      <c r="H597" s="1"/>
      <c r="I597" s="1"/>
      <c r="J597" s="1"/>
      <c r="K597" s="1"/>
      <c r="M597" s="1"/>
      <c r="N597" s="1"/>
      <c r="O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U597" s="1"/>
      <c r="AW597" s="1"/>
      <c r="AY597" s="1"/>
    </row>
    <row r="598">
      <c r="A598" s="1"/>
      <c r="C598" s="1"/>
      <c r="E598" s="1"/>
      <c r="F598" s="1"/>
      <c r="G598" s="1"/>
      <c r="H598" s="1"/>
      <c r="I598" s="1"/>
      <c r="J598" s="1"/>
      <c r="K598" s="1"/>
      <c r="M598" s="1"/>
      <c r="N598" s="1"/>
      <c r="O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U598" s="1"/>
      <c r="AW598" s="1"/>
      <c r="AY598" s="1"/>
    </row>
    <row r="599">
      <c r="A599" s="1"/>
      <c r="C599" s="1"/>
      <c r="E599" s="1"/>
      <c r="F599" s="1"/>
      <c r="G599" s="1"/>
      <c r="H599" s="1"/>
      <c r="I599" s="1"/>
      <c r="J599" s="1"/>
      <c r="K599" s="1"/>
      <c r="M599" s="1"/>
      <c r="N599" s="1"/>
      <c r="O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U599" s="1"/>
      <c r="AW599" s="1"/>
      <c r="AY599" s="1"/>
    </row>
    <row r="600">
      <c r="A600" s="1"/>
      <c r="C600" s="1"/>
      <c r="E600" s="1"/>
      <c r="F600" s="1"/>
      <c r="G600" s="1"/>
      <c r="H600" s="1"/>
      <c r="I600" s="1"/>
      <c r="J600" s="1"/>
      <c r="K600" s="1"/>
      <c r="M600" s="1"/>
      <c r="N600" s="1"/>
      <c r="O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U600" s="1"/>
      <c r="AW600" s="1"/>
      <c r="AY600" s="1"/>
    </row>
    <row r="601">
      <c r="A601" s="1"/>
      <c r="C601" s="1"/>
      <c r="E601" s="1"/>
      <c r="F601" s="1"/>
      <c r="G601" s="1"/>
      <c r="H601" s="1"/>
      <c r="I601" s="1"/>
      <c r="J601" s="1"/>
      <c r="K601" s="1"/>
      <c r="M601" s="1"/>
      <c r="N601" s="1"/>
      <c r="O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U601" s="1"/>
      <c r="AW601" s="1"/>
      <c r="AY601" s="1"/>
    </row>
    <row r="602">
      <c r="A602" s="1"/>
      <c r="C602" s="1"/>
      <c r="E602" s="1"/>
      <c r="F602" s="1"/>
      <c r="G602" s="1"/>
      <c r="H602" s="1"/>
      <c r="I602" s="1"/>
      <c r="J602" s="1"/>
      <c r="K602" s="1"/>
      <c r="M602" s="1"/>
      <c r="N602" s="1"/>
      <c r="O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U602" s="1"/>
      <c r="AW602" s="1"/>
      <c r="AY602" s="1"/>
    </row>
    <row r="603">
      <c r="A603" s="1"/>
      <c r="C603" s="1"/>
      <c r="E603" s="1"/>
      <c r="F603" s="1"/>
      <c r="G603" s="1"/>
      <c r="H603" s="1"/>
      <c r="I603" s="1"/>
      <c r="J603" s="1"/>
      <c r="K603" s="1"/>
      <c r="M603" s="1"/>
      <c r="N603" s="1"/>
      <c r="O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U603" s="1"/>
      <c r="AW603" s="1"/>
      <c r="AY603" s="1"/>
    </row>
    <row r="604">
      <c r="A604" s="1"/>
      <c r="C604" s="1"/>
      <c r="E604" s="1"/>
      <c r="F604" s="1"/>
      <c r="G604" s="1"/>
      <c r="H604" s="1"/>
      <c r="I604" s="1"/>
      <c r="J604" s="1"/>
      <c r="K604" s="1"/>
      <c r="M604" s="1"/>
      <c r="N604" s="1"/>
      <c r="O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U604" s="1"/>
      <c r="AW604" s="1"/>
      <c r="AY604" s="1"/>
    </row>
    <row r="605">
      <c r="A605" s="1"/>
      <c r="C605" s="1"/>
      <c r="E605" s="1"/>
      <c r="F605" s="1"/>
      <c r="G605" s="1"/>
      <c r="H605" s="1"/>
      <c r="I605" s="1"/>
      <c r="J605" s="1"/>
      <c r="K605" s="1"/>
      <c r="M605" s="1"/>
      <c r="N605" s="1"/>
      <c r="O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U605" s="1"/>
      <c r="AW605" s="1"/>
      <c r="AY605" s="1"/>
    </row>
    <row r="606">
      <c r="A606" s="1"/>
      <c r="C606" s="1"/>
      <c r="E606" s="1"/>
      <c r="F606" s="1"/>
      <c r="G606" s="1"/>
      <c r="H606" s="1"/>
      <c r="I606" s="1"/>
      <c r="J606" s="1"/>
      <c r="K606" s="1"/>
      <c r="M606" s="1"/>
      <c r="N606" s="1"/>
      <c r="O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U606" s="1"/>
      <c r="AW606" s="1"/>
      <c r="AY606" s="1"/>
    </row>
    <row r="607">
      <c r="A607" s="1"/>
      <c r="C607" s="1"/>
      <c r="E607" s="1"/>
      <c r="F607" s="1"/>
      <c r="G607" s="1"/>
      <c r="H607" s="1"/>
      <c r="I607" s="1"/>
      <c r="J607" s="1"/>
      <c r="K607" s="1"/>
      <c r="M607" s="1"/>
      <c r="N607" s="1"/>
      <c r="O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U607" s="1"/>
      <c r="AW607" s="1"/>
      <c r="AY607" s="1"/>
    </row>
    <row r="608">
      <c r="A608" s="1"/>
      <c r="C608" s="1"/>
      <c r="E608" s="1"/>
      <c r="F608" s="1"/>
      <c r="G608" s="1"/>
      <c r="H608" s="1"/>
      <c r="I608" s="1"/>
      <c r="J608" s="1"/>
      <c r="K608" s="1"/>
      <c r="M608" s="1"/>
      <c r="N608" s="1"/>
      <c r="O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U608" s="1"/>
      <c r="AW608" s="1"/>
      <c r="AY608" s="1"/>
    </row>
    <row r="609">
      <c r="A609" s="1"/>
      <c r="C609" s="1"/>
      <c r="E609" s="1"/>
      <c r="F609" s="1"/>
      <c r="G609" s="1"/>
      <c r="H609" s="1"/>
      <c r="I609" s="1"/>
      <c r="J609" s="1"/>
      <c r="K609" s="1"/>
      <c r="M609" s="1"/>
      <c r="N609" s="1"/>
      <c r="O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U609" s="1"/>
      <c r="AW609" s="1"/>
      <c r="AY609" s="1"/>
    </row>
    <row r="610">
      <c r="A610" s="1"/>
      <c r="C610" s="1"/>
      <c r="E610" s="1"/>
      <c r="F610" s="1"/>
      <c r="G610" s="1"/>
      <c r="H610" s="1"/>
      <c r="I610" s="1"/>
      <c r="J610" s="1"/>
      <c r="K610" s="1"/>
      <c r="M610" s="1"/>
      <c r="N610" s="1"/>
      <c r="O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U610" s="1"/>
      <c r="AW610" s="1"/>
      <c r="AY610" s="1"/>
    </row>
    <row r="611">
      <c r="A611" s="1"/>
      <c r="C611" s="1"/>
      <c r="E611" s="1"/>
      <c r="F611" s="1"/>
      <c r="G611" s="1"/>
      <c r="H611" s="1"/>
      <c r="I611" s="1"/>
      <c r="J611" s="1"/>
      <c r="K611" s="1"/>
      <c r="M611" s="1"/>
      <c r="N611" s="1"/>
      <c r="O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U611" s="1"/>
      <c r="AW611" s="1"/>
      <c r="AY611" s="1"/>
    </row>
    <row r="612">
      <c r="A612" s="1"/>
      <c r="C612" s="1"/>
      <c r="E612" s="1"/>
      <c r="F612" s="1"/>
      <c r="G612" s="1"/>
      <c r="H612" s="1"/>
      <c r="I612" s="1"/>
      <c r="J612" s="1"/>
      <c r="K612" s="1"/>
      <c r="M612" s="1"/>
      <c r="N612" s="1"/>
      <c r="O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U612" s="1"/>
      <c r="AW612" s="1"/>
      <c r="AY612" s="1"/>
    </row>
    <row r="613">
      <c r="A613" s="1"/>
      <c r="C613" s="1"/>
      <c r="E613" s="1"/>
      <c r="F613" s="1"/>
      <c r="G613" s="1"/>
      <c r="H613" s="1"/>
      <c r="I613" s="1"/>
      <c r="J613" s="1"/>
      <c r="K613" s="1"/>
      <c r="M613" s="1"/>
      <c r="N613" s="1"/>
      <c r="O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U613" s="1"/>
      <c r="AW613" s="1"/>
      <c r="AY613" s="1"/>
    </row>
    <row r="614">
      <c r="A614" s="1"/>
      <c r="C614" s="1"/>
      <c r="E614" s="1"/>
      <c r="F614" s="1"/>
      <c r="G614" s="1"/>
      <c r="H614" s="1"/>
      <c r="I614" s="1"/>
      <c r="J614" s="1"/>
      <c r="K614" s="1"/>
      <c r="M614" s="1"/>
      <c r="N614" s="1"/>
      <c r="O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U614" s="1"/>
      <c r="AW614" s="1"/>
      <c r="AY614" s="1"/>
    </row>
    <row r="615">
      <c r="A615" s="1"/>
      <c r="C615" s="1"/>
      <c r="E615" s="1"/>
      <c r="F615" s="1"/>
      <c r="G615" s="1"/>
      <c r="H615" s="1"/>
      <c r="I615" s="1"/>
      <c r="J615" s="1"/>
      <c r="K615" s="1"/>
      <c r="M615" s="1"/>
      <c r="N615" s="1"/>
      <c r="O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U615" s="1"/>
      <c r="AW615" s="1"/>
      <c r="AY615" s="1"/>
    </row>
    <row r="616">
      <c r="A616" s="1"/>
      <c r="C616" s="1"/>
      <c r="E616" s="1"/>
      <c r="F616" s="1"/>
      <c r="G616" s="1"/>
      <c r="H616" s="1"/>
      <c r="I616" s="1"/>
      <c r="J616" s="1"/>
      <c r="K616" s="1"/>
      <c r="M616" s="1"/>
      <c r="N616" s="1"/>
      <c r="O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U616" s="1"/>
      <c r="AW616" s="1"/>
      <c r="AY616" s="1"/>
    </row>
    <row r="617">
      <c r="A617" s="1"/>
      <c r="C617" s="1"/>
      <c r="E617" s="1"/>
      <c r="F617" s="1"/>
      <c r="G617" s="1"/>
      <c r="H617" s="1"/>
      <c r="I617" s="1"/>
      <c r="J617" s="1"/>
      <c r="K617" s="1"/>
      <c r="M617" s="1"/>
      <c r="N617" s="1"/>
      <c r="O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U617" s="1"/>
      <c r="AW617" s="1"/>
      <c r="AY617" s="1"/>
    </row>
    <row r="618">
      <c r="A618" s="1"/>
      <c r="C618" s="1"/>
      <c r="E618" s="1"/>
      <c r="F618" s="1"/>
      <c r="G618" s="1"/>
      <c r="H618" s="1"/>
      <c r="I618" s="1"/>
      <c r="J618" s="1"/>
      <c r="K618" s="1"/>
      <c r="M618" s="1"/>
      <c r="N618" s="1"/>
      <c r="O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U618" s="1"/>
      <c r="AW618" s="1"/>
      <c r="AY618" s="1"/>
    </row>
    <row r="619">
      <c r="A619" s="1"/>
      <c r="C619" s="1"/>
      <c r="E619" s="1"/>
      <c r="F619" s="1"/>
      <c r="G619" s="1"/>
      <c r="H619" s="1"/>
      <c r="I619" s="1"/>
      <c r="J619" s="1"/>
      <c r="K619" s="1"/>
      <c r="M619" s="1"/>
      <c r="N619" s="1"/>
      <c r="O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U619" s="1"/>
      <c r="AW619" s="1"/>
      <c r="AY619" s="1"/>
    </row>
    <row r="620">
      <c r="A620" s="1"/>
      <c r="C620" s="1"/>
      <c r="E620" s="1"/>
      <c r="F620" s="1"/>
      <c r="G620" s="1"/>
      <c r="H620" s="1"/>
      <c r="I620" s="1"/>
      <c r="J620" s="1"/>
      <c r="K620" s="1"/>
      <c r="M620" s="1"/>
      <c r="N620" s="1"/>
      <c r="O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U620" s="1"/>
      <c r="AW620" s="1"/>
      <c r="AY620" s="1"/>
    </row>
    <row r="621">
      <c r="A621" s="1"/>
      <c r="C621" s="1"/>
      <c r="E621" s="1"/>
      <c r="F621" s="1"/>
      <c r="G621" s="1"/>
      <c r="H621" s="1"/>
      <c r="I621" s="1"/>
      <c r="J621" s="1"/>
      <c r="K621" s="1"/>
      <c r="M621" s="1"/>
      <c r="N621" s="1"/>
      <c r="O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U621" s="1"/>
      <c r="AW621" s="1"/>
      <c r="AY621" s="1"/>
    </row>
    <row r="622">
      <c r="A622" s="1"/>
      <c r="C622" s="1"/>
      <c r="E622" s="1"/>
      <c r="F622" s="1"/>
      <c r="G622" s="1"/>
      <c r="H622" s="1"/>
      <c r="I622" s="1"/>
      <c r="J622" s="1"/>
      <c r="K622" s="1"/>
      <c r="M622" s="1"/>
      <c r="N622" s="1"/>
      <c r="O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U622" s="1"/>
      <c r="AW622" s="1"/>
      <c r="AY622" s="1"/>
    </row>
    <row r="623">
      <c r="A623" s="1"/>
      <c r="C623" s="1"/>
      <c r="E623" s="1"/>
      <c r="F623" s="1"/>
      <c r="G623" s="1"/>
      <c r="H623" s="1"/>
      <c r="I623" s="1"/>
      <c r="J623" s="1"/>
      <c r="K623" s="1"/>
      <c r="M623" s="1"/>
      <c r="N623" s="1"/>
      <c r="O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U623" s="1"/>
      <c r="AW623" s="1"/>
      <c r="AY623" s="1"/>
    </row>
    <row r="624">
      <c r="A624" s="1"/>
      <c r="C624" s="1"/>
      <c r="E624" s="1"/>
      <c r="F624" s="1"/>
      <c r="G624" s="1"/>
      <c r="H624" s="1"/>
      <c r="I624" s="1"/>
      <c r="J624" s="1"/>
      <c r="K624" s="1"/>
      <c r="M624" s="1"/>
      <c r="N624" s="1"/>
      <c r="O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U624" s="1"/>
      <c r="AW624" s="1"/>
      <c r="AY624" s="1"/>
    </row>
    <row r="625">
      <c r="A625" s="1"/>
      <c r="C625" s="1"/>
      <c r="E625" s="1"/>
      <c r="F625" s="1"/>
      <c r="G625" s="1"/>
      <c r="H625" s="1"/>
      <c r="I625" s="1"/>
      <c r="J625" s="1"/>
      <c r="K625" s="1"/>
      <c r="M625" s="1"/>
      <c r="N625" s="1"/>
      <c r="O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U625" s="1"/>
      <c r="AW625" s="1"/>
      <c r="AY625" s="1"/>
    </row>
    <row r="626">
      <c r="A626" s="1"/>
      <c r="C626" s="1"/>
      <c r="E626" s="1"/>
      <c r="F626" s="1"/>
      <c r="G626" s="1"/>
      <c r="H626" s="1"/>
      <c r="I626" s="1"/>
      <c r="J626" s="1"/>
      <c r="K626" s="1"/>
      <c r="M626" s="1"/>
      <c r="N626" s="1"/>
      <c r="O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U626" s="1"/>
      <c r="AW626" s="1"/>
      <c r="AY626" s="1"/>
    </row>
    <row r="627">
      <c r="A627" s="1"/>
      <c r="C627" s="1"/>
      <c r="E627" s="1"/>
      <c r="F627" s="1"/>
      <c r="G627" s="1"/>
      <c r="H627" s="1"/>
      <c r="I627" s="1"/>
      <c r="J627" s="1"/>
      <c r="K627" s="1"/>
      <c r="M627" s="1"/>
      <c r="N627" s="1"/>
      <c r="O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U627" s="1"/>
      <c r="AW627" s="1"/>
      <c r="AY627" s="1"/>
    </row>
    <row r="628">
      <c r="A628" s="1"/>
      <c r="C628" s="1"/>
      <c r="E628" s="1"/>
      <c r="F628" s="1"/>
      <c r="G628" s="1"/>
      <c r="H628" s="1"/>
      <c r="I628" s="1"/>
      <c r="J628" s="1"/>
      <c r="K628" s="1"/>
      <c r="M628" s="1"/>
      <c r="N628" s="1"/>
      <c r="O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U628" s="1"/>
      <c r="AW628" s="1"/>
      <c r="AY628" s="1"/>
    </row>
    <row r="629">
      <c r="A629" s="1"/>
      <c r="C629" s="1"/>
      <c r="E629" s="1"/>
      <c r="F629" s="1"/>
      <c r="G629" s="1"/>
      <c r="H629" s="1"/>
      <c r="I629" s="1"/>
      <c r="J629" s="1"/>
      <c r="K629" s="1"/>
      <c r="M629" s="1"/>
      <c r="N629" s="1"/>
      <c r="O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U629" s="1"/>
      <c r="AW629" s="1"/>
      <c r="AY629" s="1"/>
    </row>
    <row r="630">
      <c r="A630" s="1"/>
      <c r="C630" s="1"/>
      <c r="E630" s="1"/>
      <c r="F630" s="1"/>
      <c r="G630" s="1"/>
      <c r="H630" s="1"/>
      <c r="I630" s="1"/>
      <c r="J630" s="1"/>
      <c r="K630" s="1"/>
      <c r="M630" s="1"/>
      <c r="N630" s="1"/>
      <c r="O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U630" s="1"/>
      <c r="AW630" s="1"/>
      <c r="AY630" s="1"/>
    </row>
    <row r="631">
      <c r="A631" s="1"/>
      <c r="C631" s="1"/>
      <c r="E631" s="1"/>
      <c r="F631" s="1"/>
      <c r="G631" s="1"/>
      <c r="H631" s="1"/>
      <c r="I631" s="1"/>
      <c r="J631" s="1"/>
      <c r="K631" s="1"/>
      <c r="M631" s="1"/>
      <c r="N631" s="1"/>
      <c r="O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U631" s="1"/>
      <c r="AW631" s="1"/>
      <c r="AY631" s="1"/>
    </row>
    <row r="632">
      <c r="A632" s="1"/>
      <c r="C632" s="1"/>
      <c r="E632" s="1"/>
      <c r="F632" s="1"/>
      <c r="G632" s="1"/>
      <c r="H632" s="1"/>
      <c r="I632" s="1"/>
      <c r="J632" s="1"/>
      <c r="K632" s="1"/>
      <c r="M632" s="1"/>
      <c r="N632" s="1"/>
      <c r="O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U632" s="1"/>
      <c r="AW632" s="1"/>
      <c r="AY632" s="1"/>
    </row>
    <row r="633">
      <c r="A633" s="1"/>
      <c r="C633" s="1"/>
      <c r="E633" s="1"/>
      <c r="F633" s="1"/>
      <c r="G633" s="1"/>
      <c r="H633" s="1"/>
      <c r="I633" s="1"/>
      <c r="J633" s="1"/>
      <c r="K633" s="1"/>
      <c r="M633" s="1"/>
      <c r="N633" s="1"/>
      <c r="O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U633" s="1"/>
      <c r="AW633" s="1"/>
      <c r="AY633" s="1"/>
    </row>
    <row r="634">
      <c r="A634" s="1"/>
      <c r="C634" s="1"/>
      <c r="E634" s="1"/>
      <c r="F634" s="1"/>
      <c r="G634" s="1"/>
      <c r="H634" s="1"/>
      <c r="I634" s="1"/>
      <c r="J634" s="1"/>
      <c r="K634" s="1"/>
      <c r="M634" s="1"/>
      <c r="N634" s="1"/>
      <c r="O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U634" s="1"/>
      <c r="AW634" s="1"/>
      <c r="AY634" s="1"/>
    </row>
    <row r="635">
      <c r="A635" s="1"/>
      <c r="C635" s="1"/>
      <c r="E635" s="1"/>
      <c r="F635" s="1"/>
      <c r="G635" s="1"/>
      <c r="H635" s="1"/>
      <c r="I635" s="1"/>
      <c r="J635" s="1"/>
      <c r="K635" s="1"/>
      <c r="M635" s="1"/>
      <c r="N635" s="1"/>
      <c r="O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U635" s="1"/>
      <c r="AW635" s="1"/>
      <c r="AY635" s="1"/>
    </row>
    <row r="636">
      <c r="A636" s="1"/>
      <c r="C636" s="1"/>
      <c r="E636" s="1"/>
      <c r="F636" s="1"/>
      <c r="G636" s="1"/>
      <c r="H636" s="1"/>
      <c r="I636" s="1"/>
      <c r="J636" s="1"/>
      <c r="K636" s="1"/>
      <c r="M636" s="1"/>
      <c r="N636" s="1"/>
      <c r="O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U636" s="1"/>
      <c r="AW636" s="1"/>
      <c r="AY636" s="1"/>
    </row>
    <row r="637">
      <c r="A637" s="1"/>
      <c r="C637" s="1"/>
      <c r="E637" s="1"/>
      <c r="F637" s="1"/>
      <c r="G637" s="1"/>
      <c r="H637" s="1"/>
      <c r="I637" s="1"/>
      <c r="J637" s="1"/>
      <c r="K637" s="1"/>
      <c r="M637" s="1"/>
      <c r="N637" s="1"/>
      <c r="O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U637" s="1"/>
      <c r="AW637" s="1"/>
      <c r="AY637" s="1"/>
    </row>
    <row r="638">
      <c r="A638" s="1"/>
      <c r="C638" s="1"/>
      <c r="E638" s="1"/>
      <c r="F638" s="1"/>
      <c r="G638" s="1"/>
      <c r="H638" s="1"/>
      <c r="I638" s="1"/>
      <c r="J638" s="1"/>
      <c r="K638" s="1"/>
      <c r="M638" s="1"/>
      <c r="N638" s="1"/>
      <c r="O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U638" s="1"/>
      <c r="AW638" s="1"/>
      <c r="AY638" s="1"/>
    </row>
    <row r="639">
      <c r="A639" s="1"/>
      <c r="C639" s="1"/>
      <c r="E639" s="1"/>
      <c r="F639" s="1"/>
      <c r="G639" s="1"/>
      <c r="H639" s="1"/>
      <c r="I639" s="1"/>
      <c r="J639" s="1"/>
      <c r="K639" s="1"/>
      <c r="M639" s="1"/>
      <c r="N639" s="1"/>
      <c r="O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U639" s="1"/>
      <c r="AW639" s="1"/>
      <c r="AY639" s="1"/>
    </row>
    <row r="640">
      <c r="A640" s="1"/>
      <c r="C640" s="1"/>
      <c r="E640" s="1"/>
      <c r="F640" s="1"/>
      <c r="G640" s="1"/>
      <c r="H640" s="1"/>
      <c r="I640" s="1"/>
      <c r="J640" s="1"/>
      <c r="K640" s="1"/>
      <c r="M640" s="1"/>
      <c r="N640" s="1"/>
      <c r="O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U640" s="1"/>
      <c r="AW640" s="1"/>
      <c r="AY640" s="1"/>
    </row>
    <row r="641">
      <c r="A641" s="1"/>
      <c r="C641" s="1"/>
      <c r="E641" s="1"/>
      <c r="F641" s="1"/>
      <c r="G641" s="1"/>
      <c r="H641" s="1"/>
      <c r="I641" s="1"/>
      <c r="J641" s="1"/>
      <c r="K641" s="1"/>
      <c r="M641" s="1"/>
      <c r="N641" s="1"/>
      <c r="O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U641" s="1"/>
      <c r="AW641" s="1"/>
      <c r="AY641" s="1"/>
    </row>
    <row r="642">
      <c r="A642" s="1"/>
      <c r="C642" s="1"/>
      <c r="E642" s="1"/>
      <c r="F642" s="1"/>
      <c r="G642" s="1"/>
      <c r="H642" s="1"/>
      <c r="I642" s="1"/>
      <c r="J642" s="1"/>
      <c r="K642" s="1"/>
      <c r="M642" s="1"/>
      <c r="N642" s="1"/>
      <c r="O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U642" s="1"/>
      <c r="AW642" s="1"/>
      <c r="AY642" s="1"/>
    </row>
    <row r="643">
      <c r="A643" s="1"/>
      <c r="C643" s="1"/>
      <c r="E643" s="1"/>
      <c r="F643" s="1"/>
      <c r="G643" s="1"/>
      <c r="H643" s="1"/>
      <c r="I643" s="1"/>
      <c r="J643" s="1"/>
      <c r="K643" s="1"/>
      <c r="M643" s="1"/>
      <c r="N643" s="1"/>
      <c r="O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U643" s="1"/>
      <c r="AW643" s="1"/>
      <c r="AY643" s="1"/>
    </row>
    <row r="644">
      <c r="A644" s="1"/>
      <c r="C644" s="1"/>
      <c r="E644" s="1"/>
      <c r="F644" s="1"/>
      <c r="G644" s="1"/>
      <c r="H644" s="1"/>
      <c r="I644" s="1"/>
      <c r="J644" s="1"/>
      <c r="K644" s="1"/>
      <c r="M644" s="1"/>
      <c r="N644" s="1"/>
      <c r="O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U644" s="1"/>
      <c r="AW644" s="1"/>
      <c r="AY644" s="1"/>
    </row>
    <row r="645">
      <c r="A645" s="1"/>
      <c r="C645" s="1"/>
      <c r="E645" s="1"/>
      <c r="F645" s="1"/>
      <c r="G645" s="1"/>
      <c r="H645" s="1"/>
      <c r="I645" s="1"/>
      <c r="J645" s="1"/>
      <c r="K645" s="1"/>
      <c r="M645" s="1"/>
      <c r="N645" s="1"/>
      <c r="O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U645" s="1"/>
      <c r="AW645" s="1"/>
      <c r="AY645" s="1"/>
    </row>
    <row r="646">
      <c r="A646" s="1"/>
      <c r="C646" s="1"/>
      <c r="E646" s="1"/>
      <c r="F646" s="1"/>
      <c r="G646" s="1"/>
      <c r="H646" s="1"/>
      <c r="I646" s="1"/>
      <c r="J646" s="1"/>
      <c r="K646" s="1"/>
      <c r="M646" s="1"/>
      <c r="N646" s="1"/>
      <c r="O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U646" s="1"/>
      <c r="AW646" s="1"/>
      <c r="AY646" s="1"/>
    </row>
    <row r="647">
      <c r="A647" s="1"/>
      <c r="C647" s="1"/>
      <c r="E647" s="1"/>
      <c r="F647" s="1"/>
      <c r="G647" s="1"/>
      <c r="H647" s="1"/>
      <c r="I647" s="1"/>
      <c r="J647" s="1"/>
      <c r="K647" s="1"/>
      <c r="M647" s="1"/>
      <c r="N647" s="1"/>
      <c r="O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U647" s="1"/>
      <c r="AW647" s="1"/>
      <c r="AY647" s="1"/>
    </row>
    <row r="648">
      <c r="A648" s="1"/>
      <c r="C648" s="1"/>
      <c r="E648" s="1"/>
      <c r="F648" s="1"/>
      <c r="G648" s="1"/>
      <c r="H648" s="1"/>
      <c r="I648" s="1"/>
      <c r="J648" s="1"/>
      <c r="K648" s="1"/>
      <c r="M648" s="1"/>
      <c r="N648" s="1"/>
      <c r="O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U648" s="1"/>
      <c r="AW648" s="1"/>
      <c r="AY648" s="1"/>
    </row>
    <row r="649">
      <c r="A649" s="1"/>
      <c r="C649" s="1"/>
      <c r="E649" s="1"/>
      <c r="F649" s="1"/>
      <c r="G649" s="1"/>
      <c r="H649" s="1"/>
      <c r="I649" s="1"/>
      <c r="J649" s="1"/>
      <c r="K649" s="1"/>
      <c r="M649" s="1"/>
      <c r="N649" s="1"/>
      <c r="O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U649" s="1"/>
      <c r="AW649" s="1"/>
      <c r="AY649" s="1"/>
    </row>
    <row r="650">
      <c r="A650" s="1"/>
      <c r="C650" s="1"/>
      <c r="E650" s="1"/>
      <c r="F650" s="1"/>
      <c r="G650" s="1"/>
      <c r="H650" s="1"/>
      <c r="I650" s="1"/>
      <c r="J650" s="1"/>
      <c r="K650" s="1"/>
      <c r="M650" s="1"/>
      <c r="N650" s="1"/>
      <c r="O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U650" s="1"/>
      <c r="AW650" s="1"/>
      <c r="AY650" s="1"/>
    </row>
    <row r="651">
      <c r="A651" s="1"/>
      <c r="C651" s="1"/>
      <c r="E651" s="1"/>
      <c r="F651" s="1"/>
      <c r="G651" s="1"/>
      <c r="H651" s="1"/>
      <c r="I651" s="1"/>
      <c r="J651" s="1"/>
      <c r="K651" s="1"/>
      <c r="M651" s="1"/>
      <c r="N651" s="1"/>
      <c r="O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U651" s="1"/>
      <c r="AW651" s="1"/>
      <c r="AY651" s="1"/>
    </row>
    <row r="652">
      <c r="A652" s="1"/>
      <c r="C652" s="1"/>
      <c r="E652" s="1"/>
      <c r="F652" s="1"/>
      <c r="G652" s="1"/>
      <c r="H652" s="1"/>
      <c r="I652" s="1"/>
      <c r="J652" s="1"/>
      <c r="K652" s="1"/>
      <c r="M652" s="1"/>
      <c r="N652" s="1"/>
      <c r="O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U652" s="1"/>
      <c r="AW652" s="1"/>
      <c r="AY652" s="1"/>
    </row>
    <row r="653">
      <c r="A653" s="1"/>
      <c r="C653" s="1"/>
      <c r="E653" s="1"/>
      <c r="F653" s="1"/>
      <c r="G653" s="1"/>
      <c r="H653" s="1"/>
      <c r="I653" s="1"/>
      <c r="J653" s="1"/>
      <c r="K653" s="1"/>
      <c r="M653" s="1"/>
      <c r="N653" s="1"/>
      <c r="O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U653" s="1"/>
      <c r="AW653" s="1"/>
      <c r="AY653" s="1"/>
    </row>
    <row r="654">
      <c r="A654" s="1"/>
      <c r="C654" s="1"/>
      <c r="E654" s="1"/>
      <c r="F654" s="1"/>
      <c r="G654" s="1"/>
      <c r="H654" s="1"/>
      <c r="I654" s="1"/>
      <c r="J654" s="1"/>
      <c r="K654" s="1"/>
      <c r="M654" s="1"/>
      <c r="N654" s="1"/>
      <c r="O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U654" s="1"/>
      <c r="AW654" s="1"/>
      <c r="AY654" s="1"/>
    </row>
    <row r="655">
      <c r="A655" s="1"/>
      <c r="C655" s="1"/>
      <c r="E655" s="1"/>
      <c r="F655" s="1"/>
      <c r="G655" s="1"/>
      <c r="H655" s="1"/>
      <c r="I655" s="1"/>
      <c r="J655" s="1"/>
      <c r="K655" s="1"/>
      <c r="M655" s="1"/>
      <c r="N655" s="1"/>
      <c r="O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U655" s="1"/>
      <c r="AW655" s="1"/>
      <c r="AY655" s="1"/>
    </row>
    <row r="656">
      <c r="A656" s="1"/>
      <c r="C656" s="1"/>
      <c r="E656" s="1"/>
      <c r="F656" s="1"/>
      <c r="G656" s="1"/>
      <c r="H656" s="1"/>
      <c r="I656" s="1"/>
      <c r="J656" s="1"/>
      <c r="K656" s="1"/>
      <c r="M656" s="1"/>
      <c r="N656" s="1"/>
      <c r="O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U656" s="1"/>
      <c r="AW656" s="1"/>
      <c r="AY656" s="1"/>
    </row>
    <row r="657">
      <c r="A657" s="1"/>
      <c r="C657" s="1"/>
      <c r="E657" s="1"/>
      <c r="F657" s="1"/>
      <c r="G657" s="1"/>
      <c r="H657" s="1"/>
      <c r="I657" s="1"/>
      <c r="J657" s="1"/>
      <c r="K657" s="1"/>
      <c r="M657" s="1"/>
      <c r="N657" s="1"/>
      <c r="O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U657" s="1"/>
      <c r="AW657" s="1"/>
      <c r="AY657" s="1"/>
    </row>
    <row r="658">
      <c r="A658" s="1"/>
      <c r="C658" s="1"/>
      <c r="E658" s="1"/>
      <c r="F658" s="1"/>
      <c r="G658" s="1"/>
      <c r="H658" s="1"/>
      <c r="I658" s="1"/>
      <c r="J658" s="1"/>
      <c r="K658" s="1"/>
      <c r="M658" s="1"/>
      <c r="N658" s="1"/>
      <c r="O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U658" s="1"/>
      <c r="AW658" s="1"/>
      <c r="AY658" s="1"/>
    </row>
    <row r="659">
      <c r="A659" s="1"/>
      <c r="C659" s="1"/>
      <c r="E659" s="1"/>
      <c r="F659" s="1"/>
      <c r="G659" s="1"/>
      <c r="H659" s="1"/>
      <c r="I659" s="1"/>
      <c r="J659" s="1"/>
      <c r="K659" s="1"/>
      <c r="M659" s="1"/>
      <c r="N659" s="1"/>
      <c r="O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U659" s="1"/>
      <c r="AW659" s="1"/>
      <c r="AY659" s="1"/>
    </row>
    <row r="660">
      <c r="A660" s="1"/>
      <c r="C660" s="1"/>
      <c r="E660" s="1"/>
      <c r="F660" s="1"/>
      <c r="G660" s="1"/>
      <c r="H660" s="1"/>
      <c r="I660" s="1"/>
      <c r="J660" s="1"/>
      <c r="K660" s="1"/>
      <c r="M660" s="1"/>
      <c r="N660" s="1"/>
      <c r="O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U660" s="1"/>
      <c r="AW660" s="1"/>
      <c r="AY660" s="1"/>
    </row>
    <row r="661">
      <c r="A661" s="1"/>
      <c r="C661" s="1"/>
      <c r="E661" s="1"/>
      <c r="F661" s="1"/>
      <c r="G661" s="1"/>
      <c r="H661" s="1"/>
      <c r="I661" s="1"/>
      <c r="J661" s="1"/>
      <c r="K661" s="1"/>
      <c r="M661" s="1"/>
      <c r="N661" s="1"/>
      <c r="O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U661" s="1"/>
      <c r="AW661" s="1"/>
      <c r="AY661" s="1"/>
    </row>
    <row r="662">
      <c r="A662" s="1"/>
      <c r="C662" s="1"/>
      <c r="E662" s="1"/>
      <c r="F662" s="1"/>
      <c r="G662" s="1"/>
      <c r="H662" s="1"/>
      <c r="I662" s="1"/>
      <c r="J662" s="1"/>
      <c r="K662" s="1"/>
      <c r="M662" s="1"/>
      <c r="N662" s="1"/>
      <c r="O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U662" s="1"/>
      <c r="AW662" s="1"/>
      <c r="AY662" s="1"/>
    </row>
    <row r="663">
      <c r="A663" s="1"/>
      <c r="C663" s="1"/>
      <c r="E663" s="1"/>
      <c r="F663" s="1"/>
      <c r="G663" s="1"/>
      <c r="H663" s="1"/>
      <c r="I663" s="1"/>
      <c r="J663" s="1"/>
      <c r="K663" s="1"/>
      <c r="M663" s="1"/>
      <c r="N663" s="1"/>
      <c r="O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U663" s="1"/>
      <c r="AW663" s="1"/>
      <c r="AY663" s="1"/>
    </row>
    <row r="664">
      <c r="A664" s="1"/>
      <c r="C664" s="1"/>
      <c r="E664" s="1"/>
      <c r="F664" s="1"/>
      <c r="G664" s="1"/>
      <c r="H664" s="1"/>
      <c r="I664" s="1"/>
      <c r="J664" s="1"/>
      <c r="K664" s="1"/>
      <c r="M664" s="1"/>
      <c r="N664" s="1"/>
      <c r="O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U664" s="1"/>
      <c r="AW664" s="1"/>
      <c r="AY664" s="1"/>
    </row>
    <row r="665">
      <c r="A665" s="1"/>
      <c r="C665" s="1"/>
      <c r="E665" s="1"/>
      <c r="F665" s="1"/>
      <c r="G665" s="1"/>
      <c r="H665" s="1"/>
      <c r="I665" s="1"/>
      <c r="J665" s="1"/>
      <c r="K665" s="1"/>
      <c r="M665" s="1"/>
      <c r="N665" s="1"/>
      <c r="O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U665" s="1"/>
      <c r="AW665" s="1"/>
      <c r="AY665" s="1"/>
    </row>
    <row r="666">
      <c r="A666" s="1"/>
      <c r="C666" s="1"/>
      <c r="E666" s="1"/>
      <c r="F666" s="1"/>
      <c r="G666" s="1"/>
      <c r="H666" s="1"/>
      <c r="I666" s="1"/>
      <c r="J666" s="1"/>
      <c r="K666" s="1"/>
      <c r="M666" s="1"/>
      <c r="N666" s="1"/>
      <c r="O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U666" s="1"/>
      <c r="AW666" s="1"/>
      <c r="AY666" s="1"/>
    </row>
    <row r="667">
      <c r="A667" s="1"/>
      <c r="C667" s="1"/>
      <c r="E667" s="1"/>
      <c r="F667" s="1"/>
      <c r="G667" s="1"/>
      <c r="H667" s="1"/>
      <c r="I667" s="1"/>
      <c r="J667" s="1"/>
      <c r="K667" s="1"/>
      <c r="M667" s="1"/>
      <c r="N667" s="1"/>
      <c r="O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U667" s="1"/>
      <c r="AW667" s="1"/>
      <c r="AY667" s="1"/>
    </row>
    <row r="668">
      <c r="A668" s="1"/>
      <c r="C668" s="1"/>
      <c r="E668" s="1"/>
      <c r="F668" s="1"/>
      <c r="G668" s="1"/>
      <c r="H668" s="1"/>
      <c r="I668" s="1"/>
      <c r="J668" s="1"/>
      <c r="K668" s="1"/>
      <c r="M668" s="1"/>
      <c r="N668" s="1"/>
      <c r="O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U668" s="1"/>
      <c r="AW668" s="1"/>
      <c r="AY668" s="1"/>
    </row>
    <row r="669">
      <c r="A669" s="1"/>
      <c r="C669" s="1"/>
      <c r="E669" s="1"/>
      <c r="F669" s="1"/>
      <c r="G669" s="1"/>
      <c r="H669" s="1"/>
      <c r="I669" s="1"/>
      <c r="J669" s="1"/>
      <c r="K669" s="1"/>
      <c r="M669" s="1"/>
      <c r="N669" s="1"/>
      <c r="O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U669" s="1"/>
      <c r="AW669" s="1"/>
      <c r="AY669" s="1"/>
    </row>
    <row r="670">
      <c r="A670" s="1"/>
      <c r="C670" s="1"/>
      <c r="E670" s="1"/>
      <c r="F670" s="1"/>
      <c r="G670" s="1"/>
      <c r="H670" s="1"/>
      <c r="I670" s="1"/>
      <c r="J670" s="1"/>
      <c r="K670" s="1"/>
      <c r="M670" s="1"/>
      <c r="N670" s="1"/>
      <c r="O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U670" s="1"/>
      <c r="AW670" s="1"/>
      <c r="AY670" s="1"/>
    </row>
    <row r="671">
      <c r="A671" s="1"/>
      <c r="C671" s="1"/>
      <c r="E671" s="1"/>
      <c r="F671" s="1"/>
      <c r="G671" s="1"/>
      <c r="H671" s="1"/>
      <c r="I671" s="1"/>
      <c r="J671" s="1"/>
      <c r="K671" s="1"/>
      <c r="M671" s="1"/>
      <c r="N671" s="1"/>
      <c r="O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U671" s="1"/>
      <c r="AW671" s="1"/>
      <c r="AY671" s="1"/>
    </row>
    <row r="672">
      <c r="A672" s="1"/>
      <c r="C672" s="1"/>
      <c r="E672" s="1"/>
      <c r="F672" s="1"/>
      <c r="G672" s="1"/>
      <c r="H672" s="1"/>
      <c r="I672" s="1"/>
      <c r="J672" s="1"/>
      <c r="K672" s="1"/>
      <c r="M672" s="1"/>
      <c r="N672" s="1"/>
      <c r="O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U672" s="1"/>
      <c r="AW672" s="1"/>
      <c r="AY672" s="1"/>
    </row>
    <row r="673">
      <c r="A673" s="1"/>
      <c r="C673" s="1"/>
      <c r="E673" s="1"/>
      <c r="F673" s="1"/>
      <c r="G673" s="1"/>
      <c r="H673" s="1"/>
      <c r="I673" s="1"/>
      <c r="J673" s="1"/>
      <c r="K673" s="1"/>
      <c r="M673" s="1"/>
      <c r="N673" s="1"/>
      <c r="O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U673" s="1"/>
      <c r="AW673" s="1"/>
      <c r="AY673" s="1"/>
    </row>
    <row r="674">
      <c r="A674" s="1"/>
      <c r="C674" s="1"/>
      <c r="E674" s="1"/>
      <c r="F674" s="1"/>
      <c r="G674" s="1"/>
      <c r="H674" s="1"/>
      <c r="I674" s="1"/>
      <c r="J674" s="1"/>
      <c r="K674" s="1"/>
      <c r="M674" s="1"/>
      <c r="N674" s="1"/>
      <c r="O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U674" s="1"/>
      <c r="AW674" s="1"/>
      <c r="AY674" s="1"/>
    </row>
    <row r="675">
      <c r="A675" s="1"/>
      <c r="C675" s="1"/>
      <c r="E675" s="1"/>
      <c r="F675" s="1"/>
      <c r="G675" s="1"/>
      <c r="H675" s="1"/>
      <c r="I675" s="1"/>
      <c r="J675" s="1"/>
      <c r="K675" s="1"/>
      <c r="M675" s="1"/>
      <c r="N675" s="1"/>
      <c r="O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U675" s="1"/>
      <c r="AW675" s="1"/>
      <c r="AY675" s="1"/>
    </row>
    <row r="676">
      <c r="A676" s="1"/>
      <c r="C676" s="1"/>
      <c r="E676" s="1"/>
      <c r="F676" s="1"/>
      <c r="G676" s="1"/>
      <c r="H676" s="1"/>
      <c r="I676" s="1"/>
      <c r="J676" s="1"/>
      <c r="K676" s="1"/>
      <c r="M676" s="1"/>
      <c r="N676" s="1"/>
      <c r="O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U676" s="1"/>
      <c r="AW676" s="1"/>
      <c r="AY676" s="1"/>
    </row>
    <row r="677">
      <c r="A677" s="1"/>
      <c r="C677" s="1"/>
      <c r="E677" s="1"/>
      <c r="F677" s="1"/>
      <c r="G677" s="1"/>
      <c r="H677" s="1"/>
      <c r="I677" s="1"/>
      <c r="J677" s="1"/>
      <c r="K677" s="1"/>
      <c r="M677" s="1"/>
      <c r="N677" s="1"/>
      <c r="O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U677" s="1"/>
      <c r="AW677" s="1"/>
      <c r="AY677" s="1"/>
    </row>
    <row r="678">
      <c r="A678" s="1"/>
      <c r="C678" s="1"/>
      <c r="E678" s="1"/>
      <c r="F678" s="1"/>
      <c r="G678" s="1"/>
      <c r="H678" s="1"/>
      <c r="I678" s="1"/>
      <c r="J678" s="1"/>
      <c r="K678" s="1"/>
      <c r="M678" s="1"/>
      <c r="N678" s="1"/>
      <c r="O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U678" s="1"/>
      <c r="AW678" s="1"/>
      <c r="AY678" s="1"/>
    </row>
    <row r="679">
      <c r="A679" s="1"/>
      <c r="C679" s="1"/>
      <c r="E679" s="1"/>
      <c r="F679" s="1"/>
      <c r="G679" s="1"/>
      <c r="H679" s="1"/>
      <c r="I679" s="1"/>
      <c r="J679" s="1"/>
      <c r="K679" s="1"/>
      <c r="M679" s="1"/>
      <c r="N679" s="1"/>
      <c r="O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U679" s="1"/>
      <c r="AW679" s="1"/>
      <c r="AY679" s="1"/>
    </row>
    <row r="680">
      <c r="A680" s="1"/>
      <c r="C680" s="1"/>
      <c r="E680" s="1"/>
      <c r="F680" s="1"/>
      <c r="G680" s="1"/>
      <c r="H680" s="1"/>
      <c r="I680" s="1"/>
      <c r="J680" s="1"/>
      <c r="K680" s="1"/>
      <c r="M680" s="1"/>
      <c r="N680" s="1"/>
      <c r="O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U680" s="1"/>
      <c r="AW680" s="1"/>
      <c r="AY680" s="1"/>
    </row>
    <row r="681">
      <c r="A681" s="1"/>
      <c r="C681" s="1"/>
      <c r="E681" s="1"/>
      <c r="F681" s="1"/>
      <c r="G681" s="1"/>
      <c r="H681" s="1"/>
      <c r="I681" s="1"/>
      <c r="J681" s="1"/>
      <c r="K681" s="1"/>
      <c r="M681" s="1"/>
      <c r="N681" s="1"/>
      <c r="O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U681" s="1"/>
      <c r="AW681" s="1"/>
      <c r="AY681" s="1"/>
    </row>
    <row r="682">
      <c r="A682" s="1"/>
      <c r="C682" s="1"/>
      <c r="E682" s="1"/>
      <c r="F682" s="1"/>
      <c r="G682" s="1"/>
      <c r="H682" s="1"/>
      <c r="I682" s="1"/>
      <c r="J682" s="1"/>
      <c r="K682" s="1"/>
      <c r="M682" s="1"/>
      <c r="N682" s="1"/>
      <c r="O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U682" s="1"/>
      <c r="AW682" s="1"/>
      <c r="AY682" s="1"/>
    </row>
    <row r="683">
      <c r="A683" s="1"/>
      <c r="C683" s="1"/>
      <c r="E683" s="1"/>
      <c r="F683" s="1"/>
      <c r="G683" s="1"/>
      <c r="H683" s="1"/>
      <c r="I683" s="1"/>
      <c r="J683" s="1"/>
      <c r="K683" s="1"/>
      <c r="M683" s="1"/>
      <c r="N683" s="1"/>
      <c r="O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U683" s="1"/>
      <c r="AW683" s="1"/>
      <c r="AY683" s="1"/>
    </row>
    <row r="684">
      <c r="A684" s="1"/>
      <c r="C684" s="1"/>
      <c r="E684" s="1"/>
      <c r="F684" s="1"/>
      <c r="G684" s="1"/>
      <c r="H684" s="1"/>
      <c r="I684" s="1"/>
      <c r="J684" s="1"/>
      <c r="K684" s="1"/>
      <c r="M684" s="1"/>
      <c r="N684" s="1"/>
      <c r="O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U684" s="1"/>
      <c r="AW684" s="1"/>
      <c r="AY684" s="1"/>
    </row>
    <row r="685">
      <c r="A685" s="1"/>
      <c r="C685" s="1"/>
      <c r="E685" s="1"/>
      <c r="F685" s="1"/>
      <c r="G685" s="1"/>
      <c r="H685" s="1"/>
      <c r="I685" s="1"/>
      <c r="J685" s="1"/>
      <c r="K685" s="1"/>
      <c r="M685" s="1"/>
      <c r="N685" s="1"/>
      <c r="O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U685" s="1"/>
      <c r="AW685" s="1"/>
      <c r="AY685" s="1"/>
    </row>
    <row r="686">
      <c r="A686" s="1"/>
      <c r="C686" s="1"/>
      <c r="E686" s="1"/>
      <c r="F686" s="1"/>
      <c r="G686" s="1"/>
      <c r="H686" s="1"/>
      <c r="I686" s="1"/>
      <c r="J686" s="1"/>
      <c r="K686" s="1"/>
      <c r="M686" s="1"/>
      <c r="N686" s="1"/>
      <c r="O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U686" s="1"/>
      <c r="AW686" s="1"/>
      <c r="AY686" s="1"/>
    </row>
    <row r="687">
      <c r="A687" s="1"/>
      <c r="C687" s="1"/>
      <c r="E687" s="1"/>
      <c r="F687" s="1"/>
      <c r="G687" s="1"/>
      <c r="H687" s="1"/>
      <c r="I687" s="1"/>
      <c r="J687" s="1"/>
      <c r="K687" s="1"/>
      <c r="M687" s="1"/>
      <c r="N687" s="1"/>
      <c r="O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U687" s="1"/>
      <c r="AW687" s="1"/>
      <c r="AY687" s="1"/>
    </row>
    <row r="688">
      <c r="A688" s="1"/>
      <c r="C688" s="1"/>
      <c r="E688" s="1"/>
      <c r="F688" s="1"/>
      <c r="G688" s="1"/>
      <c r="H688" s="1"/>
      <c r="I688" s="1"/>
      <c r="J688" s="1"/>
      <c r="K688" s="1"/>
      <c r="M688" s="1"/>
      <c r="N688" s="1"/>
      <c r="O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U688" s="1"/>
      <c r="AW688" s="1"/>
      <c r="AY688" s="1"/>
    </row>
    <row r="689">
      <c r="A689" s="1"/>
      <c r="C689" s="1"/>
      <c r="E689" s="1"/>
      <c r="F689" s="1"/>
      <c r="G689" s="1"/>
      <c r="H689" s="1"/>
      <c r="I689" s="1"/>
      <c r="J689" s="1"/>
      <c r="K689" s="1"/>
      <c r="M689" s="1"/>
      <c r="N689" s="1"/>
      <c r="O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U689" s="1"/>
      <c r="AW689" s="1"/>
      <c r="AY689" s="1"/>
    </row>
    <row r="690">
      <c r="A690" s="1"/>
      <c r="C690" s="1"/>
      <c r="E690" s="1"/>
      <c r="F690" s="1"/>
      <c r="G690" s="1"/>
      <c r="H690" s="1"/>
      <c r="I690" s="1"/>
      <c r="J690" s="1"/>
      <c r="K690" s="1"/>
      <c r="M690" s="1"/>
      <c r="N690" s="1"/>
      <c r="O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U690" s="1"/>
      <c r="AW690" s="1"/>
      <c r="AY690" s="1"/>
    </row>
    <row r="691">
      <c r="A691" s="1"/>
      <c r="C691" s="1"/>
      <c r="E691" s="1"/>
      <c r="F691" s="1"/>
      <c r="G691" s="1"/>
      <c r="H691" s="1"/>
      <c r="I691" s="1"/>
      <c r="J691" s="1"/>
      <c r="K691" s="1"/>
      <c r="M691" s="1"/>
      <c r="N691" s="1"/>
      <c r="O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U691" s="1"/>
      <c r="AW691" s="1"/>
      <c r="AY691" s="1"/>
    </row>
    <row r="692">
      <c r="A692" s="1"/>
      <c r="C692" s="1"/>
      <c r="E692" s="1"/>
      <c r="F692" s="1"/>
      <c r="G692" s="1"/>
      <c r="H692" s="1"/>
      <c r="I692" s="1"/>
      <c r="J692" s="1"/>
      <c r="K692" s="1"/>
      <c r="M692" s="1"/>
      <c r="N692" s="1"/>
      <c r="O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U692" s="1"/>
      <c r="AW692" s="1"/>
      <c r="AY692" s="1"/>
    </row>
    <row r="693">
      <c r="A693" s="1"/>
      <c r="C693" s="1"/>
      <c r="E693" s="1"/>
      <c r="F693" s="1"/>
      <c r="G693" s="1"/>
      <c r="H693" s="1"/>
      <c r="I693" s="1"/>
      <c r="J693" s="1"/>
      <c r="K693" s="1"/>
      <c r="M693" s="1"/>
      <c r="N693" s="1"/>
      <c r="O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U693" s="1"/>
      <c r="AW693" s="1"/>
      <c r="AY693" s="1"/>
    </row>
    <row r="694">
      <c r="A694" s="1"/>
      <c r="C694" s="1"/>
      <c r="E694" s="1"/>
      <c r="F694" s="1"/>
      <c r="G694" s="1"/>
      <c r="H694" s="1"/>
      <c r="I694" s="1"/>
      <c r="J694" s="1"/>
      <c r="K694" s="1"/>
      <c r="M694" s="1"/>
      <c r="N694" s="1"/>
      <c r="O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U694" s="1"/>
      <c r="AW694" s="1"/>
      <c r="AY694" s="1"/>
    </row>
    <row r="695">
      <c r="A695" s="1"/>
      <c r="C695" s="1"/>
      <c r="E695" s="1"/>
      <c r="F695" s="1"/>
      <c r="G695" s="1"/>
      <c r="H695" s="1"/>
      <c r="I695" s="1"/>
      <c r="J695" s="1"/>
      <c r="K695" s="1"/>
      <c r="M695" s="1"/>
      <c r="N695" s="1"/>
      <c r="O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U695" s="1"/>
      <c r="AW695" s="1"/>
      <c r="AY695" s="1"/>
    </row>
    <row r="696">
      <c r="A696" s="1"/>
      <c r="C696" s="1"/>
      <c r="E696" s="1"/>
      <c r="F696" s="1"/>
      <c r="G696" s="1"/>
      <c r="H696" s="1"/>
      <c r="I696" s="1"/>
      <c r="J696" s="1"/>
      <c r="K696" s="1"/>
      <c r="M696" s="1"/>
      <c r="N696" s="1"/>
      <c r="O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U696" s="1"/>
      <c r="AW696" s="1"/>
      <c r="AY696" s="1"/>
    </row>
    <row r="697">
      <c r="A697" s="1"/>
      <c r="C697" s="1"/>
      <c r="E697" s="1"/>
      <c r="F697" s="1"/>
      <c r="G697" s="1"/>
      <c r="H697" s="1"/>
      <c r="I697" s="1"/>
      <c r="J697" s="1"/>
      <c r="K697" s="1"/>
      <c r="M697" s="1"/>
      <c r="N697" s="1"/>
      <c r="O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U697" s="1"/>
      <c r="AW697" s="1"/>
      <c r="AY697" s="1"/>
    </row>
    <row r="698">
      <c r="A698" s="1"/>
      <c r="C698" s="1"/>
      <c r="E698" s="1"/>
      <c r="F698" s="1"/>
      <c r="G698" s="1"/>
      <c r="H698" s="1"/>
      <c r="I698" s="1"/>
      <c r="J698" s="1"/>
      <c r="K698" s="1"/>
      <c r="M698" s="1"/>
      <c r="N698" s="1"/>
      <c r="O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U698" s="1"/>
      <c r="AW698" s="1"/>
      <c r="AY698" s="1"/>
    </row>
    <row r="699">
      <c r="A699" s="1"/>
      <c r="C699" s="1"/>
      <c r="E699" s="1"/>
      <c r="F699" s="1"/>
      <c r="G699" s="1"/>
      <c r="H699" s="1"/>
      <c r="I699" s="1"/>
      <c r="J699" s="1"/>
      <c r="K699" s="1"/>
      <c r="M699" s="1"/>
      <c r="N699" s="1"/>
      <c r="O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U699" s="1"/>
      <c r="AW699" s="1"/>
      <c r="AY699" s="1"/>
    </row>
    <row r="700">
      <c r="A700" s="1"/>
      <c r="C700" s="1"/>
      <c r="E700" s="1"/>
      <c r="F700" s="1"/>
      <c r="G700" s="1"/>
      <c r="H700" s="1"/>
      <c r="I700" s="1"/>
      <c r="J700" s="1"/>
      <c r="K700" s="1"/>
      <c r="M700" s="1"/>
      <c r="N700" s="1"/>
      <c r="O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U700" s="1"/>
      <c r="AW700" s="1"/>
      <c r="AY700" s="1"/>
    </row>
    <row r="701">
      <c r="A701" s="1"/>
      <c r="C701" s="1"/>
      <c r="E701" s="1"/>
      <c r="F701" s="1"/>
      <c r="G701" s="1"/>
      <c r="H701" s="1"/>
      <c r="I701" s="1"/>
      <c r="J701" s="1"/>
      <c r="K701" s="1"/>
      <c r="M701" s="1"/>
      <c r="N701" s="1"/>
      <c r="O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U701" s="1"/>
      <c r="AW701" s="1"/>
      <c r="AY701" s="1"/>
    </row>
    <row r="702">
      <c r="A702" s="1"/>
      <c r="C702" s="1"/>
      <c r="E702" s="1"/>
      <c r="F702" s="1"/>
      <c r="G702" s="1"/>
      <c r="H702" s="1"/>
      <c r="I702" s="1"/>
      <c r="J702" s="1"/>
      <c r="K702" s="1"/>
      <c r="M702" s="1"/>
      <c r="N702" s="1"/>
      <c r="O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U702" s="1"/>
      <c r="AW702" s="1"/>
      <c r="AY702" s="1"/>
    </row>
    <row r="703">
      <c r="A703" s="1"/>
      <c r="C703" s="1"/>
      <c r="E703" s="1"/>
      <c r="F703" s="1"/>
      <c r="G703" s="1"/>
      <c r="H703" s="1"/>
      <c r="I703" s="1"/>
      <c r="J703" s="1"/>
      <c r="K703" s="1"/>
      <c r="M703" s="1"/>
      <c r="N703" s="1"/>
      <c r="O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U703" s="1"/>
      <c r="AW703" s="1"/>
      <c r="AY703" s="1"/>
    </row>
    <row r="704">
      <c r="A704" s="1"/>
      <c r="C704" s="1"/>
      <c r="E704" s="1"/>
      <c r="F704" s="1"/>
      <c r="G704" s="1"/>
      <c r="H704" s="1"/>
      <c r="I704" s="1"/>
      <c r="J704" s="1"/>
      <c r="K704" s="1"/>
      <c r="M704" s="1"/>
      <c r="N704" s="1"/>
      <c r="O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U704" s="1"/>
      <c r="AW704" s="1"/>
      <c r="AY704" s="1"/>
    </row>
    <row r="705">
      <c r="A705" s="1"/>
      <c r="C705" s="1"/>
      <c r="E705" s="1"/>
      <c r="F705" s="1"/>
      <c r="G705" s="1"/>
      <c r="H705" s="1"/>
      <c r="I705" s="1"/>
      <c r="J705" s="1"/>
      <c r="K705" s="1"/>
      <c r="M705" s="1"/>
      <c r="N705" s="1"/>
      <c r="O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U705" s="1"/>
      <c r="AW705" s="1"/>
      <c r="AY705" s="1"/>
    </row>
    <row r="706">
      <c r="A706" s="1"/>
      <c r="C706" s="1"/>
      <c r="E706" s="1"/>
      <c r="F706" s="1"/>
      <c r="G706" s="1"/>
      <c r="H706" s="1"/>
      <c r="I706" s="1"/>
      <c r="J706" s="1"/>
      <c r="K706" s="1"/>
      <c r="M706" s="1"/>
      <c r="N706" s="1"/>
      <c r="O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U706" s="1"/>
      <c r="AW706" s="1"/>
      <c r="AY706" s="1"/>
    </row>
    <row r="707">
      <c r="A707" s="1"/>
      <c r="C707" s="1"/>
      <c r="E707" s="1"/>
      <c r="F707" s="1"/>
      <c r="G707" s="1"/>
      <c r="H707" s="1"/>
      <c r="I707" s="1"/>
      <c r="J707" s="1"/>
      <c r="K707" s="1"/>
      <c r="M707" s="1"/>
      <c r="N707" s="1"/>
      <c r="O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U707" s="1"/>
      <c r="AW707" s="1"/>
      <c r="AY707" s="1"/>
    </row>
    <row r="708">
      <c r="A708" s="1"/>
      <c r="C708" s="1"/>
      <c r="E708" s="1"/>
      <c r="F708" s="1"/>
      <c r="G708" s="1"/>
      <c r="H708" s="1"/>
      <c r="I708" s="1"/>
      <c r="J708" s="1"/>
      <c r="K708" s="1"/>
      <c r="M708" s="1"/>
      <c r="N708" s="1"/>
      <c r="O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U708" s="1"/>
      <c r="AW708" s="1"/>
      <c r="AY708" s="1"/>
    </row>
    <row r="709">
      <c r="A709" s="1"/>
      <c r="C709" s="1"/>
      <c r="E709" s="1"/>
      <c r="F709" s="1"/>
      <c r="G709" s="1"/>
      <c r="H709" s="1"/>
      <c r="I709" s="1"/>
      <c r="J709" s="1"/>
      <c r="K709" s="1"/>
      <c r="M709" s="1"/>
      <c r="N709" s="1"/>
      <c r="O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U709" s="1"/>
      <c r="AW709" s="1"/>
      <c r="AY709" s="1"/>
    </row>
    <row r="710">
      <c r="A710" s="1"/>
      <c r="C710" s="1"/>
      <c r="E710" s="1"/>
      <c r="F710" s="1"/>
      <c r="G710" s="1"/>
      <c r="H710" s="1"/>
      <c r="I710" s="1"/>
      <c r="J710" s="1"/>
      <c r="K710" s="1"/>
      <c r="M710" s="1"/>
      <c r="N710" s="1"/>
      <c r="O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U710" s="1"/>
      <c r="AW710" s="1"/>
      <c r="AY710" s="1"/>
    </row>
    <row r="711">
      <c r="A711" s="1"/>
      <c r="C711" s="1"/>
      <c r="E711" s="1"/>
      <c r="F711" s="1"/>
      <c r="G711" s="1"/>
      <c r="H711" s="1"/>
      <c r="I711" s="1"/>
      <c r="J711" s="1"/>
      <c r="K711" s="1"/>
      <c r="M711" s="1"/>
      <c r="N711" s="1"/>
      <c r="O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U711" s="1"/>
      <c r="AW711" s="1"/>
      <c r="AY711" s="1"/>
    </row>
    <row r="712">
      <c r="A712" s="1"/>
      <c r="C712" s="1"/>
      <c r="E712" s="1"/>
      <c r="F712" s="1"/>
      <c r="G712" s="1"/>
      <c r="H712" s="1"/>
      <c r="I712" s="1"/>
      <c r="J712" s="1"/>
      <c r="K712" s="1"/>
      <c r="M712" s="1"/>
      <c r="N712" s="1"/>
      <c r="O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U712" s="1"/>
      <c r="AW712" s="1"/>
      <c r="AY712" s="1"/>
    </row>
    <row r="713">
      <c r="A713" s="1"/>
      <c r="C713" s="1"/>
      <c r="E713" s="1"/>
      <c r="F713" s="1"/>
      <c r="G713" s="1"/>
      <c r="H713" s="1"/>
      <c r="I713" s="1"/>
      <c r="J713" s="1"/>
      <c r="K713" s="1"/>
      <c r="M713" s="1"/>
      <c r="N713" s="1"/>
      <c r="O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U713" s="1"/>
      <c r="AW713" s="1"/>
      <c r="AY713" s="1"/>
    </row>
    <row r="714">
      <c r="A714" s="1"/>
      <c r="C714" s="1"/>
      <c r="E714" s="1"/>
      <c r="F714" s="1"/>
      <c r="G714" s="1"/>
      <c r="H714" s="1"/>
      <c r="I714" s="1"/>
      <c r="J714" s="1"/>
      <c r="K714" s="1"/>
      <c r="M714" s="1"/>
      <c r="N714" s="1"/>
      <c r="O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U714" s="1"/>
      <c r="AW714" s="1"/>
      <c r="AY714" s="1"/>
    </row>
    <row r="715">
      <c r="A715" s="1"/>
      <c r="C715" s="1"/>
      <c r="E715" s="1"/>
      <c r="F715" s="1"/>
      <c r="G715" s="1"/>
      <c r="H715" s="1"/>
      <c r="I715" s="1"/>
      <c r="J715" s="1"/>
      <c r="K715" s="1"/>
      <c r="M715" s="1"/>
      <c r="N715" s="1"/>
      <c r="O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U715" s="1"/>
      <c r="AW715" s="1"/>
      <c r="AY715" s="1"/>
    </row>
    <row r="716">
      <c r="A716" s="1"/>
      <c r="C716" s="1"/>
      <c r="E716" s="1"/>
      <c r="F716" s="1"/>
      <c r="G716" s="1"/>
      <c r="H716" s="1"/>
      <c r="I716" s="1"/>
      <c r="J716" s="1"/>
      <c r="K716" s="1"/>
      <c r="M716" s="1"/>
      <c r="N716" s="1"/>
      <c r="O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U716" s="1"/>
      <c r="AW716" s="1"/>
      <c r="AY716" s="1"/>
    </row>
    <row r="717">
      <c r="A717" s="1"/>
      <c r="C717" s="1"/>
      <c r="E717" s="1"/>
      <c r="F717" s="1"/>
      <c r="G717" s="1"/>
      <c r="H717" s="1"/>
      <c r="I717" s="1"/>
      <c r="J717" s="1"/>
      <c r="K717" s="1"/>
      <c r="M717" s="1"/>
      <c r="N717" s="1"/>
      <c r="O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U717" s="1"/>
      <c r="AW717" s="1"/>
      <c r="AY717" s="1"/>
    </row>
    <row r="718">
      <c r="A718" s="1"/>
      <c r="C718" s="1"/>
      <c r="E718" s="1"/>
      <c r="F718" s="1"/>
      <c r="G718" s="1"/>
      <c r="H718" s="1"/>
      <c r="I718" s="1"/>
      <c r="J718" s="1"/>
      <c r="K718" s="1"/>
      <c r="M718" s="1"/>
      <c r="N718" s="1"/>
      <c r="O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U718" s="1"/>
      <c r="AW718" s="1"/>
      <c r="AY718" s="1"/>
    </row>
    <row r="719">
      <c r="A719" s="1"/>
      <c r="C719" s="1"/>
      <c r="E719" s="1"/>
      <c r="F719" s="1"/>
      <c r="G719" s="1"/>
      <c r="H719" s="1"/>
      <c r="I719" s="1"/>
      <c r="J719" s="1"/>
      <c r="K719" s="1"/>
      <c r="M719" s="1"/>
      <c r="N719" s="1"/>
      <c r="O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U719" s="1"/>
      <c r="AW719" s="1"/>
      <c r="AY719" s="1"/>
    </row>
    <row r="720">
      <c r="A720" s="1"/>
      <c r="C720" s="1"/>
      <c r="E720" s="1"/>
      <c r="F720" s="1"/>
      <c r="G720" s="1"/>
      <c r="H720" s="1"/>
      <c r="I720" s="1"/>
      <c r="J720" s="1"/>
      <c r="K720" s="1"/>
      <c r="M720" s="1"/>
      <c r="N720" s="1"/>
      <c r="O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U720" s="1"/>
      <c r="AW720" s="1"/>
      <c r="AY720" s="1"/>
    </row>
    <row r="721">
      <c r="A721" s="1"/>
      <c r="C721" s="1"/>
      <c r="E721" s="1"/>
      <c r="F721" s="1"/>
      <c r="G721" s="1"/>
      <c r="H721" s="1"/>
      <c r="I721" s="1"/>
      <c r="J721" s="1"/>
      <c r="K721" s="1"/>
      <c r="M721" s="1"/>
      <c r="N721" s="1"/>
      <c r="O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U721" s="1"/>
      <c r="AW721" s="1"/>
      <c r="AY721" s="1"/>
    </row>
    <row r="722">
      <c r="A722" s="1"/>
      <c r="C722" s="1"/>
      <c r="E722" s="1"/>
      <c r="F722" s="1"/>
      <c r="G722" s="1"/>
      <c r="H722" s="1"/>
      <c r="I722" s="1"/>
      <c r="J722" s="1"/>
      <c r="K722" s="1"/>
      <c r="M722" s="1"/>
      <c r="N722" s="1"/>
      <c r="O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U722" s="1"/>
      <c r="AW722" s="1"/>
      <c r="AY722" s="1"/>
    </row>
    <row r="723">
      <c r="A723" s="1"/>
      <c r="C723" s="1"/>
      <c r="E723" s="1"/>
      <c r="F723" s="1"/>
      <c r="G723" s="1"/>
      <c r="H723" s="1"/>
      <c r="I723" s="1"/>
      <c r="J723" s="1"/>
      <c r="K723" s="1"/>
      <c r="M723" s="1"/>
      <c r="N723" s="1"/>
      <c r="O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U723" s="1"/>
      <c r="AW723" s="1"/>
      <c r="AY723" s="1"/>
    </row>
    <row r="724">
      <c r="A724" s="1"/>
      <c r="C724" s="1"/>
      <c r="E724" s="1"/>
      <c r="F724" s="1"/>
      <c r="G724" s="1"/>
      <c r="H724" s="1"/>
      <c r="I724" s="1"/>
      <c r="J724" s="1"/>
      <c r="K724" s="1"/>
      <c r="M724" s="1"/>
      <c r="N724" s="1"/>
      <c r="O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U724" s="1"/>
      <c r="AW724" s="1"/>
      <c r="AY724" s="1"/>
    </row>
    <row r="725">
      <c r="A725" s="1"/>
      <c r="C725" s="1"/>
      <c r="E725" s="1"/>
      <c r="F725" s="1"/>
      <c r="G725" s="1"/>
      <c r="H725" s="1"/>
      <c r="I725" s="1"/>
      <c r="J725" s="1"/>
      <c r="K725" s="1"/>
      <c r="M725" s="1"/>
      <c r="N725" s="1"/>
      <c r="O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U725" s="1"/>
      <c r="AW725" s="1"/>
      <c r="AY725" s="1"/>
    </row>
    <row r="726">
      <c r="A726" s="1"/>
      <c r="C726" s="1"/>
      <c r="E726" s="1"/>
      <c r="F726" s="1"/>
      <c r="G726" s="1"/>
      <c r="H726" s="1"/>
      <c r="I726" s="1"/>
      <c r="J726" s="1"/>
      <c r="K726" s="1"/>
      <c r="M726" s="1"/>
      <c r="N726" s="1"/>
      <c r="O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U726" s="1"/>
      <c r="AW726" s="1"/>
      <c r="AY726" s="1"/>
    </row>
    <row r="727">
      <c r="A727" s="1"/>
      <c r="C727" s="1"/>
      <c r="E727" s="1"/>
      <c r="F727" s="1"/>
      <c r="G727" s="1"/>
      <c r="H727" s="1"/>
      <c r="I727" s="1"/>
      <c r="J727" s="1"/>
      <c r="K727" s="1"/>
      <c r="M727" s="1"/>
      <c r="N727" s="1"/>
      <c r="O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U727" s="1"/>
      <c r="AW727" s="1"/>
      <c r="AY727" s="1"/>
    </row>
    <row r="728">
      <c r="A728" s="1"/>
      <c r="C728" s="1"/>
      <c r="E728" s="1"/>
      <c r="F728" s="1"/>
      <c r="G728" s="1"/>
      <c r="H728" s="1"/>
      <c r="I728" s="1"/>
      <c r="J728" s="1"/>
      <c r="K728" s="1"/>
      <c r="M728" s="1"/>
      <c r="N728" s="1"/>
      <c r="O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U728" s="1"/>
      <c r="AW728" s="1"/>
      <c r="AY728" s="1"/>
    </row>
    <row r="729">
      <c r="A729" s="1"/>
      <c r="C729" s="1"/>
      <c r="E729" s="1"/>
      <c r="F729" s="1"/>
      <c r="G729" s="1"/>
      <c r="H729" s="1"/>
      <c r="I729" s="1"/>
      <c r="J729" s="1"/>
      <c r="K729" s="1"/>
      <c r="M729" s="1"/>
      <c r="N729" s="1"/>
      <c r="O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U729" s="1"/>
      <c r="AW729" s="1"/>
      <c r="AY729" s="1"/>
    </row>
    <row r="730">
      <c r="A730" s="1"/>
      <c r="C730" s="1"/>
      <c r="E730" s="1"/>
      <c r="F730" s="1"/>
      <c r="G730" s="1"/>
      <c r="H730" s="1"/>
      <c r="I730" s="1"/>
      <c r="J730" s="1"/>
      <c r="K730" s="1"/>
      <c r="M730" s="1"/>
      <c r="N730" s="1"/>
      <c r="O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U730" s="1"/>
      <c r="AW730" s="1"/>
      <c r="AY730" s="1"/>
    </row>
    <row r="731">
      <c r="A731" s="1"/>
      <c r="C731" s="1"/>
      <c r="E731" s="1"/>
      <c r="F731" s="1"/>
      <c r="G731" s="1"/>
      <c r="H731" s="1"/>
      <c r="I731" s="1"/>
      <c r="J731" s="1"/>
      <c r="K731" s="1"/>
      <c r="M731" s="1"/>
      <c r="N731" s="1"/>
      <c r="O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U731" s="1"/>
      <c r="AW731" s="1"/>
      <c r="AY731" s="1"/>
    </row>
    <row r="732">
      <c r="A732" s="1"/>
      <c r="C732" s="1"/>
      <c r="E732" s="1"/>
      <c r="F732" s="1"/>
      <c r="G732" s="1"/>
      <c r="H732" s="1"/>
      <c r="I732" s="1"/>
      <c r="J732" s="1"/>
      <c r="K732" s="1"/>
      <c r="M732" s="1"/>
      <c r="N732" s="1"/>
      <c r="O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U732" s="1"/>
      <c r="AW732" s="1"/>
      <c r="AY732" s="1"/>
    </row>
    <row r="733">
      <c r="A733" s="1"/>
      <c r="C733" s="1"/>
      <c r="E733" s="1"/>
      <c r="F733" s="1"/>
      <c r="G733" s="1"/>
      <c r="H733" s="1"/>
      <c r="I733" s="1"/>
      <c r="J733" s="1"/>
      <c r="K733" s="1"/>
      <c r="M733" s="1"/>
      <c r="N733" s="1"/>
      <c r="O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U733" s="1"/>
      <c r="AW733" s="1"/>
      <c r="AY733" s="1"/>
    </row>
    <row r="734">
      <c r="A734" s="1"/>
      <c r="C734" s="1"/>
      <c r="E734" s="1"/>
      <c r="F734" s="1"/>
      <c r="G734" s="1"/>
      <c r="H734" s="1"/>
      <c r="I734" s="1"/>
      <c r="J734" s="1"/>
      <c r="K734" s="1"/>
      <c r="M734" s="1"/>
      <c r="N734" s="1"/>
      <c r="O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U734" s="1"/>
      <c r="AW734" s="1"/>
      <c r="AY734" s="1"/>
    </row>
    <row r="735">
      <c r="A735" s="1"/>
      <c r="C735" s="1"/>
      <c r="E735" s="1"/>
      <c r="F735" s="1"/>
      <c r="G735" s="1"/>
      <c r="H735" s="1"/>
      <c r="I735" s="1"/>
      <c r="J735" s="1"/>
      <c r="K735" s="1"/>
      <c r="M735" s="1"/>
      <c r="N735" s="1"/>
      <c r="O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U735" s="1"/>
      <c r="AW735" s="1"/>
      <c r="AY735" s="1"/>
    </row>
    <row r="736">
      <c r="A736" s="1"/>
      <c r="C736" s="1"/>
      <c r="E736" s="1"/>
      <c r="F736" s="1"/>
      <c r="G736" s="1"/>
      <c r="H736" s="1"/>
      <c r="I736" s="1"/>
      <c r="J736" s="1"/>
      <c r="K736" s="1"/>
      <c r="M736" s="1"/>
      <c r="N736" s="1"/>
      <c r="O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U736" s="1"/>
      <c r="AW736" s="1"/>
      <c r="AY736" s="1"/>
    </row>
    <row r="737">
      <c r="A737" s="1"/>
      <c r="C737" s="1"/>
      <c r="E737" s="1"/>
      <c r="F737" s="1"/>
      <c r="G737" s="1"/>
      <c r="H737" s="1"/>
      <c r="I737" s="1"/>
      <c r="J737" s="1"/>
      <c r="K737" s="1"/>
      <c r="M737" s="1"/>
      <c r="N737" s="1"/>
      <c r="O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U737" s="1"/>
      <c r="AW737" s="1"/>
      <c r="AY737" s="1"/>
    </row>
    <row r="738">
      <c r="A738" s="1"/>
      <c r="C738" s="1"/>
      <c r="E738" s="1"/>
      <c r="F738" s="1"/>
      <c r="G738" s="1"/>
      <c r="H738" s="1"/>
      <c r="I738" s="1"/>
      <c r="J738" s="1"/>
      <c r="K738" s="1"/>
      <c r="M738" s="1"/>
      <c r="N738" s="1"/>
      <c r="O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U738" s="1"/>
      <c r="AW738" s="1"/>
      <c r="AY738" s="1"/>
    </row>
    <row r="739">
      <c r="A739" s="1"/>
      <c r="C739" s="1"/>
      <c r="E739" s="1"/>
      <c r="F739" s="1"/>
      <c r="G739" s="1"/>
      <c r="H739" s="1"/>
      <c r="I739" s="1"/>
      <c r="J739" s="1"/>
      <c r="K739" s="1"/>
      <c r="M739" s="1"/>
      <c r="N739" s="1"/>
      <c r="O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U739" s="1"/>
      <c r="AW739" s="1"/>
      <c r="AY739" s="1"/>
    </row>
    <row r="740">
      <c r="A740" s="1"/>
      <c r="C740" s="1"/>
      <c r="E740" s="1"/>
      <c r="F740" s="1"/>
      <c r="G740" s="1"/>
      <c r="H740" s="1"/>
      <c r="I740" s="1"/>
      <c r="J740" s="1"/>
      <c r="K740" s="1"/>
      <c r="M740" s="1"/>
      <c r="N740" s="1"/>
      <c r="O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U740" s="1"/>
      <c r="AW740" s="1"/>
      <c r="AY740" s="1"/>
    </row>
    <row r="741">
      <c r="A741" s="1"/>
      <c r="C741" s="1"/>
      <c r="E741" s="1"/>
      <c r="F741" s="1"/>
      <c r="G741" s="1"/>
      <c r="H741" s="1"/>
      <c r="I741" s="1"/>
      <c r="J741" s="1"/>
      <c r="K741" s="1"/>
      <c r="M741" s="1"/>
      <c r="N741" s="1"/>
      <c r="O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U741" s="1"/>
      <c r="AW741" s="1"/>
      <c r="AY741" s="1"/>
    </row>
    <row r="742">
      <c r="A742" s="1"/>
      <c r="C742" s="1"/>
      <c r="E742" s="1"/>
      <c r="F742" s="1"/>
      <c r="G742" s="1"/>
      <c r="H742" s="1"/>
      <c r="I742" s="1"/>
      <c r="J742" s="1"/>
      <c r="K742" s="1"/>
      <c r="M742" s="1"/>
      <c r="N742" s="1"/>
      <c r="O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U742" s="1"/>
      <c r="AW742" s="1"/>
      <c r="AY742" s="1"/>
    </row>
    <row r="743">
      <c r="A743" s="1"/>
      <c r="C743" s="1"/>
      <c r="E743" s="1"/>
      <c r="F743" s="1"/>
      <c r="G743" s="1"/>
      <c r="H743" s="1"/>
      <c r="I743" s="1"/>
      <c r="J743" s="1"/>
      <c r="K743" s="1"/>
      <c r="M743" s="1"/>
      <c r="N743" s="1"/>
      <c r="O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U743" s="1"/>
      <c r="AW743" s="1"/>
      <c r="AY743" s="1"/>
    </row>
    <row r="744">
      <c r="A744" s="1"/>
      <c r="C744" s="1"/>
      <c r="E744" s="1"/>
      <c r="F744" s="1"/>
      <c r="G744" s="1"/>
      <c r="H744" s="1"/>
      <c r="I744" s="1"/>
      <c r="J744" s="1"/>
      <c r="K744" s="1"/>
      <c r="M744" s="1"/>
      <c r="N744" s="1"/>
      <c r="O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U744" s="1"/>
      <c r="AW744" s="1"/>
      <c r="AY744" s="1"/>
    </row>
    <row r="745">
      <c r="A745" s="1"/>
      <c r="C745" s="1"/>
      <c r="E745" s="1"/>
      <c r="F745" s="1"/>
      <c r="G745" s="1"/>
      <c r="H745" s="1"/>
      <c r="I745" s="1"/>
      <c r="J745" s="1"/>
      <c r="K745" s="1"/>
      <c r="M745" s="1"/>
      <c r="N745" s="1"/>
      <c r="O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U745" s="1"/>
      <c r="AW745" s="1"/>
      <c r="AY745" s="1"/>
    </row>
    <row r="746">
      <c r="A746" s="1"/>
      <c r="C746" s="1"/>
      <c r="E746" s="1"/>
      <c r="F746" s="1"/>
      <c r="G746" s="1"/>
      <c r="H746" s="1"/>
      <c r="I746" s="1"/>
      <c r="J746" s="1"/>
      <c r="K746" s="1"/>
      <c r="M746" s="1"/>
      <c r="N746" s="1"/>
      <c r="O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U746" s="1"/>
      <c r="AW746" s="1"/>
      <c r="AY746" s="1"/>
    </row>
    <row r="747">
      <c r="A747" s="1"/>
      <c r="C747" s="1"/>
      <c r="E747" s="1"/>
      <c r="F747" s="1"/>
      <c r="G747" s="1"/>
      <c r="H747" s="1"/>
      <c r="I747" s="1"/>
      <c r="J747" s="1"/>
      <c r="K747" s="1"/>
      <c r="M747" s="1"/>
      <c r="N747" s="1"/>
      <c r="O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U747" s="1"/>
      <c r="AW747" s="1"/>
      <c r="AY747" s="1"/>
    </row>
    <row r="748">
      <c r="A748" s="1"/>
      <c r="C748" s="1"/>
      <c r="E748" s="1"/>
      <c r="F748" s="1"/>
      <c r="G748" s="1"/>
      <c r="H748" s="1"/>
      <c r="I748" s="1"/>
      <c r="J748" s="1"/>
      <c r="K748" s="1"/>
      <c r="M748" s="1"/>
      <c r="N748" s="1"/>
      <c r="O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U748" s="1"/>
      <c r="AW748" s="1"/>
      <c r="AY748" s="1"/>
    </row>
    <row r="749">
      <c r="A749" s="1"/>
      <c r="C749" s="1"/>
      <c r="E749" s="1"/>
      <c r="F749" s="1"/>
      <c r="G749" s="1"/>
      <c r="H749" s="1"/>
      <c r="I749" s="1"/>
      <c r="J749" s="1"/>
      <c r="K749" s="1"/>
      <c r="M749" s="1"/>
      <c r="N749" s="1"/>
      <c r="O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U749" s="1"/>
      <c r="AW749" s="1"/>
      <c r="AY749" s="1"/>
    </row>
    <row r="750">
      <c r="A750" s="1"/>
      <c r="C750" s="1"/>
      <c r="E750" s="1"/>
      <c r="F750" s="1"/>
      <c r="G750" s="1"/>
      <c r="H750" s="1"/>
      <c r="I750" s="1"/>
      <c r="J750" s="1"/>
      <c r="K750" s="1"/>
      <c r="M750" s="1"/>
      <c r="N750" s="1"/>
      <c r="O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U750" s="1"/>
      <c r="AW750" s="1"/>
      <c r="AY750" s="1"/>
    </row>
    <row r="751">
      <c r="A751" s="1"/>
      <c r="C751" s="1"/>
      <c r="E751" s="1"/>
      <c r="F751" s="1"/>
      <c r="G751" s="1"/>
      <c r="H751" s="1"/>
      <c r="I751" s="1"/>
      <c r="J751" s="1"/>
      <c r="K751" s="1"/>
      <c r="M751" s="1"/>
      <c r="N751" s="1"/>
      <c r="O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U751" s="1"/>
      <c r="AW751" s="1"/>
      <c r="AY751" s="1"/>
    </row>
    <row r="752">
      <c r="A752" s="1"/>
      <c r="C752" s="1"/>
      <c r="E752" s="1"/>
      <c r="F752" s="1"/>
      <c r="G752" s="1"/>
      <c r="H752" s="1"/>
      <c r="I752" s="1"/>
      <c r="J752" s="1"/>
      <c r="K752" s="1"/>
      <c r="M752" s="1"/>
      <c r="N752" s="1"/>
      <c r="O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U752" s="1"/>
      <c r="AW752" s="1"/>
      <c r="AY752" s="1"/>
    </row>
    <row r="753">
      <c r="A753" s="1"/>
      <c r="C753" s="1"/>
      <c r="E753" s="1"/>
      <c r="F753" s="1"/>
      <c r="G753" s="1"/>
      <c r="H753" s="1"/>
      <c r="I753" s="1"/>
      <c r="J753" s="1"/>
      <c r="K753" s="1"/>
      <c r="M753" s="1"/>
      <c r="N753" s="1"/>
      <c r="O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U753" s="1"/>
      <c r="AW753" s="1"/>
      <c r="AY753" s="1"/>
    </row>
    <row r="754">
      <c r="A754" s="1"/>
      <c r="C754" s="1"/>
      <c r="E754" s="1"/>
      <c r="F754" s="1"/>
      <c r="G754" s="1"/>
      <c r="H754" s="1"/>
      <c r="I754" s="1"/>
      <c r="J754" s="1"/>
      <c r="K754" s="1"/>
      <c r="M754" s="1"/>
      <c r="N754" s="1"/>
      <c r="O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U754" s="1"/>
      <c r="AW754" s="1"/>
      <c r="AY754" s="1"/>
    </row>
    <row r="755">
      <c r="A755" s="1"/>
      <c r="C755" s="1"/>
      <c r="E755" s="1"/>
      <c r="F755" s="1"/>
      <c r="G755" s="1"/>
      <c r="H755" s="1"/>
      <c r="I755" s="1"/>
      <c r="J755" s="1"/>
      <c r="K755" s="1"/>
      <c r="M755" s="1"/>
      <c r="N755" s="1"/>
      <c r="O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U755" s="1"/>
      <c r="AW755" s="1"/>
      <c r="AY755" s="1"/>
    </row>
    <row r="756">
      <c r="A756" s="1"/>
      <c r="C756" s="1"/>
      <c r="E756" s="1"/>
      <c r="F756" s="1"/>
      <c r="G756" s="1"/>
      <c r="H756" s="1"/>
      <c r="I756" s="1"/>
      <c r="J756" s="1"/>
      <c r="K756" s="1"/>
      <c r="M756" s="1"/>
      <c r="N756" s="1"/>
      <c r="O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U756" s="1"/>
      <c r="AW756" s="1"/>
      <c r="AY756" s="1"/>
    </row>
    <row r="757">
      <c r="A757" s="1"/>
      <c r="C757" s="1"/>
      <c r="E757" s="1"/>
      <c r="F757" s="1"/>
      <c r="G757" s="1"/>
      <c r="H757" s="1"/>
      <c r="I757" s="1"/>
      <c r="J757" s="1"/>
      <c r="K757" s="1"/>
      <c r="M757" s="1"/>
      <c r="N757" s="1"/>
      <c r="O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U757" s="1"/>
      <c r="AW757" s="1"/>
      <c r="AY757" s="1"/>
    </row>
    <row r="758">
      <c r="A758" s="1"/>
      <c r="C758" s="1"/>
      <c r="E758" s="1"/>
      <c r="F758" s="1"/>
      <c r="G758" s="1"/>
      <c r="H758" s="1"/>
      <c r="I758" s="1"/>
      <c r="J758" s="1"/>
      <c r="K758" s="1"/>
      <c r="M758" s="1"/>
      <c r="N758" s="1"/>
      <c r="O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U758" s="1"/>
      <c r="AW758" s="1"/>
      <c r="AY758" s="1"/>
    </row>
    <row r="759">
      <c r="A759" s="1"/>
      <c r="C759" s="1"/>
      <c r="E759" s="1"/>
      <c r="F759" s="1"/>
      <c r="G759" s="1"/>
      <c r="H759" s="1"/>
      <c r="I759" s="1"/>
      <c r="J759" s="1"/>
      <c r="K759" s="1"/>
      <c r="M759" s="1"/>
      <c r="N759" s="1"/>
      <c r="O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U759" s="1"/>
      <c r="AW759" s="1"/>
      <c r="AY759" s="1"/>
    </row>
    <row r="760">
      <c r="A760" s="1"/>
      <c r="C760" s="1"/>
      <c r="E760" s="1"/>
      <c r="F760" s="1"/>
      <c r="G760" s="1"/>
      <c r="H760" s="1"/>
      <c r="I760" s="1"/>
      <c r="J760" s="1"/>
      <c r="K760" s="1"/>
      <c r="M760" s="1"/>
      <c r="N760" s="1"/>
      <c r="O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U760" s="1"/>
      <c r="AW760" s="1"/>
      <c r="AY760" s="1"/>
    </row>
    <row r="761">
      <c r="A761" s="1"/>
      <c r="C761" s="1"/>
      <c r="E761" s="1"/>
      <c r="F761" s="1"/>
      <c r="G761" s="1"/>
      <c r="H761" s="1"/>
      <c r="I761" s="1"/>
      <c r="J761" s="1"/>
      <c r="K761" s="1"/>
      <c r="M761" s="1"/>
      <c r="N761" s="1"/>
      <c r="O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U761" s="1"/>
      <c r="AW761" s="1"/>
      <c r="AY761" s="1"/>
    </row>
    <row r="762">
      <c r="A762" s="1"/>
      <c r="C762" s="1"/>
      <c r="E762" s="1"/>
      <c r="F762" s="1"/>
      <c r="G762" s="1"/>
      <c r="H762" s="1"/>
      <c r="I762" s="1"/>
      <c r="J762" s="1"/>
      <c r="K762" s="1"/>
      <c r="M762" s="1"/>
      <c r="N762" s="1"/>
      <c r="O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U762" s="1"/>
      <c r="AW762" s="1"/>
      <c r="AY762" s="1"/>
    </row>
    <row r="763">
      <c r="A763" s="1"/>
      <c r="C763" s="1"/>
      <c r="E763" s="1"/>
      <c r="F763" s="1"/>
      <c r="G763" s="1"/>
      <c r="H763" s="1"/>
      <c r="I763" s="1"/>
      <c r="J763" s="1"/>
      <c r="K763" s="1"/>
      <c r="M763" s="1"/>
      <c r="N763" s="1"/>
      <c r="O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U763" s="1"/>
      <c r="AW763" s="1"/>
      <c r="AY763" s="1"/>
    </row>
    <row r="764">
      <c r="A764" s="1"/>
      <c r="C764" s="1"/>
      <c r="E764" s="1"/>
      <c r="F764" s="1"/>
      <c r="G764" s="1"/>
      <c r="H764" s="1"/>
      <c r="I764" s="1"/>
      <c r="J764" s="1"/>
      <c r="K764" s="1"/>
      <c r="M764" s="1"/>
      <c r="N764" s="1"/>
      <c r="O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U764" s="1"/>
      <c r="AW764" s="1"/>
      <c r="AY764" s="1"/>
    </row>
    <row r="765">
      <c r="A765" s="1"/>
      <c r="C765" s="1"/>
      <c r="E765" s="1"/>
      <c r="F765" s="1"/>
      <c r="G765" s="1"/>
      <c r="H765" s="1"/>
      <c r="I765" s="1"/>
      <c r="J765" s="1"/>
      <c r="K765" s="1"/>
      <c r="M765" s="1"/>
      <c r="N765" s="1"/>
      <c r="O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U765" s="1"/>
      <c r="AW765" s="1"/>
      <c r="AY765" s="1"/>
    </row>
    <row r="766">
      <c r="A766" s="1"/>
      <c r="C766" s="1"/>
      <c r="E766" s="1"/>
      <c r="F766" s="1"/>
      <c r="G766" s="1"/>
      <c r="H766" s="1"/>
      <c r="I766" s="1"/>
      <c r="J766" s="1"/>
      <c r="K766" s="1"/>
      <c r="M766" s="1"/>
      <c r="N766" s="1"/>
      <c r="O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U766" s="1"/>
      <c r="AW766" s="1"/>
      <c r="AY766" s="1"/>
    </row>
    <row r="767">
      <c r="A767" s="1"/>
      <c r="C767" s="1"/>
      <c r="E767" s="1"/>
      <c r="F767" s="1"/>
      <c r="G767" s="1"/>
      <c r="H767" s="1"/>
      <c r="I767" s="1"/>
      <c r="J767" s="1"/>
      <c r="K767" s="1"/>
      <c r="M767" s="1"/>
      <c r="N767" s="1"/>
      <c r="O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U767" s="1"/>
      <c r="AW767" s="1"/>
      <c r="AY767" s="1"/>
    </row>
    <row r="768">
      <c r="A768" s="1"/>
      <c r="C768" s="1"/>
      <c r="E768" s="1"/>
      <c r="F768" s="1"/>
      <c r="G768" s="1"/>
      <c r="H768" s="1"/>
      <c r="I768" s="1"/>
      <c r="J768" s="1"/>
      <c r="K768" s="1"/>
      <c r="M768" s="1"/>
      <c r="N768" s="1"/>
      <c r="O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U768" s="1"/>
      <c r="AW768" s="1"/>
      <c r="AY768" s="1"/>
    </row>
    <row r="769">
      <c r="A769" s="1"/>
      <c r="C769" s="1"/>
      <c r="E769" s="1"/>
      <c r="F769" s="1"/>
      <c r="G769" s="1"/>
      <c r="H769" s="1"/>
      <c r="I769" s="1"/>
      <c r="J769" s="1"/>
      <c r="K769" s="1"/>
      <c r="M769" s="1"/>
      <c r="N769" s="1"/>
      <c r="O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U769" s="1"/>
      <c r="AW769" s="1"/>
      <c r="AY769" s="1"/>
    </row>
    <row r="770">
      <c r="A770" s="1"/>
      <c r="C770" s="1"/>
      <c r="E770" s="1"/>
      <c r="F770" s="1"/>
      <c r="G770" s="1"/>
      <c r="H770" s="1"/>
      <c r="I770" s="1"/>
      <c r="J770" s="1"/>
      <c r="K770" s="1"/>
      <c r="M770" s="1"/>
      <c r="N770" s="1"/>
      <c r="O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U770" s="1"/>
      <c r="AW770" s="1"/>
      <c r="AY770" s="1"/>
    </row>
    <row r="771">
      <c r="A771" s="1"/>
      <c r="C771" s="1"/>
      <c r="E771" s="1"/>
      <c r="F771" s="1"/>
      <c r="G771" s="1"/>
      <c r="H771" s="1"/>
      <c r="I771" s="1"/>
      <c r="J771" s="1"/>
      <c r="K771" s="1"/>
      <c r="M771" s="1"/>
      <c r="N771" s="1"/>
      <c r="O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U771" s="1"/>
      <c r="AW771" s="1"/>
      <c r="AY771" s="1"/>
    </row>
    <row r="772">
      <c r="A772" s="1"/>
      <c r="C772" s="1"/>
      <c r="E772" s="1"/>
      <c r="F772" s="1"/>
      <c r="G772" s="1"/>
      <c r="H772" s="1"/>
      <c r="I772" s="1"/>
      <c r="J772" s="1"/>
      <c r="K772" s="1"/>
      <c r="M772" s="1"/>
      <c r="N772" s="1"/>
      <c r="O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U772" s="1"/>
      <c r="AW772" s="1"/>
      <c r="AY772" s="1"/>
    </row>
    <row r="773">
      <c r="A773" s="1"/>
      <c r="C773" s="1"/>
      <c r="E773" s="1"/>
      <c r="F773" s="1"/>
      <c r="G773" s="1"/>
      <c r="H773" s="1"/>
      <c r="I773" s="1"/>
      <c r="J773" s="1"/>
      <c r="K773" s="1"/>
      <c r="M773" s="1"/>
      <c r="N773" s="1"/>
      <c r="O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U773" s="1"/>
      <c r="AW773" s="1"/>
      <c r="AY773" s="1"/>
    </row>
    <row r="774">
      <c r="A774" s="1"/>
      <c r="C774" s="1"/>
      <c r="E774" s="1"/>
      <c r="F774" s="1"/>
      <c r="G774" s="1"/>
      <c r="H774" s="1"/>
      <c r="I774" s="1"/>
      <c r="J774" s="1"/>
      <c r="K774" s="1"/>
      <c r="M774" s="1"/>
      <c r="N774" s="1"/>
      <c r="O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U774" s="1"/>
      <c r="AW774" s="1"/>
      <c r="AY774" s="1"/>
    </row>
    <row r="775">
      <c r="A775" s="1"/>
      <c r="C775" s="1"/>
      <c r="E775" s="1"/>
      <c r="F775" s="1"/>
      <c r="G775" s="1"/>
      <c r="H775" s="1"/>
      <c r="I775" s="1"/>
      <c r="J775" s="1"/>
      <c r="K775" s="1"/>
      <c r="M775" s="1"/>
      <c r="N775" s="1"/>
      <c r="O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U775" s="1"/>
      <c r="AW775" s="1"/>
      <c r="AY775" s="1"/>
    </row>
    <row r="776">
      <c r="A776" s="1"/>
      <c r="C776" s="1"/>
      <c r="E776" s="1"/>
      <c r="F776" s="1"/>
      <c r="G776" s="1"/>
      <c r="H776" s="1"/>
      <c r="I776" s="1"/>
      <c r="J776" s="1"/>
      <c r="K776" s="1"/>
      <c r="M776" s="1"/>
      <c r="N776" s="1"/>
      <c r="O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U776" s="1"/>
      <c r="AW776" s="1"/>
      <c r="AY776" s="1"/>
    </row>
    <row r="777">
      <c r="A777" s="1"/>
      <c r="C777" s="1"/>
      <c r="E777" s="1"/>
      <c r="F777" s="1"/>
      <c r="G777" s="1"/>
      <c r="H777" s="1"/>
      <c r="I777" s="1"/>
      <c r="J777" s="1"/>
      <c r="K777" s="1"/>
      <c r="M777" s="1"/>
      <c r="N777" s="1"/>
      <c r="O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U777" s="1"/>
      <c r="AW777" s="1"/>
      <c r="AY777" s="1"/>
    </row>
    <row r="778">
      <c r="A778" s="1"/>
      <c r="C778" s="1"/>
      <c r="E778" s="1"/>
      <c r="F778" s="1"/>
      <c r="G778" s="1"/>
      <c r="H778" s="1"/>
      <c r="I778" s="1"/>
      <c r="J778" s="1"/>
      <c r="K778" s="1"/>
      <c r="M778" s="1"/>
      <c r="N778" s="1"/>
      <c r="O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U778" s="1"/>
      <c r="AW778" s="1"/>
      <c r="AY778" s="1"/>
    </row>
    <row r="779">
      <c r="A779" s="1"/>
      <c r="C779" s="1"/>
      <c r="E779" s="1"/>
      <c r="F779" s="1"/>
      <c r="G779" s="1"/>
      <c r="H779" s="1"/>
      <c r="I779" s="1"/>
      <c r="J779" s="1"/>
      <c r="K779" s="1"/>
      <c r="M779" s="1"/>
      <c r="N779" s="1"/>
      <c r="O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U779" s="1"/>
      <c r="AW779" s="1"/>
      <c r="AY779" s="1"/>
    </row>
    <row r="780">
      <c r="A780" s="1"/>
      <c r="C780" s="1"/>
      <c r="E780" s="1"/>
      <c r="F780" s="1"/>
      <c r="G780" s="1"/>
      <c r="H780" s="1"/>
      <c r="I780" s="1"/>
      <c r="J780" s="1"/>
      <c r="K780" s="1"/>
      <c r="M780" s="1"/>
      <c r="N780" s="1"/>
      <c r="O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U780" s="1"/>
      <c r="AW780" s="1"/>
      <c r="AY780" s="1"/>
    </row>
    <row r="781">
      <c r="A781" s="1"/>
      <c r="C781" s="1"/>
      <c r="E781" s="1"/>
      <c r="F781" s="1"/>
      <c r="G781" s="1"/>
      <c r="H781" s="1"/>
      <c r="I781" s="1"/>
      <c r="J781" s="1"/>
      <c r="K781" s="1"/>
      <c r="M781" s="1"/>
      <c r="N781" s="1"/>
      <c r="O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U781" s="1"/>
      <c r="AW781" s="1"/>
      <c r="AY781" s="1"/>
    </row>
    <row r="782">
      <c r="A782" s="1"/>
      <c r="C782" s="1"/>
      <c r="E782" s="1"/>
      <c r="F782" s="1"/>
      <c r="G782" s="1"/>
      <c r="H782" s="1"/>
      <c r="I782" s="1"/>
      <c r="J782" s="1"/>
      <c r="K782" s="1"/>
      <c r="M782" s="1"/>
      <c r="N782" s="1"/>
      <c r="O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U782" s="1"/>
      <c r="AW782" s="1"/>
      <c r="AY782" s="1"/>
    </row>
    <row r="783">
      <c r="A783" s="1"/>
      <c r="C783" s="1"/>
      <c r="E783" s="1"/>
      <c r="F783" s="1"/>
      <c r="G783" s="1"/>
      <c r="H783" s="1"/>
      <c r="I783" s="1"/>
      <c r="J783" s="1"/>
      <c r="K783" s="1"/>
      <c r="M783" s="1"/>
      <c r="N783" s="1"/>
      <c r="O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U783" s="1"/>
      <c r="AW783" s="1"/>
      <c r="AY783" s="1"/>
    </row>
    <row r="784">
      <c r="A784" s="1"/>
      <c r="C784" s="1"/>
      <c r="E784" s="1"/>
      <c r="F784" s="1"/>
      <c r="G784" s="1"/>
      <c r="H784" s="1"/>
      <c r="I784" s="1"/>
      <c r="J784" s="1"/>
      <c r="K784" s="1"/>
      <c r="M784" s="1"/>
      <c r="N784" s="1"/>
      <c r="O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U784" s="1"/>
      <c r="AW784" s="1"/>
      <c r="AY784" s="1"/>
    </row>
    <row r="785">
      <c r="A785" s="1"/>
      <c r="C785" s="1"/>
      <c r="E785" s="1"/>
      <c r="F785" s="1"/>
      <c r="G785" s="1"/>
      <c r="H785" s="1"/>
      <c r="I785" s="1"/>
      <c r="J785" s="1"/>
      <c r="K785" s="1"/>
      <c r="M785" s="1"/>
      <c r="N785" s="1"/>
      <c r="O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U785" s="1"/>
      <c r="AW785" s="1"/>
      <c r="AY785" s="1"/>
    </row>
    <row r="786">
      <c r="A786" s="1"/>
      <c r="C786" s="1"/>
      <c r="E786" s="1"/>
      <c r="F786" s="1"/>
      <c r="G786" s="1"/>
      <c r="H786" s="1"/>
      <c r="I786" s="1"/>
      <c r="J786" s="1"/>
      <c r="K786" s="1"/>
      <c r="M786" s="1"/>
      <c r="N786" s="1"/>
      <c r="O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U786" s="1"/>
      <c r="AW786" s="1"/>
      <c r="AY786" s="1"/>
    </row>
    <row r="787">
      <c r="A787" s="1"/>
      <c r="C787" s="1"/>
      <c r="E787" s="1"/>
      <c r="F787" s="1"/>
      <c r="G787" s="1"/>
      <c r="H787" s="1"/>
      <c r="I787" s="1"/>
      <c r="J787" s="1"/>
      <c r="K787" s="1"/>
      <c r="M787" s="1"/>
      <c r="N787" s="1"/>
      <c r="O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U787" s="1"/>
      <c r="AW787" s="1"/>
      <c r="AY787" s="1"/>
    </row>
    <row r="788">
      <c r="A788" s="1"/>
      <c r="C788" s="1"/>
      <c r="E788" s="1"/>
      <c r="F788" s="1"/>
      <c r="G788" s="1"/>
      <c r="H788" s="1"/>
      <c r="I788" s="1"/>
      <c r="J788" s="1"/>
      <c r="K788" s="1"/>
      <c r="M788" s="1"/>
      <c r="N788" s="1"/>
      <c r="O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U788" s="1"/>
      <c r="AW788" s="1"/>
      <c r="AY788" s="1"/>
    </row>
    <row r="789">
      <c r="A789" s="1"/>
      <c r="C789" s="1"/>
      <c r="E789" s="1"/>
      <c r="F789" s="1"/>
      <c r="G789" s="1"/>
      <c r="H789" s="1"/>
      <c r="I789" s="1"/>
      <c r="J789" s="1"/>
      <c r="K789" s="1"/>
      <c r="M789" s="1"/>
      <c r="N789" s="1"/>
      <c r="O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U789" s="1"/>
      <c r="AW789" s="1"/>
      <c r="AY789" s="1"/>
    </row>
    <row r="790">
      <c r="A790" s="1"/>
      <c r="C790" s="1"/>
      <c r="E790" s="1"/>
      <c r="F790" s="1"/>
      <c r="G790" s="1"/>
      <c r="H790" s="1"/>
      <c r="I790" s="1"/>
      <c r="J790" s="1"/>
      <c r="K790" s="1"/>
      <c r="M790" s="1"/>
      <c r="N790" s="1"/>
      <c r="O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U790" s="1"/>
      <c r="AW790" s="1"/>
      <c r="AY790" s="1"/>
    </row>
    <row r="791">
      <c r="A791" s="1"/>
      <c r="C791" s="1"/>
      <c r="E791" s="1"/>
      <c r="F791" s="1"/>
      <c r="G791" s="1"/>
      <c r="H791" s="1"/>
      <c r="I791" s="1"/>
      <c r="J791" s="1"/>
      <c r="K791" s="1"/>
      <c r="M791" s="1"/>
      <c r="N791" s="1"/>
      <c r="O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U791" s="1"/>
      <c r="AW791" s="1"/>
      <c r="AY791" s="1"/>
    </row>
    <row r="792">
      <c r="A792" s="1"/>
      <c r="C792" s="1"/>
      <c r="E792" s="1"/>
      <c r="F792" s="1"/>
      <c r="G792" s="1"/>
      <c r="H792" s="1"/>
      <c r="I792" s="1"/>
      <c r="J792" s="1"/>
      <c r="K792" s="1"/>
      <c r="M792" s="1"/>
      <c r="N792" s="1"/>
      <c r="O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U792" s="1"/>
      <c r="AW792" s="1"/>
      <c r="AY792" s="1"/>
    </row>
    <row r="793">
      <c r="A793" s="1"/>
      <c r="C793" s="1"/>
      <c r="E793" s="1"/>
      <c r="F793" s="1"/>
      <c r="G793" s="1"/>
      <c r="H793" s="1"/>
      <c r="I793" s="1"/>
      <c r="J793" s="1"/>
      <c r="K793" s="1"/>
      <c r="M793" s="1"/>
      <c r="N793" s="1"/>
      <c r="O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U793" s="1"/>
      <c r="AW793" s="1"/>
      <c r="AY793" s="1"/>
    </row>
    <row r="794">
      <c r="A794" s="1"/>
      <c r="C794" s="1"/>
      <c r="E794" s="1"/>
      <c r="F794" s="1"/>
      <c r="G794" s="1"/>
      <c r="H794" s="1"/>
      <c r="I794" s="1"/>
      <c r="J794" s="1"/>
      <c r="K794" s="1"/>
      <c r="M794" s="1"/>
      <c r="N794" s="1"/>
      <c r="O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U794" s="1"/>
      <c r="AW794" s="1"/>
      <c r="AY794" s="1"/>
    </row>
    <row r="795">
      <c r="A795" s="1"/>
      <c r="C795" s="1"/>
      <c r="E795" s="1"/>
      <c r="F795" s="1"/>
      <c r="G795" s="1"/>
      <c r="H795" s="1"/>
      <c r="I795" s="1"/>
      <c r="J795" s="1"/>
      <c r="K795" s="1"/>
      <c r="M795" s="1"/>
      <c r="N795" s="1"/>
      <c r="O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U795" s="1"/>
      <c r="AW795" s="1"/>
      <c r="AY795" s="1"/>
    </row>
    <row r="796">
      <c r="A796" s="1"/>
      <c r="C796" s="1"/>
      <c r="E796" s="1"/>
      <c r="F796" s="1"/>
      <c r="G796" s="1"/>
      <c r="H796" s="1"/>
      <c r="I796" s="1"/>
      <c r="J796" s="1"/>
      <c r="K796" s="1"/>
      <c r="M796" s="1"/>
      <c r="N796" s="1"/>
      <c r="O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U796" s="1"/>
      <c r="AW796" s="1"/>
      <c r="AY796" s="1"/>
    </row>
    <row r="797">
      <c r="A797" s="1"/>
      <c r="C797" s="1"/>
      <c r="E797" s="1"/>
      <c r="F797" s="1"/>
      <c r="G797" s="1"/>
      <c r="H797" s="1"/>
      <c r="I797" s="1"/>
      <c r="J797" s="1"/>
      <c r="K797" s="1"/>
      <c r="M797" s="1"/>
      <c r="N797" s="1"/>
      <c r="O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U797" s="1"/>
      <c r="AW797" s="1"/>
      <c r="AY797" s="1"/>
    </row>
    <row r="798">
      <c r="A798" s="1"/>
      <c r="C798" s="1"/>
      <c r="E798" s="1"/>
      <c r="F798" s="1"/>
      <c r="G798" s="1"/>
      <c r="H798" s="1"/>
      <c r="I798" s="1"/>
      <c r="J798" s="1"/>
      <c r="K798" s="1"/>
      <c r="M798" s="1"/>
      <c r="N798" s="1"/>
      <c r="O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U798" s="1"/>
      <c r="AW798" s="1"/>
      <c r="AY798" s="1"/>
    </row>
    <row r="799">
      <c r="A799" s="1"/>
      <c r="C799" s="1"/>
      <c r="E799" s="1"/>
      <c r="F799" s="1"/>
      <c r="G799" s="1"/>
      <c r="H799" s="1"/>
      <c r="I799" s="1"/>
      <c r="J799" s="1"/>
      <c r="K799" s="1"/>
      <c r="M799" s="1"/>
      <c r="N799" s="1"/>
      <c r="O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U799" s="1"/>
      <c r="AW799" s="1"/>
      <c r="AY799" s="1"/>
    </row>
    <row r="800">
      <c r="A800" s="1"/>
      <c r="C800" s="1"/>
      <c r="E800" s="1"/>
      <c r="F800" s="1"/>
      <c r="G800" s="1"/>
      <c r="H800" s="1"/>
      <c r="I800" s="1"/>
      <c r="J800" s="1"/>
      <c r="K800" s="1"/>
      <c r="M800" s="1"/>
      <c r="N800" s="1"/>
      <c r="O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U800" s="1"/>
      <c r="AW800" s="1"/>
      <c r="AY800" s="1"/>
    </row>
    <row r="801">
      <c r="A801" s="1"/>
      <c r="C801" s="1"/>
      <c r="E801" s="1"/>
      <c r="F801" s="1"/>
      <c r="G801" s="1"/>
      <c r="H801" s="1"/>
      <c r="I801" s="1"/>
      <c r="J801" s="1"/>
      <c r="K801" s="1"/>
      <c r="M801" s="1"/>
      <c r="N801" s="1"/>
      <c r="O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U801" s="1"/>
      <c r="AW801" s="1"/>
      <c r="AY801" s="1"/>
    </row>
    <row r="802">
      <c r="A802" s="1"/>
      <c r="C802" s="1"/>
      <c r="E802" s="1"/>
      <c r="F802" s="1"/>
      <c r="G802" s="1"/>
      <c r="H802" s="1"/>
      <c r="I802" s="1"/>
      <c r="J802" s="1"/>
      <c r="K802" s="1"/>
      <c r="M802" s="1"/>
      <c r="N802" s="1"/>
      <c r="O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U802" s="1"/>
      <c r="AW802" s="1"/>
      <c r="AY802" s="1"/>
    </row>
    <row r="803">
      <c r="A803" s="1"/>
      <c r="C803" s="1"/>
      <c r="E803" s="1"/>
      <c r="F803" s="1"/>
      <c r="G803" s="1"/>
      <c r="H803" s="1"/>
      <c r="I803" s="1"/>
      <c r="J803" s="1"/>
      <c r="K803" s="1"/>
      <c r="M803" s="1"/>
      <c r="N803" s="1"/>
      <c r="O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U803" s="1"/>
      <c r="AW803" s="1"/>
      <c r="AY803" s="1"/>
    </row>
    <row r="804">
      <c r="A804" s="1"/>
      <c r="C804" s="1"/>
      <c r="E804" s="1"/>
      <c r="F804" s="1"/>
      <c r="G804" s="1"/>
      <c r="H804" s="1"/>
      <c r="I804" s="1"/>
      <c r="J804" s="1"/>
      <c r="K804" s="1"/>
      <c r="M804" s="1"/>
      <c r="N804" s="1"/>
      <c r="O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U804" s="1"/>
      <c r="AW804" s="1"/>
      <c r="AY804" s="1"/>
    </row>
    <row r="805">
      <c r="A805" s="1"/>
      <c r="C805" s="1"/>
      <c r="E805" s="1"/>
      <c r="F805" s="1"/>
      <c r="G805" s="1"/>
      <c r="H805" s="1"/>
      <c r="I805" s="1"/>
      <c r="J805" s="1"/>
      <c r="K805" s="1"/>
      <c r="M805" s="1"/>
      <c r="N805" s="1"/>
      <c r="O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U805" s="1"/>
      <c r="AW805" s="1"/>
      <c r="AY805" s="1"/>
    </row>
    <row r="806">
      <c r="A806" s="1"/>
      <c r="C806" s="1"/>
      <c r="E806" s="1"/>
      <c r="F806" s="1"/>
      <c r="G806" s="1"/>
      <c r="H806" s="1"/>
      <c r="I806" s="1"/>
      <c r="J806" s="1"/>
      <c r="K806" s="1"/>
      <c r="M806" s="1"/>
      <c r="N806" s="1"/>
      <c r="O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U806" s="1"/>
      <c r="AW806" s="1"/>
      <c r="AY806" s="1"/>
    </row>
    <row r="807">
      <c r="A807" s="1"/>
      <c r="C807" s="1"/>
      <c r="E807" s="1"/>
      <c r="F807" s="1"/>
      <c r="G807" s="1"/>
      <c r="H807" s="1"/>
      <c r="I807" s="1"/>
      <c r="J807" s="1"/>
      <c r="K807" s="1"/>
      <c r="M807" s="1"/>
      <c r="N807" s="1"/>
      <c r="O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U807" s="1"/>
      <c r="AW807" s="1"/>
      <c r="AY807" s="1"/>
    </row>
    <row r="808">
      <c r="A808" s="1"/>
      <c r="C808" s="1"/>
      <c r="E808" s="1"/>
      <c r="F808" s="1"/>
      <c r="G808" s="1"/>
      <c r="H808" s="1"/>
      <c r="I808" s="1"/>
      <c r="J808" s="1"/>
      <c r="K808" s="1"/>
      <c r="M808" s="1"/>
      <c r="N808" s="1"/>
      <c r="O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U808" s="1"/>
      <c r="AW808" s="1"/>
      <c r="AY808" s="1"/>
    </row>
    <row r="809">
      <c r="A809" s="1"/>
      <c r="C809" s="1"/>
      <c r="E809" s="1"/>
      <c r="F809" s="1"/>
      <c r="G809" s="1"/>
      <c r="H809" s="1"/>
      <c r="I809" s="1"/>
      <c r="J809" s="1"/>
      <c r="K809" s="1"/>
      <c r="M809" s="1"/>
      <c r="N809" s="1"/>
      <c r="O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U809" s="1"/>
      <c r="AW809" s="1"/>
      <c r="AY809" s="1"/>
    </row>
    <row r="810">
      <c r="A810" s="1"/>
      <c r="C810" s="1"/>
      <c r="E810" s="1"/>
      <c r="F810" s="1"/>
      <c r="G810" s="1"/>
      <c r="H810" s="1"/>
      <c r="I810" s="1"/>
      <c r="J810" s="1"/>
      <c r="K810" s="1"/>
      <c r="M810" s="1"/>
      <c r="N810" s="1"/>
      <c r="O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U810" s="1"/>
      <c r="AW810" s="1"/>
      <c r="AY810" s="1"/>
    </row>
    <row r="811">
      <c r="A811" s="1"/>
      <c r="C811" s="1"/>
      <c r="E811" s="1"/>
      <c r="F811" s="1"/>
      <c r="G811" s="1"/>
      <c r="H811" s="1"/>
      <c r="I811" s="1"/>
      <c r="J811" s="1"/>
      <c r="K811" s="1"/>
      <c r="M811" s="1"/>
      <c r="N811" s="1"/>
      <c r="O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U811" s="1"/>
      <c r="AW811" s="1"/>
      <c r="AY811" s="1"/>
    </row>
    <row r="812">
      <c r="A812" s="1"/>
      <c r="C812" s="1"/>
      <c r="E812" s="1"/>
      <c r="F812" s="1"/>
      <c r="G812" s="1"/>
      <c r="H812" s="1"/>
      <c r="I812" s="1"/>
      <c r="J812" s="1"/>
      <c r="K812" s="1"/>
      <c r="M812" s="1"/>
      <c r="N812" s="1"/>
      <c r="O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U812" s="1"/>
      <c r="AW812" s="1"/>
      <c r="AY812" s="1"/>
    </row>
    <row r="813">
      <c r="A813" s="1"/>
      <c r="C813" s="1"/>
      <c r="E813" s="1"/>
      <c r="F813" s="1"/>
      <c r="G813" s="1"/>
      <c r="H813" s="1"/>
      <c r="I813" s="1"/>
      <c r="J813" s="1"/>
      <c r="K813" s="1"/>
      <c r="M813" s="1"/>
      <c r="N813" s="1"/>
      <c r="O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U813" s="1"/>
      <c r="AW813" s="1"/>
      <c r="AY813" s="1"/>
    </row>
    <row r="814">
      <c r="A814" s="1"/>
      <c r="C814" s="1"/>
      <c r="E814" s="1"/>
      <c r="F814" s="1"/>
      <c r="G814" s="1"/>
      <c r="H814" s="1"/>
      <c r="I814" s="1"/>
      <c r="J814" s="1"/>
      <c r="K814" s="1"/>
      <c r="M814" s="1"/>
      <c r="N814" s="1"/>
      <c r="O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U814" s="1"/>
      <c r="AW814" s="1"/>
      <c r="AY814" s="1"/>
    </row>
    <row r="815">
      <c r="A815" s="1"/>
      <c r="C815" s="1"/>
      <c r="E815" s="1"/>
      <c r="F815" s="1"/>
      <c r="G815" s="1"/>
      <c r="H815" s="1"/>
      <c r="I815" s="1"/>
      <c r="J815" s="1"/>
      <c r="K815" s="1"/>
      <c r="M815" s="1"/>
      <c r="N815" s="1"/>
      <c r="O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U815" s="1"/>
      <c r="AW815" s="1"/>
      <c r="AY815" s="1"/>
    </row>
    <row r="816">
      <c r="A816" s="1"/>
      <c r="C816" s="1"/>
      <c r="E816" s="1"/>
      <c r="F816" s="1"/>
      <c r="G816" s="1"/>
      <c r="H816" s="1"/>
      <c r="I816" s="1"/>
      <c r="J816" s="1"/>
      <c r="K816" s="1"/>
      <c r="M816" s="1"/>
      <c r="N816" s="1"/>
      <c r="O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U816" s="1"/>
      <c r="AW816" s="1"/>
      <c r="AY816" s="1"/>
    </row>
    <row r="817">
      <c r="A817" s="1"/>
      <c r="C817" s="1"/>
      <c r="E817" s="1"/>
      <c r="F817" s="1"/>
      <c r="G817" s="1"/>
      <c r="H817" s="1"/>
      <c r="I817" s="1"/>
      <c r="J817" s="1"/>
      <c r="K817" s="1"/>
      <c r="M817" s="1"/>
      <c r="N817" s="1"/>
      <c r="O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U817" s="1"/>
      <c r="AW817" s="1"/>
      <c r="AY817" s="1"/>
    </row>
    <row r="818">
      <c r="A818" s="1"/>
      <c r="C818" s="1"/>
      <c r="E818" s="1"/>
      <c r="F818" s="1"/>
      <c r="G818" s="1"/>
      <c r="H818" s="1"/>
      <c r="I818" s="1"/>
      <c r="J818" s="1"/>
      <c r="K818" s="1"/>
      <c r="M818" s="1"/>
      <c r="N818" s="1"/>
      <c r="O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U818" s="1"/>
      <c r="AW818" s="1"/>
      <c r="AY818" s="1"/>
    </row>
    <row r="819">
      <c r="A819" s="1"/>
      <c r="C819" s="1"/>
      <c r="E819" s="1"/>
      <c r="F819" s="1"/>
      <c r="G819" s="1"/>
      <c r="H819" s="1"/>
      <c r="I819" s="1"/>
      <c r="J819" s="1"/>
      <c r="K819" s="1"/>
      <c r="M819" s="1"/>
      <c r="N819" s="1"/>
      <c r="O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U819" s="1"/>
      <c r="AW819" s="1"/>
      <c r="AY819" s="1"/>
    </row>
    <row r="820">
      <c r="A820" s="1"/>
      <c r="C820" s="1"/>
      <c r="E820" s="1"/>
      <c r="F820" s="1"/>
      <c r="G820" s="1"/>
      <c r="H820" s="1"/>
      <c r="I820" s="1"/>
      <c r="J820" s="1"/>
      <c r="K820" s="1"/>
      <c r="M820" s="1"/>
      <c r="N820" s="1"/>
      <c r="O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U820" s="1"/>
      <c r="AW820" s="1"/>
      <c r="AY820" s="1"/>
    </row>
    <row r="821">
      <c r="A821" s="1"/>
      <c r="C821" s="1"/>
      <c r="E821" s="1"/>
      <c r="F821" s="1"/>
      <c r="G821" s="1"/>
      <c r="H821" s="1"/>
      <c r="I821" s="1"/>
      <c r="J821" s="1"/>
      <c r="K821" s="1"/>
      <c r="M821" s="1"/>
      <c r="N821" s="1"/>
      <c r="O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U821" s="1"/>
      <c r="AW821" s="1"/>
      <c r="AY821" s="1"/>
    </row>
    <row r="822">
      <c r="A822" s="1"/>
      <c r="C822" s="1"/>
      <c r="E822" s="1"/>
      <c r="F822" s="1"/>
      <c r="G822" s="1"/>
      <c r="H822" s="1"/>
      <c r="I822" s="1"/>
      <c r="J822" s="1"/>
      <c r="K822" s="1"/>
      <c r="M822" s="1"/>
      <c r="N822" s="1"/>
      <c r="O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U822" s="1"/>
      <c r="AW822" s="1"/>
      <c r="AY822" s="1"/>
    </row>
    <row r="823">
      <c r="A823" s="1"/>
      <c r="C823" s="1"/>
      <c r="E823" s="1"/>
      <c r="F823" s="1"/>
      <c r="G823" s="1"/>
      <c r="H823" s="1"/>
      <c r="I823" s="1"/>
      <c r="J823" s="1"/>
      <c r="K823" s="1"/>
      <c r="M823" s="1"/>
      <c r="N823" s="1"/>
      <c r="O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U823" s="1"/>
      <c r="AW823" s="1"/>
      <c r="AY823" s="1"/>
    </row>
    <row r="824">
      <c r="A824" s="1"/>
      <c r="C824" s="1"/>
      <c r="E824" s="1"/>
      <c r="F824" s="1"/>
      <c r="G824" s="1"/>
      <c r="H824" s="1"/>
      <c r="I824" s="1"/>
      <c r="J824" s="1"/>
      <c r="K824" s="1"/>
      <c r="M824" s="1"/>
      <c r="N824" s="1"/>
      <c r="O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U824" s="1"/>
      <c r="AW824" s="1"/>
      <c r="AY824" s="1"/>
    </row>
    <row r="825">
      <c r="A825" s="1"/>
      <c r="C825" s="1"/>
      <c r="E825" s="1"/>
      <c r="F825" s="1"/>
      <c r="G825" s="1"/>
      <c r="H825" s="1"/>
      <c r="I825" s="1"/>
      <c r="J825" s="1"/>
      <c r="K825" s="1"/>
      <c r="M825" s="1"/>
      <c r="N825" s="1"/>
      <c r="O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U825" s="1"/>
      <c r="AW825" s="1"/>
      <c r="AY825" s="1"/>
    </row>
    <row r="826">
      <c r="A826" s="1"/>
      <c r="C826" s="1"/>
      <c r="E826" s="1"/>
      <c r="F826" s="1"/>
      <c r="G826" s="1"/>
      <c r="H826" s="1"/>
      <c r="I826" s="1"/>
      <c r="J826" s="1"/>
      <c r="K826" s="1"/>
      <c r="M826" s="1"/>
      <c r="N826" s="1"/>
      <c r="O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U826" s="1"/>
      <c r="AW826" s="1"/>
      <c r="AY826" s="1"/>
    </row>
    <row r="827">
      <c r="A827" s="1"/>
      <c r="C827" s="1"/>
      <c r="E827" s="1"/>
      <c r="F827" s="1"/>
      <c r="G827" s="1"/>
      <c r="H827" s="1"/>
      <c r="I827" s="1"/>
      <c r="J827" s="1"/>
      <c r="K827" s="1"/>
      <c r="M827" s="1"/>
      <c r="N827" s="1"/>
      <c r="O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U827" s="1"/>
      <c r="AW827" s="1"/>
      <c r="AY827" s="1"/>
    </row>
    <row r="828">
      <c r="A828" s="1"/>
      <c r="C828" s="1"/>
      <c r="E828" s="1"/>
      <c r="F828" s="1"/>
      <c r="G828" s="1"/>
      <c r="H828" s="1"/>
      <c r="I828" s="1"/>
      <c r="J828" s="1"/>
      <c r="K828" s="1"/>
      <c r="M828" s="1"/>
      <c r="N828" s="1"/>
      <c r="O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U828" s="1"/>
      <c r="AW828" s="1"/>
      <c r="AY828" s="1"/>
    </row>
    <row r="829">
      <c r="A829" s="1"/>
      <c r="C829" s="1"/>
      <c r="E829" s="1"/>
      <c r="F829" s="1"/>
      <c r="G829" s="1"/>
      <c r="H829" s="1"/>
      <c r="I829" s="1"/>
      <c r="J829" s="1"/>
      <c r="K829" s="1"/>
      <c r="M829" s="1"/>
      <c r="N829" s="1"/>
      <c r="O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U829" s="1"/>
      <c r="AW829" s="1"/>
      <c r="AY829" s="1"/>
    </row>
    <row r="830">
      <c r="A830" s="1"/>
      <c r="C830" s="1"/>
      <c r="E830" s="1"/>
      <c r="F830" s="1"/>
      <c r="G830" s="1"/>
      <c r="H830" s="1"/>
      <c r="I830" s="1"/>
      <c r="J830" s="1"/>
      <c r="K830" s="1"/>
      <c r="M830" s="1"/>
      <c r="N830" s="1"/>
      <c r="O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U830" s="1"/>
      <c r="AW830" s="1"/>
      <c r="AY830" s="1"/>
    </row>
    <row r="831">
      <c r="A831" s="1"/>
      <c r="C831" s="1"/>
      <c r="E831" s="1"/>
      <c r="F831" s="1"/>
      <c r="G831" s="1"/>
      <c r="H831" s="1"/>
      <c r="I831" s="1"/>
      <c r="J831" s="1"/>
      <c r="K831" s="1"/>
      <c r="M831" s="1"/>
      <c r="N831" s="1"/>
      <c r="O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U831" s="1"/>
      <c r="AW831" s="1"/>
      <c r="AY831" s="1"/>
    </row>
    <row r="832">
      <c r="A832" s="1"/>
      <c r="C832" s="1"/>
      <c r="E832" s="1"/>
      <c r="F832" s="1"/>
      <c r="G832" s="1"/>
      <c r="H832" s="1"/>
      <c r="I832" s="1"/>
      <c r="J832" s="1"/>
      <c r="K832" s="1"/>
      <c r="M832" s="1"/>
      <c r="N832" s="1"/>
      <c r="O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U832" s="1"/>
      <c r="AW832" s="1"/>
      <c r="AY832" s="1"/>
    </row>
    <row r="833">
      <c r="A833" s="1"/>
      <c r="C833" s="1"/>
      <c r="E833" s="1"/>
      <c r="F833" s="1"/>
      <c r="G833" s="1"/>
      <c r="H833" s="1"/>
      <c r="I833" s="1"/>
      <c r="J833" s="1"/>
      <c r="K833" s="1"/>
      <c r="M833" s="1"/>
      <c r="N833" s="1"/>
      <c r="O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U833" s="1"/>
      <c r="AW833" s="1"/>
      <c r="AY833" s="1"/>
    </row>
    <row r="834">
      <c r="A834" s="1"/>
      <c r="C834" s="1"/>
      <c r="E834" s="1"/>
      <c r="F834" s="1"/>
      <c r="G834" s="1"/>
      <c r="H834" s="1"/>
      <c r="I834" s="1"/>
      <c r="J834" s="1"/>
      <c r="K834" s="1"/>
      <c r="M834" s="1"/>
      <c r="N834" s="1"/>
      <c r="O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U834" s="1"/>
      <c r="AW834" s="1"/>
      <c r="AY834" s="1"/>
    </row>
    <row r="835">
      <c r="A835" s="1"/>
      <c r="C835" s="1"/>
      <c r="E835" s="1"/>
      <c r="F835" s="1"/>
      <c r="G835" s="1"/>
      <c r="H835" s="1"/>
      <c r="I835" s="1"/>
      <c r="J835" s="1"/>
      <c r="K835" s="1"/>
      <c r="M835" s="1"/>
      <c r="N835" s="1"/>
      <c r="O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U835" s="1"/>
      <c r="AW835" s="1"/>
      <c r="AY835" s="1"/>
    </row>
    <row r="836">
      <c r="A836" s="1"/>
      <c r="C836" s="1"/>
      <c r="E836" s="1"/>
      <c r="F836" s="1"/>
      <c r="G836" s="1"/>
      <c r="H836" s="1"/>
      <c r="I836" s="1"/>
      <c r="J836" s="1"/>
      <c r="K836" s="1"/>
      <c r="M836" s="1"/>
      <c r="N836" s="1"/>
      <c r="O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U836" s="1"/>
      <c r="AW836" s="1"/>
      <c r="AY836" s="1"/>
    </row>
    <row r="837">
      <c r="A837" s="1"/>
      <c r="C837" s="1"/>
      <c r="E837" s="1"/>
      <c r="F837" s="1"/>
      <c r="G837" s="1"/>
      <c r="H837" s="1"/>
      <c r="I837" s="1"/>
      <c r="J837" s="1"/>
      <c r="K837" s="1"/>
      <c r="M837" s="1"/>
      <c r="N837" s="1"/>
      <c r="O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U837" s="1"/>
      <c r="AW837" s="1"/>
      <c r="AY837" s="1"/>
    </row>
    <row r="838">
      <c r="A838" s="1"/>
      <c r="C838" s="1"/>
      <c r="E838" s="1"/>
      <c r="F838" s="1"/>
      <c r="G838" s="1"/>
      <c r="H838" s="1"/>
      <c r="I838" s="1"/>
      <c r="J838" s="1"/>
      <c r="K838" s="1"/>
      <c r="M838" s="1"/>
      <c r="N838" s="1"/>
      <c r="O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U838" s="1"/>
      <c r="AW838" s="1"/>
      <c r="AY838" s="1"/>
    </row>
    <row r="839">
      <c r="A839" s="1"/>
      <c r="C839" s="1"/>
      <c r="E839" s="1"/>
      <c r="F839" s="1"/>
      <c r="G839" s="1"/>
      <c r="H839" s="1"/>
      <c r="I839" s="1"/>
      <c r="J839" s="1"/>
      <c r="K839" s="1"/>
      <c r="M839" s="1"/>
      <c r="N839" s="1"/>
      <c r="O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U839" s="1"/>
      <c r="AW839" s="1"/>
      <c r="AY839" s="1"/>
    </row>
    <row r="840">
      <c r="A840" s="1"/>
      <c r="C840" s="1"/>
      <c r="E840" s="1"/>
      <c r="F840" s="1"/>
      <c r="G840" s="1"/>
      <c r="H840" s="1"/>
      <c r="I840" s="1"/>
      <c r="J840" s="1"/>
      <c r="K840" s="1"/>
      <c r="M840" s="1"/>
      <c r="N840" s="1"/>
      <c r="O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U840" s="1"/>
      <c r="AW840" s="1"/>
      <c r="AY840" s="1"/>
    </row>
    <row r="841">
      <c r="A841" s="1"/>
      <c r="C841" s="1"/>
      <c r="E841" s="1"/>
      <c r="F841" s="1"/>
      <c r="G841" s="1"/>
      <c r="H841" s="1"/>
      <c r="I841" s="1"/>
      <c r="J841" s="1"/>
      <c r="K841" s="1"/>
      <c r="M841" s="1"/>
      <c r="N841" s="1"/>
      <c r="O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U841" s="1"/>
      <c r="AW841" s="1"/>
      <c r="AY841" s="1"/>
    </row>
    <row r="842">
      <c r="A842" s="1"/>
      <c r="C842" s="1"/>
      <c r="E842" s="1"/>
      <c r="F842" s="1"/>
      <c r="G842" s="1"/>
      <c r="H842" s="1"/>
      <c r="I842" s="1"/>
      <c r="J842" s="1"/>
      <c r="K842" s="1"/>
      <c r="M842" s="1"/>
      <c r="N842" s="1"/>
      <c r="O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U842" s="1"/>
      <c r="AW842" s="1"/>
      <c r="AY842" s="1"/>
    </row>
    <row r="843">
      <c r="A843" s="1"/>
      <c r="C843" s="1"/>
      <c r="E843" s="1"/>
      <c r="F843" s="1"/>
      <c r="G843" s="1"/>
      <c r="H843" s="1"/>
      <c r="I843" s="1"/>
      <c r="J843" s="1"/>
      <c r="K843" s="1"/>
      <c r="M843" s="1"/>
      <c r="N843" s="1"/>
      <c r="O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U843" s="1"/>
      <c r="AW843" s="1"/>
      <c r="AY843" s="1"/>
    </row>
    <row r="844">
      <c r="A844" s="1"/>
      <c r="C844" s="1"/>
      <c r="E844" s="1"/>
      <c r="F844" s="1"/>
      <c r="G844" s="1"/>
      <c r="H844" s="1"/>
      <c r="I844" s="1"/>
      <c r="J844" s="1"/>
      <c r="K844" s="1"/>
      <c r="M844" s="1"/>
      <c r="N844" s="1"/>
      <c r="O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U844" s="1"/>
      <c r="AW844" s="1"/>
      <c r="AY844" s="1"/>
    </row>
    <row r="845">
      <c r="A845" s="1"/>
      <c r="C845" s="1"/>
      <c r="E845" s="1"/>
      <c r="F845" s="1"/>
      <c r="G845" s="1"/>
      <c r="H845" s="1"/>
      <c r="I845" s="1"/>
      <c r="J845" s="1"/>
      <c r="K845" s="1"/>
      <c r="M845" s="1"/>
      <c r="N845" s="1"/>
      <c r="O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U845" s="1"/>
      <c r="AW845" s="1"/>
      <c r="AY845" s="1"/>
    </row>
    <row r="846">
      <c r="A846" s="1"/>
      <c r="C846" s="1"/>
      <c r="E846" s="1"/>
      <c r="F846" s="1"/>
      <c r="G846" s="1"/>
      <c r="H846" s="1"/>
      <c r="I846" s="1"/>
      <c r="J846" s="1"/>
      <c r="K846" s="1"/>
      <c r="M846" s="1"/>
      <c r="N846" s="1"/>
      <c r="O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U846" s="1"/>
      <c r="AW846" s="1"/>
      <c r="AY846" s="1"/>
    </row>
    <row r="847">
      <c r="A847" s="1"/>
      <c r="C847" s="1"/>
      <c r="E847" s="1"/>
      <c r="F847" s="1"/>
      <c r="G847" s="1"/>
      <c r="H847" s="1"/>
      <c r="I847" s="1"/>
      <c r="J847" s="1"/>
      <c r="K847" s="1"/>
      <c r="M847" s="1"/>
      <c r="N847" s="1"/>
      <c r="O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U847" s="1"/>
      <c r="AW847" s="1"/>
      <c r="AY847" s="1"/>
    </row>
    <row r="848">
      <c r="A848" s="1"/>
      <c r="C848" s="1"/>
      <c r="E848" s="1"/>
      <c r="F848" s="1"/>
      <c r="G848" s="1"/>
      <c r="H848" s="1"/>
      <c r="I848" s="1"/>
      <c r="J848" s="1"/>
      <c r="K848" s="1"/>
      <c r="M848" s="1"/>
      <c r="N848" s="1"/>
      <c r="O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U848" s="1"/>
      <c r="AW848" s="1"/>
      <c r="AY848" s="1"/>
    </row>
    <row r="849">
      <c r="A849" s="1"/>
      <c r="C849" s="1"/>
      <c r="E849" s="1"/>
      <c r="F849" s="1"/>
      <c r="G849" s="1"/>
      <c r="H849" s="1"/>
      <c r="I849" s="1"/>
      <c r="J849" s="1"/>
      <c r="K849" s="1"/>
      <c r="M849" s="1"/>
      <c r="N849" s="1"/>
      <c r="O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U849" s="1"/>
      <c r="AW849" s="1"/>
      <c r="AY849" s="1"/>
    </row>
    <row r="850">
      <c r="A850" s="1"/>
      <c r="C850" s="1"/>
      <c r="E850" s="1"/>
      <c r="F850" s="1"/>
      <c r="G850" s="1"/>
      <c r="H850" s="1"/>
      <c r="I850" s="1"/>
      <c r="J850" s="1"/>
      <c r="K850" s="1"/>
      <c r="M850" s="1"/>
      <c r="N850" s="1"/>
      <c r="O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U850" s="1"/>
      <c r="AW850" s="1"/>
      <c r="AY850" s="1"/>
    </row>
    <row r="851">
      <c r="A851" s="1"/>
      <c r="C851" s="1"/>
      <c r="E851" s="1"/>
      <c r="F851" s="1"/>
      <c r="G851" s="1"/>
      <c r="H851" s="1"/>
      <c r="I851" s="1"/>
      <c r="J851" s="1"/>
      <c r="K851" s="1"/>
      <c r="M851" s="1"/>
      <c r="N851" s="1"/>
      <c r="O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U851" s="1"/>
      <c r="AW851" s="1"/>
      <c r="AY851" s="1"/>
    </row>
    <row r="852">
      <c r="A852" s="1"/>
      <c r="C852" s="1"/>
      <c r="E852" s="1"/>
      <c r="F852" s="1"/>
      <c r="G852" s="1"/>
      <c r="H852" s="1"/>
      <c r="I852" s="1"/>
      <c r="J852" s="1"/>
      <c r="K852" s="1"/>
      <c r="M852" s="1"/>
      <c r="N852" s="1"/>
      <c r="O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U852" s="1"/>
      <c r="AW852" s="1"/>
      <c r="AY852" s="1"/>
    </row>
    <row r="853">
      <c r="A853" s="1"/>
      <c r="C853" s="1"/>
      <c r="E853" s="1"/>
      <c r="F853" s="1"/>
      <c r="G853" s="1"/>
      <c r="H853" s="1"/>
      <c r="I853" s="1"/>
      <c r="J853" s="1"/>
      <c r="K853" s="1"/>
      <c r="M853" s="1"/>
      <c r="N853" s="1"/>
      <c r="O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U853" s="1"/>
      <c r="AW853" s="1"/>
      <c r="AY853" s="1"/>
    </row>
    <row r="854">
      <c r="A854" s="1"/>
      <c r="C854" s="1"/>
      <c r="E854" s="1"/>
      <c r="F854" s="1"/>
      <c r="G854" s="1"/>
      <c r="H854" s="1"/>
      <c r="I854" s="1"/>
      <c r="J854" s="1"/>
      <c r="K854" s="1"/>
      <c r="M854" s="1"/>
      <c r="N854" s="1"/>
      <c r="O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U854" s="1"/>
      <c r="AW854" s="1"/>
      <c r="AY854" s="1"/>
    </row>
    <row r="855">
      <c r="A855" s="1"/>
      <c r="C855" s="1"/>
      <c r="E855" s="1"/>
      <c r="F855" s="1"/>
      <c r="G855" s="1"/>
      <c r="H855" s="1"/>
      <c r="I855" s="1"/>
      <c r="J855" s="1"/>
      <c r="K855" s="1"/>
      <c r="M855" s="1"/>
      <c r="N855" s="1"/>
      <c r="O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U855" s="1"/>
      <c r="AW855" s="1"/>
      <c r="AY855" s="1"/>
    </row>
    <row r="856">
      <c r="A856" s="1"/>
      <c r="C856" s="1"/>
      <c r="E856" s="1"/>
      <c r="F856" s="1"/>
      <c r="G856" s="1"/>
      <c r="H856" s="1"/>
      <c r="I856" s="1"/>
      <c r="J856" s="1"/>
      <c r="K856" s="1"/>
      <c r="M856" s="1"/>
      <c r="N856" s="1"/>
      <c r="O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U856" s="1"/>
      <c r="AW856" s="1"/>
      <c r="AY856" s="1"/>
    </row>
    <row r="857">
      <c r="A857" s="1"/>
      <c r="C857" s="1"/>
      <c r="E857" s="1"/>
      <c r="F857" s="1"/>
      <c r="G857" s="1"/>
      <c r="H857" s="1"/>
      <c r="I857" s="1"/>
      <c r="J857" s="1"/>
      <c r="K857" s="1"/>
      <c r="M857" s="1"/>
      <c r="N857" s="1"/>
      <c r="O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U857" s="1"/>
      <c r="AW857" s="1"/>
      <c r="AY857" s="1"/>
    </row>
    <row r="858">
      <c r="A858" s="1"/>
      <c r="C858" s="1"/>
      <c r="E858" s="1"/>
      <c r="F858" s="1"/>
      <c r="G858" s="1"/>
      <c r="H858" s="1"/>
      <c r="I858" s="1"/>
      <c r="J858" s="1"/>
      <c r="K858" s="1"/>
      <c r="M858" s="1"/>
      <c r="N858" s="1"/>
      <c r="O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U858" s="1"/>
      <c r="AW858" s="1"/>
      <c r="AY858" s="1"/>
    </row>
    <row r="859">
      <c r="A859" s="1"/>
      <c r="C859" s="1"/>
      <c r="E859" s="1"/>
      <c r="F859" s="1"/>
      <c r="G859" s="1"/>
      <c r="H859" s="1"/>
      <c r="I859" s="1"/>
      <c r="J859" s="1"/>
      <c r="K859" s="1"/>
      <c r="M859" s="1"/>
      <c r="N859" s="1"/>
      <c r="O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U859" s="1"/>
      <c r="AW859" s="1"/>
      <c r="AY859" s="1"/>
    </row>
    <row r="860">
      <c r="A860" s="1"/>
      <c r="C860" s="1"/>
      <c r="E860" s="1"/>
      <c r="F860" s="1"/>
      <c r="G860" s="1"/>
      <c r="H860" s="1"/>
      <c r="I860" s="1"/>
      <c r="J860" s="1"/>
      <c r="K860" s="1"/>
      <c r="M860" s="1"/>
      <c r="N860" s="1"/>
      <c r="O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U860" s="1"/>
      <c r="AW860" s="1"/>
      <c r="AY860" s="1"/>
    </row>
    <row r="861">
      <c r="A861" s="1"/>
      <c r="C861" s="1"/>
      <c r="E861" s="1"/>
      <c r="F861" s="1"/>
      <c r="G861" s="1"/>
      <c r="H861" s="1"/>
      <c r="I861" s="1"/>
      <c r="J861" s="1"/>
      <c r="K861" s="1"/>
      <c r="M861" s="1"/>
      <c r="N861" s="1"/>
      <c r="O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U861" s="1"/>
      <c r="AW861" s="1"/>
      <c r="AY861" s="1"/>
    </row>
    <row r="862">
      <c r="A862" s="1"/>
      <c r="C862" s="1"/>
      <c r="E862" s="1"/>
      <c r="F862" s="1"/>
      <c r="G862" s="1"/>
      <c r="H862" s="1"/>
      <c r="I862" s="1"/>
      <c r="J862" s="1"/>
      <c r="K862" s="1"/>
      <c r="M862" s="1"/>
      <c r="N862" s="1"/>
      <c r="O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U862" s="1"/>
      <c r="AW862" s="1"/>
      <c r="AY862" s="1"/>
    </row>
    <row r="863">
      <c r="A863" s="1"/>
      <c r="C863" s="1"/>
      <c r="E863" s="1"/>
      <c r="F863" s="1"/>
      <c r="G863" s="1"/>
      <c r="H863" s="1"/>
      <c r="I863" s="1"/>
      <c r="J863" s="1"/>
      <c r="K863" s="1"/>
      <c r="M863" s="1"/>
      <c r="N863" s="1"/>
      <c r="O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U863" s="1"/>
      <c r="AW863" s="1"/>
      <c r="AY863" s="1"/>
    </row>
    <row r="864">
      <c r="A864" s="1"/>
      <c r="C864" s="1"/>
      <c r="E864" s="1"/>
      <c r="F864" s="1"/>
      <c r="G864" s="1"/>
      <c r="H864" s="1"/>
      <c r="I864" s="1"/>
      <c r="J864" s="1"/>
      <c r="K864" s="1"/>
      <c r="M864" s="1"/>
      <c r="N864" s="1"/>
      <c r="O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U864" s="1"/>
      <c r="AW864" s="1"/>
      <c r="AY864" s="1"/>
    </row>
    <row r="865">
      <c r="A865" s="1"/>
      <c r="C865" s="1"/>
      <c r="E865" s="1"/>
      <c r="F865" s="1"/>
      <c r="G865" s="1"/>
      <c r="H865" s="1"/>
      <c r="I865" s="1"/>
      <c r="J865" s="1"/>
      <c r="K865" s="1"/>
      <c r="M865" s="1"/>
      <c r="N865" s="1"/>
      <c r="O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U865" s="1"/>
      <c r="AW865" s="1"/>
      <c r="AY865" s="1"/>
    </row>
    <row r="866">
      <c r="A866" s="1"/>
      <c r="C866" s="1"/>
      <c r="E866" s="1"/>
      <c r="F866" s="1"/>
      <c r="G866" s="1"/>
      <c r="H866" s="1"/>
      <c r="I866" s="1"/>
      <c r="J866" s="1"/>
      <c r="K866" s="1"/>
      <c r="M866" s="1"/>
      <c r="N866" s="1"/>
      <c r="O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U866" s="1"/>
      <c r="AW866" s="1"/>
      <c r="AY866" s="1"/>
    </row>
    <row r="867">
      <c r="A867" s="1"/>
      <c r="C867" s="1"/>
      <c r="E867" s="1"/>
      <c r="F867" s="1"/>
      <c r="G867" s="1"/>
      <c r="H867" s="1"/>
      <c r="I867" s="1"/>
      <c r="J867" s="1"/>
      <c r="K867" s="1"/>
      <c r="M867" s="1"/>
      <c r="N867" s="1"/>
      <c r="O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U867" s="1"/>
      <c r="AW867" s="1"/>
      <c r="AY867" s="1"/>
    </row>
    <row r="868">
      <c r="A868" s="1"/>
      <c r="C868" s="1"/>
      <c r="E868" s="1"/>
      <c r="F868" s="1"/>
      <c r="G868" s="1"/>
      <c r="H868" s="1"/>
      <c r="I868" s="1"/>
      <c r="J868" s="1"/>
      <c r="K868" s="1"/>
      <c r="M868" s="1"/>
      <c r="N868" s="1"/>
      <c r="O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U868" s="1"/>
      <c r="AW868" s="1"/>
      <c r="AY868" s="1"/>
    </row>
    <row r="869">
      <c r="A869" s="1"/>
      <c r="C869" s="1"/>
      <c r="E869" s="1"/>
      <c r="F869" s="1"/>
      <c r="G869" s="1"/>
      <c r="H869" s="1"/>
      <c r="I869" s="1"/>
      <c r="J869" s="1"/>
      <c r="K869" s="1"/>
      <c r="M869" s="1"/>
      <c r="N869" s="1"/>
      <c r="O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U869" s="1"/>
      <c r="AW869" s="1"/>
      <c r="AY869" s="1"/>
    </row>
    <row r="870">
      <c r="A870" s="1"/>
      <c r="C870" s="1"/>
      <c r="E870" s="1"/>
      <c r="F870" s="1"/>
      <c r="G870" s="1"/>
      <c r="H870" s="1"/>
      <c r="I870" s="1"/>
      <c r="J870" s="1"/>
      <c r="K870" s="1"/>
      <c r="M870" s="1"/>
      <c r="N870" s="1"/>
      <c r="O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U870" s="1"/>
      <c r="AW870" s="1"/>
      <c r="AY870" s="1"/>
    </row>
    <row r="871">
      <c r="A871" s="1"/>
      <c r="C871" s="1"/>
      <c r="E871" s="1"/>
      <c r="F871" s="1"/>
      <c r="G871" s="1"/>
      <c r="H871" s="1"/>
      <c r="I871" s="1"/>
      <c r="J871" s="1"/>
      <c r="K871" s="1"/>
      <c r="M871" s="1"/>
      <c r="N871" s="1"/>
      <c r="O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U871" s="1"/>
      <c r="AW871" s="1"/>
      <c r="AY871" s="1"/>
    </row>
    <row r="872">
      <c r="A872" s="1"/>
      <c r="C872" s="1"/>
      <c r="E872" s="1"/>
      <c r="F872" s="1"/>
      <c r="G872" s="1"/>
      <c r="H872" s="1"/>
      <c r="I872" s="1"/>
      <c r="J872" s="1"/>
      <c r="K872" s="1"/>
      <c r="M872" s="1"/>
      <c r="N872" s="1"/>
      <c r="O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U872" s="1"/>
      <c r="AW872" s="1"/>
      <c r="AY872" s="1"/>
    </row>
    <row r="873">
      <c r="A873" s="1"/>
      <c r="C873" s="1"/>
      <c r="E873" s="1"/>
      <c r="F873" s="1"/>
      <c r="G873" s="1"/>
      <c r="H873" s="1"/>
      <c r="I873" s="1"/>
      <c r="J873" s="1"/>
      <c r="K873" s="1"/>
      <c r="M873" s="1"/>
      <c r="N873" s="1"/>
      <c r="O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U873" s="1"/>
      <c r="AW873" s="1"/>
      <c r="AY873" s="1"/>
    </row>
    <row r="874">
      <c r="A874" s="1"/>
      <c r="C874" s="1"/>
      <c r="E874" s="1"/>
      <c r="F874" s="1"/>
      <c r="G874" s="1"/>
      <c r="H874" s="1"/>
      <c r="I874" s="1"/>
      <c r="J874" s="1"/>
      <c r="K874" s="1"/>
      <c r="M874" s="1"/>
      <c r="N874" s="1"/>
      <c r="O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U874" s="1"/>
      <c r="AW874" s="1"/>
      <c r="AY874" s="1"/>
    </row>
    <row r="875">
      <c r="A875" s="1"/>
      <c r="C875" s="1"/>
      <c r="E875" s="1"/>
      <c r="F875" s="1"/>
      <c r="G875" s="1"/>
      <c r="H875" s="1"/>
      <c r="I875" s="1"/>
      <c r="J875" s="1"/>
      <c r="K875" s="1"/>
      <c r="M875" s="1"/>
      <c r="N875" s="1"/>
      <c r="O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U875" s="1"/>
      <c r="AW875" s="1"/>
      <c r="AY875" s="1"/>
    </row>
    <row r="876">
      <c r="A876" s="1"/>
      <c r="C876" s="1"/>
      <c r="E876" s="1"/>
      <c r="F876" s="1"/>
      <c r="G876" s="1"/>
      <c r="H876" s="1"/>
      <c r="I876" s="1"/>
      <c r="J876" s="1"/>
      <c r="K876" s="1"/>
      <c r="M876" s="1"/>
      <c r="N876" s="1"/>
      <c r="O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U876" s="1"/>
      <c r="AW876" s="1"/>
      <c r="AY876" s="1"/>
    </row>
    <row r="877">
      <c r="A877" s="1"/>
      <c r="C877" s="1"/>
      <c r="E877" s="1"/>
      <c r="F877" s="1"/>
      <c r="G877" s="1"/>
      <c r="H877" s="1"/>
      <c r="I877" s="1"/>
      <c r="J877" s="1"/>
      <c r="K877" s="1"/>
      <c r="M877" s="1"/>
      <c r="N877" s="1"/>
      <c r="O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U877" s="1"/>
      <c r="AW877" s="1"/>
      <c r="AY877" s="1"/>
    </row>
    <row r="878">
      <c r="A878" s="1"/>
      <c r="C878" s="1"/>
      <c r="E878" s="1"/>
      <c r="F878" s="1"/>
      <c r="G878" s="1"/>
      <c r="H878" s="1"/>
      <c r="I878" s="1"/>
      <c r="J878" s="1"/>
      <c r="K878" s="1"/>
      <c r="M878" s="1"/>
      <c r="N878" s="1"/>
      <c r="O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U878" s="1"/>
      <c r="AW878" s="1"/>
      <c r="AY878" s="1"/>
    </row>
    <row r="879">
      <c r="A879" s="1"/>
      <c r="C879" s="1"/>
      <c r="E879" s="1"/>
      <c r="F879" s="1"/>
      <c r="G879" s="1"/>
      <c r="H879" s="1"/>
      <c r="I879" s="1"/>
      <c r="J879" s="1"/>
      <c r="K879" s="1"/>
      <c r="M879" s="1"/>
      <c r="N879" s="1"/>
      <c r="O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U879" s="1"/>
      <c r="AW879" s="1"/>
      <c r="AY879" s="1"/>
    </row>
    <row r="880">
      <c r="A880" s="1"/>
      <c r="C880" s="1"/>
      <c r="E880" s="1"/>
      <c r="F880" s="1"/>
      <c r="G880" s="1"/>
      <c r="H880" s="1"/>
      <c r="I880" s="1"/>
      <c r="J880" s="1"/>
      <c r="K880" s="1"/>
      <c r="M880" s="1"/>
      <c r="N880" s="1"/>
      <c r="O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U880" s="1"/>
      <c r="AW880" s="1"/>
      <c r="AY880" s="1"/>
    </row>
    <row r="881">
      <c r="A881" s="1"/>
      <c r="C881" s="1"/>
      <c r="E881" s="1"/>
      <c r="F881" s="1"/>
      <c r="G881" s="1"/>
      <c r="H881" s="1"/>
      <c r="I881" s="1"/>
      <c r="J881" s="1"/>
      <c r="K881" s="1"/>
      <c r="M881" s="1"/>
      <c r="N881" s="1"/>
      <c r="O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U881" s="1"/>
      <c r="AW881" s="1"/>
      <c r="AY881" s="1"/>
    </row>
    <row r="882">
      <c r="A882" s="1"/>
      <c r="C882" s="1"/>
      <c r="E882" s="1"/>
      <c r="F882" s="1"/>
      <c r="G882" s="1"/>
      <c r="H882" s="1"/>
      <c r="I882" s="1"/>
      <c r="J882" s="1"/>
      <c r="K882" s="1"/>
      <c r="M882" s="1"/>
      <c r="N882" s="1"/>
      <c r="O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U882" s="1"/>
      <c r="AW882" s="1"/>
      <c r="AY882" s="1"/>
    </row>
    <row r="883">
      <c r="A883" s="1"/>
      <c r="C883" s="1"/>
      <c r="E883" s="1"/>
      <c r="F883" s="1"/>
      <c r="G883" s="1"/>
      <c r="H883" s="1"/>
      <c r="I883" s="1"/>
      <c r="J883" s="1"/>
      <c r="K883" s="1"/>
      <c r="M883" s="1"/>
      <c r="N883" s="1"/>
      <c r="O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U883" s="1"/>
      <c r="AW883" s="1"/>
      <c r="AY883" s="1"/>
    </row>
    <row r="884">
      <c r="A884" s="1"/>
      <c r="C884" s="1"/>
      <c r="E884" s="1"/>
      <c r="F884" s="1"/>
      <c r="G884" s="1"/>
      <c r="H884" s="1"/>
      <c r="I884" s="1"/>
      <c r="J884" s="1"/>
      <c r="K884" s="1"/>
      <c r="M884" s="1"/>
      <c r="N884" s="1"/>
      <c r="O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U884" s="1"/>
      <c r="AW884" s="1"/>
      <c r="AY884" s="1"/>
    </row>
    <row r="885">
      <c r="A885" s="1"/>
      <c r="C885" s="1"/>
      <c r="E885" s="1"/>
      <c r="F885" s="1"/>
      <c r="G885" s="1"/>
      <c r="H885" s="1"/>
      <c r="I885" s="1"/>
      <c r="J885" s="1"/>
      <c r="K885" s="1"/>
      <c r="M885" s="1"/>
      <c r="N885" s="1"/>
      <c r="O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U885" s="1"/>
      <c r="AW885" s="1"/>
      <c r="AY885" s="1"/>
    </row>
    <row r="886">
      <c r="A886" s="1"/>
      <c r="C886" s="1"/>
      <c r="E886" s="1"/>
      <c r="F886" s="1"/>
      <c r="G886" s="1"/>
      <c r="H886" s="1"/>
      <c r="I886" s="1"/>
      <c r="J886" s="1"/>
      <c r="K886" s="1"/>
      <c r="M886" s="1"/>
      <c r="N886" s="1"/>
      <c r="O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U886" s="1"/>
      <c r="AW886" s="1"/>
      <c r="AY886" s="1"/>
    </row>
    <row r="887">
      <c r="A887" s="1"/>
      <c r="C887" s="1"/>
      <c r="E887" s="1"/>
      <c r="F887" s="1"/>
      <c r="G887" s="1"/>
      <c r="H887" s="1"/>
      <c r="I887" s="1"/>
      <c r="J887" s="1"/>
      <c r="K887" s="1"/>
      <c r="M887" s="1"/>
      <c r="N887" s="1"/>
      <c r="O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U887" s="1"/>
      <c r="AW887" s="1"/>
      <c r="AY887" s="1"/>
    </row>
    <row r="888">
      <c r="A888" s="1"/>
      <c r="C888" s="1"/>
      <c r="E888" s="1"/>
      <c r="F888" s="1"/>
      <c r="G888" s="1"/>
      <c r="H888" s="1"/>
      <c r="I888" s="1"/>
      <c r="J888" s="1"/>
      <c r="K888" s="1"/>
      <c r="M888" s="1"/>
      <c r="N888" s="1"/>
      <c r="O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U888" s="1"/>
      <c r="AW888" s="1"/>
      <c r="AY888" s="1"/>
    </row>
    <row r="889">
      <c r="A889" s="1"/>
      <c r="C889" s="1"/>
      <c r="E889" s="1"/>
      <c r="F889" s="1"/>
      <c r="G889" s="1"/>
      <c r="H889" s="1"/>
      <c r="I889" s="1"/>
      <c r="J889" s="1"/>
      <c r="K889" s="1"/>
      <c r="M889" s="1"/>
      <c r="N889" s="1"/>
      <c r="O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U889" s="1"/>
      <c r="AW889" s="1"/>
      <c r="AY889" s="1"/>
    </row>
    <row r="890">
      <c r="A890" s="1"/>
      <c r="C890" s="1"/>
      <c r="E890" s="1"/>
      <c r="F890" s="1"/>
      <c r="G890" s="1"/>
      <c r="H890" s="1"/>
      <c r="I890" s="1"/>
      <c r="J890" s="1"/>
      <c r="K890" s="1"/>
      <c r="M890" s="1"/>
      <c r="N890" s="1"/>
      <c r="O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U890" s="1"/>
      <c r="AW890" s="1"/>
      <c r="AY890" s="1"/>
    </row>
    <row r="891">
      <c r="A891" s="1"/>
      <c r="C891" s="1"/>
      <c r="E891" s="1"/>
      <c r="F891" s="1"/>
      <c r="G891" s="1"/>
      <c r="H891" s="1"/>
      <c r="I891" s="1"/>
      <c r="J891" s="1"/>
      <c r="K891" s="1"/>
      <c r="M891" s="1"/>
      <c r="N891" s="1"/>
      <c r="O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U891" s="1"/>
      <c r="AW891" s="1"/>
      <c r="AY891" s="1"/>
    </row>
    <row r="892">
      <c r="A892" s="1"/>
      <c r="C892" s="1"/>
      <c r="E892" s="1"/>
      <c r="F892" s="1"/>
      <c r="G892" s="1"/>
      <c r="H892" s="1"/>
      <c r="I892" s="1"/>
      <c r="J892" s="1"/>
      <c r="K892" s="1"/>
      <c r="M892" s="1"/>
      <c r="N892" s="1"/>
      <c r="O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U892" s="1"/>
      <c r="AW892" s="1"/>
      <c r="AY892" s="1"/>
    </row>
    <row r="893">
      <c r="A893" s="1"/>
      <c r="C893" s="1"/>
      <c r="E893" s="1"/>
      <c r="F893" s="1"/>
      <c r="G893" s="1"/>
      <c r="H893" s="1"/>
      <c r="I893" s="1"/>
      <c r="J893" s="1"/>
      <c r="K893" s="1"/>
      <c r="M893" s="1"/>
      <c r="N893" s="1"/>
      <c r="O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U893" s="1"/>
      <c r="AW893" s="1"/>
      <c r="AY893" s="1"/>
    </row>
    <row r="894">
      <c r="A894" s="1"/>
      <c r="C894" s="1"/>
      <c r="E894" s="1"/>
      <c r="F894" s="1"/>
      <c r="G894" s="1"/>
      <c r="H894" s="1"/>
      <c r="I894" s="1"/>
      <c r="J894" s="1"/>
      <c r="K894" s="1"/>
      <c r="M894" s="1"/>
      <c r="N894" s="1"/>
      <c r="O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U894" s="1"/>
      <c r="AW894" s="1"/>
      <c r="AY894" s="1"/>
    </row>
    <row r="895">
      <c r="A895" s="1"/>
      <c r="C895" s="1"/>
      <c r="E895" s="1"/>
      <c r="F895" s="1"/>
      <c r="G895" s="1"/>
      <c r="H895" s="1"/>
      <c r="I895" s="1"/>
      <c r="J895" s="1"/>
      <c r="K895" s="1"/>
      <c r="M895" s="1"/>
      <c r="N895" s="1"/>
      <c r="O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U895" s="1"/>
      <c r="AW895" s="1"/>
      <c r="AY895" s="1"/>
    </row>
    <row r="896">
      <c r="A896" s="1"/>
      <c r="C896" s="1"/>
      <c r="E896" s="1"/>
      <c r="F896" s="1"/>
      <c r="G896" s="1"/>
      <c r="H896" s="1"/>
      <c r="I896" s="1"/>
      <c r="J896" s="1"/>
      <c r="K896" s="1"/>
      <c r="M896" s="1"/>
      <c r="N896" s="1"/>
      <c r="O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U896" s="1"/>
      <c r="AW896" s="1"/>
      <c r="AY896" s="1"/>
    </row>
    <row r="897">
      <c r="A897" s="1"/>
      <c r="C897" s="1"/>
      <c r="E897" s="1"/>
      <c r="F897" s="1"/>
      <c r="G897" s="1"/>
      <c r="H897" s="1"/>
      <c r="I897" s="1"/>
      <c r="J897" s="1"/>
      <c r="K897" s="1"/>
      <c r="M897" s="1"/>
      <c r="N897" s="1"/>
      <c r="O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U897" s="1"/>
      <c r="AW897" s="1"/>
      <c r="AY897" s="1"/>
    </row>
    <row r="898">
      <c r="A898" s="1"/>
      <c r="C898" s="1"/>
      <c r="E898" s="1"/>
      <c r="F898" s="1"/>
      <c r="G898" s="1"/>
      <c r="H898" s="1"/>
      <c r="I898" s="1"/>
      <c r="J898" s="1"/>
      <c r="K898" s="1"/>
      <c r="M898" s="1"/>
      <c r="N898" s="1"/>
      <c r="O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U898" s="1"/>
      <c r="AW898" s="1"/>
      <c r="AY898" s="1"/>
    </row>
    <row r="899">
      <c r="A899" s="1"/>
      <c r="C899" s="1"/>
      <c r="E899" s="1"/>
      <c r="F899" s="1"/>
      <c r="G899" s="1"/>
      <c r="H899" s="1"/>
      <c r="I899" s="1"/>
      <c r="J899" s="1"/>
      <c r="K899" s="1"/>
      <c r="M899" s="1"/>
      <c r="N899" s="1"/>
      <c r="O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U899" s="1"/>
      <c r="AW899" s="1"/>
      <c r="AY899" s="1"/>
    </row>
    <row r="900">
      <c r="A900" s="1"/>
      <c r="C900" s="1"/>
      <c r="E900" s="1"/>
      <c r="F900" s="1"/>
      <c r="G900" s="1"/>
      <c r="H900" s="1"/>
      <c r="I900" s="1"/>
      <c r="J900" s="1"/>
      <c r="K900" s="1"/>
      <c r="M900" s="1"/>
      <c r="N900" s="1"/>
      <c r="O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U900" s="1"/>
      <c r="AW900" s="1"/>
      <c r="AY900" s="1"/>
    </row>
    <row r="901">
      <c r="A901" s="1"/>
      <c r="C901" s="1"/>
      <c r="E901" s="1"/>
      <c r="F901" s="1"/>
      <c r="G901" s="1"/>
      <c r="H901" s="1"/>
      <c r="I901" s="1"/>
      <c r="J901" s="1"/>
      <c r="K901" s="1"/>
      <c r="M901" s="1"/>
      <c r="N901" s="1"/>
      <c r="O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U901" s="1"/>
      <c r="AW901" s="1"/>
      <c r="AY901" s="1"/>
    </row>
    <row r="902">
      <c r="A902" s="1"/>
      <c r="C902" s="1"/>
      <c r="E902" s="1"/>
      <c r="F902" s="1"/>
      <c r="G902" s="1"/>
      <c r="H902" s="1"/>
      <c r="I902" s="1"/>
      <c r="J902" s="1"/>
      <c r="K902" s="1"/>
      <c r="M902" s="1"/>
      <c r="N902" s="1"/>
      <c r="O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U902" s="1"/>
      <c r="AW902" s="1"/>
      <c r="AY902" s="1"/>
    </row>
    <row r="903">
      <c r="A903" s="1"/>
      <c r="C903" s="1"/>
      <c r="E903" s="1"/>
      <c r="F903" s="1"/>
      <c r="G903" s="1"/>
      <c r="H903" s="1"/>
      <c r="I903" s="1"/>
      <c r="J903" s="1"/>
      <c r="K903" s="1"/>
      <c r="M903" s="1"/>
      <c r="N903" s="1"/>
      <c r="O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U903" s="1"/>
      <c r="AW903" s="1"/>
      <c r="AY903" s="1"/>
    </row>
    <row r="904">
      <c r="A904" s="1"/>
      <c r="C904" s="1"/>
      <c r="E904" s="1"/>
      <c r="F904" s="1"/>
      <c r="G904" s="1"/>
      <c r="H904" s="1"/>
      <c r="I904" s="1"/>
      <c r="J904" s="1"/>
      <c r="K904" s="1"/>
      <c r="M904" s="1"/>
      <c r="N904" s="1"/>
      <c r="O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U904" s="1"/>
      <c r="AW904" s="1"/>
      <c r="AY904" s="1"/>
    </row>
    <row r="905">
      <c r="A905" s="1"/>
      <c r="C905" s="1"/>
      <c r="E905" s="1"/>
      <c r="F905" s="1"/>
      <c r="G905" s="1"/>
      <c r="H905" s="1"/>
      <c r="I905" s="1"/>
      <c r="J905" s="1"/>
      <c r="K905" s="1"/>
      <c r="M905" s="1"/>
      <c r="N905" s="1"/>
      <c r="O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U905" s="1"/>
      <c r="AW905" s="1"/>
      <c r="AY905" s="1"/>
    </row>
    <row r="906">
      <c r="A906" s="1"/>
      <c r="C906" s="1"/>
      <c r="E906" s="1"/>
      <c r="F906" s="1"/>
      <c r="G906" s="1"/>
      <c r="H906" s="1"/>
      <c r="I906" s="1"/>
      <c r="J906" s="1"/>
      <c r="K906" s="1"/>
      <c r="M906" s="1"/>
      <c r="N906" s="1"/>
      <c r="O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U906" s="1"/>
      <c r="AW906" s="1"/>
      <c r="AY906" s="1"/>
    </row>
    <row r="907">
      <c r="A907" s="1"/>
      <c r="C907" s="1"/>
      <c r="E907" s="1"/>
      <c r="F907" s="1"/>
      <c r="G907" s="1"/>
      <c r="H907" s="1"/>
      <c r="I907" s="1"/>
      <c r="J907" s="1"/>
      <c r="K907" s="1"/>
      <c r="M907" s="1"/>
      <c r="N907" s="1"/>
      <c r="O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U907" s="1"/>
      <c r="AW907" s="1"/>
      <c r="AY907" s="1"/>
    </row>
    <row r="908">
      <c r="A908" s="1"/>
      <c r="C908" s="1"/>
      <c r="E908" s="1"/>
      <c r="F908" s="1"/>
      <c r="G908" s="1"/>
      <c r="H908" s="1"/>
      <c r="I908" s="1"/>
      <c r="J908" s="1"/>
      <c r="K908" s="1"/>
      <c r="M908" s="1"/>
      <c r="N908" s="1"/>
      <c r="O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U908" s="1"/>
      <c r="AW908" s="1"/>
      <c r="AY908" s="1"/>
    </row>
    <row r="909">
      <c r="A909" s="1"/>
      <c r="C909" s="1"/>
      <c r="E909" s="1"/>
      <c r="F909" s="1"/>
      <c r="G909" s="1"/>
      <c r="H909" s="1"/>
      <c r="I909" s="1"/>
      <c r="J909" s="1"/>
      <c r="K909" s="1"/>
      <c r="M909" s="1"/>
      <c r="N909" s="1"/>
      <c r="O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U909" s="1"/>
      <c r="AW909" s="1"/>
      <c r="AY909" s="1"/>
    </row>
    <row r="910">
      <c r="A910" s="1"/>
      <c r="C910" s="1"/>
      <c r="E910" s="1"/>
      <c r="F910" s="1"/>
      <c r="G910" s="1"/>
      <c r="H910" s="1"/>
      <c r="I910" s="1"/>
      <c r="J910" s="1"/>
      <c r="K910" s="1"/>
      <c r="M910" s="1"/>
      <c r="N910" s="1"/>
      <c r="O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U910" s="1"/>
      <c r="AW910" s="1"/>
      <c r="AY910" s="1"/>
    </row>
    <row r="911">
      <c r="A911" s="1"/>
      <c r="C911" s="1"/>
      <c r="E911" s="1"/>
      <c r="F911" s="1"/>
      <c r="G911" s="1"/>
      <c r="H911" s="1"/>
      <c r="I911" s="1"/>
      <c r="J911" s="1"/>
      <c r="K911" s="1"/>
      <c r="M911" s="1"/>
      <c r="N911" s="1"/>
      <c r="O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U911" s="1"/>
      <c r="AW911" s="1"/>
      <c r="AY911" s="1"/>
    </row>
    <row r="912">
      <c r="A912" s="1"/>
      <c r="C912" s="1"/>
      <c r="E912" s="1"/>
      <c r="F912" s="1"/>
      <c r="G912" s="1"/>
      <c r="H912" s="1"/>
      <c r="I912" s="1"/>
      <c r="J912" s="1"/>
      <c r="K912" s="1"/>
      <c r="M912" s="1"/>
      <c r="N912" s="1"/>
      <c r="O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U912" s="1"/>
      <c r="AW912" s="1"/>
      <c r="AY912" s="1"/>
    </row>
    <row r="913">
      <c r="A913" s="1"/>
      <c r="C913" s="1"/>
      <c r="E913" s="1"/>
      <c r="F913" s="1"/>
      <c r="G913" s="1"/>
      <c r="H913" s="1"/>
      <c r="I913" s="1"/>
      <c r="J913" s="1"/>
      <c r="K913" s="1"/>
      <c r="M913" s="1"/>
      <c r="N913" s="1"/>
      <c r="O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U913" s="1"/>
      <c r="AW913" s="1"/>
      <c r="AY913" s="1"/>
    </row>
    <row r="914">
      <c r="A914" s="1"/>
      <c r="C914" s="1"/>
      <c r="E914" s="1"/>
      <c r="F914" s="1"/>
      <c r="G914" s="1"/>
      <c r="H914" s="1"/>
      <c r="I914" s="1"/>
      <c r="J914" s="1"/>
      <c r="K914" s="1"/>
      <c r="M914" s="1"/>
      <c r="N914" s="1"/>
      <c r="O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U914" s="1"/>
      <c r="AW914" s="1"/>
      <c r="AY914" s="1"/>
    </row>
    <row r="915">
      <c r="A915" s="1"/>
      <c r="C915" s="1"/>
      <c r="E915" s="1"/>
      <c r="F915" s="1"/>
      <c r="G915" s="1"/>
      <c r="H915" s="1"/>
      <c r="I915" s="1"/>
      <c r="J915" s="1"/>
      <c r="K915" s="1"/>
      <c r="M915" s="1"/>
      <c r="N915" s="1"/>
      <c r="O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U915" s="1"/>
      <c r="AW915" s="1"/>
      <c r="AY915" s="1"/>
    </row>
    <row r="916">
      <c r="A916" s="1"/>
      <c r="C916" s="1"/>
      <c r="E916" s="1"/>
      <c r="F916" s="1"/>
      <c r="G916" s="1"/>
      <c r="H916" s="1"/>
      <c r="I916" s="1"/>
      <c r="J916" s="1"/>
      <c r="K916" s="1"/>
      <c r="M916" s="1"/>
      <c r="N916" s="1"/>
      <c r="O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U916" s="1"/>
      <c r="AW916" s="1"/>
      <c r="AY916" s="1"/>
    </row>
    <row r="917">
      <c r="A917" s="1"/>
      <c r="C917" s="1"/>
      <c r="E917" s="1"/>
      <c r="F917" s="1"/>
      <c r="G917" s="1"/>
      <c r="H917" s="1"/>
      <c r="I917" s="1"/>
      <c r="J917" s="1"/>
      <c r="K917" s="1"/>
      <c r="M917" s="1"/>
      <c r="N917" s="1"/>
      <c r="O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U917" s="1"/>
      <c r="AW917" s="1"/>
      <c r="AY917" s="1"/>
    </row>
    <row r="918">
      <c r="A918" s="1"/>
      <c r="C918" s="1"/>
      <c r="E918" s="1"/>
      <c r="F918" s="1"/>
      <c r="G918" s="1"/>
      <c r="H918" s="1"/>
      <c r="I918" s="1"/>
      <c r="J918" s="1"/>
      <c r="K918" s="1"/>
      <c r="M918" s="1"/>
      <c r="N918" s="1"/>
      <c r="O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U918" s="1"/>
      <c r="AW918" s="1"/>
      <c r="AY918" s="1"/>
    </row>
    <row r="919">
      <c r="A919" s="1"/>
      <c r="C919" s="1"/>
      <c r="E919" s="1"/>
      <c r="F919" s="1"/>
      <c r="G919" s="1"/>
      <c r="H919" s="1"/>
      <c r="I919" s="1"/>
      <c r="J919" s="1"/>
      <c r="K919" s="1"/>
      <c r="M919" s="1"/>
      <c r="N919" s="1"/>
      <c r="O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U919" s="1"/>
      <c r="AW919" s="1"/>
      <c r="AY919" s="1"/>
    </row>
    <row r="920">
      <c r="A920" s="1"/>
      <c r="C920" s="1"/>
      <c r="E920" s="1"/>
      <c r="F920" s="1"/>
      <c r="G920" s="1"/>
      <c r="H920" s="1"/>
      <c r="I920" s="1"/>
      <c r="J920" s="1"/>
      <c r="K920" s="1"/>
      <c r="M920" s="1"/>
      <c r="N920" s="1"/>
      <c r="O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U920" s="1"/>
      <c r="AW920" s="1"/>
      <c r="AY920" s="1"/>
    </row>
    <row r="921">
      <c r="A921" s="1"/>
      <c r="C921" s="1"/>
      <c r="E921" s="1"/>
      <c r="F921" s="1"/>
      <c r="G921" s="1"/>
      <c r="H921" s="1"/>
      <c r="I921" s="1"/>
      <c r="J921" s="1"/>
      <c r="K921" s="1"/>
      <c r="M921" s="1"/>
      <c r="N921" s="1"/>
      <c r="O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U921" s="1"/>
      <c r="AW921" s="1"/>
      <c r="AY921" s="1"/>
    </row>
    <row r="922">
      <c r="A922" s="1"/>
      <c r="C922" s="1"/>
      <c r="E922" s="1"/>
      <c r="F922" s="1"/>
      <c r="G922" s="1"/>
      <c r="H922" s="1"/>
      <c r="I922" s="1"/>
      <c r="J922" s="1"/>
      <c r="K922" s="1"/>
      <c r="M922" s="1"/>
      <c r="N922" s="1"/>
      <c r="O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U922" s="1"/>
      <c r="AW922" s="1"/>
      <c r="AY922" s="1"/>
    </row>
    <row r="923">
      <c r="A923" s="1"/>
      <c r="C923" s="1"/>
      <c r="E923" s="1"/>
      <c r="F923" s="1"/>
      <c r="G923" s="1"/>
      <c r="H923" s="1"/>
      <c r="I923" s="1"/>
      <c r="J923" s="1"/>
      <c r="K923" s="1"/>
      <c r="M923" s="1"/>
      <c r="N923" s="1"/>
      <c r="O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U923" s="1"/>
      <c r="AW923" s="1"/>
      <c r="AY923" s="1"/>
    </row>
    <row r="924">
      <c r="A924" s="1"/>
      <c r="C924" s="1"/>
      <c r="E924" s="1"/>
      <c r="F924" s="1"/>
      <c r="G924" s="1"/>
      <c r="H924" s="1"/>
      <c r="I924" s="1"/>
      <c r="J924" s="1"/>
      <c r="K924" s="1"/>
      <c r="M924" s="1"/>
      <c r="N924" s="1"/>
      <c r="O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U924" s="1"/>
      <c r="AW924" s="1"/>
      <c r="AY924" s="1"/>
    </row>
    <row r="925">
      <c r="A925" s="1"/>
      <c r="C925" s="1"/>
      <c r="E925" s="1"/>
      <c r="F925" s="1"/>
      <c r="G925" s="1"/>
      <c r="H925" s="1"/>
      <c r="I925" s="1"/>
      <c r="J925" s="1"/>
      <c r="K925" s="1"/>
      <c r="M925" s="1"/>
      <c r="N925" s="1"/>
      <c r="O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U925" s="1"/>
      <c r="AW925" s="1"/>
      <c r="AY925" s="1"/>
    </row>
    <row r="926">
      <c r="A926" s="1"/>
      <c r="C926" s="1"/>
      <c r="E926" s="1"/>
      <c r="F926" s="1"/>
      <c r="G926" s="1"/>
      <c r="H926" s="1"/>
      <c r="I926" s="1"/>
      <c r="J926" s="1"/>
      <c r="K926" s="1"/>
      <c r="M926" s="1"/>
      <c r="N926" s="1"/>
      <c r="O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U926" s="1"/>
      <c r="AW926" s="1"/>
      <c r="AY926" s="1"/>
    </row>
    <row r="927">
      <c r="A927" s="1"/>
      <c r="C927" s="1"/>
      <c r="E927" s="1"/>
      <c r="F927" s="1"/>
      <c r="G927" s="1"/>
      <c r="H927" s="1"/>
      <c r="I927" s="1"/>
      <c r="J927" s="1"/>
      <c r="K927" s="1"/>
      <c r="M927" s="1"/>
      <c r="N927" s="1"/>
      <c r="O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U927" s="1"/>
      <c r="AW927" s="1"/>
      <c r="AY927" s="1"/>
    </row>
    <row r="928">
      <c r="A928" s="1"/>
      <c r="C928" s="1"/>
      <c r="E928" s="1"/>
      <c r="F928" s="1"/>
      <c r="G928" s="1"/>
      <c r="H928" s="1"/>
      <c r="I928" s="1"/>
      <c r="J928" s="1"/>
      <c r="K928" s="1"/>
      <c r="M928" s="1"/>
      <c r="N928" s="1"/>
      <c r="O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U928" s="1"/>
      <c r="AW928" s="1"/>
      <c r="AY928" s="1"/>
    </row>
    <row r="929">
      <c r="A929" s="1"/>
      <c r="C929" s="1"/>
      <c r="E929" s="1"/>
      <c r="F929" s="1"/>
      <c r="G929" s="1"/>
      <c r="H929" s="1"/>
      <c r="I929" s="1"/>
      <c r="J929" s="1"/>
      <c r="K929" s="1"/>
      <c r="M929" s="1"/>
      <c r="N929" s="1"/>
      <c r="O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U929" s="1"/>
      <c r="AW929" s="1"/>
      <c r="AY929" s="1"/>
    </row>
    <row r="930">
      <c r="A930" s="1"/>
      <c r="C930" s="1"/>
      <c r="E930" s="1"/>
      <c r="F930" s="1"/>
      <c r="G930" s="1"/>
      <c r="H930" s="1"/>
      <c r="I930" s="1"/>
      <c r="J930" s="1"/>
      <c r="K930" s="1"/>
      <c r="M930" s="1"/>
      <c r="N930" s="1"/>
      <c r="O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U930" s="1"/>
      <c r="AW930" s="1"/>
      <c r="AY930" s="1"/>
    </row>
    <row r="931">
      <c r="A931" s="1"/>
      <c r="C931" s="1"/>
      <c r="E931" s="1"/>
      <c r="F931" s="1"/>
      <c r="G931" s="1"/>
      <c r="H931" s="1"/>
      <c r="I931" s="1"/>
      <c r="J931" s="1"/>
      <c r="K931" s="1"/>
      <c r="M931" s="1"/>
      <c r="N931" s="1"/>
      <c r="O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U931" s="1"/>
      <c r="AW931" s="1"/>
      <c r="AY931" s="1"/>
    </row>
    <row r="932">
      <c r="A932" s="1"/>
      <c r="C932" s="1"/>
      <c r="E932" s="1"/>
      <c r="F932" s="1"/>
      <c r="G932" s="1"/>
      <c r="H932" s="1"/>
      <c r="I932" s="1"/>
      <c r="J932" s="1"/>
      <c r="K932" s="1"/>
      <c r="M932" s="1"/>
      <c r="N932" s="1"/>
      <c r="O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U932" s="1"/>
      <c r="AW932" s="1"/>
      <c r="AY932" s="1"/>
    </row>
    <row r="933">
      <c r="A933" s="1"/>
      <c r="C933" s="1"/>
      <c r="E933" s="1"/>
      <c r="F933" s="1"/>
      <c r="G933" s="1"/>
      <c r="H933" s="1"/>
      <c r="I933" s="1"/>
      <c r="J933" s="1"/>
      <c r="K933" s="1"/>
      <c r="M933" s="1"/>
      <c r="N933" s="1"/>
      <c r="O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U933" s="1"/>
      <c r="AW933" s="1"/>
      <c r="AY933" s="1"/>
    </row>
    <row r="934">
      <c r="A934" s="1"/>
      <c r="C934" s="1"/>
      <c r="E934" s="1"/>
      <c r="F934" s="1"/>
      <c r="G934" s="1"/>
      <c r="H934" s="1"/>
      <c r="I934" s="1"/>
      <c r="J934" s="1"/>
      <c r="K934" s="1"/>
      <c r="M934" s="1"/>
      <c r="N934" s="1"/>
      <c r="O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U934" s="1"/>
      <c r="AW934" s="1"/>
      <c r="AY934" s="1"/>
    </row>
    <row r="935">
      <c r="A935" s="1"/>
      <c r="C935" s="1"/>
      <c r="E935" s="1"/>
      <c r="F935" s="1"/>
      <c r="G935" s="1"/>
      <c r="H935" s="1"/>
      <c r="I935" s="1"/>
      <c r="J935" s="1"/>
      <c r="K935" s="1"/>
      <c r="M935" s="1"/>
      <c r="N935" s="1"/>
      <c r="O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U935" s="1"/>
      <c r="AW935" s="1"/>
      <c r="AY935" s="1"/>
    </row>
    <row r="936">
      <c r="A936" s="1"/>
      <c r="C936" s="1"/>
      <c r="E936" s="1"/>
      <c r="F936" s="1"/>
      <c r="G936" s="1"/>
      <c r="H936" s="1"/>
      <c r="I936" s="1"/>
      <c r="J936" s="1"/>
      <c r="K936" s="1"/>
      <c r="M936" s="1"/>
      <c r="N936" s="1"/>
      <c r="O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U936" s="1"/>
      <c r="AW936" s="1"/>
      <c r="AY936" s="1"/>
    </row>
    <row r="937">
      <c r="A937" s="1"/>
      <c r="C937" s="1"/>
      <c r="E937" s="1"/>
      <c r="F937" s="1"/>
      <c r="G937" s="1"/>
      <c r="H937" s="1"/>
      <c r="I937" s="1"/>
      <c r="J937" s="1"/>
      <c r="K937" s="1"/>
      <c r="M937" s="1"/>
      <c r="N937" s="1"/>
      <c r="O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U937" s="1"/>
      <c r="AW937" s="1"/>
      <c r="AY937" s="1"/>
    </row>
    <row r="938">
      <c r="A938" s="1"/>
      <c r="C938" s="1"/>
      <c r="E938" s="1"/>
      <c r="F938" s="1"/>
      <c r="G938" s="1"/>
      <c r="H938" s="1"/>
      <c r="I938" s="1"/>
      <c r="J938" s="1"/>
      <c r="K938" s="1"/>
      <c r="M938" s="1"/>
      <c r="N938" s="1"/>
      <c r="O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U938" s="1"/>
      <c r="AW938" s="1"/>
      <c r="AY938" s="1"/>
    </row>
    <row r="939">
      <c r="A939" s="1"/>
      <c r="C939" s="1"/>
      <c r="E939" s="1"/>
      <c r="F939" s="1"/>
      <c r="G939" s="1"/>
      <c r="H939" s="1"/>
      <c r="I939" s="1"/>
      <c r="J939" s="1"/>
      <c r="K939" s="1"/>
      <c r="M939" s="1"/>
      <c r="N939" s="1"/>
      <c r="O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U939" s="1"/>
      <c r="AW939" s="1"/>
      <c r="AY939" s="1"/>
    </row>
    <row r="940">
      <c r="A940" s="1"/>
      <c r="C940" s="1"/>
      <c r="E940" s="1"/>
      <c r="F940" s="1"/>
      <c r="G940" s="1"/>
      <c r="H940" s="1"/>
      <c r="I940" s="1"/>
      <c r="J940" s="1"/>
      <c r="K940" s="1"/>
      <c r="M940" s="1"/>
      <c r="N940" s="1"/>
      <c r="O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U940" s="1"/>
      <c r="AW940" s="1"/>
      <c r="AY940" s="1"/>
    </row>
    <row r="941">
      <c r="A941" s="1"/>
      <c r="C941" s="1"/>
      <c r="E941" s="1"/>
      <c r="F941" s="1"/>
      <c r="G941" s="1"/>
      <c r="H941" s="1"/>
      <c r="I941" s="1"/>
      <c r="J941" s="1"/>
      <c r="K941" s="1"/>
      <c r="M941" s="1"/>
      <c r="N941" s="1"/>
      <c r="O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U941" s="1"/>
      <c r="AW941" s="1"/>
      <c r="AY941" s="1"/>
    </row>
    <row r="942">
      <c r="A942" s="1"/>
      <c r="C942" s="1"/>
      <c r="E942" s="1"/>
      <c r="F942" s="1"/>
      <c r="G942" s="1"/>
      <c r="H942" s="1"/>
      <c r="I942" s="1"/>
      <c r="J942" s="1"/>
      <c r="K942" s="1"/>
      <c r="M942" s="1"/>
      <c r="N942" s="1"/>
      <c r="O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U942" s="1"/>
      <c r="AW942" s="1"/>
      <c r="AY942" s="1"/>
    </row>
    <row r="943">
      <c r="A943" s="1"/>
      <c r="C943" s="1"/>
      <c r="E943" s="1"/>
      <c r="F943" s="1"/>
      <c r="G943" s="1"/>
      <c r="H943" s="1"/>
      <c r="I943" s="1"/>
      <c r="J943" s="1"/>
      <c r="K943" s="1"/>
      <c r="M943" s="1"/>
      <c r="N943" s="1"/>
      <c r="O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U943" s="1"/>
      <c r="AW943" s="1"/>
      <c r="AY943" s="1"/>
    </row>
    <row r="944">
      <c r="A944" s="1"/>
      <c r="C944" s="1"/>
      <c r="E944" s="1"/>
      <c r="F944" s="1"/>
      <c r="G944" s="1"/>
      <c r="H944" s="1"/>
      <c r="I944" s="1"/>
      <c r="J944" s="1"/>
      <c r="K944" s="1"/>
      <c r="M944" s="1"/>
      <c r="N944" s="1"/>
      <c r="O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U944" s="1"/>
      <c r="AW944" s="1"/>
      <c r="AY944" s="1"/>
    </row>
    <row r="945">
      <c r="A945" s="1"/>
      <c r="C945" s="1"/>
      <c r="E945" s="1"/>
      <c r="F945" s="1"/>
      <c r="G945" s="1"/>
      <c r="H945" s="1"/>
      <c r="I945" s="1"/>
      <c r="J945" s="1"/>
      <c r="K945" s="1"/>
      <c r="M945" s="1"/>
      <c r="N945" s="1"/>
      <c r="O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U945" s="1"/>
      <c r="AW945" s="1"/>
      <c r="AY945" s="1"/>
    </row>
    <row r="946">
      <c r="A946" s="1"/>
      <c r="C946" s="1"/>
      <c r="E946" s="1"/>
      <c r="F946" s="1"/>
      <c r="G946" s="1"/>
      <c r="H946" s="1"/>
      <c r="I946" s="1"/>
      <c r="J946" s="1"/>
      <c r="K946" s="1"/>
      <c r="M946" s="1"/>
      <c r="N946" s="1"/>
      <c r="O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U946" s="1"/>
      <c r="AW946" s="1"/>
      <c r="AY946" s="1"/>
    </row>
    <row r="947">
      <c r="A947" s="1"/>
      <c r="C947" s="1"/>
      <c r="E947" s="1"/>
      <c r="F947" s="1"/>
      <c r="G947" s="1"/>
      <c r="H947" s="1"/>
      <c r="I947" s="1"/>
      <c r="J947" s="1"/>
      <c r="K947" s="1"/>
      <c r="M947" s="1"/>
      <c r="N947" s="1"/>
      <c r="O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U947" s="1"/>
      <c r="AW947" s="1"/>
      <c r="AY947" s="1"/>
    </row>
    <row r="948">
      <c r="A948" s="1"/>
      <c r="C948" s="1"/>
      <c r="E948" s="1"/>
      <c r="F948" s="1"/>
      <c r="G948" s="1"/>
      <c r="H948" s="1"/>
      <c r="I948" s="1"/>
      <c r="J948" s="1"/>
      <c r="K948" s="1"/>
      <c r="M948" s="1"/>
      <c r="N948" s="1"/>
      <c r="O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U948" s="1"/>
      <c r="AW948" s="1"/>
      <c r="AY948" s="1"/>
    </row>
    <row r="949">
      <c r="A949" s="1"/>
      <c r="C949" s="1"/>
      <c r="E949" s="1"/>
      <c r="F949" s="1"/>
      <c r="G949" s="1"/>
      <c r="H949" s="1"/>
      <c r="I949" s="1"/>
      <c r="J949" s="1"/>
      <c r="K949" s="1"/>
      <c r="M949" s="1"/>
      <c r="N949" s="1"/>
      <c r="O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U949" s="1"/>
      <c r="AW949" s="1"/>
      <c r="AY949" s="1"/>
    </row>
    <row r="950">
      <c r="A950" s="1"/>
      <c r="C950" s="1"/>
      <c r="E950" s="1"/>
      <c r="F950" s="1"/>
      <c r="G950" s="1"/>
      <c r="H950" s="1"/>
      <c r="I950" s="1"/>
      <c r="J950" s="1"/>
      <c r="K950" s="1"/>
      <c r="M950" s="1"/>
      <c r="N950" s="1"/>
      <c r="O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U950" s="1"/>
      <c r="AW950" s="1"/>
      <c r="AY950" s="1"/>
    </row>
    <row r="951">
      <c r="A951" s="1"/>
      <c r="C951" s="1"/>
      <c r="E951" s="1"/>
      <c r="F951" s="1"/>
      <c r="G951" s="1"/>
      <c r="H951" s="1"/>
      <c r="I951" s="1"/>
      <c r="J951" s="1"/>
      <c r="K951" s="1"/>
      <c r="M951" s="1"/>
      <c r="N951" s="1"/>
      <c r="O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U951" s="1"/>
      <c r="AW951" s="1"/>
      <c r="AY951" s="1"/>
    </row>
    <row r="952">
      <c r="A952" s="1"/>
      <c r="C952" s="1"/>
      <c r="E952" s="1"/>
      <c r="F952" s="1"/>
      <c r="G952" s="1"/>
      <c r="H952" s="1"/>
      <c r="I952" s="1"/>
      <c r="J952" s="1"/>
      <c r="K952" s="1"/>
      <c r="M952" s="1"/>
      <c r="N952" s="1"/>
      <c r="O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U952" s="1"/>
      <c r="AW952" s="1"/>
      <c r="AY952" s="1"/>
    </row>
    <row r="953">
      <c r="A953" s="1"/>
      <c r="C953" s="1"/>
      <c r="E953" s="1"/>
      <c r="F953" s="1"/>
      <c r="G953" s="1"/>
      <c r="H953" s="1"/>
      <c r="I953" s="1"/>
      <c r="J953" s="1"/>
      <c r="K953" s="1"/>
      <c r="M953" s="1"/>
      <c r="N953" s="1"/>
      <c r="O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U953" s="1"/>
      <c r="AW953" s="1"/>
      <c r="AY953" s="1"/>
    </row>
    <row r="954">
      <c r="A954" s="1"/>
      <c r="C954" s="1"/>
      <c r="E954" s="1"/>
      <c r="F954" s="1"/>
      <c r="G954" s="1"/>
      <c r="H954" s="1"/>
      <c r="I954" s="1"/>
      <c r="J954" s="1"/>
      <c r="K954" s="1"/>
      <c r="M954" s="1"/>
      <c r="N954" s="1"/>
      <c r="O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U954" s="1"/>
      <c r="AW954" s="1"/>
      <c r="AY954" s="1"/>
    </row>
    <row r="955">
      <c r="A955" s="1"/>
      <c r="C955" s="1"/>
      <c r="E955" s="1"/>
      <c r="F955" s="1"/>
      <c r="G955" s="1"/>
      <c r="H955" s="1"/>
      <c r="I955" s="1"/>
      <c r="J955" s="1"/>
      <c r="K955" s="1"/>
      <c r="M955" s="1"/>
      <c r="N955" s="1"/>
      <c r="O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U955" s="1"/>
      <c r="AW955" s="1"/>
      <c r="AY955" s="1"/>
    </row>
    <row r="956">
      <c r="A956" s="1"/>
      <c r="C956" s="1"/>
      <c r="E956" s="1"/>
      <c r="F956" s="1"/>
      <c r="G956" s="1"/>
      <c r="H956" s="1"/>
      <c r="I956" s="1"/>
      <c r="J956" s="1"/>
      <c r="K956" s="1"/>
      <c r="M956" s="1"/>
      <c r="N956" s="1"/>
      <c r="O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U956" s="1"/>
      <c r="AW956" s="1"/>
      <c r="AY956" s="1"/>
    </row>
    <row r="957">
      <c r="A957" s="1"/>
      <c r="C957" s="1"/>
      <c r="E957" s="1"/>
      <c r="F957" s="1"/>
      <c r="G957" s="1"/>
      <c r="H957" s="1"/>
      <c r="I957" s="1"/>
      <c r="J957" s="1"/>
      <c r="K957" s="1"/>
      <c r="M957" s="1"/>
      <c r="N957" s="1"/>
      <c r="O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U957" s="1"/>
      <c r="AW957" s="1"/>
      <c r="AY957" s="1"/>
    </row>
    <row r="958">
      <c r="A958" s="1"/>
      <c r="C958" s="1"/>
      <c r="E958" s="1"/>
      <c r="F958" s="1"/>
      <c r="G958" s="1"/>
      <c r="H958" s="1"/>
      <c r="I958" s="1"/>
      <c r="J958" s="1"/>
      <c r="K958" s="1"/>
      <c r="M958" s="1"/>
      <c r="N958" s="1"/>
      <c r="O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U958" s="1"/>
      <c r="AW958" s="1"/>
      <c r="AY958" s="1"/>
    </row>
    <row r="959">
      <c r="A959" s="1"/>
      <c r="C959" s="1"/>
      <c r="E959" s="1"/>
      <c r="F959" s="1"/>
      <c r="G959" s="1"/>
      <c r="H959" s="1"/>
      <c r="I959" s="1"/>
      <c r="J959" s="1"/>
      <c r="K959" s="1"/>
      <c r="M959" s="1"/>
      <c r="N959" s="1"/>
      <c r="O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U959" s="1"/>
      <c r="AW959" s="1"/>
      <c r="AY959" s="1"/>
    </row>
    <row r="960">
      <c r="A960" s="1"/>
      <c r="C960" s="1"/>
      <c r="E960" s="1"/>
      <c r="F960" s="1"/>
      <c r="G960" s="1"/>
      <c r="H960" s="1"/>
      <c r="I960" s="1"/>
      <c r="J960" s="1"/>
      <c r="K960" s="1"/>
      <c r="M960" s="1"/>
      <c r="N960" s="1"/>
      <c r="O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U960" s="1"/>
      <c r="AW960" s="1"/>
      <c r="AY960" s="1"/>
    </row>
    <row r="961">
      <c r="A961" s="1"/>
      <c r="C961" s="1"/>
      <c r="E961" s="1"/>
      <c r="F961" s="1"/>
      <c r="G961" s="1"/>
      <c r="H961" s="1"/>
      <c r="I961" s="1"/>
      <c r="J961" s="1"/>
      <c r="K961" s="1"/>
      <c r="M961" s="1"/>
      <c r="N961" s="1"/>
      <c r="O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U961" s="1"/>
      <c r="AW961" s="1"/>
      <c r="AY961" s="1"/>
    </row>
    <row r="962">
      <c r="A962" s="1"/>
      <c r="C962" s="1"/>
      <c r="E962" s="1"/>
      <c r="F962" s="1"/>
      <c r="G962" s="1"/>
      <c r="H962" s="1"/>
      <c r="I962" s="1"/>
      <c r="J962" s="1"/>
      <c r="K962" s="1"/>
      <c r="M962" s="1"/>
      <c r="N962" s="1"/>
      <c r="O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U962" s="1"/>
      <c r="AW962" s="1"/>
      <c r="AY962" s="1"/>
    </row>
    <row r="963">
      <c r="A963" s="1"/>
      <c r="C963" s="1"/>
      <c r="E963" s="1"/>
      <c r="F963" s="1"/>
      <c r="G963" s="1"/>
      <c r="H963" s="1"/>
      <c r="I963" s="1"/>
      <c r="J963" s="1"/>
      <c r="K963" s="1"/>
      <c r="M963" s="1"/>
      <c r="N963" s="1"/>
      <c r="O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U963" s="1"/>
      <c r="AW963" s="1"/>
      <c r="AY963" s="1"/>
    </row>
    <row r="964">
      <c r="A964" s="1"/>
      <c r="C964" s="1"/>
      <c r="E964" s="1"/>
      <c r="F964" s="1"/>
      <c r="G964" s="1"/>
      <c r="H964" s="1"/>
      <c r="I964" s="1"/>
      <c r="J964" s="1"/>
      <c r="K964" s="1"/>
      <c r="M964" s="1"/>
      <c r="N964" s="1"/>
      <c r="O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U964" s="1"/>
      <c r="AW964" s="1"/>
      <c r="AY964" s="1"/>
    </row>
    <row r="965">
      <c r="A965" s="1"/>
      <c r="C965" s="1"/>
      <c r="E965" s="1"/>
      <c r="F965" s="1"/>
      <c r="G965" s="1"/>
      <c r="H965" s="1"/>
      <c r="I965" s="1"/>
      <c r="J965" s="1"/>
      <c r="K965" s="1"/>
      <c r="M965" s="1"/>
      <c r="N965" s="1"/>
      <c r="O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U965" s="1"/>
      <c r="AW965" s="1"/>
      <c r="AY965" s="1"/>
    </row>
    <row r="966">
      <c r="A966" s="1"/>
      <c r="C966" s="1"/>
      <c r="E966" s="1"/>
      <c r="F966" s="1"/>
      <c r="G966" s="1"/>
      <c r="H966" s="1"/>
      <c r="I966" s="1"/>
      <c r="J966" s="1"/>
      <c r="K966" s="1"/>
      <c r="M966" s="1"/>
      <c r="N966" s="1"/>
      <c r="O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U966" s="1"/>
      <c r="AW966" s="1"/>
      <c r="AY966" s="1"/>
    </row>
    <row r="967">
      <c r="A967" s="1"/>
      <c r="C967" s="1"/>
      <c r="E967" s="1"/>
      <c r="F967" s="1"/>
      <c r="G967" s="1"/>
      <c r="H967" s="1"/>
      <c r="I967" s="1"/>
      <c r="J967" s="1"/>
      <c r="K967" s="1"/>
      <c r="M967" s="1"/>
      <c r="N967" s="1"/>
      <c r="O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U967" s="1"/>
      <c r="AW967" s="1"/>
      <c r="AY967" s="1"/>
    </row>
    <row r="968">
      <c r="A968" s="1"/>
      <c r="C968" s="1"/>
      <c r="E968" s="1"/>
      <c r="F968" s="1"/>
      <c r="G968" s="1"/>
      <c r="H968" s="1"/>
      <c r="I968" s="1"/>
      <c r="J968" s="1"/>
      <c r="K968" s="1"/>
      <c r="M968" s="1"/>
      <c r="N968" s="1"/>
      <c r="O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U968" s="1"/>
      <c r="AW968" s="1"/>
      <c r="AY968" s="1"/>
    </row>
    <row r="969">
      <c r="A969" s="1"/>
      <c r="C969" s="1"/>
      <c r="E969" s="1"/>
      <c r="F969" s="1"/>
      <c r="G969" s="1"/>
      <c r="H969" s="1"/>
      <c r="I969" s="1"/>
      <c r="J969" s="1"/>
      <c r="K969" s="1"/>
      <c r="M969" s="1"/>
      <c r="N969" s="1"/>
      <c r="O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U969" s="1"/>
      <c r="AW969" s="1"/>
      <c r="AY969" s="1"/>
    </row>
    <row r="970">
      <c r="A970" s="1"/>
      <c r="C970" s="1"/>
      <c r="E970" s="1"/>
      <c r="F970" s="1"/>
      <c r="G970" s="1"/>
      <c r="H970" s="1"/>
      <c r="I970" s="1"/>
      <c r="J970" s="1"/>
      <c r="K970" s="1"/>
      <c r="M970" s="1"/>
      <c r="N970" s="1"/>
      <c r="O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U970" s="1"/>
      <c r="AW970" s="1"/>
      <c r="AY970" s="1"/>
    </row>
    <row r="971">
      <c r="A971" s="1"/>
      <c r="C971" s="1"/>
      <c r="E971" s="1"/>
      <c r="F971" s="1"/>
      <c r="G971" s="1"/>
      <c r="H971" s="1"/>
      <c r="I971" s="1"/>
      <c r="J971" s="1"/>
      <c r="K971" s="1"/>
      <c r="M971" s="1"/>
      <c r="N971" s="1"/>
      <c r="O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U971" s="1"/>
      <c r="AW971" s="1"/>
      <c r="AY971" s="1"/>
    </row>
    <row r="972">
      <c r="A972" s="1"/>
      <c r="C972" s="1"/>
      <c r="E972" s="1"/>
      <c r="F972" s="1"/>
      <c r="G972" s="1"/>
      <c r="H972" s="1"/>
      <c r="I972" s="1"/>
      <c r="J972" s="1"/>
      <c r="K972" s="1"/>
      <c r="M972" s="1"/>
      <c r="N972" s="1"/>
      <c r="O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U972" s="1"/>
      <c r="AW972" s="1"/>
      <c r="AY972" s="1"/>
    </row>
    <row r="973">
      <c r="A973" s="1"/>
      <c r="C973" s="1"/>
      <c r="E973" s="1"/>
      <c r="F973" s="1"/>
      <c r="G973" s="1"/>
      <c r="H973" s="1"/>
      <c r="I973" s="1"/>
      <c r="J973" s="1"/>
      <c r="K973" s="1"/>
      <c r="M973" s="1"/>
      <c r="N973" s="1"/>
      <c r="O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U973" s="1"/>
      <c r="AW973" s="1"/>
      <c r="AY973" s="1"/>
    </row>
    <row r="974">
      <c r="A974" s="1"/>
      <c r="C974" s="1"/>
      <c r="E974" s="1"/>
      <c r="F974" s="1"/>
      <c r="G974" s="1"/>
      <c r="H974" s="1"/>
      <c r="I974" s="1"/>
      <c r="J974" s="1"/>
      <c r="K974" s="1"/>
      <c r="M974" s="1"/>
      <c r="N974" s="1"/>
      <c r="O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U974" s="1"/>
      <c r="AW974" s="1"/>
      <c r="AY974" s="1"/>
    </row>
    <row r="975">
      <c r="A975" s="1"/>
      <c r="C975" s="1"/>
      <c r="E975" s="1"/>
      <c r="F975" s="1"/>
      <c r="G975" s="1"/>
      <c r="H975" s="1"/>
      <c r="I975" s="1"/>
      <c r="J975" s="1"/>
      <c r="K975" s="1"/>
      <c r="M975" s="1"/>
      <c r="N975" s="1"/>
      <c r="O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U975" s="1"/>
      <c r="AW975" s="1"/>
      <c r="AY975" s="1"/>
    </row>
    <row r="976">
      <c r="A976" s="1"/>
      <c r="C976" s="1"/>
      <c r="E976" s="1"/>
      <c r="F976" s="1"/>
      <c r="G976" s="1"/>
      <c r="H976" s="1"/>
      <c r="I976" s="1"/>
      <c r="J976" s="1"/>
      <c r="K976" s="1"/>
      <c r="M976" s="1"/>
      <c r="N976" s="1"/>
      <c r="O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U976" s="1"/>
      <c r="AW976" s="1"/>
      <c r="AY976" s="1"/>
    </row>
    <row r="977">
      <c r="A977" s="1"/>
      <c r="C977" s="1"/>
      <c r="E977" s="1"/>
      <c r="F977" s="1"/>
      <c r="G977" s="1"/>
      <c r="H977" s="1"/>
      <c r="I977" s="1"/>
      <c r="J977" s="1"/>
      <c r="K977" s="1"/>
      <c r="M977" s="1"/>
      <c r="N977" s="1"/>
      <c r="O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U977" s="1"/>
      <c r="AW977" s="1"/>
      <c r="AY977" s="1"/>
    </row>
    <row r="978">
      <c r="A978" s="1"/>
      <c r="C978" s="1"/>
      <c r="E978" s="1"/>
      <c r="F978" s="1"/>
      <c r="G978" s="1"/>
      <c r="H978" s="1"/>
      <c r="I978" s="1"/>
      <c r="J978" s="1"/>
      <c r="K978" s="1"/>
      <c r="M978" s="1"/>
      <c r="N978" s="1"/>
      <c r="O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U978" s="1"/>
      <c r="AW978" s="1"/>
      <c r="AY978" s="1"/>
    </row>
    <row r="979">
      <c r="A979" s="1"/>
      <c r="C979" s="1"/>
      <c r="E979" s="1"/>
      <c r="F979" s="1"/>
      <c r="G979" s="1"/>
      <c r="H979" s="1"/>
      <c r="I979" s="1"/>
      <c r="J979" s="1"/>
      <c r="K979" s="1"/>
      <c r="M979" s="1"/>
      <c r="N979" s="1"/>
      <c r="O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U979" s="1"/>
      <c r="AW979" s="1"/>
      <c r="AY979" s="1"/>
    </row>
    <row r="980">
      <c r="A980" s="1"/>
      <c r="C980" s="1"/>
      <c r="E980" s="1"/>
      <c r="F980" s="1"/>
      <c r="G980" s="1"/>
      <c r="H980" s="1"/>
      <c r="I980" s="1"/>
      <c r="J980" s="1"/>
      <c r="K980" s="1"/>
      <c r="M980" s="1"/>
      <c r="N980" s="1"/>
      <c r="O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U980" s="1"/>
      <c r="AW980" s="1"/>
      <c r="AY980" s="1"/>
    </row>
    <row r="981">
      <c r="A981" s="1"/>
      <c r="C981" s="1"/>
      <c r="E981" s="1"/>
      <c r="F981" s="1"/>
      <c r="G981" s="1"/>
      <c r="H981" s="1"/>
      <c r="I981" s="1"/>
      <c r="J981" s="1"/>
      <c r="K981" s="1"/>
      <c r="M981" s="1"/>
      <c r="N981" s="1"/>
      <c r="O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U981" s="1"/>
      <c r="AW981" s="1"/>
      <c r="AY981" s="1"/>
    </row>
    <row r="982">
      <c r="A982" s="1"/>
      <c r="C982" s="1"/>
      <c r="E982" s="1"/>
      <c r="F982" s="1"/>
      <c r="G982" s="1"/>
      <c r="H982" s="1"/>
      <c r="I982" s="1"/>
      <c r="J982" s="1"/>
      <c r="K982" s="1"/>
      <c r="M982" s="1"/>
      <c r="N982" s="1"/>
      <c r="O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U982" s="1"/>
      <c r="AW982" s="1"/>
      <c r="AY982" s="1"/>
    </row>
    <row r="983">
      <c r="A983" s="1"/>
      <c r="C983" s="1"/>
      <c r="E983" s="1"/>
      <c r="F983" s="1"/>
      <c r="G983" s="1"/>
      <c r="H983" s="1"/>
      <c r="I983" s="1"/>
      <c r="J983" s="1"/>
      <c r="K983" s="1"/>
      <c r="M983" s="1"/>
      <c r="N983" s="1"/>
      <c r="O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U983" s="1"/>
      <c r="AW983" s="1"/>
      <c r="AY983" s="1"/>
    </row>
    <row r="984">
      <c r="A984" s="1"/>
      <c r="C984" s="1"/>
      <c r="E984" s="1"/>
      <c r="F984" s="1"/>
      <c r="G984" s="1"/>
      <c r="H984" s="1"/>
      <c r="I984" s="1"/>
      <c r="J984" s="1"/>
      <c r="K984" s="1"/>
      <c r="M984" s="1"/>
      <c r="N984" s="1"/>
      <c r="O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U984" s="1"/>
      <c r="AW984" s="1"/>
      <c r="AY984" s="1"/>
    </row>
    <row r="985">
      <c r="A985" s="1"/>
      <c r="C985" s="1"/>
      <c r="E985" s="1"/>
      <c r="F985" s="1"/>
      <c r="G985" s="1"/>
      <c r="H985" s="1"/>
      <c r="I985" s="1"/>
      <c r="J985" s="1"/>
      <c r="K985" s="1"/>
      <c r="M985" s="1"/>
      <c r="N985" s="1"/>
      <c r="O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U985" s="1"/>
      <c r="AW985" s="1"/>
      <c r="AY985" s="1"/>
    </row>
    <row r="986">
      <c r="A986" s="1"/>
      <c r="C986" s="1"/>
      <c r="E986" s="1"/>
      <c r="F986" s="1"/>
      <c r="G986" s="1"/>
      <c r="H986" s="1"/>
      <c r="I986" s="1"/>
      <c r="J986" s="1"/>
      <c r="K986" s="1"/>
      <c r="M986" s="1"/>
      <c r="N986" s="1"/>
      <c r="O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U986" s="1"/>
      <c r="AW986" s="1"/>
      <c r="AY986" s="1"/>
    </row>
    <row r="987">
      <c r="A987" s="1"/>
      <c r="C987" s="1"/>
      <c r="E987" s="1"/>
      <c r="F987" s="1"/>
      <c r="G987" s="1"/>
      <c r="H987" s="1"/>
      <c r="I987" s="1"/>
      <c r="J987" s="1"/>
      <c r="K987" s="1"/>
      <c r="M987" s="1"/>
      <c r="N987" s="1"/>
      <c r="O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U987" s="1"/>
      <c r="AW987" s="1"/>
      <c r="AY987" s="1"/>
    </row>
    <row r="988">
      <c r="A988" s="1"/>
      <c r="C988" s="1"/>
      <c r="E988" s="1"/>
      <c r="F988" s="1"/>
      <c r="G988" s="1"/>
      <c r="H988" s="1"/>
      <c r="I988" s="1"/>
      <c r="J988" s="1"/>
      <c r="K988" s="1"/>
      <c r="M988" s="1"/>
      <c r="N988" s="1"/>
      <c r="O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U988" s="1"/>
      <c r="AW988" s="1"/>
      <c r="AY988" s="1"/>
    </row>
    <row r="989">
      <c r="A989" s="1"/>
      <c r="C989" s="1"/>
      <c r="E989" s="1"/>
      <c r="F989" s="1"/>
      <c r="G989" s="1"/>
      <c r="H989" s="1"/>
      <c r="I989" s="1"/>
      <c r="J989" s="1"/>
      <c r="K989" s="1"/>
      <c r="M989" s="1"/>
      <c r="N989" s="1"/>
      <c r="O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U989" s="1"/>
      <c r="AW989" s="1"/>
      <c r="AY989" s="1"/>
    </row>
    <row r="990">
      <c r="A990" s="1"/>
      <c r="C990" s="1"/>
      <c r="E990" s="1"/>
      <c r="F990" s="1"/>
      <c r="G990" s="1"/>
      <c r="H990" s="1"/>
      <c r="I990" s="1"/>
      <c r="J990" s="1"/>
      <c r="K990" s="1"/>
      <c r="M990" s="1"/>
      <c r="N990" s="1"/>
      <c r="O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U990" s="1"/>
      <c r="AW990" s="1"/>
      <c r="AY990" s="1"/>
    </row>
    <row r="991">
      <c r="A991" s="1"/>
      <c r="C991" s="1"/>
      <c r="E991" s="1"/>
      <c r="F991" s="1"/>
      <c r="G991" s="1"/>
      <c r="H991" s="1"/>
      <c r="I991" s="1"/>
      <c r="J991" s="1"/>
      <c r="K991" s="1"/>
      <c r="M991" s="1"/>
      <c r="N991" s="1"/>
      <c r="O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P991" s="1"/>
      <c r="AQ991" s="1"/>
      <c r="AR991" s="1"/>
      <c r="AU991" s="1"/>
      <c r="AW991" s="1"/>
      <c r="AY991" s="1"/>
    </row>
    <row r="992">
      <c r="A992" s="1"/>
      <c r="C992" s="1"/>
      <c r="E992" s="1"/>
      <c r="F992" s="1"/>
      <c r="G992" s="1"/>
      <c r="H992" s="1"/>
      <c r="I992" s="1"/>
      <c r="J992" s="1"/>
      <c r="K992" s="1"/>
      <c r="M992" s="1"/>
      <c r="N992" s="1"/>
      <c r="O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P992" s="1"/>
      <c r="AQ992" s="1"/>
      <c r="AR992" s="1"/>
      <c r="AU992" s="1"/>
      <c r="AW992" s="1"/>
      <c r="AY992" s="1"/>
    </row>
    <row r="993">
      <c r="A993" s="1"/>
      <c r="C993" s="1"/>
      <c r="E993" s="1"/>
      <c r="F993" s="1"/>
      <c r="G993" s="1"/>
      <c r="H993" s="1"/>
      <c r="I993" s="1"/>
      <c r="J993" s="1"/>
      <c r="K993" s="1"/>
      <c r="M993" s="1"/>
      <c r="N993" s="1"/>
      <c r="O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P993" s="1"/>
      <c r="AQ993" s="1"/>
      <c r="AR993" s="1"/>
      <c r="AU993" s="1"/>
      <c r="AW993" s="1"/>
      <c r="AY993" s="1"/>
    </row>
    <row r="994">
      <c r="A994" s="1"/>
      <c r="C994" s="1"/>
      <c r="E994" s="1"/>
      <c r="F994" s="1"/>
      <c r="G994" s="1"/>
      <c r="H994" s="1"/>
      <c r="I994" s="1"/>
      <c r="J994" s="1"/>
      <c r="K994" s="1"/>
      <c r="M994" s="1"/>
      <c r="N994" s="1"/>
      <c r="O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P994" s="1"/>
      <c r="AQ994" s="1"/>
      <c r="AR994" s="1"/>
      <c r="AU994" s="1"/>
      <c r="AW994" s="1"/>
      <c r="AY994" s="1"/>
    </row>
    <row r="995">
      <c r="A995" s="1"/>
      <c r="C995" s="1"/>
      <c r="E995" s="1"/>
      <c r="F995" s="1"/>
      <c r="G995" s="1"/>
      <c r="H995" s="1"/>
      <c r="I995" s="1"/>
      <c r="J995" s="1"/>
      <c r="K995" s="1"/>
      <c r="M995" s="1"/>
      <c r="N995" s="1"/>
      <c r="O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P995" s="1"/>
      <c r="AQ995" s="1"/>
      <c r="AR995" s="1"/>
      <c r="AU995" s="1"/>
      <c r="AW995" s="1"/>
      <c r="AY995" s="1"/>
    </row>
    <row r="996">
      <c r="A996" s="1"/>
      <c r="C996" s="1"/>
      <c r="E996" s="1"/>
      <c r="F996" s="1"/>
      <c r="G996" s="1"/>
      <c r="H996" s="1"/>
      <c r="I996" s="1"/>
      <c r="J996" s="1"/>
      <c r="K996" s="1"/>
      <c r="M996" s="1"/>
      <c r="N996" s="1"/>
      <c r="O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P996" s="1"/>
      <c r="AQ996" s="1"/>
      <c r="AR996" s="1"/>
      <c r="AU996" s="1"/>
      <c r="AW996" s="1"/>
      <c r="AY996" s="1"/>
    </row>
    <row r="997">
      <c r="A997" s="1"/>
      <c r="C997" s="1"/>
      <c r="E997" s="1"/>
      <c r="F997" s="1"/>
      <c r="G997" s="1"/>
      <c r="H997" s="1"/>
      <c r="I997" s="1"/>
      <c r="J997" s="1"/>
      <c r="K997" s="1"/>
      <c r="M997" s="1"/>
      <c r="N997" s="1"/>
      <c r="O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P997" s="1"/>
      <c r="AQ997" s="1"/>
      <c r="AR997" s="1"/>
      <c r="AU997" s="1"/>
      <c r="AW997" s="1"/>
      <c r="AY997" s="1"/>
    </row>
    <row r="998">
      <c r="A998" s="1"/>
      <c r="C998" s="1"/>
      <c r="E998" s="1"/>
      <c r="F998" s="1"/>
      <c r="G998" s="1"/>
      <c r="H998" s="1"/>
      <c r="I998" s="1"/>
      <c r="J998" s="1"/>
      <c r="K998" s="1"/>
      <c r="M998" s="1"/>
      <c r="N998" s="1"/>
      <c r="O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P998" s="1"/>
      <c r="AQ998" s="1"/>
      <c r="AR998" s="1"/>
      <c r="AU998" s="1"/>
      <c r="AW998" s="1"/>
      <c r="AY998" s="1"/>
    </row>
    <row r="999">
      <c r="A999" s="1"/>
      <c r="C999" s="1"/>
      <c r="E999" s="1"/>
      <c r="F999" s="1"/>
      <c r="G999" s="1"/>
      <c r="H999" s="1"/>
      <c r="I999" s="1"/>
      <c r="J999" s="1"/>
      <c r="K999" s="1"/>
      <c r="M999" s="1"/>
      <c r="N999" s="1"/>
      <c r="O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P999" s="1"/>
      <c r="AQ999" s="1"/>
      <c r="AR999" s="1"/>
      <c r="AU999" s="1"/>
      <c r="AW999" s="1"/>
      <c r="AY999" s="1"/>
    </row>
    <row r="1000">
      <c r="A1000" s="1"/>
      <c r="C1000" s="1"/>
      <c r="E1000" s="1"/>
      <c r="F1000" s="1"/>
      <c r="G1000" s="1"/>
      <c r="H1000" s="1"/>
      <c r="I1000" s="1"/>
      <c r="J1000" s="1"/>
      <c r="K1000" s="1"/>
      <c r="M1000" s="1"/>
      <c r="N1000" s="1"/>
      <c r="O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P1000" s="1"/>
      <c r="AQ1000" s="1"/>
      <c r="AR1000" s="1"/>
      <c r="AU1000" s="1"/>
      <c r="AW1000" s="1"/>
      <c r="AY1000" s="1"/>
    </row>
    <row r="1001">
      <c r="A1001" s="1"/>
      <c r="C1001" s="1"/>
      <c r="E1001" s="1"/>
      <c r="F1001" s="1"/>
      <c r="G1001" s="1"/>
      <c r="H1001" s="1"/>
      <c r="I1001" s="1"/>
      <c r="J1001" s="1"/>
      <c r="K1001" s="1"/>
      <c r="M1001" s="1"/>
      <c r="N1001" s="1"/>
      <c r="O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P1001" s="1"/>
      <c r="AQ1001" s="1"/>
      <c r="AR1001" s="1"/>
      <c r="AU1001" s="1"/>
      <c r="AW1001" s="1"/>
      <c r="AY1001" s="1"/>
    </row>
    <row r="1002">
      <c r="A1002" s="1"/>
      <c r="C1002" s="1"/>
      <c r="E1002" s="1"/>
      <c r="F1002" s="1"/>
      <c r="G1002" s="1"/>
      <c r="H1002" s="1"/>
      <c r="I1002" s="1"/>
      <c r="J1002" s="1"/>
      <c r="K1002" s="1"/>
      <c r="M1002" s="1"/>
      <c r="N1002" s="1"/>
      <c r="O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P1002" s="1"/>
      <c r="AQ1002" s="1"/>
      <c r="AR1002" s="1"/>
      <c r="AU1002" s="1"/>
      <c r="AW1002" s="1"/>
      <c r="AY1002" s="1"/>
    </row>
    <row r="1003">
      <c r="A1003" s="1"/>
      <c r="C1003" s="1"/>
      <c r="E1003" s="1"/>
      <c r="F1003" s="1"/>
      <c r="G1003" s="1"/>
      <c r="H1003" s="1"/>
      <c r="I1003" s="1"/>
      <c r="J1003" s="1"/>
      <c r="K1003" s="1"/>
      <c r="M1003" s="1"/>
      <c r="N1003" s="1"/>
      <c r="O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P1003" s="1"/>
      <c r="AQ1003" s="1"/>
      <c r="AR1003" s="1"/>
      <c r="AU1003" s="1"/>
      <c r="AW1003" s="1"/>
      <c r="AY1003" s="1"/>
    </row>
    <row r="1004">
      <c r="A1004" s="1"/>
      <c r="C1004" s="1"/>
      <c r="E1004" s="1"/>
      <c r="F1004" s="1"/>
      <c r="G1004" s="1"/>
      <c r="H1004" s="1"/>
      <c r="I1004" s="1"/>
      <c r="J1004" s="1"/>
      <c r="K1004" s="1"/>
      <c r="M1004" s="1"/>
      <c r="N1004" s="1"/>
      <c r="O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P1004" s="1"/>
      <c r="AQ1004" s="1"/>
      <c r="AR1004" s="1"/>
      <c r="AU1004" s="1"/>
      <c r="AW1004" s="1"/>
      <c r="AY1004" s="1"/>
    </row>
    <row r="1005">
      <c r="A1005" s="1"/>
      <c r="C1005" s="1"/>
      <c r="E1005" s="1"/>
      <c r="F1005" s="1"/>
      <c r="G1005" s="1"/>
      <c r="H1005" s="1"/>
      <c r="I1005" s="1"/>
      <c r="J1005" s="1"/>
      <c r="K1005" s="1"/>
      <c r="M1005" s="1"/>
      <c r="N1005" s="1"/>
      <c r="O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P1005" s="1"/>
      <c r="AQ1005" s="1"/>
      <c r="AR1005" s="1"/>
      <c r="AU1005" s="1"/>
      <c r="AW1005" s="1"/>
      <c r="AY1005" s="1"/>
    </row>
    <row r="1006">
      <c r="A1006" s="1"/>
      <c r="C1006" s="1"/>
      <c r="E1006" s="1"/>
      <c r="F1006" s="1"/>
      <c r="G1006" s="1"/>
      <c r="H1006" s="1"/>
      <c r="I1006" s="1"/>
      <c r="J1006" s="1"/>
      <c r="K1006" s="1"/>
      <c r="M1006" s="1"/>
      <c r="N1006" s="1"/>
      <c r="O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P1006" s="1"/>
      <c r="AQ1006" s="1"/>
      <c r="AR1006" s="1"/>
      <c r="AU1006" s="1"/>
      <c r="AW1006" s="1"/>
      <c r="AY1006" s="1"/>
    </row>
    <row r="1007">
      <c r="A1007" s="1"/>
      <c r="C1007" s="1"/>
      <c r="E1007" s="1"/>
      <c r="F1007" s="1"/>
      <c r="G1007" s="1"/>
      <c r="H1007" s="1"/>
      <c r="I1007" s="1"/>
      <c r="J1007" s="1"/>
      <c r="K1007" s="1"/>
      <c r="M1007" s="1"/>
      <c r="N1007" s="1"/>
      <c r="O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P1007" s="1"/>
      <c r="AQ1007" s="1"/>
      <c r="AR1007" s="1"/>
      <c r="AU1007" s="1"/>
      <c r="AW1007" s="1"/>
      <c r="AY1007" s="1"/>
    </row>
    <row r="1008">
      <c r="A1008" s="1"/>
      <c r="C1008" s="1"/>
      <c r="E1008" s="1"/>
      <c r="F1008" s="1"/>
      <c r="G1008" s="1"/>
      <c r="H1008" s="1"/>
      <c r="I1008" s="1"/>
      <c r="J1008" s="1"/>
      <c r="K1008" s="1"/>
      <c r="M1008" s="1"/>
      <c r="N1008" s="1"/>
      <c r="O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P1008" s="1"/>
      <c r="AQ1008" s="1"/>
      <c r="AR1008" s="1"/>
      <c r="AU1008" s="1"/>
      <c r="AW1008" s="1"/>
      <c r="AY1008" s="1"/>
    </row>
    <row r="1009">
      <c r="A1009" s="1"/>
      <c r="C1009" s="1"/>
      <c r="E1009" s="1"/>
      <c r="F1009" s="1"/>
      <c r="G1009" s="1"/>
      <c r="H1009" s="1"/>
      <c r="I1009" s="1"/>
      <c r="J1009" s="1"/>
      <c r="K1009" s="1"/>
      <c r="M1009" s="1"/>
      <c r="N1009" s="1"/>
      <c r="O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P1009" s="1"/>
      <c r="AQ1009" s="1"/>
      <c r="AR1009" s="1"/>
      <c r="AU1009" s="1"/>
      <c r="AW1009" s="1"/>
      <c r="AY1009" s="1"/>
    </row>
    <row r="1010">
      <c r="A1010" s="1"/>
      <c r="C1010" s="1"/>
      <c r="E1010" s="1"/>
      <c r="F1010" s="1"/>
      <c r="G1010" s="1"/>
      <c r="H1010" s="1"/>
      <c r="I1010" s="1"/>
      <c r="J1010" s="1"/>
      <c r="K1010" s="1"/>
      <c r="M1010" s="1"/>
      <c r="N1010" s="1"/>
      <c r="O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P1010" s="1"/>
      <c r="AQ1010" s="1"/>
      <c r="AR1010" s="1"/>
      <c r="AU1010" s="1"/>
      <c r="AW1010" s="1"/>
      <c r="AY1010" s="1"/>
    </row>
    <row r="1011">
      <c r="A1011" s="1"/>
      <c r="C1011" s="1"/>
      <c r="E1011" s="1"/>
      <c r="F1011" s="1"/>
      <c r="G1011" s="1"/>
      <c r="H1011" s="1"/>
      <c r="I1011" s="1"/>
      <c r="J1011" s="1"/>
      <c r="K1011" s="1"/>
      <c r="M1011" s="1"/>
      <c r="N1011" s="1"/>
      <c r="O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P1011" s="1"/>
      <c r="AQ1011" s="1"/>
      <c r="AR1011" s="1"/>
      <c r="AU1011" s="1"/>
      <c r="AW1011" s="1"/>
      <c r="AY1011" s="1"/>
    </row>
    <row r="1012">
      <c r="A1012" s="1"/>
      <c r="C1012" s="1"/>
      <c r="E1012" s="1"/>
      <c r="F1012" s="1"/>
      <c r="G1012" s="1"/>
      <c r="H1012" s="1"/>
      <c r="I1012" s="1"/>
      <c r="J1012" s="1"/>
      <c r="K1012" s="1"/>
      <c r="M1012" s="1"/>
      <c r="N1012" s="1"/>
      <c r="O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P1012" s="1"/>
      <c r="AQ1012" s="1"/>
      <c r="AR1012" s="1"/>
      <c r="AU1012" s="1"/>
      <c r="AW1012" s="1"/>
      <c r="AY1012" s="1"/>
    </row>
    <row r="1013">
      <c r="A1013" s="1"/>
      <c r="C1013" s="1"/>
      <c r="E1013" s="1"/>
      <c r="F1013" s="1"/>
      <c r="G1013" s="1"/>
      <c r="H1013" s="1"/>
      <c r="I1013" s="1"/>
      <c r="J1013" s="1"/>
      <c r="K1013" s="1"/>
      <c r="M1013" s="1"/>
      <c r="N1013" s="1"/>
      <c r="O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P1013" s="1"/>
      <c r="AQ1013" s="1"/>
      <c r="AR1013" s="1"/>
      <c r="AU1013" s="1"/>
      <c r="AW1013" s="1"/>
      <c r="AY1013" s="1"/>
    </row>
    <row r="1014">
      <c r="A1014" s="1"/>
      <c r="C1014" s="1"/>
      <c r="E1014" s="1"/>
      <c r="F1014" s="1"/>
      <c r="G1014" s="1"/>
      <c r="H1014" s="1"/>
      <c r="I1014" s="1"/>
      <c r="J1014" s="1"/>
      <c r="K1014" s="1"/>
      <c r="M1014" s="1"/>
      <c r="N1014" s="1"/>
      <c r="O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P1014" s="1"/>
      <c r="AQ1014" s="1"/>
      <c r="AR1014" s="1"/>
      <c r="AU1014" s="1"/>
      <c r="AW1014" s="1"/>
      <c r="AY1014" s="1"/>
    </row>
    <row r="1015">
      <c r="A1015" s="1"/>
      <c r="C1015" s="1"/>
      <c r="E1015" s="1"/>
      <c r="F1015" s="1"/>
      <c r="G1015" s="1"/>
      <c r="H1015" s="1"/>
      <c r="I1015" s="1"/>
      <c r="J1015" s="1"/>
      <c r="K1015" s="1"/>
      <c r="M1015" s="1"/>
      <c r="N1015" s="1"/>
      <c r="O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P1015" s="1"/>
      <c r="AQ1015" s="1"/>
      <c r="AR1015" s="1"/>
      <c r="AU1015" s="1"/>
      <c r="AW1015" s="1"/>
      <c r="AY1015" s="1"/>
    </row>
    <row r="1016">
      <c r="A1016" s="1"/>
      <c r="C1016" s="1"/>
      <c r="E1016" s="1"/>
      <c r="F1016" s="1"/>
      <c r="G1016" s="1"/>
      <c r="H1016" s="1"/>
      <c r="I1016" s="1"/>
      <c r="J1016" s="1"/>
      <c r="K1016" s="1"/>
      <c r="M1016" s="1"/>
      <c r="N1016" s="1"/>
      <c r="O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P1016" s="1"/>
      <c r="AQ1016" s="1"/>
      <c r="AR1016" s="1"/>
      <c r="AU1016" s="1"/>
      <c r="AW1016" s="1"/>
      <c r="AY1016" s="1"/>
    </row>
    <row r="1017">
      <c r="A1017" s="1"/>
      <c r="C1017" s="1"/>
      <c r="E1017" s="1"/>
      <c r="F1017" s="1"/>
      <c r="G1017" s="1"/>
      <c r="H1017" s="1"/>
      <c r="I1017" s="1"/>
      <c r="J1017" s="1"/>
      <c r="K1017" s="1"/>
      <c r="M1017" s="1"/>
      <c r="N1017" s="1"/>
      <c r="O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P1017" s="1"/>
      <c r="AQ1017" s="1"/>
      <c r="AR1017" s="1"/>
      <c r="AU1017" s="1"/>
      <c r="AW1017" s="1"/>
      <c r="AY1017" s="1"/>
    </row>
    <row r="1018">
      <c r="A1018" s="1"/>
      <c r="C1018" s="1"/>
      <c r="E1018" s="1"/>
      <c r="F1018" s="1"/>
      <c r="G1018" s="1"/>
      <c r="H1018" s="1"/>
      <c r="I1018" s="1"/>
      <c r="J1018" s="1"/>
      <c r="K1018" s="1"/>
      <c r="M1018" s="1"/>
      <c r="N1018" s="1"/>
      <c r="O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P1018" s="1"/>
      <c r="AQ1018" s="1"/>
      <c r="AR1018" s="1"/>
      <c r="AU1018" s="1"/>
      <c r="AW1018" s="1"/>
      <c r="AY1018" s="1"/>
    </row>
    <row r="1019">
      <c r="A1019" s="1"/>
      <c r="C1019" s="1"/>
      <c r="E1019" s="1"/>
      <c r="F1019" s="1"/>
      <c r="G1019" s="1"/>
      <c r="H1019" s="1"/>
      <c r="I1019" s="1"/>
      <c r="J1019" s="1"/>
      <c r="K1019" s="1"/>
      <c r="M1019" s="1"/>
      <c r="N1019" s="1"/>
      <c r="O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P1019" s="1"/>
      <c r="AQ1019" s="1"/>
      <c r="AR1019" s="1"/>
      <c r="AU1019" s="1"/>
      <c r="AW1019" s="1"/>
      <c r="AY1019" s="1"/>
    </row>
    <row r="1020">
      <c r="A1020" s="1"/>
      <c r="C1020" s="1"/>
      <c r="E1020" s="1"/>
      <c r="F1020" s="1"/>
      <c r="G1020" s="1"/>
      <c r="H1020" s="1"/>
      <c r="I1020" s="1"/>
      <c r="J1020" s="1"/>
      <c r="K1020" s="1"/>
      <c r="M1020" s="1"/>
      <c r="N1020" s="1"/>
      <c r="O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P1020" s="1"/>
      <c r="AQ1020" s="1"/>
      <c r="AR1020" s="1"/>
      <c r="AU1020" s="1"/>
      <c r="AW1020" s="1"/>
      <c r="AY1020" s="1"/>
    </row>
    <row r="1021">
      <c r="A1021" s="1"/>
      <c r="C1021" s="1"/>
      <c r="E1021" s="1"/>
      <c r="F1021" s="1"/>
      <c r="G1021" s="1"/>
      <c r="H1021" s="1"/>
      <c r="I1021" s="1"/>
      <c r="J1021" s="1"/>
      <c r="K1021" s="1"/>
      <c r="M1021" s="1"/>
      <c r="N1021" s="1"/>
      <c r="O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P1021" s="1"/>
      <c r="AQ1021" s="1"/>
      <c r="AR1021" s="1"/>
      <c r="AU1021" s="1"/>
      <c r="AW1021" s="1"/>
      <c r="AY1021" s="1"/>
    </row>
    <row r="1022">
      <c r="A1022" s="1"/>
      <c r="C1022" s="1"/>
      <c r="E1022" s="1"/>
      <c r="F1022" s="1"/>
      <c r="G1022" s="1"/>
      <c r="H1022" s="1"/>
      <c r="I1022" s="1"/>
      <c r="J1022" s="1"/>
      <c r="K1022" s="1"/>
      <c r="M1022" s="1"/>
      <c r="N1022" s="1"/>
      <c r="O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P1022" s="1"/>
      <c r="AQ1022" s="1"/>
      <c r="AR1022" s="1"/>
      <c r="AU1022" s="1"/>
      <c r="AW1022" s="1"/>
      <c r="AY1022" s="1"/>
    </row>
    <row r="1023">
      <c r="A1023" s="1"/>
      <c r="C1023" s="1"/>
      <c r="E1023" s="1"/>
      <c r="F1023" s="1"/>
      <c r="G1023" s="1"/>
      <c r="H1023" s="1"/>
      <c r="I1023" s="1"/>
      <c r="J1023" s="1"/>
      <c r="K1023" s="1"/>
      <c r="M1023" s="1"/>
      <c r="N1023" s="1"/>
      <c r="O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P1023" s="1"/>
      <c r="AQ1023" s="1"/>
      <c r="AR1023" s="1"/>
      <c r="AU1023" s="1"/>
      <c r="AW1023" s="1"/>
      <c r="AY1023" s="1"/>
    </row>
    <row r="1024">
      <c r="A1024" s="1"/>
      <c r="C1024" s="1"/>
      <c r="E1024" s="1"/>
      <c r="F1024" s="1"/>
      <c r="G1024" s="1"/>
      <c r="H1024" s="1"/>
      <c r="I1024" s="1"/>
      <c r="J1024" s="1"/>
      <c r="K1024" s="1"/>
      <c r="M1024" s="1"/>
      <c r="N1024" s="1"/>
      <c r="O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P1024" s="1"/>
      <c r="AQ1024" s="1"/>
      <c r="AR1024" s="1"/>
      <c r="AU1024" s="1"/>
      <c r="AW1024" s="1"/>
      <c r="AY1024" s="1"/>
    </row>
    <row r="1025">
      <c r="A1025" s="1"/>
      <c r="C1025" s="1"/>
      <c r="E1025" s="1"/>
      <c r="F1025" s="1"/>
      <c r="G1025" s="1"/>
      <c r="H1025" s="1"/>
      <c r="I1025" s="1"/>
      <c r="J1025" s="1"/>
      <c r="K1025" s="1"/>
      <c r="M1025" s="1"/>
      <c r="N1025" s="1"/>
      <c r="O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P1025" s="1"/>
      <c r="AQ1025" s="1"/>
      <c r="AR1025" s="1"/>
      <c r="AU1025" s="1"/>
      <c r="AW1025" s="1"/>
      <c r="AY1025" s="1"/>
    </row>
    <row r="1026">
      <c r="A1026" s="1"/>
      <c r="C1026" s="1"/>
      <c r="E1026" s="1"/>
      <c r="F1026" s="1"/>
      <c r="G1026" s="1"/>
      <c r="H1026" s="1"/>
      <c r="I1026" s="1"/>
      <c r="J1026" s="1"/>
      <c r="K1026" s="1"/>
      <c r="M1026" s="1"/>
      <c r="N1026" s="1"/>
      <c r="O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P1026" s="1"/>
      <c r="AQ1026" s="1"/>
      <c r="AR1026" s="1"/>
      <c r="AU1026" s="1"/>
      <c r="AW1026" s="1"/>
      <c r="AY1026" s="1"/>
    </row>
    <row r="1027">
      <c r="A1027" s="1"/>
      <c r="C1027" s="1"/>
      <c r="E1027" s="1"/>
      <c r="F1027" s="1"/>
      <c r="G1027" s="1"/>
      <c r="H1027" s="1"/>
      <c r="I1027" s="1"/>
      <c r="J1027" s="1"/>
      <c r="K1027" s="1"/>
      <c r="M1027" s="1"/>
      <c r="N1027" s="1"/>
      <c r="O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P1027" s="1"/>
      <c r="AQ1027" s="1"/>
      <c r="AR1027" s="1"/>
      <c r="AU1027" s="1"/>
      <c r="AW1027" s="1"/>
      <c r="AY1027" s="1"/>
    </row>
    <row r="1028">
      <c r="A1028" s="1"/>
      <c r="C1028" s="1"/>
      <c r="E1028" s="1"/>
      <c r="F1028" s="1"/>
      <c r="G1028" s="1"/>
      <c r="H1028" s="1"/>
      <c r="I1028" s="1"/>
      <c r="J1028" s="1"/>
      <c r="K1028" s="1"/>
      <c r="M1028" s="1"/>
      <c r="N1028" s="1"/>
      <c r="O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P1028" s="1"/>
      <c r="AQ1028" s="1"/>
      <c r="AR1028" s="1"/>
      <c r="AU1028" s="1"/>
      <c r="AW1028" s="1"/>
      <c r="AY1028" s="1"/>
    </row>
    <row r="1029">
      <c r="A1029" s="1"/>
      <c r="C1029" s="1"/>
      <c r="E1029" s="1"/>
      <c r="F1029" s="1"/>
      <c r="G1029" s="1"/>
      <c r="H1029" s="1"/>
      <c r="I1029" s="1"/>
      <c r="J1029" s="1"/>
      <c r="K1029" s="1"/>
      <c r="M1029" s="1"/>
      <c r="N1029" s="1"/>
      <c r="O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P1029" s="1"/>
      <c r="AQ1029" s="1"/>
      <c r="AR1029" s="1"/>
      <c r="AU1029" s="1"/>
      <c r="AW1029" s="1"/>
      <c r="AY1029" s="1"/>
    </row>
    <row r="1030">
      <c r="A1030" s="1"/>
      <c r="C1030" s="1"/>
      <c r="E1030" s="1"/>
      <c r="F1030" s="1"/>
      <c r="G1030" s="1"/>
      <c r="H1030" s="1"/>
      <c r="I1030" s="1"/>
      <c r="J1030" s="1"/>
      <c r="K1030" s="1"/>
      <c r="M1030" s="1"/>
      <c r="N1030" s="1"/>
      <c r="O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P1030" s="1"/>
      <c r="AQ1030" s="1"/>
      <c r="AR1030" s="1"/>
      <c r="AU1030" s="1"/>
      <c r="AW1030" s="1"/>
      <c r="AY1030" s="1"/>
    </row>
    <row r="1031">
      <c r="A1031" s="1"/>
      <c r="C1031" s="1"/>
      <c r="E1031" s="1"/>
      <c r="F1031" s="1"/>
      <c r="G1031" s="1"/>
      <c r="H1031" s="1"/>
      <c r="I1031" s="1"/>
      <c r="J1031" s="1"/>
      <c r="K1031" s="1"/>
      <c r="M1031" s="1"/>
      <c r="N1031" s="1"/>
      <c r="O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P1031" s="1"/>
      <c r="AQ1031" s="1"/>
      <c r="AR1031" s="1"/>
      <c r="AU1031" s="1"/>
      <c r="AW1031" s="1"/>
      <c r="AY1031" s="1"/>
    </row>
    <row r="1032">
      <c r="A1032" s="1"/>
      <c r="C1032" s="1"/>
      <c r="E1032" s="1"/>
      <c r="F1032" s="1"/>
      <c r="G1032" s="1"/>
      <c r="H1032" s="1"/>
      <c r="I1032" s="1"/>
      <c r="J1032" s="1"/>
      <c r="K1032" s="1"/>
      <c r="M1032" s="1"/>
      <c r="N1032" s="1"/>
      <c r="O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P1032" s="1"/>
      <c r="AQ1032" s="1"/>
      <c r="AR1032" s="1"/>
      <c r="AU1032" s="1"/>
      <c r="AW1032" s="1"/>
      <c r="AY1032" s="1"/>
    </row>
    <row r="1033">
      <c r="A1033" s="1"/>
      <c r="C1033" s="1"/>
      <c r="E1033" s="1"/>
      <c r="F1033" s="1"/>
      <c r="G1033" s="1"/>
      <c r="H1033" s="1"/>
      <c r="I1033" s="1"/>
      <c r="J1033" s="1"/>
      <c r="K1033" s="1"/>
      <c r="M1033" s="1"/>
      <c r="N1033" s="1"/>
      <c r="O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P1033" s="1"/>
      <c r="AQ1033" s="1"/>
      <c r="AR1033" s="1"/>
      <c r="AU1033" s="1"/>
      <c r="AW1033" s="1"/>
      <c r="AY1033" s="1"/>
    </row>
    <row r="1034">
      <c r="A1034" s="1"/>
      <c r="C1034" s="1"/>
      <c r="E1034" s="1"/>
      <c r="F1034" s="1"/>
      <c r="G1034" s="1"/>
      <c r="H1034" s="1"/>
      <c r="I1034" s="1"/>
      <c r="J1034" s="1"/>
      <c r="K1034" s="1"/>
      <c r="M1034" s="1"/>
      <c r="N1034" s="1"/>
      <c r="O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P1034" s="1"/>
      <c r="AQ1034" s="1"/>
      <c r="AR1034" s="1"/>
      <c r="AU1034" s="1"/>
      <c r="AW1034" s="1"/>
      <c r="AY1034" s="1"/>
    </row>
    <row r="1035">
      <c r="A1035" s="1"/>
      <c r="C1035" s="1"/>
      <c r="E1035" s="1"/>
      <c r="F1035" s="1"/>
      <c r="G1035" s="1"/>
      <c r="H1035" s="1"/>
      <c r="I1035" s="1"/>
      <c r="J1035" s="1"/>
      <c r="K1035" s="1"/>
      <c r="M1035" s="1"/>
      <c r="N1035" s="1"/>
      <c r="O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P1035" s="1"/>
      <c r="AQ1035" s="1"/>
      <c r="AR1035" s="1"/>
      <c r="AU1035" s="1"/>
      <c r="AW1035" s="1"/>
      <c r="AY1035" s="1"/>
    </row>
    <row r="1036">
      <c r="A1036" s="1"/>
      <c r="C1036" s="1"/>
      <c r="E1036" s="1"/>
      <c r="F1036" s="1"/>
      <c r="G1036" s="1"/>
      <c r="H1036" s="1"/>
      <c r="I1036" s="1"/>
      <c r="J1036" s="1"/>
      <c r="K1036" s="1"/>
      <c r="M1036" s="1"/>
      <c r="N1036" s="1"/>
      <c r="O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P1036" s="1"/>
      <c r="AQ1036" s="1"/>
      <c r="AR1036" s="1"/>
      <c r="AU1036" s="1"/>
      <c r="AW1036" s="1"/>
      <c r="AY1036" s="1"/>
    </row>
    <row r="1037">
      <c r="A1037" s="1"/>
      <c r="C1037" s="1"/>
      <c r="E1037" s="1"/>
      <c r="F1037" s="1"/>
      <c r="G1037" s="1"/>
      <c r="H1037" s="1"/>
      <c r="I1037" s="1"/>
      <c r="J1037" s="1"/>
      <c r="K1037" s="1"/>
      <c r="M1037" s="1"/>
      <c r="N1037" s="1"/>
      <c r="O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P1037" s="1"/>
      <c r="AQ1037" s="1"/>
      <c r="AR1037" s="1"/>
      <c r="AU1037" s="1"/>
      <c r="AW1037" s="1"/>
      <c r="AY1037" s="1"/>
    </row>
    <row r="1038">
      <c r="A1038" s="1"/>
      <c r="C1038" s="1"/>
      <c r="E1038" s="1"/>
      <c r="F1038" s="1"/>
      <c r="G1038" s="1"/>
      <c r="H1038" s="1"/>
      <c r="I1038" s="1"/>
      <c r="J1038" s="1"/>
      <c r="K1038" s="1"/>
      <c r="M1038" s="1"/>
      <c r="N1038" s="1"/>
      <c r="O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P1038" s="1"/>
      <c r="AQ1038" s="1"/>
      <c r="AR1038" s="1"/>
      <c r="AU1038" s="1"/>
      <c r="AW1038" s="1"/>
      <c r="AY1038" s="1"/>
    </row>
    <row r="1039">
      <c r="A1039" s="1"/>
      <c r="C1039" s="1"/>
      <c r="E1039" s="1"/>
      <c r="F1039" s="1"/>
      <c r="G1039" s="1"/>
      <c r="H1039" s="1"/>
      <c r="I1039" s="1"/>
      <c r="J1039" s="1"/>
      <c r="K1039" s="1"/>
      <c r="M1039" s="1"/>
      <c r="N1039" s="1"/>
      <c r="O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P1039" s="1"/>
      <c r="AQ1039" s="1"/>
      <c r="AR1039" s="1"/>
      <c r="AU1039" s="1"/>
      <c r="AW1039" s="1"/>
      <c r="AY1039" s="1"/>
    </row>
    <row r="1040">
      <c r="A1040" s="1"/>
      <c r="C1040" s="1"/>
      <c r="E1040" s="1"/>
      <c r="F1040" s="1"/>
      <c r="G1040" s="1"/>
      <c r="H1040" s="1"/>
      <c r="I1040" s="1"/>
      <c r="J1040" s="1"/>
      <c r="K1040" s="1"/>
      <c r="M1040" s="1"/>
      <c r="N1040" s="1"/>
      <c r="O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P1040" s="1"/>
      <c r="AQ1040" s="1"/>
      <c r="AR1040" s="1"/>
      <c r="AU1040" s="1"/>
      <c r="AW1040" s="1"/>
      <c r="AY1040" s="1"/>
    </row>
    <row r="1041">
      <c r="A1041" s="1"/>
      <c r="C1041" s="1"/>
      <c r="E1041" s="1"/>
      <c r="F1041" s="1"/>
      <c r="G1041" s="1"/>
      <c r="H1041" s="1"/>
      <c r="I1041" s="1"/>
      <c r="J1041" s="1"/>
      <c r="K1041" s="1"/>
      <c r="M1041" s="1"/>
      <c r="N1041" s="1"/>
      <c r="O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P1041" s="1"/>
      <c r="AQ1041" s="1"/>
      <c r="AR1041" s="1"/>
      <c r="AU1041" s="1"/>
      <c r="AW1041" s="1"/>
      <c r="AY1041" s="1"/>
    </row>
    <row r="1042">
      <c r="A1042" s="1"/>
      <c r="C1042" s="1"/>
      <c r="E1042" s="1"/>
      <c r="F1042" s="1"/>
      <c r="G1042" s="1"/>
      <c r="H1042" s="1"/>
      <c r="I1042" s="1"/>
      <c r="J1042" s="1"/>
      <c r="K1042" s="1"/>
      <c r="M1042" s="1"/>
      <c r="N1042" s="1"/>
      <c r="O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P1042" s="1"/>
      <c r="AQ1042" s="1"/>
      <c r="AR1042" s="1"/>
      <c r="AU1042" s="1"/>
      <c r="AW1042" s="1"/>
      <c r="AY1042" s="1"/>
    </row>
    <row r="1043">
      <c r="A1043" s="1"/>
      <c r="C1043" s="1"/>
      <c r="E1043" s="1"/>
      <c r="F1043" s="1"/>
      <c r="G1043" s="1"/>
      <c r="H1043" s="1"/>
      <c r="I1043" s="1"/>
      <c r="J1043" s="1"/>
      <c r="K1043" s="1"/>
      <c r="M1043" s="1"/>
      <c r="N1043" s="1"/>
      <c r="O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P1043" s="1"/>
      <c r="AQ1043" s="1"/>
      <c r="AR1043" s="1"/>
      <c r="AU1043" s="1"/>
      <c r="AW1043" s="1"/>
      <c r="AY1043" s="1"/>
    </row>
    <row r="1044">
      <c r="A1044" s="1"/>
      <c r="C1044" s="1"/>
      <c r="E1044" s="1"/>
      <c r="F1044" s="1"/>
      <c r="G1044" s="1"/>
      <c r="H1044" s="1"/>
      <c r="I1044" s="1"/>
      <c r="J1044" s="1"/>
      <c r="K1044" s="1"/>
      <c r="M1044" s="1"/>
      <c r="N1044" s="1"/>
      <c r="O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P1044" s="1"/>
      <c r="AQ1044" s="1"/>
      <c r="AR1044" s="1"/>
      <c r="AU1044" s="1"/>
      <c r="AW1044" s="1"/>
      <c r="AY1044" s="1"/>
    </row>
    <row r="1045">
      <c r="A1045" s="1"/>
      <c r="C1045" s="1"/>
      <c r="E1045" s="1"/>
      <c r="F1045" s="1"/>
      <c r="G1045" s="1"/>
      <c r="H1045" s="1"/>
      <c r="I1045" s="1"/>
      <c r="J1045" s="1"/>
      <c r="K1045" s="1"/>
      <c r="M1045" s="1"/>
      <c r="N1045" s="1"/>
      <c r="O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P1045" s="1"/>
      <c r="AQ1045" s="1"/>
      <c r="AR1045" s="1"/>
      <c r="AU1045" s="1"/>
      <c r="AW1045" s="1"/>
      <c r="AY1045" s="1"/>
    </row>
    <row r="1046">
      <c r="A1046" s="1"/>
      <c r="C1046" s="1"/>
      <c r="E1046" s="1"/>
      <c r="F1046" s="1"/>
      <c r="G1046" s="1"/>
      <c r="H1046" s="1"/>
      <c r="I1046" s="1"/>
      <c r="J1046" s="1"/>
      <c r="K1046" s="1"/>
      <c r="M1046" s="1"/>
      <c r="N1046" s="1"/>
      <c r="O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P1046" s="1"/>
      <c r="AQ1046" s="1"/>
      <c r="AR1046" s="1"/>
      <c r="AU1046" s="1"/>
      <c r="AW1046" s="1"/>
      <c r="AY1046" s="1"/>
    </row>
    <row r="1047">
      <c r="A1047" s="1"/>
      <c r="C1047" s="1"/>
      <c r="E1047" s="1"/>
      <c r="F1047" s="1"/>
      <c r="G1047" s="1"/>
      <c r="H1047" s="1"/>
      <c r="I1047" s="1"/>
      <c r="J1047" s="1"/>
      <c r="K1047" s="1"/>
      <c r="M1047" s="1"/>
      <c r="N1047" s="1"/>
      <c r="O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P1047" s="1"/>
      <c r="AQ1047" s="1"/>
      <c r="AR1047" s="1"/>
      <c r="AU1047" s="1"/>
      <c r="AW1047" s="1"/>
      <c r="AY1047" s="1"/>
    </row>
    <row r="1048">
      <c r="A1048" s="1"/>
      <c r="C1048" s="1"/>
      <c r="E1048" s="1"/>
      <c r="F1048" s="1"/>
      <c r="G1048" s="1"/>
      <c r="H1048" s="1"/>
      <c r="I1048" s="1"/>
      <c r="J1048" s="1"/>
      <c r="K1048" s="1"/>
      <c r="M1048" s="1"/>
      <c r="N1048" s="1"/>
      <c r="O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P1048" s="1"/>
      <c r="AQ1048" s="1"/>
      <c r="AR1048" s="1"/>
      <c r="AU1048" s="1"/>
      <c r="AW1048" s="1"/>
      <c r="AY1048" s="1"/>
    </row>
    <row r="1049">
      <c r="A1049" s="1"/>
      <c r="C1049" s="1"/>
      <c r="E1049" s="1"/>
      <c r="F1049" s="1"/>
      <c r="G1049" s="1"/>
      <c r="H1049" s="1"/>
      <c r="I1049" s="1"/>
      <c r="J1049" s="1"/>
      <c r="K1049" s="1"/>
      <c r="M1049" s="1"/>
      <c r="N1049" s="1"/>
      <c r="O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P1049" s="1"/>
      <c r="AQ1049" s="1"/>
      <c r="AR1049" s="1"/>
      <c r="AU1049" s="1"/>
      <c r="AW1049" s="1"/>
      <c r="AY1049" s="1"/>
    </row>
    <row r="1050">
      <c r="A1050" s="1"/>
      <c r="C1050" s="1"/>
      <c r="E1050" s="1"/>
      <c r="F1050" s="1"/>
      <c r="G1050" s="1"/>
      <c r="H1050" s="1"/>
      <c r="I1050" s="1"/>
      <c r="J1050" s="1"/>
      <c r="K1050" s="1"/>
      <c r="M1050" s="1"/>
      <c r="N1050" s="1"/>
      <c r="O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P1050" s="1"/>
      <c r="AQ1050" s="1"/>
      <c r="AR1050" s="1"/>
      <c r="AU1050" s="1"/>
      <c r="AW1050" s="1"/>
      <c r="AY1050" s="1"/>
    </row>
    <row r="1051">
      <c r="A1051" s="1"/>
      <c r="C1051" s="1"/>
      <c r="E1051" s="1"/>
      <c r="F1051" s="1"/>
      <c r="G1051" s="1"/>
      <c r="H1051" s="1"/>
      <c r="I1051" s="1"/>
      <c r="J1051" s="1"/>
      <c r="K1051" s="1"/>
      <c r="M1051" s="1"/>
      <c r="N1051" s="1"/>
      <c r="O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P1051" s="1"/>
      <c r="AQ1051" s="1"/>
      <c r="AR1051" s="1"/>
      <c r="AU1051" s="1"/>
      <c r="AW1051" s="1"/>
      <c r="AY1051" s="1"/>
    </row>
    <row r="1052">
      <c r="A1052" s="1"/>
      <c r="C1052" s="1"/>
      <c r="E1052" s="1"/>
      <c r="F1052" s="1"/>
      <c r="G1052" s="1"/>
      <c r="H1052" s="1"/>
      <c r="I1052" s="1"/>
      <c r="J1052" s="1"/>
      <c r="K1052" s="1"/>
      <c r="M1052" s="1"/>
      <c r="N1052" s="1"/>
      <c r="O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P1052" s="1"/>
      <c r="AQ1052" s="1"/>
      <c r="AR1052" s="1"/>
      <c r="AU1052" s="1"/>
      <c r="AW1052" s="1"/>
      <c r="AY1052" s="1"/>
    </row>
    <row r="1053">
      <c r="A1053" s="1"/>
      <c r="C1053" s="1"/>
      <c r="E1053" s="1"/>
      <c r="F1053" s="1"/>
      <c r="G1053" s="1"/>
      <c r="H1053" s="1"/>
      <c r="I1053" s="1"/>
      <c r="J1053" s="1"/>
      <c r="K1053" s="1"/>
      <c r="M1053" s="1"/>
      <c r="N1053" s="1"/>
      <c r="O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P1053" s="1"/>
      <c r="AQ1053" s="1"/>
      <c r="AR1053" s="1"/>
      <c r="AU1053" s="1"/>
      <c r="AW1053" s="1"/>
      <c r="AY1053" s="1"/>
    </row>
    <row r="1054">
      <c r="A1054" s="1"/>
      <c r="C1054" s="1"/>
      <c r="E1054" s="1"/>
      <c r="F1054" s="1"/>
      <c r="G1054" s="1"/>
      <c r="H1054" s="1"/>
      <c r="I1054" s="1"/>
      <c r="J1054" s="1"/>
      <c r="K1054" s="1"/>
      <c r="M1054" s="1"/>
      <c r="N1054" s="1"/>
      <c r="O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P1054" s="1"/>
      <c r="AQ1054" s="1"/>
      <c r="AR1054" s="1"/>
      <c r="AU1054" s="1"/>
      <c r="AW1054" s="1"/>
      <c r="AY1054" s="1"/>
    </row>
    <row r="1055">
      <c r="A1055" s="1"/>
      <c r="C1055" s="1"/>
      <c r="E1055" s="1"/>
      <c r="F1055" s="1"/>
      <c r="G1055" s="1"/>
      <c r="H1055" s="1"/>
      <c r="I1055" s="1"/>
      <c r="J1055" s="1"/>
      <c r="K1055" s="1"/>
      <c r="M1055" s="1"/>
      <c r="N1055" s="1"/>
      <c r="O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P1055" s="1"/>
      <c r="AQ1055" s="1"/>
      <c r="AR1055" s="1"/>
      <c r="AU1055" s="1"/>
      <c r="AW1055" s="1"/>
      <c r="AY1055" s="1"/>
    </row>
    <row r="1056">
      <c r="A1056" s="1"/>
      <c r="C1056" s="1"/>
      <c r="E1056" s="1"/>
      <c r="F1056" s="1"/>
      <c r="G1056" s="1"/>
      <c r="H1056" s="1"/>
      <c r="I1056" s="1"/>
      <c r="J1056" s="1"/>
      <c r="K1056" s="1"/>
      <c r="M1056" s="1"/>
      <c r="N1056" s="1"/>
      <c r="O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P1056" s="1"/>
      <c r="AQ1056" s="1"/>
      <c r="AR1056" s="1"/>
      <c r="AU1056" s="1"/>
      <c r="AW1056" s="1"/>
      <c r="AY1056" s="1"/>
    </row>
    <row r="1057">
      <c r="A1057" s="1"/>
      <c r="C1057" s="1"/>
      <c r="E1057" s="1"/>
      <c r="F1057" s="1"/>
      <c r="G1057" s="1"/>
      <c r="H1057" s="1"/>
      <c r="I1057" s="1"/>
      <c r="J1057" s="1"/>
      <c r="K1057" s="1"/>
      <c r="M1057" s="1"/>
      <c r="N1057" s="1"/>
      <c r="O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P1057" s="1"/>
      <c r="AQ1057" s="1"/>
      <c r="AR1057" s="1"/>
      <c r="AU1057" s="1"/>
      <c r="AW1057" s="1"/>
      <c r="AY1057" s="1"/>
    </row>
    <row r="1058">
      <c r="A1058" s="1"/>
      <c r="C1058" s="1"/>
      <c r="E1058" s="1"/>
      <c r="F1058" s="1"/>
      <c r="G1058" s="1"/>
      <c r="H1058" s="1"/>
      <c r="I1058" s="1"/>
      <c r="J1058" s="1"/>
      <c r="K1058" s="1"/>
      <c r="M1058" s="1"/>
      <c r="N1058" s="1"/>
      <c r="O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P1058" s="1"/>
      <c r="AQ1058" s="1"/>
      <c r="AR1058" s="1"/>
      <c r="AU1058" s="1"/>
      <c r="AW1058" s="1"/>
      <c r="AY1058" s="1"/>
    </row>
    <row r="1059">
      <c r="A1059" s="1"/>
      <c r="C1059" s="1"/>
      <c r="E1059" s="1"/>
      <c r="F1059" s="1"/>
      <c r="G1059" s="1"/>
      <c r="H1059" s="1"/>
      <c r="I1059" s="1"/>
      <c r="J1059" s="1"/>
      <c r="K1059" s="1"/>
      <c r="M1059" s="1"/>
      <c r="N1059" s="1"/>
      <c r="O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P1059" s="1"/>
      <c r="AQ1059" s="1"/>
      <c r="AR1059" s="1"/>
      <c r="AU1059" s="1"/>
      <c r="AW1059" s="1"/>
      <c r="AY1059" s="1"/>
    </row>
    <row r="1060">
      <c r="A1060" s="1"/>
      <c r="C1060" s="1"/>
      <c r="E1060" s="1"/>
      <c r="F1060" s="1"/>
      <c r="G1060" s="1"/>
      <c r="H1060" s="1"/>
      <c r="I1060" s="1"/>
      <c r="J1060" s="1"/>
      <c r="K1060" s="1"/>
      <c r="M1060" s="1"/>
      <c r="N1060" s="1"/>
      <c r="O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P1060" s="1"/>
      <c r="AQ1060" s="1"/>
      <c r="AR1060" s="1"/>
      <c r="AU1060" s="1"/>
      <c r="AW1060" s="1"/>
      <c r="AY1060" s="1"/>
    </row>
    <row r="1061">
      <c r="A1061" s="1"/>
      <c r="C1061" s="1"/>
      <c r="E1061" s="1"/>
      <c r="F1061" s="1"/>
      <c r="G1061" s="1"/>
      <c r="H1061" s="1"/>
      <c r="I1061" s="1"/>
      <c r="J1061" s="1"/>
      <c r="K1061" s="1"/>
      <c r="M1061" s="1"/>
      <c r="N1061" s="1"/>
      <c r="O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P1061" s="1"/>
      <c r="AQ1061" s="1"/>
      <c r="AR1061" s="1"/>
      <c r="AU1061" s="1"/>
      <c r="AW1061" s="1"/>
      <c r="AY1061" s="1"/>
    </row>
    <row r="1062">
      <c r="A1062" s="1"/>
      <c r="C1062" s="1"/>
      <c r="E1062" s="1"/>
      <c r="F1062" s="1"/>
      <c r="G1062" s="1"/>
      <c r="H1062" s="1"/>
      <c r="I1062" s="1"/>
      <c r="J1062" s="1"/>
      <c r="K1062" s="1"/>
      <c r="M1062" s="1"/>
      <c r="N1062" s="1"/>
      <c r="O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P1062" s="1"/>
      <c r="AQ1062" s="1"/>
      <c r="AR1062" s="1"/>
      <c r="AU1062" s="1"/>
      <c r="AW1062" s="1"/>
      <c r="AY1062" s="1"/>
    </row>
    <row r="1063">
      <c r="A1063" s="1"/>
      <c r="C1063" s="1"/>
      <c r="E1063" s="1"/>
      <c r="F1063" s="1"/>
      <c r="G1063" s="1"/>
      <c r="H1063" s="1"/>
      <c r="I1063" s="1"/>
      <c r="J1063" s="1"/>
      <c r="K1063" s="1"/>
      <c r="M1063" s="1"/>
      <c r="N1063" s="1"/>
      <c r="O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P1063" s="1"/>
      <c r="AQ1063" s="1"/>
      <c r="AR1063" s="1"/>
      <c r="AU1063" s="1"/>
      <c r="AW1063" s="1"/>
      <c r="AY1063" s="1"/>
    </row>
    <row r="1064">
      <c r="A1064" s="1"/>
      <c r="C1064" s="1"/>
      <c r="E1064" s="1"/>
      <c r="F1064" s="1"/>
      <c r="G1064" s="1"/>
      <c r="H1064" s="1"/>
      <c r="I1064" s="1"/>
      <c r="J1064" s="1"/>
      <c r="K1064" s="1"/>
      <c r="M1064" s="1"/>
      <c r="N1064" s="1"/>
      <c r="O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P1064" s="1"/>
      <c r="AQ1064" s="1"/>
      <c r="AR1064" s="1"/>
      <c r="AU1064" s="1"/>
      <c r="AW1064" s="1"/>
      <c r="AY1064" s="1"/>
    </row>
    <row r="1065">
      <c r="A1065" s="1"/>
      <c r="C1065" s="1"/>
      <c r="E1065" s="1"/>
      <c r="F1065" s="1"/>
      <c r="G1065" s="1"/>
      <c r="H1065" s="1"/>
      <c r="I1065" s="1"/>
      <c r="J1065" s="1"/>
      <c r="K1065" s="1"/>
      <c r="M1065" s="1"/>
      <c r="N1065" s="1"/>
      <c r="O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P1065" s="1"/>
      <c r="AQ1065" s="1"/>
      <c r="AR1065" s="1"/>
      <c r="AU1065" s="1"/>
      <c r="AW1065" s="1"/>
      <c r="AY1065" s="1"/>
    </row>
    <row r="1066">
      <c r="A1066" s="1"/>
      <c r="C1066" s="1"/>
      <c r="E1066" s="1"/>
      <c r="F1066" s="1"/>
      <c r="G1066" s="1"/>
      <c r="H1066" s="1"/>
      <c r="I1066" s="1"/>
      <c r="J1066" s="1"/>
      <c r="K1066" s="1"/>
      <c r="M1066" s="1"/>
      <c r="N1066" s="1"/>
      <c r="O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P1066" s="1"/>
      <c r="AQ1066" s="1"/>
      <c r="AR1066" s="1"/>
      <c r="AU1066" s="1"/>
      <c r="AW1066" s="1"/>
      <c r="AY1066" s="1"/>
    </row>
    <row r="1067">
      <c r="A1067" s="1"/>
      <c r="C1067" s="1"/>
      <c r="E1067" s="1"/>
      <c r="F1067" s="1"/>
      <c r="G1067" s="1"/>
      <c r="H1067" s="1"/>
      <c r="I1067" s="1"/>
      <c r="J1067" s="1"/>
      <c r="K1067" s="1"/>
      <c r="M1067" s="1"/>
      <c r="N1067" s="1"/>
      <c r="O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P1067" s="1"/>
      <c r="AQ1067" s="1"/>
      <c r="AR1067" s="1"/>
      <c r="AU1067" s="1"/>
      <c r="AW1067" s="1"/>
      <c r="AY1067" s="1"/>
    </row>
    <row r="1068">
      <c r="A1068" s="1"/>
      <c r="C1068" s="1"/>
      <c r="E1068" s="1"/>
      <c r="F1068" s="1"/>
      <c r="G1068" s="1"/>
      <c r="H1068" s="1"/>
      <c r="I1068" s="1"/>
      <c r="J1068" s="1"/>
      <c r="K1068" s="1"/>
      <c r="M1068" s="1"/>
      <c r="N1068" s="1"/>
      <c r="O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P1068" s="1"/>
      <c r="AQ1068" s="1"/>
      <c r="AR1068" s="1"/>
      <c r="AU1068" s="1"/>
      <c r="AW1068" s="1"/>
      <c r="AY1068" s="1"/>
    </row>
    <row r="1069">
      <c r="A1069" s="1"/>
      <c r="C1069" s="1"/>
      <c r="E1069" s="1"/>
      <c r="F1069" s="1"/>
      <c r="G1069" s="1"/>
      <c r="H1069" s="1"/>
      <c r="I1069" s="1"/>
      <c r="J1069" s="1"/>
      <c r="K1069" s="1"/>
      <c r="M1069" s="1"/>
      <c r="N1069" s="1"/>
      <c r="O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P1069" s="1"/>
      <c r="AQ1069" s="1"/>
      <c r="AR1069" s="1"/>
      <c r="AU1069" s="1"/>
      <c r="AW1069" s="1"/>
      <c r="AY1069" s="1"/>
    </row>
    <row r="1070">
      <c r="A1070" s="1"/>
      <c r="C1070" s="1"/>
      <c r="E1070" s="1"/>
      <c r="F1070" s="1"/>
      <c r="G1070" s="1"/>
      <c r="H1070" s="1"/>
      <c r="I1070" s="1"/>
      <c r="J1070" s="1"/>
      <c r="K1070" s="1"/>
      <c r="M1070" s="1"/>
      <c r="N1070" s="1"/>
      <c r="O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P1070" s="1"/>
      <c r="AQ1070" s="1"/>
      <c r="AR1070" s="1"/>
      <c r="AU1070" s="1"/>
      <c r="AW1070" s="1"/>
      <c r="AY1070" s="1"/>
    </row>
    <row r="1071">
      <c r="A1071" s="1"/>
      <c r="C1071" s="1"/>
      <c r="E1071" s="1"/>
      <c r="F1071" s="1"/>
      <c r="G1071" s="1"/>
      <c r="H1071" s="1"/>
      <c r="I1071" s="1"/>
      <c r="J1071" s="1"/>
      <c r="K1071" s="1"/>
      <c r="M1071" s="1"/>
      <c r="N1071" s="1"/>
      <c r="O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P1071" s="1"/>
      <c r="AQ1071" s="1"/>
      <c r="AR1071" s="1"/>
      <c r="AU1071" s="1"/>
      <c r="AW1071" s="1"/>
      <c r="AY1071" s="1"/>
    </row>
    <row r="1072">
      <c r="A1072" s="1"/>
      <c r="C1072" s="1"/>
      <c r="E1072" s="1"/>
      <c r="F1072" s="1"/>
      <c r="G1072" s="1"/>
      <c r="H1072" s="1"/>
      <c r="I1072" s="1"/>
      <c r="J1072" s="1"/>
      <c r="K1072" s="1"/>
      <c r="M1072" s="1"/>
      <c r="N1072" s="1"/>
      <c r="O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P1072" s="1"/>
      <c r="AQ1072" s="1"/>
      <c r="AR1072" s="1"/>
      <c r="AU1072" s="1"/>
      <c r="AW1072" s="1"/>
      <c r="AY1072" s="1"/>
    </row>
    <row r="1073">
      <c r="A1073" s="1"/>
      <c r="C1073" s="1"/>
      <c r="E1073" s="1"/>
      <c r="F1073" s="1"/>
      <c r="G1073" s="1"/>
      <c r="H1073" s="1"/>
      <c r="I1073" s="1"/>
      <c r="J1073" s="1"/>
      <c r="K1073" s="1"/>
      <c r="M1073" s="1"/>
      <c r="N1073" s="1"/>
      <c r="O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P1073" s="1"/>
      <c r="AQ1073" s="1"/>
      <c r="AR1073" s="1"/>
      <c r="AU1073" s="1"/>
      <c r="AW1073" s="1"/>
      <c r="AY1073" s="1"/>
    </row>
    <row r="1074">
      <c r="A1074" s="1"/>
      <c r="C1074" s="1"/>
      <c r="E1074" s="1"/>
      <c r="F1074" s="1"/>
      <c r="G1074" s="1"/>
      <c r="H1074" s="1"/>
      <c r="I1074" s="1"/>
      <c r="J1074" s="1"/>
      <c r="K1074" s="1"/>
      <c r="M1074" s="1"/>
      <c r="N1074" s="1"/>
      <c r="O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P1074" s="1"/>
      <c r="AQ1074" s="1"/>
      <c r="AR1074" s="1"/>
      <c r="AU1074" s="1"/>
      <c r="AW1074" s="1"/>
      <c r="AY1074" s="1"/>
    </row>
    <row r="1075">
      <c r="A1075" s="1"/>
      <c r="C1075" s="1"/>
      <c r="E1075" s="1"/>
      <c r="F1075" s="1"/>
      <c r="G1075" s="1"/>
      <c r="H1075" s="1"/>
      <c r="I1075" s="1"/>
      <c r="J1075" s="1"/>
      <c r="K1075" s="1"/>
      <c r="M1075" s="1"/>
      <c r="N1075" s="1"/>
      <c r="O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P1075" s="1"/>
      <c r="AQ1075" s="1"/>
      <c r="AR1075" s="1"/>
      <c r="AU1075" s="1"/>
      <c r="AW1075" s="1"/>
      <c r="AY1075" s="1"/>
    </row>
    <row r="1076">
      <c r="A1076" s="1"/>
      <c r="C1076" s="1"/>
      <c r="E1076" s="1"/>
      <c r="F1076" s="1"/>
      <c r="G1076" s="1"/>
      <c r="H1076" s="1"/>
      <c r="I1076" s="1"/>
      <c r="J1076" s="1"/>
      <c r="K1076" s="1"/>
      <c r="M1076" s="1"/>
      <c r="N1076" s="1"/>
      <c r="O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P1076" s="1"/>
      <c r="AQ1076" s="1"/>
      <c r="AR1076" s="1"/>
      <c r="AU1076" s="1"/>
      <c r="AW1076" s="1"/>
      <c r="AY1076" s="1"/>
    </row>
    <row r="1077">
      <c r="A1077" s="1"/>
      <c r="C1077" s="1"/>
      <c r="E1077" s="1"/>
      <c r="F1077" s="1"/>
      <c r="G1077" s="1"/>
      <c r="H1077" s="1"/>
      <c r="I1077" s="1"/>
      <c r="J1077" s="1"/>
      <c r="K1077" s="1"/>
      <c r="M1077" s="1"/>
      <c r="N1077" s="1"/>
      <c r="O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P1077" s="1"/>
      <c r="AQ1077" s="1"/>
      <c r="AR1077" s="1"/>
      <c r="AU1077" s="1"/>
      <c r="AW1077" s="1"/>
      <c r="AY1077" s="1"/>
    </row>
    <row r="1078">
      <c r="A1078" s="1"/>
      <c r="C1078" s="1"/>
      <c r="E1078" s="1"/>
      <c r="F1078" s="1"/>
      <c r="G1078" s="1"/>
      <c r="H1078" s="1"/>
      <c r="I1078" s="1"/>
      <c r="J1078" s="1"/>
      <c r="K1078" s="1"/>
      <c r="M1078" s="1"/>
      <c r="N1078" s="1"/>
      <c r="O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P1078" s="1"/>
      <c r="AQ1078" s="1"/>
      <c r="AR1078" s="1"/>
      <c r="AU1078" s="1"/>
      <c r="AW1078" s="1"/>
      <c r="AY1078" s="1"/>
    </row>
    <row r="1079">
      <c r="A1079" s="1"/>
      <c r="C1079" s="1"/>
      <c r="E1079" s="1"/>
      <c r="F1079" s="1"/>
      <c r="G1079" s="1"/>
      <c r="H1079" s="1"/>
      <c r="I1079" s="1"/>
      <c r="J1079" s="1"/>
      <c r="K1079" s="1"/>
      <c r="M1079" s="1"/>
      <c r="N1079" s="1"/>
      <c r="O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P1079" s="1"/>
      <c r="AQ1079" s="1"/>
      <c r="AR1079" s="1"/>
      <c r="AU1079" s="1"/>
      <c r="AW1079" s="1"/>
      <c r="AY1079" s="1"/>
    </row>
    <row r="1080">
      <c r="A1080" s="1"/>
      <c r="C1080" s="1"/>
      <c r="E1080" s="1"/>
      <c r="F1080" s="1"/>
      <c r="G1080" s="1"/>
      <c r="H1080" s="1"/>
      <c r="I1080" s="1"/>
      <c r="J1080" s="1"/>
      <c r="K1080" s="1"/>
      <c r="M1080" s="1"/>
      <c r="N1080" s="1"/>
      <c r="O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P1080" s="1"/>
      <c r="AQ1080" s="1"/>
      <c r="AR1080" s="1"/>
      <c r="AU1080" s="1"/>
      <c r="AW1080" s="1"/>
      <c r="AY1080" s="1"/>
    </row>
    <row r="1081">
      <c r="A1081" s="1"/>
      <c r="C1081" s="1"/>
      <c r="E1081" s="1"/>
      <c r="F1081" s="1"/>
      <c r="G1081" s="1"/>
      <c r="H1081" s="1"/>
      <c r="I1081" s="1"/>
      <c r="J1081" s="1"/>
      <c r="K1081" s="1"/>
      <c r="M1081" s="1"/>
      <c r="N1081" s="1"/>
      <c r="O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P1081" s="1"/>
      <c r="AQ1081" s="1"/>
      <c r="AR1081" s="1"/>
      <c r="AU1081" s="1"/>
      <c r="AW1081" s="1"/>
      <c r="AY1081" s="1"/>
    </row>
    <row r="1082">
      <c r="A1082" s="1"/>
      <c r="C1082" s="1"/>
      <c r="E1082" s="1"/>
      <c r="F1082" s="1"/>
      <c r="G1082" s="1"/>
      <c r="H1082" s="1"/>
      <c r="I1082" s="1"/>
      <c r="J1082" s="1"/>
      <c r="K1082" s="1"/>
      <c r="M1082" s="1"/>
      <c r="N1082" s="1"/>
      <c r="O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P1082" s="1"/>
      <c r="AQ1082" s="1"/>
      <c r="AR1082" s="1"/>
      <c r="AU1082" s="1"/>
      <c r="AW1082" s="1"/>
      <c r="AY1082" s="1"/>
    </row>
    <row r="1083">
      <c r="A1083" s="1"/>
      <c r="C1083" s="1"/>
      <c r="E1083" s="1"/>
      <c r="F1083" s="1"/>
      <c r="G1083" s="1"/>
      <c r="H1083" s="1"/>
      <c r="I1083" s="1"/>
      <c r="J1083" s="1"/>
      <c r="K1083" s="1"/>
      <c r="M1083" s="1"/>
      <c r="N1083" s="1"/>
      <c r="O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P1083" s="1"/>
      <c r="AQ1083" s="1"/>
      <c r="AR1083" s="1"/>
      <c r="AU1083" s="1"/>
      <c r="AW1083" s="1"/>
      <c r="AY1083" s="1"/>
    </row>
    <row r="1084">
      <c r="A1084" s="1"/>
      <c r="C1084" s="1"/>
      <c r="E1084" s="1"/>
      <c r="F1084" s="1"/>
      <c r="G1084" s="1"/>
      <c r="H1084" s="1"/>
      <c r="I1084" s="1"/>
      <c r="J1084" s="1"/>
      <c r="K1084" s="1"/>
      <c r="M1084" s="1"/>
      <c r="N1084" s="1"/>
      <c r="O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P1084" s="1"/>
      <c r="AQ1084" s="1"/>
      <c r="AR1084" s="1"/>
      <c r="AU1084" s="1"/>
      <c r="AW1084" s="1"/>
      <c r="AY1084" s="1"/>
    </row>
    <row r="1085">
      <c r="A1085" s="1"/>
      <c r="C1085" s="1"/>
      <c r="E1085" s="1"/>
      <c r="F1085" s="1"/>
      <c r="G1085" s="1"/>
      <c r="H1085" s="1"/>
      <c r="I1085" s="1"/>
      <c r="J1085" s="1"/>
      <c r="K1085" s="1"/>
      <c r="M1085" s="1"/>
      <c r="N1085" s="1"/>
      <c r="O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P1085" s="1"/>
      <c r="AQ1085" s="1"/>
      <c r="AR1085" s="1"/>
      <c r="AU1085" s="1"/>
      <c r="AW1085" s="1"/>
      <c r="AY1085" s="1"/>
    </row>
    <row r="1086">
      <c r="A1086" s="1"/>
      <c r="C1086" s="1"/>
      <c r="E1086" s="1"/>
      <c r="F1086" s="1"/>
      <c r="G1086" s="1"/>
      <c r="H1086" s="1"/>
      <c r="I1086" s="1"/>
      <c r="J1086" s="1"/>
      <c r="K1086" s="1"/>
      <c r="M1086" s="1"/>
      <c r="N1086" s="1"/>
      <c r="O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P1086" s="1"/>
      <c r="AQ1086" s="1"/>
      <c r="AR1086" s="1"/>
      <c r="AU1086" s="1"/>
      <c r="AW1086" s="1"/>
      <c r="AY1086" s="1"/>
    </row>
    <row r="1087">
      <c r="A1087" s="1"/>
      <c r="C1087" s="1"/>
      <c r="E1087" s="1"/>
      <c r="F1087" s="1"/>
      <c r="G1087" s="1"/>
      <c r="H1087" s="1"/>
      <c r="I1087" s="1"/>
      <c r="J1087" s="1"/>
      <c r="K1087" s="1"/>
      <c r="M1087" s="1"/>
      <c r="N1087" s="1"/>
      <c r="O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P1087" s="1"/>
      <c r="AQ1087" s="1"/>
      <c r="AR1087" s="1"/>
      <c r="AU1087" s="1"/>
      <c r="AW1087" s="1"/>
      <c r="AY1087" s="1"/>
    </row>
    <row r="1088">
      <c r="A1088" s="1"/>
      <c r="C1088" s="1"/>
      <c r="E1088" s="1"/>
      <c r="F1088" s="1"/>
      <c r="G1088" s="1"/>
      <c r="H1088" s="1"/>
      <c r="I1088" s="1"/>
      <c r="J1088" s="1"/>
      <c r="K1088" s="1"/>
      <c r="M1088" s="1"/>
      <c r="N1088" s="1"/>
      <c r="O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P1088" s="1"/>
      <c r="AQ1088" s="1"/>
      <c r="AR1088" s="1"/>
      <c r="AU1088" s="1"/>
      <c r="AW1088" s="1"/>
      <c r="AY1088" s="1"/>
    </row>
    <row r="1089">
      <c r="A1089" s="1"/>
      <c r="C1089" s="1"/>
      <c r="E1089" s="1"/>
      <c r="F1089" s="1"/>
      <c r="G1089" s="1"/>
      <c r="H1089" s="1"/>
      <c r="I1089" s="1"/>
      <c r="J1089" s="1"/>
      <c r="K1089" s="1"/>
      <c r="M1089" s="1"/>
      <c r="N1089" s="1"/>
      <c r="O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P1089" s="1"/>
      <c r="AQ1089" s="1"/>
      <c r="AR1089" s="1"/>
      <c r="AU1089" s="1"/>
      <c r="AW1089" s="1"/>
      <c r="AY1089" s="1"/>
    </row>
    <row r="1090">
      <c r="A1090" s="1"/>
      <c r="C1090" s="1"/>
      <c r="E1090" s="1"/>
      <c r="F1090" s="1"/>
      <c r="G1090" s="1"/>
      <c r="H1090" s="1"/>
      <c r="I1090" s="1"/>
      <c r="J1090" s="1"/>
      <c r="K1090" s="1"/>
      <c r="M1090" s="1"/>
      <c r="N1090" s="1"/>
      <c r="O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P1090" s="1"/>
      <c r="AQ1090" s="1"/>
      <c r="AR1090" s="1"/>
      <c r="AU1090" s="1"/>
      <c r="AW1090" s="1"/>
      <c r="AY1090" s="1"/>
    </row>
    <row r="1091">
      <c r="A1091" s="1"/>
      <c r="C1091" s="1"/>
      <c r="E1091" s="1"/>
      <c r="F1091" s="1"/>
      <c r="G1091" s="1"/>
      <c r="H1091" s="1"/>
      <c r="I1091" s="1"/>
      <c r="J1091" s="1"/>
      <c r="K1091" s="1"/>
      <c r="M1091" s="1"/>
      <c r="N1091" s="1"/>
      <c r="O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P1091" s="1"/>
      <c r="AQ1091" s="1"/>
      <c r="AR1091" s="1"/>
      <c r="AU1091" s="1"/>
      <c r="AW1091" s="1"/>
      <c r="AY1091" s="1"/>
    </row>
    <row r="1092">
      <c r="A1092" s="1"/>
      <c r="C1092" s="1"/>
      <c r="E1092" s="1"/>
      <c r="F1092" s="1"/>
      <c r="G1092" s="1"/>
      <c r="H1092" s="1"/>
      <c r="I1092" s="1"/>
      <c r="J1092" s="1"/>
      <c r="K1092" s="1"/>
      <c r="M1092" s="1"/>
      <c r="N1092" s="1"/>
      <c r="O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P1092" s="1"/>
      <c r="AQ1092" s="1"/>
      <c r="AR1092" s="1"/>
      <c r="AU1092" s="1"/>
      <c r="AW1092" s="1"/>
      <c r="AY1092" s="1"/>
    </row>
    <row r="1093">
      <c r="A1093" s="1"/>
      <c r="C1093" s="1"/>
      <c r="E1093" s="1"/>
      <c r="F1093" s="1"/>
      <c r="G1093" s="1"/>
      <c r="H1093" s="1"/>
      <c r="I1093" s="1"/>
      <c r="J1093" s="1"/>
      <c r="K1093" s="1"/>
      <c r="M1093" s="1"/>
      <c r="N1093" s="1"/>
      <c r="O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P1093" s="1"/>
      <c r="AQ1093" s="1"/>
      <c r="AR1093" s="1"/>
      <c r="AU1093" s="1"/>
      <c r="AW1093" s="1"/>
      <c r="AY1093" s="1"/>
    </row>
    <row r="1094">
      <c r="A1094" s="1"/>
      <c r="C1094" s="1"/>
      <c r="E1094" s="1"/>
      <c r="F1094" s="1"/>
      <c r="G1094" s="1"/>
      <c r="H1094" s="1"/>
      <c r="I1094" s="1"/>
      <c r="J1094" s="1"/>
      <c r="K1094" s="1"/>
      <c r="M1094" s="1"/>
      <c r="N1094" s="1"/>
      <c r="O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P1094" s="1"/>
      <c r="AQ1094" s="1"/>
      <c r="AR1094" s="1"/>
      <c r="AU1094" s="1"/>
      <c r="AW1094" s="1"/>
      <c r="AY1094" s="1"/>
    </row>
    <row r="1095">
      <c r="A1095" s="1"/>
      <c r="C1095" s="1"/>
      <c r="E1095" s="1"/>
      <c r="F1095" s="1"/>
      <c r="G1095" s="1"/>
      <c r="H1095" s="1"/>
      <c r="I1095" s="1"/>
      <c r="J1095" s="1"/>
      <c r="K1095" s="1"/>
      <c r="M1095" s="1"/>
      <c r="N1095" s="1"/>
      <c r="O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P1095" s="1"/>
      <c r="AQ1095" s="1"/>
      <c r="AR1095" s="1"/>
      <c r="AU1095" s="1"/>
      <c r="AW1095" s="1"/>
      <c r="AY1095" s="1"/>
    </row>
    <row r="1096">
      <c r="A1096" s="1"/>
      <c r="C1096" s="1"/>
      <c r="E1096" s="1"/>
      <c r="F1096" s="1"/>
      <c r="G1096" s="1"/>
      <c r="H1096" s="1"/>
      <c r="I1096" s="1"/>
      <c r="J1096" s="1"/>
      <c r="K1096" s="1"/>
      <c r="M1096" s="1"/>
      <c r="N1096" s="1"/>
      <c r="O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P1096" s="1"/>
      <c r="AQ1096" s="1"/>
      <c r="AR1096" s="1"/>
      <c r="AU1096" s="1"/>
      <c r="AW1096" s="1"/>
      <c r="AY1096" s="1"/>
    </row>
    <row r="1097">
      <c r="A1097" s="1"/>
      <c r="C1097" s="1"/>
      <c r="E1097" s="1"/>
      <c r="F1097" s="1"/>
      <c r="G1097" s="1"/>
      <c r="H1097" s="1"/>
      <c r="I1097" s="1"/>
      <c r="J1097" s="1"/>
      <c r="K1097" s="1"/>
      <c r="M1097" s="1"/>
      <c r="N1097" s="1"/>
      <c r="O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P1097" s="1"/>
      <c r="AQ1097" s="1"/>
      <c r="AR1097" s="1"/>
      <c r="AU1097" s="1"/>
      <c r="AW1097" s="1"/>
      <c r="AY1097" s="1"/>
    </row>
    <row r="1098">
      <c r="A1098" s="1"/>
      <c r="C1098" s="1"/>
      <c r="E1098" s="1"/>
      <c r="F1098" s="1"/>
      <c r="G1098" s="1"/>
      <c r="H1098" s="1"/>
      <c r="I1098" s="1"/>
      <c r="J1098" s="1"/>
      <c r="K1098" s="1"/>
      <c r="M1098" s="1"/>
      <c r="N1098" s="1"/>
      <c r="O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P1098" s="1"/>
      <c r="AQ1098" s="1"/>
      <c r="AR1098" s="1"/>
      <c r="AU1098" s="1"/>
      <c r="AW1098" s="1"/>
      <c r="AY1098" s="1"/>
    </row>
    <row r="1099">
      <c r="A1099" s="1"/>
      <c r="C1099" s="1"/>
      <c r="E1099" s="1"/>
      <c r="F1099" s="1"/>
      <c r="G1099" s="1"/>
      <c r="H1099" s="1"/>
      <c r="I1099" s="1"/>
      <c r="J1099" s="1"/>
      <c r="K1099" s="1"/>
      <c r="M1099" s="1"/>
      <c r="N1099" s="1"/>
      <c r="O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P1099" s="1"/>
      <c r="AQ1099" s="1"/>
      <c r="AR1099" s="1"/>
      <c r="AU1099" s="1"/>
      <c r="AW1099" s="1"/>
      <c r="AY1099" s="1"/>
    </row>
    <row r="1100">
      <c r="A1100" s="1"/>
      <c r="C1100" s="1"/>
      <c r="E1100" s="1"/>
      <c r="F1100" s="1"/>
      <c r="G1100" s="1"/>
      <c r="H1100" s="1"/>
      <c r="I1100" s="1"/>
      <c r="J1100" s="1"/>
      <c r="K1100" s="1"/>
      <c r="M1100" s="1"/>
      <c r="N1100" s="1"/>
      <c r="O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P1100" s="1"/>
      <c r="AQ1100" s="1"/>
      <c r="AR1100" s="1"/>
      <c r="AU1100" s="1"/>
      <c r="AW1100" s="1"/>
      <c r="AY1100" s="1"/>
    </row>
    <row r="1101">
      <c r="A1101" s="1"/>
      <c r="C1101" s="1"/>
      <c r="E1101" s="1"/>
      <c r="F1101" s="1"/>
      <c r="G1101" s="1"/>
      <c r="H1101" s="1"/>
      <c r="I1101" s="1"/>
      <c r="J1101" s="1"/>
      <c r="K1101" s="1"/>
      <c r="M1101" s="1"/>
      <c r="N1101" s="1"/>
      <c r="O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P1101" s="1"/>
      <c r="AQ1101" s="1"/>
      <c r="AR1101" s="1"/>
      <c r="AU1101" s="1"/>
      <c r="AW1101" s="1"/>
      <c r="AY1101" s="1"/>
    </row>
    <row r="1102">
      <c r="A1102" s="1"/>
      <c r="C1102" s="1"/>
      <c r="E1102" s="1"/>
      <c r="F1102" s="1"/>
      <c r="G1102" s="1"/>
      <c r="H1102" s="1"/>
      <c r="I1102" s="1"/>
      <c r="J1102" s="1"/>
      <c r="K1102" s="1"/>
      <c r="M1102" s="1"/>
      <c r="N1102" s="1"/>
      <c r="O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P1102" s="1"/>
      <c r="AQ1102" s="1"/>
      <c r="AR1102" s="1"/>
      <c r="AU1102" s="1"/>
      <c r="AW1102" s="1"/>
      <c r="AY1102" s="1"/>
    </row>
    <row r="1103">
      <c r="A1103" s="1"/>
      <c r="C1103" s="1"/>
      <c r="E1103" s="1"/>
      <c r="F1103" s="1"/>
      <c r="G1103" s="1"/>
      <c r="H1103" s="1"/>
      <c r="I1103" s="1"/>
      <c r="J1103" s="1"/>
      <c r="K1103" s="1"/>
      <c r="M1103" s="1"/>
      <c r="N1103" s="1"/>
      <c r="O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P1103" s="1"/>
      <c r="AQ1103" s="1"/>
      <c r="AR1103" s="1"/>
      <c r="AU1103" s="1"/>
      <c r="AW1103" s="1"/>
      <c r="AY1103" s="1"/>
    </row>
    <row r="1104">
      <c r="A1104" s="1"/>
      <c r="C1104" s="1"/>
      <c r="E1104" s="1"/>
      <c r="F1104" s="1"/>
      <c r="G1104" s="1"/>
      <c r="H1104" s="1"/>
      <c r="I1104" s="1"/>
      <c r="J1104" s="1"/>
      <c r="K1104" s="1"/>
      <c r="M1104" s="1"/>
      <c r="N1104" s="1"/>
      <c r="O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P1104" s="1"/>
      <c r="AQ1104" s="1"/>
      <c r="AR1104" s="1"/>
      <c r="AU1104" s="1"/>
      <c r="AW1104" s="1"/>
      <c r="AY1104" s="1"/>
    </row>
    <row r="1105">
      <c r="A1105" s="1"/>
      <c r="C1105" s="1"/>
      <c r="E1105" s="1"/>
      <c r="F1105" s="1"/>
      <c r="G1105" s="1"/>
      <c r="H1105" s="1"/>
      <c r="I1105" s="1"/>
      <c r="J1105" s="1"/>
      <c r="K1105" s="1"/>
      <c r="M1105" s="1"/>
      <c r="N1105" s="1"/>
      <c r="O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P1105" s="1"/>
      <c r="AQ1105" s="1"/>
      <c r="AR1105" s="1"/>
      <c r="AU1105" s="1"/>
      <c r="AW1105" s="1"/>
      <c r="AY1105" s="1"/>
    </row>
    <row r="1106">
      <c r="A1106" s="1"/>
      <c r="C1106" s="1"/>
      <c r="E1106" s="1"/>
      <c r="F1106" s="1"/>
      <c r="G1106" s="1"/>
      <c r="H1106" s="1"/>
      <c r="I1106" s="1"/>
      <c r="J1106" s="1"/>
      <c r="K1106" s="1"/>
      <c r="M1106" s="1"/>
      <c r="N1106" s="1"/>
      <c r="O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P1106" s="1"/>
      <c r="AQ1106" s="1"/>
      <c r="AR1106" s="1"/>
      <c r="AU1106" s="1"/>
      <c r="AW1106" s="1"/>
      <c r="AY1106" s="1"/>
    </row>
    <row r="1107">
      <c r="A1107" s="1"/>
      <c r="C1107" s="1"/>
      <c r="E1107" s="1"/>
      <c r="F1107" s="1"/>
      <c r="G1107" s="1"/>
      <c r="H1107" s="1"/>
      <c r="I1107" s="1"/>
      <c r="J1107" s="1"/>
      <c r="K1107" s="1"/>
      <c r="M1107" s="1"/>
      <c r="N1107" s="1"/>
      <c r="O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P1107" s="1"/>
      <c r="AQ1107" s="1"/>
      <c r="AR1107" s="1"/>
      <c r="AU1107" s="1"/>
      <c r="AW1107" s="1"/>
      <c r="AY1107" s="1"/>
    </row>
    <row r="1108">
      <c r="A1108" s="1"/>
      <c r="C1108" s="1"/>
      <c r="E1108" s="1"/>
      <c r="F1108" s="1"/>
      <c r="G1108" s="1"/>
      <c r="H1108" s="1"/>
      <c r="I1108" s="1"/>
      <c r="J1108" s="1"/>
      <c r="K1108" s="1"/>
      <c r="M1108" s="1"/>
      <c r="N1108" s="1"/>
      <c r="O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P1108" s="1"/>
      <c r="AQ1108" s="1"/>
      <c r="AR1108" s="1"/>
      <c r="AU1108" s="1"/>
      <c r="AW1108" s="1"/>
      <c r="AY1108" s="1"/>
    </row>
    <row r="1109">
      <c r="A1109" s="1"/>
      <c r="C1109" s="1"/>
      <c r="E1109" s="1"/>
      <c r="F1109" s="1"/>
      <c r="G1109" s="1"/>
      <c r="H1109" s="1"/>
      <c r="I1109" s="1"/>
      <c r="J1109" s="1"/>
      <c r="K1109" s="1"/>
      <c r="M1109" s="1"/>
      <c r="N1109" s="1"/>
      <c r="O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P1109" s="1"/>
      <c r="AQ1109" s="1"/>
      <c r="AR1109" s="1"/>
      <c r="AU1109" s="1"/>
      <c r="AW1109" s="1"/>
      <c r="AY1109" s="1"/>
    </row>
    <row r="1110">
      <c r="A1110" s="1"/>
      <c r="C1110" s="1"/>
      <c r="E1110" s="1"/>
      <c r="F1110" s="1"/>
      <c r="G1110" s="1"/>
      <c r="H1110" s="1"/>
      <c r="I1110" s="1"/>
      <c r="J1110" s="1"/>
      <c r="K1110" s="1"/>
      <c r="M1110" s="1"/>
      <c r="N1110" s="1"/>
      <c r="O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P1110" s="1"/>
      <c r="AQ1110" s="1"/>
      <c r="AR1110" s="1"/>
      <c r="AU1110" s="1"/>
      <c r="AW1110" s="1"/>
      <c r="AY1110" s="1"/>
    </row>
    <row r="1111">
      <c r="A1111" s="1"/>
      <c r="C1111" s="1"/>
      <c r="E1111" s="1"/>
      <c r="F1111" s="1"/>
      <c r="G1111" s="1"/>
      <c r="H1111" s="1"/>
      <c r="I1111" s="1"/>
      <c r="J1111" s="1"/>
      <c r="K1111" s="1"/>
      <c r="M1111" s="1"/>
      <c r="N1111" s="1"/>
      <c r="O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P1111" s="1"/>
      <c r="AQ1111" s="1"/>
      <c r="AR1111" s="1"/>
      <c r="AU1111" s="1"/>
      <c r="AW1111" s="1"/>
      <c r="AY1111" s="1"/>
    </row>
    <row r="1112">
      <c r="A1112" s="1"/>
      <c r="C1112" s="1"/>
      <c r="E1112" s="1"/>
      <c r="F1112" s="1"/>
      <c r="G1112" s="1"/>
      <c r="H1112" s="1"/>
      <c r="I1112" s="1"/>
      <c r="J1112" s="1"/>
      <c r="K1112" s="1"/>
      <c r="M1112" s="1"/>
      <c r="N1112" s="1"/>
      <c r="O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P1112" s="1"/>
      <c r="AQ1112" s="1"/>
      <c r="AR1112" s="1"/>
      <c r="AU1112" s="1"/>
      <c r="AW1112" s="1"/>
      <c r="AY1112" s="1"/>
    </row>
    <row r="1113">
      <c r="A1113" s="1"/>
      <c r="C1113" s="1"/>
      <c r="E1113" s="1"/>
      <c r="F1113" s="1"/>
      <c r="G1113" s="1"/>
      <c r="H1113" s="1"/>
      <c r="I1113" s="1"/>
      <c r="J1113" s="1"/>
      <c r="K1113" s="1"/>
      <c r="M1113" s="1"/>
      <c r="N1113" s="1"/>
      <c r="O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P1113" s="1"/>
      <c r="AQ1113" s="1"/>
      <c r="AR1113" s="1"/>
      <c r="AU1113" s="1"/>
      <c r="AW1113" s="1"/>
      <c r="AY1113" s="1"/>
    </row>
    <row r="1114">
      <c r="A1114" s="1"/>
      <c r="C1114" s="1"/>
      <c r="E1114" s="1"/>
      <c r="F1114" s="1"/>
      <c r="G1114" s="1"/>
      <c r="H1114" s="1"/>
      <c r="I1114" s="1"/>
      <c r="J1114" s="1"/>
      <c r="K1114" s="1"/>
      <c r="M1114" s="1"/>
      <c r="N1114" s="1"/>
      <c r="O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P1114" s="1"/>
      <c r="AQ1114" s="1"/>
      <c r="AR1114" s="1"/>
      <c r="AU1114" s="1"/>
      <c r="AW1114" s="1"/>
      <c r="AY1114" s="1"/>
    </row>
    <row r="1115">
      <c r="A1115" s="1"/>
      <c r="C1115" s="1"/>
      <c r="E1115" s="1"/>
      <c r="F1115" s="1"/>
      <c r="G1115" s="1"/>
      <c r="H1115" s="1"/>
      <c r="I1115" s="1"/>
      <c r="J1115" s="1"/>
      <c r="K1115" s="1"/>
      <c r="M1115" s="1"/>
      <c r="N1115" s="1"/>
      <c r="O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P1115" s="1"/>
      <c r="AQ1115" s="1"/>
      <c r="AR1115" s="1"/>
      <c r="AU1115" s="1"/>
      <c r="AW1115" s="1"/>
      <c r="AY1115" s="1"/>
    </row>
    <row r="1116">
      <c r="A1116" s="1"/>
      <c r="C1116" s="1"/>
      <c r="E1116" s="1"/>
      <c r="F1116" s="1"/>
      <c r="G1116" s="1"/>
      <c r="H1116" s="1"/>
      <c r="I1116" s="1"/>
      <c r="J1116" s="1"/>
      <c r="K1116" s="1"/>
      <c r="M1116" s="1"/>
      <c r="N1116" s="1"/>
      <c r="O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P1116" s="1"/>
      <c r="AQ1116" s="1"/>
      <c r="AR1116" s="1"/>
      <c r="AU1116" s="1"/>
      <c r="AW1116" s="1"/>
      <c r="AY1116" s="1"/>
    </row>
    <row r="1117">
      <c r="A1117" s="1"/>
      <c r="C1117" s="1"/>
      <c r="E1117" s="1"/>
      <c r="F1117" s="1"/>
      <c r="G1117" s="1"/>
      <c r="H1117" s="1"/>
      <c r="I1117" s="1"/>
      <c r="J1117" s="1"/>
      <c r="K1117" s="1"/>
      <c r="M1117" s="1"/>
      <c r="N1117" s="1"/>
      <c r="O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P1117" s="1"/>
      <c r="AQ1117" s="1"/>
      <c r="AR1117" s="1"/>
      <c r="AU1117" s="1"/>
      <c r="AW1117" s="1"/>
      <c r="AY1117" s="1"/>
    </row>
    <row r="1118">
      <c r="A1118" s="1"/>
      <c r="C1118" s="1"/>
      <c r="E1118" s="1"/>
      <c r="F1118" s="1"/>
      <c r="G1118" s="1"/>
      <c r="H1118" s="1"/>
      <c r="I1118" s="1"/>
      <c r="J1118" s="1"/>
      <c r="K1118" s="1"/>
      <c r="M1118" s="1"/>
      <c r="N1118" s="1"/>
      <c r="O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P1118" s="1"/>
      <c r="AQ1118" s="1"/>
      <c r="AR1118" s="1"/>
      <c r="AU1118" s="1"/>
      <c r="AW1118" s="1"/>
      <c r="AY1118" s="1"/>
    </row>
    <row r="1119">
      <c r="A1119" s="1"/>
      <c r="C1119" s="1"/>
      <c r="E1119" s="1"/>
      <c r="F1119" s="1"/>
      <c r="G1119" s="1"/>
      <c r="H1119" s="1"/>
      <c r="I1119" s="1"/>
      <c r="J1119" s="1"/>
      <c r="K1119" s="1"/>
      <c r="M1119" s="1"/>
      <c r="N1119" s="1"/>
      <c r="O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P1119" s="1"/>
      <c r="AQ1119" s="1"/>
      <c r="AR1119" s="1"/>
      <c r="AU1119" s="1"/>
      <c r="AW1119" s="1"/>
      <c r="AY1119" s="1"/>
    </row>
    <row r="1120">
      <c r="A1120" s="1"/>
      <c r="C1120" s="1"/>
      <c r="E1120" s="1"/>
      <c r="F1120" s="1"/>
      <c r="G1120" s="1"/>
      <c r="H1120" s="1"/>
      <c r="I1120" s="1"/>
      <c r="J1120" s="1"/>
      <c r="K1120" s="1"/>
      <c r="M1120" s="1"/>
      <c r="N1120" s="1"/>
      <c r="O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P1120" s="1"/>
      <c r="AQ1120" s="1"/>
      <c r="AR1120" s="1"/>
      <c r="AU1120" s="1"/>
      <c r="AW1120" s="1"/>
      <c r="AY1120" s="1"/>
    </row>
    <row r="1121">
      <c r="A1121" s="1"/>
      <c r="C1121" s="1"/>
      <c r="E1121" s="1"/>
      <c r="F1121" s="1"/>
      <c r="G1121" s="1"/>
      <c r="H1121" s="1"/>
      <c r="I1121" s="1"/>
      <c r="J1121" s="1"/>
      <c r="K1121" s="1"/>
      <c r="M1121" s="1"/>
      <c r="N1121" s="1"/>
      <c r="O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P1121" s="1"/>
      <c r="AQ1121" s="1"/>
      <c r="AR1121" s="1"/>
      <c r="AU1121" s="1"/>
      <c r="AW1121" s="1"/>
      <c r="AY1121" s="1"/>
    </row>
    <row r="1122">
      <c r="A1122" s="1"/>
      <c r="C1122" s="1"/>
      <c r="E1122" s="1"/>
      <c r="F1122" s="1"/>
      <c r="G1122" s="1"/>
      <c r="H1122" s="1"/>
      <c r="I1122" s="1"/>
      <c r="J1122" s="1"/>
      <c r="K1122" s="1"/>
      <c r="M1122" s="1"/>
      <c r="N1122" s="1"/>
      <c r="O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P1122" s="1"/>
      <c r="AQ1122" s="1"/>
      <c r="AR1122" s="1"/>
      <c r="AU1122" s="1"/>
      <c r="AW1122" s="1"/>
      <c r="AY1122" s="1"/>
    </row>
    <row r="1123">
      <c r="A1123" s="1"/>
      <c r="C1123" s="1"/>
      <c r="E1123" s="1"/>
      <c r="F1123" s="1"/>
      <c r="G1123" s="1"/>
      <c r="H1123" s="1"/>
      <c r="I1123" s="1"/>
      <c r="J1123" s="1"/>
      <c r="K1123" s="1"/>
      <c r="M1123" s="1"/>
      <c r="N1123" s="1"/>
      <c r="O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P1123" s="1"/>
      <c r="AQ1123" s="1"/>
      <c r="AR1123" s="1"/>
      <c r="AU1123" s="1"/>
      <c r="AW1123" s="1"/>
      <c r="AY1123" s="1"/>
    </row>
    <row r="1124">
      <c r="A1124" s="1"/>
      <c r="C1124" s="1"/>
      <c r="E1124" s="1"/>
      <c r="F1124" s="1"/>
      <c r="G1124" s="1"/>
      <c r="H1124" s="1"/>
      <c r="I1124" s="1"/>
      <c r="J1124" s="1"/>
      <c r="K1124" s="1"/>
      <c r="M1124" s="1"/>
      <c r="N1124" s="1"/>
      <c r="O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P1124" s="1"/>
      <c r="AQ1124" s="1"/>
      <c r="AR1124" s="1"/>
      <c r="AU1124" s="1"/>
      <c r="AW1124" s="1"/>
      <c r="AY1124" s="1"/>
    </row>
    <row r="1125">
      <c r="A1125" s="1"/>
      <c r="C1125" s="1"/>
      <c r="E1125" s="1"/>
      <c r="F1125" s="1"/>
      <c r="G1125" s="1"/>
      <c r="H1125" s="1"/>
      <c r="I1125" s="1"/>
      <c r="J1125" s="1"/>
      <c r="K1125" s="1"/>
      <c r="M1125" s="1"/>
      <c r="N1125" s="1"/>
      <c r="O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P1125" s="1"/>
      <c r="AQ1125" s="1"/>
      <c r="AR1125" s="1"/>
      <c r="AU1125" s="1"/>
      <c r="AW1125" s="1"/>
      <c r="AY1125" s="1"/>
    </row>
    <row r="1126">
      <c r="A1126" s="1"/>
      <c r="C1126" s="1"/>
      <c r="E1126" s="1"/>
      <c r="F1126" s="1"/>
      <c r="G1126" s="1"/>
      <c r="H1126" s="1"/>
      <c r="I1126" s="1"/>
      <c r="J1126" s="1"/>
      <c r="K1126" s="1"/>
      <c r="M1126" s="1"/>
      <c r="N1126" s="1"/>
      <c r="O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P1126" s="1"/>
      <c r="AQ1126" s="1"/>
      <c r="AR1126" s="1"/>
      <c r="AU1126" s="1"/>
      <c r="AW1126" s="1"/>
      <c r="AY1126" s="1"/>
    </row>
    <row r="1127">
      <c r="A1127" s="1"/>
      <c r="C1127" s="1"/>
      <c r="E1127" s="1"/>
      <c r="F1127" s="1"/>
      <c r="G1127" s="1"/>
      <c r="H1127" s="1"/>
      <c r="I1127" s="1"/>
      <c r="J1127" s="1"/>
      <c r="K1127" s="1"/>
      <c r="M1127" s="1"/>
      <c r="N1127" s="1"/>
      <c r="O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P1127" s="1"/>
      <c r="AQ1127" s="1"/>
      <c r="AR1127" s="1"/>
      <c r="AU1127" s="1"/>
      <c r="AW1127" s="1"/>
      <c r="AY1127" s="1"/>
    </row>
    <row r="1128">
      <c r="A1128" s="1"/>
      <c r="C1128" s="1"/>
      <c r="E1128" s="1"/>
      <c r="F1128" s="1"/>
      <c r="G1128" s="1"/>
      <c r="H1128" s="1"/>
      <c r="I1128" s="1"/>
      <c r="J1128" s="1"/>
      <c r="K1128" s="1"/>
      <c r="M1128" s="1"/>
      <c r="N1128" s="1"/>
      <c r="O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P1128" s="1"/>
      <c r="AQ1128" s="1"/>
      <c r="AR1128" s="1"/>
      <c r="AU1128" s="1"/>
      <c r="AW1128" s="1"/>
      <c r="AY1128" s="1"/>
    </row>
    <row r="1129">
      <c r="A1129" s="1"/>
      <c r="C1129" s="1"/>
      <c r="E1129" s="1"/>
      <c r="F1129" s="1"/>
      <c r="G1129" s="1"/>
      <c r="H1129" s="1"/>
      <c r="I1129" s="1"/>
      <c r="J1129" s="1"/>
      <c r="K1129" s="1"/>
      <c r="M1129" s="1"/>
      <c r="N1129" s="1"/>
      <c r="O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P1129" s="1"/>
      <c r="AQ1129" s="1"/>
      <c r="AR1129" s="1"/>
      <c r="AU1129" s="1"/>
      <c r="AW1129" s="1"/>
      <c r="AY1129" s="1"/>
    </row>
    <row r="1130">
      <c r="A1130" s="1"/>
      <c r="C1130" s="1"/>
      <c r="E1130" s="1"/>
      <c r="F1130" s="1"/>
      <c r="G1130" s="1"/>
      <c r="H1130" s="1"/>
      <c r="I1130" s="1"/>
      <c r="J1130" s="1"/>
      <c r="K1130" s="1"/>
      <c r="M1130" s="1"/>
      <c r="N1130" s="1"/>
      <c r="O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P1130" s="1"/>
      <c r="AQ1130" s="1"/>
      <c r="AR1130" s="1"/>
      <c r="AU1130" s="1"/>
      <c r="AW1130" s="1"/>
      <c r="AY1130" s="1"/>
    </row>
    <row r="1131">
      <c r="A1131" s="1"/>
      <c r="C1131" s="1"/>
      <c r="E1131" s="1"/>
      <c r="F1131" s="1"/>
      <c r="G1131" s="1"/>
      <c r="H1131" s="1"/>
      <c r="I1131" s="1"/>
      <c r="J1131" s="1"/>
      <c r="K1131" s="1"/>
      <c r="M1131" s="1"/>
      <c r="N1131" s="1"/>
      <c r="O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P1131" s="1"/>
      <c r="AQ1131" s="1"/>
      <c r="AR1131" s="1"/>
      <c r="AU1131" s="1"/>
      <c r="AW1131" s="1"/>
      <c r="AY1131" s="1"/>
    </row>
    <row r="1132">
      <c r="A1132" s="1"/>
      <c r="C1132" s="1"/>
      <c r="E1132" s="1"/>
      <c r="F1132" s="1"/>
      <c r="G1132" s="1"/>
      <c r="H1132" s="1"/>
      <c r="I1132" s="1"/>
      <c r="J1132" s="1"/>
      <c r="K1132" s="1"/>
      <c r="M1132" s="1"/>
      <c r="N1132" s="1"/>
      <c r="O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P1132" s="1"/>
      <c r="AQ1132" s="1"/>
      <c r="AR1132" s="1"/>
      <c r="AU1132" s="1"/>
      <c r="AW1132" s="1"/>
      <c r="AY1132" s="1"/>
    </row>
    <row r="1133">
      <c r="A1133" s="1"/>
      <c r="C1133" s="1"/>
      <c r="E1133" s="1"/>
      <c r="F1133" s="1"/>
      <c r="G1133" s="1"/>
      <c r="H1133" s="1"/>
      <c r="I1133" s="1"/>
      <c r="J1133" s="1"/>
      <c r="K1133" s="1"/>
      <c r="M1133" s="1"/>
      <c r="N1133" s="1"/>
      <c r="O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P1133" s="1"/>
      <c r="AQ1133" s="1"/>
      <c r="AR1133" s="1"/>
      <c r="AU1133" s="1"/>
      <c r="AW1133" s="1"/>
      <c r="AY1133" s="1"/>
    </row>
    <row r="1134">
      <c r="A1134" s="1"/>
      <c r="C1134" s="1"/>
      <c r="E1134" s="1"/>
      <c r="F1134" s="1"/>
      <c r="G1134" s="1"/>
      <c r="H1134" s="1"/>
      <c r="I1134" s="1"/>
      <c r="J1134" s="1"/>
      <c r="K1134" s="1"/>
      <c r="M1134" s="1"/>
      <c r="N1134" s="1"/>
      <c r="O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P1134" s="1"/>
      <c r="AQ1134" s="1"/>
      <c r="AR1134" s="1"/>
      <c r="AU1134" s="1"/>
      <c r="AW1134" s="1"/>
      <c r="AY1134" s="1"/>
    </row>
    <row r="1135">
      <c r="A1135" s="1"/>
      <c r="C1135" s="1"/>
      <c r="E1135" s="1"/>
      <c r="F1135" s="1"/>
      <c r="G1135" s="1"/>
      <c r="H1135" s="1"/>
      <c r="I1135" s="1"/>
      <c r="J1135" s="1"/>
      <c r="K1135" s="1"/>
      <c r="M1135" s="1"/>
      <c r="N1135" s="1"/>
      <c r="O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P1135" s="1"/>
      <c r="AQ1135" s="1"/>
      <c r="AR1135" s="1"/>
      <c r="AU1135" s="1"/>
      <c r="AW1135" s="1"/>
      <c r="AY1135" s="1"/>
    </row>
    <row r="1136">
      <c r="A1136" s="1"/>
      <c r="C1136" s="1"/>
      <c r="E1136" s="1"/>
      <c r="F1136" s="1"/>
      <c r="G1136" s="1"/>
      <c r="H1136" s="1"/>
      <c r="I1136" s="1"/>
      <c r="J1136" s="1"/>
      <c r="K1136" s="1"/>
      <c r="M1136" s="1"/>
      <c r="N1136" s="1"/>
      <c r="O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P1136" s="1"/>
      <c r="AQ1136" s="1"/>
      <c r="AR1136" s="1"/>
      <c r="AU1136" s="1"/>
      <c r="AW1136" s="1"/>
      <c r="AY1136" s="1"/>
    </row>
    <row r="1137">
      <c r="A1137" s="1"/>
      <c r="C1137" s="1"/>
      <c r="E1137" s="1"/>
      <c r="F1137" s="1"/>
      <c r="G1137" s="1"/>
      <c r="H1137" s="1"/>
      <c r="I1137" s="1"/>
      <c r="J1137" s="1"/>
      <c r="K1137" s="1"/>
      <c r="M1137" s="1"/>
      <c r="N1137" s="1"/>
      <c r="O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P1137" s="1"/>
      <c r="AQ1137" s="1"/>
      <c r="AR1137" s="1"/>
      <c r="AU1137" s="1"/>
      <c r="AW1137" s="1"/>
      <c r="AY1137" s="1"/>
    </row>
    <row r="1138">
      <c r="A1138" s="1"/>
      <c r="C1138" s="1"/>
      <c r="E1138" s="1"/>
      <c r="F1138" s="1"/>
      <c r="G1138" s="1"/>
      <c r="H1138" s="1"/>
      <c r="I1138" s="1"/>
      <c r="J1138" s="1"/>
      <c r="K1138" s="1"/>
      <c r="M1138" s="1"/>
      <c r="N1138" s="1"/>
      <c r="O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P1138" s="1"/>
      <c r="AQ1138" s="1"/>
      <c r="AR1138" s="1"/>
      <c r="AU1138" s="1"/>
      <c r="AW1138" s="1"/>
      <c r="AY1138" s="1"/>
    </row>
    <row r="1139">
      <c r="A1139" s="1"/>
      <c r="C1139" s="1"/>
      <c r="E1139" s="1"/>
      <c r="F1139" s="1"/>
      <c r="G1139" s="1"/>
      <c r="H1139" s="1"/>
      <c r="I1139" s="1"/>
      <c r="J1139" s="1"/>
      <c r="K1139" s="1"/>
      <c r="M1139" s="1"/>
      <c r="N1139" s="1"/>
      <c r="O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P1139" s="1"/>
      <c r="AQ1139" s="1"/>
      <c r="AR1139" s="1"/>
      <c r="AU1139" s="1"/>
      <c r="AW1139" s="1"/>
      <c r="AY1139" s="1"/>
    </row>
    <row r="1140">
      <c r="A1140" s="1"/>
      <c r="C1140" s="1"/>
      <c r="E1140" s="1"/>
      <c r="F1140" s="1"/>
      <c r="G1140" s="1"/>
      <c r="H1140" s="1"/>
      <c r="I1140" s="1"/>
      <c r="J1140" s="1"/>
      <c r="K1140" s="1"/>
      <c r="M1140" s="1"/>
      <c r="N1140" s="1"/>
      <c r="O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P1140" s="1"/>
      <c r="AQ1140" s="1"/>
      <c r="AR1140" s="1"/>
      <c r="AU1140" s="1"/>
      <c r="AW1140" s="1"/>
      <c r="AY1140" s="1"/>
    </row>
    <row r="1141">
      <c r="A1141" s="1"/>
      <c r="C1141" s="1"/>
      <c r="E1141" s="1"/>
      <c r="F1141" s="1"/>
      <c r="G1141" s="1"/>
      <c r="H1141" s="1"/>
      <c r="I1141" s="1"/>
      <c r="J1141" s="1"/>
      <c r="K1141" s="1"/>
      <c r="M1141" s="1"/>
      <c r="N1141" s="1"/>
      <c r="O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P1141" s="1"/>
      <c r="AQ1141" s="1"/>
      <c r="AR1141" s="1"/>
      <c r="AU1141" s="1"/>
      <c r="AW1141" s="1"/>
      <c r="AY1141" s="1"/>
    </row>
    <row r="1142">
      <c r="A1142" s="1"/>
      <c r="C1142" s="1"/>
      <c r="E1142" s="1"/>
      <c r="F1142" s="1"/>
      <c r="G1142" s="1"/>
      <c r="H1142" s="1"/>
      <c r="I1142" s="1"/>
      <c r="J1142" s="1"/>
      <c r="K1142" s="1"/>
      <c r="M1142" s="1"/>
      <c r="N1142" s="1"/>
      <c r="O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P1142" s="1"/>
      <c r="AQ1142" s="1"/>
      <c r="AR1142" s="1"/>
      <c r="AU1142" s="1"/>
      <c r="AW1142" s="1"/>
      <c r="AY1142" s="1"/>
    </row>
    <row r="1143">
      <c r="A1143" s="1"/>
      <c r="C1143" s="1"/>
      <c r="E1143" s="1"/>
      <c r="F1143" s="1"/>
      <c r="G1143" s="1"/>
      <c r="H1143" s="1"/>
      <c r="I1143" s="1"/>
      <c r="J1143" s="1"/>
      <c r="K1143" s="1"/>
      <c r="M1143" s="1"/>
      <c r="N1143" s="1"/>
      <c r="O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P1143" s="1"/>
      <c r="AQ1143" s="1"/>
      <c r="AR1143" s="1"/>
      <c r="AU1143" s="1"/>
      <c r="AW1143" s="1"/>
      <c r="AY1143" s="1"/>
    </row>
    <row r="1144">
      <c r="A1144" s="1"/>
      <c r="C1144" s="1"/>
      <c r="E1144" s="1"/>
      <c r="F1144" s="1"/>
      <c r="G1144" s="1"/>
      <c r="H1144" s="1"/>
      <c r="I1144" s="1"/>
      <c r="J1144" s="1"/>
      <c r="K1144" s="1"/>
      <c r="M1144" s="1"/>
      <c r="N1144" s="1"/>
      <c r="O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P1144" s="1"/>
      <c r="AQ1144" s="1"/>
      <c r="AR1144" s="1"/>
      <c r="AU1144" s="1"/>
      <c r="AW1144" s="1"/>
      <c r="AY1144" s="1"/>
    </row>
    <row r="1145">
      <c r="A1145" s="1"/>
      <c r="C1145" s="1"/>
      <c r="E1145" s="1"/>
      <c r="F1145" s="1"/>
      <c r="G1145" s="1"/>
      <c r="H1145" s="1"/>
      <c r="I1145" s="1"/>
      <c r="J1145" s="1"/>
      <c r="K1145" s="1"/>
      <c r="M1145" s="1"/>
      <c r="N1145" s="1"/>
      <c r="O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P1145" s="1"/>
      <c r="AQ1145" s="1"/>
      <c r="AR1145" s="1"/>
      <c r="AU1145" s="1"/>
      <c r="AW1145" s="1"/>
      <c r="AY1145" s="1"/>
    </row>
    <row r="1146">
      <c r="A1146" s="1"/>
      <c r="C1146" s="1"/>
      <c r="E1146" s="1"/>
      <c r="F1146" s="1"/>
      <c r="G1146" s="1"/>
      <c r="H1146" s="1"/>
      <c r="I1146" s="1"/>
      <c r="J1146" s="1"/>
      <c r="K1146" s="1"/>
      <c r="M1146" s="1"/>
      <c r="N1146" s="1"/>
      <c r="O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P1146" s="1"/>
      <c r="AQ1146" s="1"/>
      <c r="AR1146" s="1"/>
      <c r="AU1146" s="1"/>
      <c r="AW1146" s="1"/>
      <c r="AY1146" s="1"/>
    </row>
    <row r="1147">
      <c r="A1147" s="1"/>
      <c r="C1147" s="1"/>
      <c r="E1147" s="1"/>
      <c r="F1147" s="1"/>
      <c r="G1147" s="1"/>
      <c r="H1147" s="1"/>
      <c r="I1147" s="1"/>
      <c r="J1147" s="1"/>
      <c r="K1147" s="1"/>
      <c r="M1147" s="1"/>
      <c r="N1147" s="1"/>
      <c r="O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P1147" s="1"/>
      <c r="AQ1147" s="1"/>
      <c r="AR1147" s="1"/>
      <c r="AU1147" s="1"/>
      <c r="AW1147" s="1"/>
      <c r="AY1147" s="1"/>
    </row>
    <row r="1148">
      <c r="A1148" s="1"/>
      <c r="C1148" s="1"/>
      <c r="E1148" s="1"/>
      <c r="F1148" s="1"/>
      <c r="G1148" s="1"/>
      <c r="H1148" s="1"/>
      <c r="I1148" s="1"/>
      <c r="J1148" s="1"/>
      <c r="K1148" s="1"/>
      <c r="M1148" s="1"/>
      <c r="N1148" s="1"/>
      <c r="O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P1148" s="1"/>
      <c r="AQ1148" s="1"/>
      <c r="AR1148" s="1"/>
      <c r="AU1148" s="1"/>
      <c r="AW1148" s="1"/>
      <c r="AY1148" s="1"/>
    </row>
    <row r="1149">
      <c r="A1149" s="1"/>
      <c r="C1149" s="1"/>
      <c r="E1149" s="1"/>
      <c r="F1149" s="1"/>
      <c r="G1149" s="1"/>
      <c r="H1149" s="1"/>
      <c r="I1149" s="1"/>
      <c r="J1149" s="1"/>
      <c r="K1149" s="1"/>
      <c r="M1149" s="1"/>
      <c r="N1149" s="1"/>
      <c r="O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P1149" s="1"/>
      <c r="AQ1149" s="1"/>
      <c r="AR1149" s="1"/>
      <c r="AU1149" s="1"/>
      <c r="AW1149" s="1"/>
      <c r="AY1149" s="1"/>
    </row>
    <row r="1150">
      <c r="A1150" s="1"/>
      <c r="C1150" s="1"/>
      <c r="E1150" s="1"/>
      <c r="F1150" s="1"/>
      <c r="G1150" s="1"/>
      <c r="H1150" s="1"/>
      <c r="I1150" s="1"/>
      <c r="J1150" s="1"/>
      <c r="K1150" s="1"/>
      <c r="M1150" s="1"/>
      <c r="N1150" s="1"/>
      <c r="O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P1150" s="1"/>
      <c r="AQ1150" s="1"/>
      <c r="AR1150" s="1"/>
      <c r="AU1150" s="1"/>
      <c r="AW1150" s="1"/>
      <c r="AY1150" s="1"/>
    </row>
    <row r="1151">
      <c r="A1151" s="1"/>
      <c r="C1151" s="1"/>
      <c r="E1151" s="1"/>
      <c r="F1151" s="1"/>
      <c r="G1151" s="1"/>
      <c r="H1151" s="1"/>
      <c r="I1151" s="1"/>
      <c r="J1151" s="1"/>
      <c r="K1151" s="1"/>
      <c r="M1151" s="1"/>
      <c r="N1151" s="1"/>
      <c r="O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P1151" s="1"/>
      <c r="AQ1151" s="1"/>
      <c r="AR1151" s="1"/>
      <c r="AU1151" s="1"/>
      <c r="AW1151" s="1"/>
      <c r="AY1151" s="1"/>
    </row>
    <row r="1152">
      <c r="A1152" s="1"/>
      <c r="C1152" s="1"/>
      <c r="E1152" s="1"/>
      <c r="F1152" s="1"/>
      <c r="G1152" s="1"/>
      <c r="H1152" s="1"/>
      <c r="I1152" s="1"/>
      <c r="J1152" s="1"/>
      <c r="K1152" s="1"/>
      <c r="M1152" s="1"/>
      <c r="N1152" s="1"/>
      <c r="O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P1152" s="1"/>
      <c r="AQ1152" s="1"/>
      <c r="AR1152" s="1"/>
      <c r="AU1152" s="1"/>
      <c r="AW1152" s="1"/>
      <c r="AY1152" s="1"/>
    </row>
    <row r="1153">
      <c r="A1153" s="1"/>
      <c r="C1153" s="1"/>
      <c r="E1153" s="1"/>
      <c r="F1153" s="1"/>
      <c r="G1153" s="1"/>
      <c r="H1153" s="1"/>
      <c r="I1153" s="1"/>
      <c r="J1153" s="1"/>
      <c r="K1153" s="1"/>
      <c r="M1153" s="1"/>
      <c r="N1153" s="1"/>
      <c r="O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P1153" s="1"/>
      <c r="AQ1153" s="1"/>
      <c r="AR1153" s="1"/>
      <c r="AU1153" s="1"/>
      <c r="AW1153" s="1"/>
      <c r="AY1153" s="1"/>
    </row>
    <row r="1154">
      <c r="A1154" s="1"/>
      <c r="C1154" s="1"/>
      <c r="E1154" s="1"/>
      <c r="F1154" s="1"/>
      <c r="G1154" s="1"/>
      <c r="H1154" s="1"/>
      <c r="I1154" s="1"/>
      <c r="J1154" s="1"/>
      <c r="K1154" s="1"/>
      <c r="M1154" s="1"/>
      <c r="N1154" s="1"/>
      <c r="O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P1154" s="1"/>
      <c r="AQ1154" s="1"/>
      <c r="AR1154" s="1"/>
      <c r="AU1154" s="1"/>
      <c r="AW1154" s="1"/>
      <c r="AY1154" s="1"/>
    </row>
    <row r="1155">
      <c r="A1155" s="1"/>
      <c r="C1155" s="1"/>
      <c r="E1155" s="1"/>
      <c r="F1155" s="1"/>
      <c r="G1155" s="1"/>
      <c r="H1155" s="1"/>
      <c r="I1155" s="1"/>
      <c r="J1155" s="1"/>
      <c r="K1155" s="1"/>
      <c r="M1155" s="1"/>
      <c r="N1155" s="1"/>
      <c r="O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P1155" s="1"/>
      <c r="AQ1155" s="1"/>
      <c r="AR1155" s="1"/>
      <c r="AU1155" s="1"/>
      <c r="AW1155" s="1"/>
      <c r="AY1155" s="1"/>
    </row>
    <row r="1156">
      <c r="A1156" s="1"/>
      <c r="C1156" s="1"/>
      <c r="E1156" s="1"/>
      <c r="F1156" s="1"/>
      <c r="G1156" s="1"/>
      <c r="H1156" s="1"/>
      <c r="I1156" s="1"/>
      <c r="J1156" s="1"/>
      <c r="K1156" s="1"/>
      <c r="M1156" s="1"/>
      <c r="N1156" s="1"/>
      <c r="O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P1156" s="1"/>
      <c r="AQ1156" s="1"/>
      <c r="AR1156" s="1"/>
      <c r="AU1156" s="1"/>
      <c r="AW1156" s="1"/>
      <c r="AY1156" s="1"/>
    </row>
    <row r="1157">
      <c r="A1157" s="1"/>
      <c r="C1157" s="1"/>
      <c r="E1157" s="1"/>
      <c r="F1157" s="1"/>
      <c r="G1157" s="1"/>
      <c r="H1157" s="1"/>
      <c r="I1157" s="1"/>
      <c r="J1157" s="1"/>
      <c r="K1157" s="1"/>
      <c r="M1157" s="1"/>
      <c r="N1157" s="1"/>
      <c r="O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P1157" s="1"/>
      <c r="AQ1157" s="1"/>
      <c r="AR1157" s="1"/>
      <c r="AU1157" s="1"/>
      <c r="AW1157" s="1"/>
      <c r="AY1157" s="1"/>
    </row>
    <row r="1158">
      <c r="A1158" s="1"/>
      <c r="C1158" s="1"/>
      <c r="E1158" s="1"/>
      <c r="F1158" s="1"/>
      <c r="G1158" s="1"/>
      <c r="H1158" s="1"/>
      <c r="I1158" s="1"/>
      <c r="J1158" s="1"/>
      <c r="K1158" s="1"/>
      <c r="M1158" s="1"/>
      <c r="N1158" s="1"/>
      <c r="O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P1158" s="1"/>
      <c r="AQ1158" s="1"/>
      <c r="AR1158" s="1"/>
      <c r="AU1158" s="1"/>
      <c r="AW1158" s="1"/>
      <c r="AY1158" s="1"/>
    </row>
    <row r="1159">
      <c r="A1159" s="1"/>
      <c r="C1159" s="1"/>
      <c r="E1159" s="1"/>
      <c r="F1159" s="1"/>
      <c r="G1159" s="1"/>
      <c r="H1159" s="1"/>
      <c r="I1159" s="1"/>
      <c r="J1159" s="1"/>
      <c r="K1159" s="1"/>
      <c r="M1159" s="1"/>
      <c r="N1159" s="1"/>
      <c r="O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P1159" s="1"/>
      <c r="AQ1159" s="1"/>
      <c r="AR1159" s="1"/>
      <c r="AU1159" s="1"/>
      <c r="AW1159" s="1"/>
      <c r="AY1159" s="1"/>
    </row>
    <row r="1160">
      <c r="A1160" s="1"/>
      <c r="C1160" s="1"/>
      <c r="E1160" s="1"/>
      <c r="F1160" s="1"/>
      <c r="G1160" s="1"/>
      <c r="H1160" s="1"/>
      <c r="I1160" s="1"/>
      <c r="J1160" s="1"/>
      <c r="K1160" s="1"/>
      <c r="M1160" s="1"/>
      <c r="N1160" s="1"/>
      <c r="O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P1160" s="1"/>
      <c r="AQ1160" s="1"/>
      <c r="AR1160" s="1"/>
      <c r="AU1160" s="1"/>
      <c r="AW1160" s="1"/>
      <c r="AY1160" s="1"/>
    </row>
    <row r="1161">
      <c r="A1161" s="1"/>
      <c r="C1161" s="1"/>
      <c r="E1161" s="1"/>
      <c r="F1161" s="1"/>
      <c r="G1161" s="1"/>
      <c r="H1161" s="1"/>
      <c r="I1161" s="1"/>
      <c r="J1161" s="1"/>
      <c r="K1161" s="1"/>
      <c r="M1161" s="1"/>
      <c r="N1161" s="1"/>
      <c r="O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P1161" s="1"/>
      <c r="AQ1161" s="1"/>
      <c r="AR1161" s="1"/>
      <c r="AU1161" s="1"/>
      <c r="AW1161" s="1"/>
      <c r="AY1161" s="1"/>
    </row>
    <row r="1162">
      <c r="A1162" s="1"/>
      <c r="C1162" s="1"/>
      <c r="E1162" s="1"/>
      <c r="F1162" s="1"/>
      <c r="G1162" s="1"/>
      <c r="H1162" s="1"/>
      <c r="I1162" s="1"/>
      <c r="J1162" s="1"/>
      <c r="K1162" s="1"/>
      <c r="M1162" s="1"/>
      <c r="N1162" s="1"/>
      <c r="O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P1162" s="1"/>
      <c r="AQ1162" s="1"/>
      <c r="AR1162" s="1"/>
      <c r="AU1162" s="1"/>
      <c r="AW1162" s="1"/>
      <c r="AY1162" s="1"/>
    </row>
    <row r="1163">
      <c r="A1163" s="1"/>
      <c r="C1163" s="1"/>
      <c r="E1163" s="1"/>
      <c r="F1163" s="1"/>
      <c r="G1163" s="1"/>
      <c r="H1163" s="1"/>
      <c r="I1163" s="1"/>
      <c r="J1163" s="1"/>
      <c r="K1163" s="1"/>
      <c r="M1163" s="1"/>
      <c r="N1163" s="1"/>
      <c r="O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P1163" s="1"/>
      <c r="AQ1163" s="1"/>
      <c r="AR1163" s="1"/>
      <c r="AU1163" s="1"/>
      <c r="AW1163" s="1"/>
      <c r="AY1163" s="1"/>
    </row>
    <row r="1164">
      <c r="A1164" s="1"/>
      <c r="C1164" s="1"/>
      <c r="E1164" s="1"/>
      <c r="F1164" s="1"/>
      <c r="G1164" s="1"/>
      <c r="H1164" s="1"/>
      <c r="I1164" s="1"/>
      <c r="J1164" s="1"/>
      <c r="K1164" s="1"/>
      <c r="M1164" s="1"/>
      <c r="N1164" s="1"/>
      <c r="O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P1164" s="1"/>
      <c r="AQ1164" s="1"/>
      <c r="AR1164" s="1"/>
      <c r="AU1164" s="1"/>
      <c r="AW1164" s="1"/>
      <c r="AY1164" s="1"/>
    </row>
    <row r="1165">
      <c r="A1165" s="1"/>
      <c r="C1165" s="1"/>
      <c r="E1165" s="1"/>
      <c r="F1165" s="1"/>
      <c r="G1165" s="1"/>
      <c r="H1165" s="1"/>
      <c r="I1165" s="1"/>
      <c r="J1165" s="1"/>
      <c r="K1165" s="1"/>
      <c r="M1165" s="1"/>
      <c r="N1165" s="1"/>
      <c r="O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P1165" s="1"/>
      <c r="AQ1165" s="1"/>
      <c r="AR1165" s="1"/>
      <c r="AU1165" s="1"/>
      <c r="AW1165" s="1"/>
      <c r="AY1165" s="1"/>
    </row>
    <row r="1166">
      <c r="A1166" s="1"/>
      <c r="C1166" s="1"/>
      <c r="E1166" s="1"/>
      <c r="F1166" s="1"/>
      <c r="G1166" s="1"/>
      <c r="H1166" s="1"/>
      <c r="I1166" s="1"/>
      <c r="J1166" s="1"/>
      <c r="K1166" s="1"/>
      <c r="M1166" s="1"/>
      <c r="N1166" s="1"/>
      <c r="O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P1166" s="1"/>
      <c r="AQ1166" s="1"/>
      <c r="AR1166" s="1"/>
      <c r="AU1166" s="1"/>
      <c r="AW1166" s="1"/>
      <c r="AY1166" s="1"/>
    </row>
    <row r="1167">
      <c r="A1167" s="1"/>
      <c r="C1167" s="1"/>
      <c r="E1167" s="1"/>
      <c r="F1167" s="1"/>
      <c r="G1167" s="1"/>
      <c r="H1167" s="1"/>
      <c r="I1167" s="1"/>
      <c r="J1167" s="1"/>
      <c r="K1167" s="1"/>
      <c r="M1167" s="1"/>
      <c r="N1167" s="1"/>
      <c r="O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P1167" s="1"/>
      <c r="AQ1167" s="1"/>
      <c r="AR1167" s="1"/>
      <c r="AU1167" s="1"/>
      <c r="AW1167" s="1"/>
      <c r="AY1167" s="1"/>
    </row>
    <row r="1168">
      <c r="A1168" s="1"/>
      <c r="C1168" s="1"/>
      <c r="E1168" s="1"/>
      <c r="F1168" s="1"/>
      <c r="G1168" s="1"/>
      <c r="H1168" s="1"/>
      <c r="I1168" s="1"/>
      <c r="J1168" s="1"/>
      <c r="K1168" s="1"/>
      <c r="M1168" s="1"/>
      <c r="N1168" s="1"/>
      <c r="O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P1168" s="1"/>
      <c r="AQ1168" s="1"/>
      <c r="AR1168" s="1"/>
      <c r="AU1168" s="1"/>
      <c r="AW1168" s="1"/>
      <c r="AY1168" s="1"/>
    </row>
    <row r="1169">
      <c r="A1169" s="1"/>
      <c r="C1169" s="1"/>
      <c r="E1169" s="1"/>
      <c r="F1169" s="1"/>
      <c r="G1169" s="1"/>
      <c r="H1169" s="1"/>
      <c r="I1169" s="1"/>
      <c r="J1169" s="1"/>
      <c r="K1169" s="1"/>
      <c r="M1169" s="1"/>
      <c r="N1169" s="1"/>
      <c r="O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P1169" s="1"/>
      <c r="AQ1169" s="1"/>
      <c r="AR1169" s="1"/>
      <c r="AU1169" s="1"/>
      <c r="AW1169" s="1"/>
      <c r="AY1169" s="1"/>
    </row>
    <row r="1170">
      <c r="A1170" s="1"/>
      <c r="C1170" s="1"/>
      <c r="E1170" s="1"/>
      <c r="F1170" s="1"/>
      <c r="G1170" s="1"/>
      <c r="H1170" s="1"/>
      <c r="I1170" s="1"/>
      <c r="J1170" s="1"/>
      <c r="K1170" s="1"/>
      <c r="M1170" s="1"/>
      <c r="N1170" s="1"/>
      <c r="O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P1170" s="1"/>
      <c r="AQ1170" s="1"/>
      <c r="AR1170" s="1"/>
      <c r="AU1170" s="1"/>
      <c r="AW1170" s="1"/>
      <c r="AY1170" s="1"/>
    </row>
    <row r="1171">
      <c r="A1171" s="1"/>
      <c r="C1171" s="1"/>
      <c r="E1171" s="1"/>
      <c r="F1171" s="1"/>
      <c r="G1171" s="1"/>
      <c r="H1171" s="1"/>
      <c r="I1171" s="1"/>
      <c r="J1171" s="1"/>
      <c r="K1171" s="1"/>
      <c r="M1171" s="1"/>
      <c r="N1171" s="1"/>
      <c r="O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P1171" s="1"/>
      <c r="AQ1171" s="1"/>
      <c r="AR1171" s="1"/>
      <c r="AU1171" s="1"/>
      <c r="AW1171" s="1"/>
      <c r="AY1171" s="1"/>
    </row>
    <row r="1172">
      <c r="A1172" s="1"/>
      <c r="C1172" s="1"/>
      <c r="E1172" s="1"/>
      <c r="F1172" s="1"/>
      <c r="G1172" s="1"/>
      <c r="H1172" s="1"/>
      <c r="I1172" s="1"/>
      <c r="J1172" s="1"/>
      <c r="K1172" s="1"/>
      <c r="M1172" s="1"/>
      <c r="N1172" s="1"/>
      <c r="O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P1172" s="1"/>
      <c r="AQ1172" s="1"/>
      <c r="AR1172" s="1"/>
      <c r="AU1172" s="1"/>
      <c r="AW1172" s="1"/>
      <c r="AY1172" s="1"/>
    </row>
    <row r="1173">
      <c r="A1173" s="1"/>
      <c r="C1173" s="1"/>
      <c r="E1173" s="1"/>
      <c r="F1173" s="1"/>
      <c r="G1173" s="1"/>
      <c r="H1173" s="1"/>
      <c r="I1173" s="1"/>
      <c r="J1173" s="1"/>
      <c r="K1173" s="1"/>
      <c r="M1173" s="1"/>
      <c r="N1173" s="1"/>
      <c r="O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P1173" s="1"/>
      <c r="AQ1173" s="1"/>
      <c r="AR1173" s="1"/>
      <c r="AU1173" s="1"/>
      <c r="AW1173" s="1"/>
      <c r="AY1173" s="1"/>
    </row>
    <row r="1174">
      <c r="A1174" s="1"/>
      <c r="C1174" s="1"/>
      <c r="E1174" s="1"/>
      <c r="F1174" s="1"/>
      <c r="G1174" s="1"/>
      <c r="H1174" s="1"/>
      <c r="I1174" s="1"/>
      <c r="J1174" s="1"/>
      <c r="K1174" s="1"/>
      <c r="M1174" s="1"/>
      <c r="N1174" s="1"/>
      <c r="O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P1174" s="1"/>
      <c r="AQ1174" s="1"/>
      <c r="AR1174" s="1"/>
      <c r="AU1174" s="1"/>
      <c r="AW1174" s="1"/>
      <c r="AY1174" s="1"/>
    </row>
    <row r="1175">
      <c r="A1175" s="1"/>
      <c r="C1175" s="1"/>
      <c r="E1175" s="1"/>
      <c r="F1175" s="1"/>
      <c r="G1175" s="1"/>
      <c r="H1175" s="1"/>
      <c r="I1175" s="1"/>
      <c r="J1175" s="1"/>
      <c r="K1175" s="1"/>
      <c r="M1175" s="1"/>
      <c r="N1175" s="1"/>
      <c r="O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P1175" s="1"/>
      <c r="AQ1175" s="1"/>
      <c r="AR1175" s="1"/>
      <c r="AU1175" s="1"/>
      <c r="AW1175" s="1"/>
      <c r="AY1175" s="1"/>
    </row>
    <row r="1176">
      <c r="A1176" s="1"/>
      <c r="C1176" s="1"/>
      <c r="E1176" s="1"/>
      <c r="F1176" s="1"/>
      <c r="G1176" s="1"/>
      <c r="H1176" s="1"/>
      <c r="I1176" s="1"/>
      <c r="J1176" s="1"/>
      <c r="K1176" s="1"/>
      <c r="M1176" s="1"/>
      <c r="N1176" s="1"/>
      <c r="O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P1176" s="1"/>
      <c r="AQ1176" s="1"/>
      <c r="AR1176" s="1"/>
      <c r="AU1176" s="1"/>
      <c r="AW1176" s="1"/>
      <c r="AY1176" s="1"/>
    </row>
    <row r="1177">
      <c r="A1177" s="1"/>
      <c r="C1177" s="1"/>
      <c r="E1177" s="1"/>
      <c r="F1177" s="1"/>
      <c r="G1177" s="1"/>
      <c r="H1177" s="1"/>
      <c r="I1177" s="1"/>
      <c r="J1177" s="1"/>
      <c r="K1177" s="1"/>
      <c r="M1177" s="1"/>
      <c r="N1177" s="1"/>
      <c r="O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P1177" s="1"/>
      <c r="AQ1177" s="1"/>
      <c r="AR1177" s="1"/>
      <c r="AU1177" s="1"/>
      <c r="AW1177" s="1"/>
      <c r="AY1177" s="1"/>
    </row>
    <row r="1178">
      <c r="A1178" s="1"/>
      <c r="C1178" s="1"/>
      <c r="E1178" s="1"/>
      <c r="F1178" s="1"/>
      <c r="G1178" s="1"/>
      <c r="H1178" s="1"/>
      <c r="I1178" s="1"/>
      <c r="J1178" s="1"/>
      <c r="K1178" s="1"/>
      <c r="M1178" s="1"/>
      <c r="N1178" s="1"/>
      <c r="O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P1178" s="1"/>
      <c r="AQ1178" s="1"/>
      <c r="AR1178" s="1"/>
      <c r="AU1178" s="1"/>
      <c r="AW1178" s="1"/>
      <c r="AY1178" s="1"/>
    </row>
    <row r="1179">
      <c r="A1179" s="1"/>
      <c r="C1179" s="1"/>
      <c r="E1179" s="1"/>
      <c r="F1179" s="1"/>
      <c r="G1179" s="1"/>
      <c r="H1179" s="1"/>
      <c r="I1179" s="1"/>
      <c r="J1179" s="1"/>
      <c r="K1179" s="1"/>
      <c r="M1179" s="1"/>
      <c r="N1179" s="1"/>
      <c r="O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P1179" s="1"/>
      <c r="AQ1179" s="1"/>
      <c r="AR1179" s="1"/>
      <c r="AU1179" s="1"/>
      <c r="AW1179" s="1"/>
      <c r="AY1179" s="1"/>
    </row>
    <row r="1180">
      <c r="A1180" s="1"/>
      <c r="C1180" s="1"/>
      <c r="E1180" s="1"/>
      <c r="F1180" s="1"/>
      <c r="G1180" s="1"/>
      <c r="H1180" s="1"/>
      <c r="I1180" s="1"/>
      <c r="J1180" s="1"/>
      <c r="K1180" s="1"/>
      <c r="M1180" s="1"/>
      <c r="N1180" s="1"/>
      <c r="O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P1180" s="1"/>
      <c r="AQ1180" s="1"/>
      <c r="AR1180" s="1"/>
      <c r="AU1180" s="1"/>
      <c r="AW1180" s="1"/>
      <c r="AY1180" s="1"/>
    </row>
    <row r="1181">
      <c r="A1181" s="1"/>
      <c r="C1181" s="1"/>
      <c r="E1181" s="1"/>
      <c r="F1181" s="1"/>
      <c r="G1181" s="1"/>
      <c r="H1181" s="1"/>
      <c r="I1181" s="1"/>
      <c r="J1181" s="1"/>
      <c r="K1181" s="1"/>
      <c r="M1181" s="1"/>
      <c r="N1181" s="1"/>
      <c r="O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P1181" s="1"/>
      <c r="AQ1181" s="1"/>
      <c r="AR1181" s="1"/>
      <c r="AU1181" s="1"/>
      <c r="AW1181" s="1"/>
      <c r="AY1181" s="1"/>
    </row>
    <row r="1182">
      <c r="A1182" s="1"/>
      <c r="C1182" s="1"/>
      <c r="E1182" s="1"/>
      <c r="F1182" s="1"/>
      <c r="G1182" s="1"/>
      <c r="H1182" s="1"/>
      <c r="I1182" s="1"/>
      <c r="J1182" s="1"/>
      <c r="K1182" s="1"/>
      <c r="M1182" s="1"/>
      <c r="N1182" s="1"/>
      <c r="O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P1182" s="1"/>
      <c r="AQ1182" s="1"/>
      <c r="AR1182" s="1"/>
      <c r="AU1182" s="1"/>
      <c r="AW1182" s="1"/>
      <c r="AY1182" s="1"/>
    </row>
    <row r="1183">
      <c r="A1183" s="1"/>
      <c r="C1183" s="1"/>
      <c r="E1183" s="1"/>
      <c r="F1183" s="1"/>
      <c r="G1183" s="1"/>
      <c r="H1183" s="1"/>
      <c r="I1183" s="1"/>
      <c r="J1183" s="1"/>
      <c r="K1183" s="1"/>
      <c r="M1183" s="1"/>
      <c r="N1183" s="1"/>
      <c r="O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P1183" s="1"/>
      <c r="AQ1183" s="1"/>
      <c r="AR1183" s="1"/>
      <c r="AU1183" s="1"/>
      <c r="AW1183" s="1"/>
      <c r="AY1183" s="1"/>
    </row>
    <row r="1184">
      <c r="A1184" s="1"/>
      <c r="C1184" s="1"/>
      <c r="E1184" s="1"/>
      <c r="F1184" s="1"/>
      <c r="G1184" s="1"/>
      <c r="H1184" s="1"/>
      <c r="I1184" s="1"/>
      <c r="J1184" s="1"/>
      <c r="K1184" s="1"/>
      <c r="M1184" s="1"/>
      <c r="N1184" s="1"/>
      <c r="O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P1184" s="1"/>
      <c r="AQ1184" s="1"/>
      <c r="AR1184" s="1"/>
      <c r="AU1184" s="1"/>
      <c r="AW1184" s="1"/>
      <c r="AY1184" s="1"/>
    </row>
    <row r="1185">
      <c r="A1185" s="1"/>
      <c r="C1185" s="1"/>
      <c r="E1185" s="1"/>
      <c r="F1185" s="1"/>
      <c r="G1185" s="1"/>
      <c r="H1185" s="1"/>
      <c r="I1185" s="1"/>
      <c r="J1185" s="1"/>
      <c r="K1185" s="1"/>
      <c r="M1185" s="1"/>
      <c r="N1185" s="1"/>
      <c r="O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P1185" s="1"/>
      <c r="AQ1185" s="1"/>
      <c r="AR1185" s="1"/>
      <c r="AU1185" s="1"/>
      <c r="AW1185" s="1"/>
      <c r="AY1185" s="1"/>
    </row>
    <row r="1186">
      <c r="A1186" s="1"/>
      <c r="C1186" s="1"/>
      <c r="E1186" s="1"/>
      <c r="F1186" s="1"/>
      <c r="G1186" s="1"/>
      <c r="H1186" s="1"/>
      <c r="I1186" s="1"/>
      <c r="J1186" s="1"/>
      <c r="K1186" s="1"/>
      <c r="M1186" s="1"/>
      <c r="N1186" s="1"/>
      <c r="O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P1186" s="1"/>
      <c r="AQ1186" s="1"/>
      <c r="AR1186" s="1"/>
      <c r="AU1186" s="1"/>
      <c r="AW1186" s="1"/>
      <c r="AY1186" s="1"/>
    </row>
    <row r="1187">
      <c r="A1187" s="1"/>
      <c r="C1187" s="1"/>
      <c r="E1187" s="1"/>
      <c r="F1187" s="1"/>
      <c r="G1187" s="1"/>
      <c r="H1187" s="1"/>
      <c r="I1187" s="1"/>
      <c r="J1187" s="1"/>
      <c r="K1187" s="1"/>
      <c r="M1187" s="1"/>
      <c r="N1187" s="1"/>
      <c r="O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P1187" s="1"/>
      <c r="AQ1187" s="1"/>
      <c r="AR1187" s="1"/>
      <c r="AU1187" s="1"/>
      <c r="AW1187" s="1"/>
      <c r="AY1187" s="1"/>
    </row>
    <row r="1188">
      <c r="A1188" s="1"/>
      <c r="C1188" s="1"/>
      <c r="E1188" s="1"/>
      <c r="F1188" s="1"/>
      <c r="G1188" s="1"/>
      <c r="H1188" s="1"/>
      <c r="I1188" s="1"/>
      <c r="J1188" s="1"/>
      <c r="K1188" s="1"/>
      <c r="M1188" s="1"/>
      <c r="N1188" s="1"/>
      <c r="O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P1188" s="1"/>
      <c r="AQ1188" s="1"/>
      <c r="AR1188" s="1"/>
      <c r="AU1188" s="1"/>
      <c r="AW1188" s="1"/>
      <c r="AY1188" s="1"/>
    </row>
    <row r="1189">
      <c r="A1189" s="1"/>
      <c r="C1189" s="1"/>
      <c r="E1189" s="1"/>
      <c r="F1189" s="1"/>
      <c r="G1189" s="1"/>
      <c r="H1189" s="1"/>
      <c r="I1189" s="1"/>
      <c r="J1189" s="1"/>
      <c r="K1189" s="1"/>
      <c r="M1189" s="1"/>
      <c r="N1189" s="1"/>
      <c r="O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P1189" s="1"/>
      <c r="AQ1189" s="1"/>
      <c r="AR1189" s="1"/>
      <c r="AU1189" s="1"/>
      <c r="AW1189" s="1"/>
      <c r="AY1189" s="1"/>
    </row>
    <row r="1190">
      <c r="A1190" s="1"/>
      <c r="C1190" s="1"/>
      <c r="E1190" s="1"/>
      <c r="F1190" s="1"/>
      <c r="G1190" s="1"/>
      <c r="H1190" s="1"/>
      <c r="I1190" s="1"/>
      <c r="J1190" s="1"/>
      <c r="K1190" s="1"/>
      <c r="M1190" s="1"/>
      <c r="N1190" s="1"/>
      <c r="O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P1190" s="1"/>
      <c r="AQ1190" s="1"/>
      <c r="AR1190" s="1"/>
      <c r="AU1190" s="1"/>
      <c r="AW1190" s="1"/>
      <c r="AY1190" s="1"/>
    </row>
    <row r="1191">
      <c r="A1191" s="1"/>
      <c r="C1191" s="1"/>
      <c r="E1191" s="1"/>
      <c r="F1191" s="1"/>
      <c r="G1191" s="1"/>
      <c r="H1191" s="1"/>
      <c r="I1191" s="1"/>
      <c r="J1191" s="1"/>
      <c r="K1191" s="1"/>
      <c r="M1191" s="1"/>
      <c r="N1191" s="1"/>
      <c r="O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P1191" s="1"/>
      <c r="AQ1191" s="1"/>
      <c r="AR1191" s="1"/>
      <c r="AU1191" s="1"/>
      <c r="AW1191" s="1"/>
      <c r="AY1191" s="1"/>
    </row>
    <row r="1192">
      <c r="A1192" s="1"/>
      <c r="C1192" s="1"/>
      <c r="E1192" s="1"/>
      <c r="F1192" s="1"/>
      <c r="G1192" s="1"/>
      <c r="H1192" s="1"/>
      <c r="I1192" s="1"/>
      <c r="J1192" s="1"/>
      <c r="K1192" s="1"/>
      <c r="M1192" s="1"/>
      <c r="N1192" s="1"/>
      <c r="O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P1192" s="1"/>
      <c r="AQ1192" s="1"/>
      <c r="AR1192" s="1"/>
      <c r="AU1192" s="1"/>
      <c r="AW1192" s="1"/>
      <c r="AY1192" s="1"/>
    </row>
    <row r="1193">
      <c r="A1193" s="1"/>
      <c r="C1193" s="1"/>
      <c r="E1193" s="1"/>
      <c r="F1193" s="1"/>
      <c r="G1193" s="1"/>
      <c r="H1193" s="1"/>
      <c r="I1193" s="1"/>
      <c r="J1193" s="1"/>
      <c r="K1193" s="1"/>
      <c r="M1193" s="1"/>
      <c r="N1193" s="1"/>
      <c r="O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P1193" s="1"/>
      <c r="AQ1193" s="1"/>
      <c r="AR1193" s="1"/>
      <c r="AU1193" s="1"/>
      <c r="AW1193" s="1"/>
      <c r="AY1193" s="1"/>
    </row>
    <row r="1194">
      <c r="A1194" s="1"/>
      <c r="C1194" s="1"/>
      <c r="E1194" s="1"/>
      <c r="F1194" s="1"/>
      <c r="G1194" s="1"/>
      <c r="H1194" s="1"/>
      <c r="I1194" s="1"/>
      <c r="J1194" s="1"/>
      <c r="K1194" s="1"/>
      <c r="M1194" s="1"/>
      <c r="N1194" s="1"/>
      <c r="O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P1194" s="1"/>
      <c r="AQ1194" s="1"/>
      <c r="AR1194" s="1"/>
      <c r="AU1194" s="1"/>
      <c r="AW1194" s="1"/>
      <c r="AY1194" s="1"/>
    </row>
    <row r="1195">
      <c r="A1195" s="1"/>
      <c r="C1195" s="1"/>
      <c r="E1195" s="1"/>
      <c r="F1195" s="1"/>
      <c r="G1195" s="1"/>
      <c r="H1195" s="1"/>
      <c r="I1195" s="1"/>
      <c r="J1195" s="1"/>
      <c r="K1195" s="1"/>
      <c r="M1195" s="1"/>
      <c r="N1195" s="1"/>
      <c r="O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P1195" s="1"/>
      <c r="AQ1195" s="1"/>
      <c r="AR1195" s="1"/>
      <c r="AU1195" s="1"/>
      <c r="AW1195" s="1"/>
      <c r="AY1195" s="1"/>
    </row>
    <row r="1196">
      <c r="A1196" s="1"/>
      <c r="C1196" s="1"/>
      <c r="E1196" s="1"/>
      <c r="F1196" s="1"/>
      <c r="G1196" s="1"/>
      <c r="H1196" s="1"/>
      <c r="I1196" s="1"/>
      <c r="J1196" s="1"/>
      <c r="K1196" s="1"/>
      <c r="M1196" s="1"/>
      <c r="N1196" s="1"/>
      <c r="O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P1196" s="1"/>
      <c r="AQ1196" s="1"/>
      <c r="AR1196" s="1"/>
      <c r="AU1196" s="1"/>
      <c r="AW1196" s="1"/>
      <c r="AY1196" s="1"/>
    </row>
    <row r="1197">
      <c r="A1197" s="1"/>
      <c r="C1197" s="1"/>
      <c r="E1197" s="1"/>
      <c r="F1197" s="1"/>
      <c r="G1197" s="1"/>
      <c r="H1197" s="1"/>
      <c r="I1197" s="1"/>
      <c r="J1197" s="1"/>
      <c r="K1197" s="1"/>
      <c r="M1197" s="1"/>
      <c r="N1197" s="1"/>
      <c r="O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P1197" s="1"/>
      <c r="AQ1197" s="1"/>
      <c r="AR1197" s="1"/>
      <c r="AU1197" s="1"/>
      <c r="AW1197" s="1"/>
      <c r="AY1197" s="1"/>
    </row>
    <row r="1198">
      <c r="A1198" s="1"/>
      <c r="C1198" s="1"/>
      <c r="E1198" s="1"/>
      <c r="F1198" s="1"/>
      <c r="G1198" s="1"/>
      <c r="H1198" s="1"/>
      <c r="I1198" s="1"/>
      <c r="J1198" s="1"/>
      <c r="K1198" s="1"/>
      <c r="M1198" s="1"/>
      <c r="N1198" s="1"/>
      <c r="O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P1198" s="1"/>
      <c r="AQ1198" s="1"/>
      <c r="AR1198" s="1"/>
      <c r="AU1198" s="1"/>
      <c r="AW1198" s="1"/>
      <c r="AY1198" s="1"/>
    </row>
    <row r="1199">
      <c r="A1199" s="1"/>
      <c r="C1199" s="1"/>
      <c r="E1199" s="1"/>
      <c r="F1199" s="1"/>
      <c r="G1199" s="1"/>
      <c r="H1199" s="1"/>
      <c r="I1199" s="1"/>
      <c r="J1199" s="1"/>
      <c r="K1199" s="1"/>
      <c r="M1199" s="1"/>
      <c r="N1199" s="1"/>
      <c r="O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P1199" s="1"/>
      <c r="AQ1199" s="1"/>
      <c r="AR1199" s="1"/>
      <c r="AU1199" s="1"/>
      <c r="AW1199" s="1"/>
      <c r="AY1199" s="1"/>
    </row>
    <row r="1200">
      <c r="A1200" s="1"/>
      <c r="C1200" s="1"/>
      <c r="E1200" s="1"/>
      <c r="F1200" s="1"/>
      <c r="G1200" s="1"/>
      <c r="H1200" s="1"/>
      <c r="I1200" s="1"/>
      <c r="J1200" s="1"/>
      <c r="K1200" s="1"/>
      <c r="M1200" s="1"/>
      <c r="N1200" s="1"/>
      <c r="O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P1200" s="1"/>
      <c r="AQ1200" s="1"/>
      <c r="AR1200" s="1"/>
      <c r="AU1200" s="1"/>
      <c r="AW1200" s="1"/>
      <c r="AY1200" s="1"/>
    </row>
    <row r="1201">
      <c r="A1201" s="1"/>
      <c r="C1201" s="1"/>
      <c r="E1201" s="1"/>
      <c r="F1201" s="1"/>
      <c r="G1201" s="1"/>
      <c r="H1201" s="1"/>
      <c r="I1201" s="1"/>
      <c r="J1201" s="1"/>
      <c r="K1201" s="1"/>
      <c r="M1201" s="1"/>
      <c r="N1201" s="1"/>
      <c r="O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P1201" s="1"/>
      <c r="AQ1201" s="1"/>
      <c r="AR1201" s="1"/>
      <c r="AU1201" s="1"/>
      <c r="AW1201" s="1"/>
      <c r="AY1201" s="1"/>
    </row>
    <row r="1202">
      <c r="A1202" s="1"/>
      <c r="C1202" s="1"/>
      <c r="E1202" s="1"/>
      <c r="F1202" s="1"/>
      <c r="G1202" s="1"/>
      <c r="H1202" s="1"/>
      <c r="I1202" s="1"/>
      <c r="J1202" s="1"/>
      <c r="K1202" s="1"/>
      <c r="M1202" s="1"/>
      <c r="N1202" s="1"/>
      <c r="O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P1202" s="1"/>
      <c r="AQ1202" s="1"/>
      <c r="AR1202" s="1"/>
      <c r="AU1202" s="1"/>
      <c r="AW1202" s="1"/>
      <c r="AY1202" s="1"/>
    </row>
    <row r="1203">
      <c r="A1203" s="1"/>
      <c r="C1203" s="1"/>
      <c r="E1203" s="1"/>
      <c r="F1203" s="1"/>
      <c r="G1203" s="1"/>
      <c r="H1203" s="1"/>
      <c r="I1203" s="1"/>
      <c r="J1203" s="1"/>
      <c r="K1203" s="1"/>
      <c r="M1203" s="1"/>
      <c r="N1203" s="1"/>
      <c r="O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P1203" s="1"/>
      <c r="AQ1203" s="1"/>
      <c r="AR1203" s="1"/>
      <c r="AU1203" s="1"/>
      <c r="AW1203" s="1"/>
      <c r="AY1203" s="1"/>
    </row>
    <row r="1204">
      <c r="A1204" s="1"/>
      <c r="C1204" s="1"/>
      <c r="E1204" s="1"/>
      <c r="F1204" s="1"/>
      <c r="G1204" s="1"/>
      <c r="H1204" s="1"/>
      <c r="I1204" s="1"/>
      <c r="J1204" s="1"/>
      <c r="K1204" s="1"/>
      <c r="M1204" s="1"/>
      <c r="N1204" s="1"/>
      <c r="O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P1204" s="1"/>
      <c r="AQ1204" s="1"/>
      <c r="AR1204" s="1"/>
      <c r="AU1204" s="1"/>
      <c r="AW1204" s="1"/>
      <c r="AY1204" s="1"/>
    </row>
    <row r="1205">
      <c r="A1205" s="1"/>
      <c r="C1205" s="1"/>
      <c r="E1205" s="1"/>
      <c r="F1205" s="1"/>
      <c r="G1205" s="1"/>
      <c r="H1205" s="1"/>
      <c r="I1205" s="1"/>
      <c r="J1205" s="1"/>
      <c r="K1205" s="1"/>
      <c r="M1205" s="1"/>
      <c r="N1205" s="1"/>
      <c r="O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P1205" s="1"/>
      <c r="AQ1205" s="1"/>
      <c r="AR1205" s="1"/>
      <c r="AU1205" s="1"/>
      <c r="AW1205" s="1"/>
      <c r="AY1205" s="1"/>
    </row>
    <row r="1206">
      <c r="A1206" s="1"/>
      <c r="C1206" s="1"/>
      <c r="E1206" s="1"/>
      <c r="F1206" s="1"/>
      <c r="G1206" s="1"/>
      <c r="H1206" s="1"/>
      <c r="I1206" s="1"/>
      <c r="J1206" s="1"/>
      <c r="K1206" s="1"/>
      <c r="M1206" s="1"/>
      <c r="N1206" s="1"/>
      <c r="O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P1206" s="1"/>
      <c r="AQ1206" s="1"/>
      <c r="AR1206" s="1"/>
      <c r="AU1206" s="1"/>
      <c r="AW1206" s="1"/>
      <c r="AY1206" s="1"/>
    </row>
    <row r="1207">
      <c r="A1207" s="1"/>
      <c r="C1207" s="1"/>
      <c r="E1207" s="1"/>
      <c r="F1207" s="1"/>
      <c r="G1207" s="1"/>
      <c r="H1207" s="1"/>
      <c r="I1207" s="1"/>
      <c r="J1207" s="1"/>
      <c r="K1207" s="1"/>
      <c r="M1207" s="1"/>
      <c r="N1207" s="1"/>
      <c r="O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P1207" s="1"/>
      <c r="AQ1207" s="1"/>
      <c r="AR1207" s="1"/>
      <c r="AU1207" s="1"/>
      <c r="AW1207" s="1"/>
      <c r="AY1207" s="1"/>
    </row>
    <row r="1208">
      <c r="A1208" s="1"/>
      <c r="C1208" s="1"/>
      <c r="E1208" s="1"/>
      <c r="F1208" s="1"/>
      <c r="G1208" s="1"/>
      <c r="H1208" s="1"/>
      <c r="I1208" s="1"/>
      <c r="J1208" s="1"/>
      <c r="K1208" s="1"/>
      <c r="M1208" s="1"/>
      <c r="N1208" s="1"/>
      <c r="O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P1208" s="1"/>
      <c r="AQ1208" s="1"/>
      <c r="AR1208" s="1"/>
      <c r="AU1208" s="1"/>
      <c r="AW1208" s="1"/>
      <c r="AY1208" s="1"/>
    </row>
    <row r="1209">
      <c r="A1209" s="1"/>
      <c r="C1209" s="1"/>
      <c r="E1209" s="1"/>
      <c r="F1209" s="1"/>
      <c r="G1209" s="1"/>
      <c r="H1209" s="1"/>
      <c r="I1209" s="1"/>
      <c r="J1209" s="1"/>
      <c r="K1209" s="1"/>
      <c r="M1209" s="1"/>
      <c r="N1209" s="1"/>
      <c r="O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P1209" s="1"/>
      <c r="AQ1209" s="1"/>
      <c r="AR1209" s="1"/>
      <c r="AU1209" s="1"/>
      <c r="AW1209" s="1"/>
      <c r="AY1209" s="1"/>
    </row>
    <row r="1210">
      <c r="A1210" s="1"/>
      <c r="C1210" s="1"/>
      <c r="E1210" s="1"/>
      <c r="F1210" s="1"/>
      <c r="G1210" s="1"/>
      <c r="H1210" s="1"/>
      <c r="I1210" s="1"/>
      <c r="J1210" s="1"/>
      <c r="K1210" s="1"/>
      <c r="M1210" s="1"/>
      <c r="N1210" s="1"/>
      <c r="O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P1210" s="1"/>
      <c r="AQ1210" s="1"/>
      <c r="AR1210" s="1"/>
      <c r="AU1210" s="1"/>
      <c r="AW1210" s="1"/>
      <c r="AY1210" s="1"/>
    </row>
    <row r="1211">
      <c r="A1211" s="1"/>
      <c r="C1211" s="1"/>
      <c r="E1211" s="1"/>
      <c r="F1211" s="1"/>
      <c r="G1211" s="1"/>
      <c r="H1211" s="1"/>
      <c r="I1211" s="1"/>
      <c r="J1211" s="1"/>
      <c r="K1211" s="1"/>
      <c r="M1211" s="1"/>
      <c r="N1211" s="1"/>
      <c r="O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P1211" s="1"/>
      <c r="AQ1211" s="1"/>
      <c r="AR1211" s="1"/>
      <c r="AU1211" s="1"/>
      <c r="AW1211" s="1"/>
      <c r="AY1211" s="1"/>
    </row>
    <row r="1212">
      <c r="A1212" s="1"/>
      <c r="C1212" s="1"/>
      <c r="E1212" s="1"/>
      <c r="F1212" s="1"/>
      <c r="G1212" s="1"/>
      <c r="H1212" s="1"/>
      <c r="I1212" s="1"/>
      <c r="J1212" s="1"/>
      <c r="K1212" s="1"/>
      <c r="M1212" s="1"/>
      <c r="N1212" s="1"/>
      <c r="O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P1212" s="1"/>
      <c r="AQ1212" s="1"/>
      <c r="AR1212" s="1"/>
      <c r="AU1212" s="1"/>
      <c r="AW1212" s="1"/>
      <c r="AY1212" s="1"/>
    </row>
    <row r="1213">
      <c r="A1213" s="1"/>
      <c r="C1213" s="1"/>
      <c r="E1213" s="1"/>
      <c r="F1213" s="1"/>
      <c r="G1213" s="1"/>
      <c r="H1213" s="1"/>
      <c r="I1213" s="1"/>
      <c r="J1213" s="1"/>
      <c r="K1213" s="1"/>
      <c r="M1213" s="1"/>
      <c r="N1213" s="1"/>
      <c r="O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P1213" s="1"/>
      <c r="AQ1213" s="1"/>
      <c r="AR1213" s="1"/>
      <c r="AU1213" s="1"/>
      <c r="AW1213" s="1"/>
      <c r="AY1213" s="1"/>
    </row>
    <row r="1214">
      <c r="A1214" s="1"/>
      <c r="C1214" s="1"/>
      <c r="E1214" s="1"/>
      <c r="F1214" s="1"/>
      <c r="G1214" s="1"/>
      <c r="H1214" s="1"/>
      <c r="I1214" s="1"/>
      <c r="J1214" s="1"/>
      <c r="K1214" s="1"/>
      <c r="M1214" s="1"/>
      <c r="N1214" s="1"/>
      <c r="O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P1214" s="1"/>
      <c r="AQ1214" s="1"/>
      <c r="AR1214" s="1"/>
      <c r="AU1214" s="1"/>
      <c r="AW1214" s="1"/>
      <c r="AY1214" s="1"/>
    </row>
    <row r="1215">
      <c r="A1215" s="1"/>
      <c r="C1215" s="1"/>
      <c r="E1215" s="1"/>
      <c r="F1215" s="1"/>
      <c r="G1215" s="1"/>
      <c r="H1215" s="1"/>
      <c r="I1215" s="1"/>
      <c r="J1215" s="1"/>
      <c r="K1215" s="1"/>
      <c r="M1215" s="1"/>
      <c r="N1215" s="1"/>
      <c r="O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P1215" s="1"/>
      <c r="AQ1215" s="1"/>
      <c r="AR1215" s="1"/>
      <c r="AU1215" s="1"/>
      <c r="AW1215" s="1"/>
      <c r="AY1215" s="1"/>
    </row>
    <row r="1216">
      <c r="A1216" s="1"/>
      <c r="C1216" s="1"/>
      <c r="E1216" s="1"/>
      <c r="F1216" s="1"/>
      <c r="G1216" s="1"/>
      <c r="H1216" s="1"/>
      <c r="I1216" s="1"/>
      <c r="J1216" s="1"/>
      <c r="K1216" s="1"/>
      <c r="M1216" s="1"/>
      <c r="N1216" s="1"/>
      <c r="O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P1216" s="1"/>
      <c r="AQ1216" s="1"/>
      <c r="AR1216" s="1"/>
      <c r="AU1216" s="1"/>
      <c r="AW1216" s="1"/>
      <c r="AY1216" s="1"/>
    </row>
    <row r="1217">
      <c r="A1217" s="1"/>
      <c r="C1217" s="1"/>
      <c r="E1217" s="1"/>
      <c r="F1217" s="1"/>
      <c r="G1217" s="1"/>
      <c r="H1217" s="1"/>
      <c r="I1217" s="1"/>
      <c r="J1217" s="1"/>
      <c r="K1217" s="1"/>
      <c r="M1217" s="1"/>
      <c r="N1217" s="1"/>
      <c r="O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P1217" s="1"/>
      <c r="AQ1217" s="1"/>
      <c r="AR1217" s="1"/>
      <c r="AU1217" s="1"/>
      <c r="AW1217" s="1"/>
      <c r="AY1217" s="1"/>
    </row>
    <row r="1218">
      <c r="A1218" s="1"/>
      <c r="C1218" s="1"/>
      <c r="E1218" s="1"/>
      <c r="F1218" s="1"/>
      <c r="G1218" s="1"/>
      <c r="H1218" s="1"/>
      <c r="I1218" s="1"/>
      <c r="J1218" s="1"/>
      <c r="K1218" s="1"/>
      <c r="M1218" s="1"/>
      <c r="N1218" s="1"/>
      <c r="O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P1218" s="1"/>
      <c r="AQ1218" s="1"/>
      <c r="AR1218" s="1"/>
      <c r="AU1218" s="1"/>
      <c r="AW1218" s="1"/>
      <c r="AY1218" s="1"/>
    </row>
    <row r="1219">
      <c r="A1219" s="1"/>
      <c r="C1219" s="1"/>
      <c r="E1219" s="1"/>
      <c r="F1219" s="1"/>
      <c r="G1219" s="1"/>
      <c r="H1219" s="1"/>
      <c r="I1219" s="1"/>
      <c r="J1219" s="1"/>
      <c r="K1219" s="1"/>
      <c r="M1219" s="1"/>
      <c r="N1219" s="1"/>
      <c r="O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P1219" s="1"/>
      <c r="AQ1219" s="1"/>
      <c r="AR1219" s="1"/>
      <c r="AU1219" s="1"/>
      <c r="AW1219" s="1"/>
      <c r="AY1219" s="1"/>
    </row>
    <row r="1220">
      <c r="A1220" s="1"/>
      <c r="C1220" s="1"/>
      <c r="E1220" s="1"/>
      <c r="F1220" s="1"/>
      <c r="G1220" s="1"/>
      <c r="H1220" s="1"/>
      <c r="I1220" s="1"/>
      <c r="J1220" s="1"/>
      <c r="K1220" s="1"/>
      <c r="M1220" s="1"/>
      <c r="N1220" s="1"/>
      <c r="O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P1220" s="1"/>
      <c r="AQ1220" s="1"/>
      <c r="AR1220" s="1"/>
      <c r="AU1220" s="1"/>
      <c r="AW1220" s="1"/>
      <c r="AY1220" s="1"/>
    </row>
    <row r="1221">
      <c r="A1221" s="1"/>
      <c r="C1221" s="1"/>
      <c r="E1221" s="1"/>
      <c r="F1221" s="1"/>
      <c r="G1221" s="1"/>
      <c r="H1221" s="1"/>
      <c r="I1221" s="1"/>
      <c r="J1221" s="1"/>
      <c r="K1221" s="1"/>
      <c r="M1221" s="1"/>
      <c r="N1221" s="1"/>
      <c r="O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P1221" s="1"/>
      <c r="AQ1221" s="1"/>
      <c r="AR1221" s="1"/>
      <c r="AU1221" s="1"/>
      <c r="AW1221" s="1"/>
      <c r="AY1221" s="1"/>
    </row>
    <row r="1222">
      <c r="A1222" s="1"/>
      <c r="C1222" s="1"/>
      <c r="E1222" s="1"/>
      <c r="F1222" s="1"/>
      <c r="G1222" s="1"/>
      <c r="H1222" s="1"/>
      <c r="I1222" s="1"/>
      <c r="J1222" s="1"/>
      <c r="K1222" s="1"/>
      <c r="M1222" s="1"/>
      <c r="N1222" s="1"/>
      <c r="O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P1222" s="1"/>
      <c r="AQ1222" s="1"/>
      <c r="AR1222" s="1"/>
      <c r="AU1222" s="1"/>
      <c r="AW1222" s="1"/>
      <c r="AY1222" s="1"/>
    </row>
    <row r="1223">
      <c r="A1223" s="1"/>
      <c r="C1223" s="1"/>
      <c r="E1223" s="1"/>
      <c r="F1223" s="1"/>
      <c r="G1223" s="1"/>
      <c r="H1223" s="1"/>
      <c r="I1223" s="1"/>
      <c r="J1223" s="1"/>
      <c r="K1223" s="1"/>
      <c r="M1223" s="1"/>
      <c r="N1223" s="1"/>
      <c r="O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P1223" s="1"/>
      <c r="AQ1223" s="1"/>
      <c r="AR1223" s="1"/>
      <c r="AU1223" s="1"/>
      <c r="AW1223" s="1"/>
      <c r="AY1223" s="1"/>
    </row>
    <row r="1224">
      <c r="A1224" s="1"/>
      <c r="C1224" s="1"/>
      <c r="E1224" s="1"/>
      <c r="F1224" s="1"/>
      <c r="G1224" s="1"/>
      <c r="H1224" s="1"/>
      <c r="I1224" s="1"/>
      <c r="J1224" s="1"/>
      <c r="K1224" s="1"/>
      <c r="M1224" s="1"/>
      <c r="N1224" s="1"/>
      <c r="O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P1224" s="1"/>
      <c r="AQ1224" s="1"/>
      <c r="AR1224" s="1"/>
      <c r="AU1224" s="1"/>
      <c r="AW1224" s="1"/>
      <c r="AY1224" s="1"/>
    </row>
    <row r="1225">
      <c r="A1225" s="1"/>
      <c r="C1225" s="1"/>
      <c r="E1225" s="1"/>
      <c r="F1225" s="1"/>
      <c r="G1225" s="1"/>
      <c r="H1225" s="1"/>
      <c r="I1225" s="1"/>
      <c r="J1225" s="1"/>
      <c r="K1225" s="1"/>
      <c r="M1225" s="1"/>
      <c r="N1225" s="1"/>
      <c r="O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P1225" s="1"/>
      <c r="AQ1225" s="1"/>
      <c r="AR1225" s="1"/>
      <c r="AU1225" s="1"/>
      <c r="AW1225" s="1"/>
      <c r="AY1225" s="1"/>
    </row>
    <row r="1226">
      <c r="A1226" s="1"/>
      <c r="C1226" s="1"/>
      <c r="E1226" s="1"/>
      <c r="F1226" s="1"/>
      <c r="G1226" s="1"/>
      <c r="H1226" s="1"/>
      <c r="I1226" s="1"/>
      <c r="J1226" s="1"/>
      <c r="K1226" s="1"/>
      <c r="M1226" s="1"/>
      <c r="N1226" s="1"/>
      <c r="O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P1226" s="1"/>
      <c r="AQ1226" s="1"/>
      <c r="AR1226" s="1"/>
      <c r="AU1226" s="1"/>
      <c r="AW1226" s="1"/>
      <c r="AY1226" s="1"/>
    </row>
    <row r="1227">
      <c r="A1227" s="1"/>
      <c r="C1227" s="1"/>
      <c r="E1227" s="1"/>
      <c r="F1227" s="1"/>
      <c r="G1227" s="1"/>
      <c r="H1227" s="1"/>
      <c r="I1227" s="1"/>
      <c r="J1227" s="1"/>
      <c r="K1227" s="1"/>
      <c r="M1227" s="1"/>
      <c r="N1227" s="1"/>
      <c r="O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P1227" s="1"/>
      <c r="AQ1227" s="1"/>
      <c r="AR1227" s="1"/>
      <c r="AU1227" s="1"/>
      <c r="AW1227" s="1"/>
      <c r="AY1227" s="1"/>
    </row>
    <row r="1228">
      <c r="A1228" s="1"/>
      <c r="C1228" s="1"/>
      <c r="E1228" s="1"/>
      <c r="F1228" s="1"/>
      <c r="G1228" s="1"/>
      <c r="H1228" s="1"/>
      <c r="I1228" s="1"/>
      <c r="J1228" s="1"/>
      <c r="K1228" s="1"/>
      <c r="M1228" s="1"/>
      <c r="N1228" s="1"/>
      <c r="O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P1228" s="1"/>
      <c r="AQ1228" s="1"/>
      <c r="AR1228" s="1"/>
      <c r="AU1228" s="1"/>
      <c r="AW1228" s="1"/>
      <c r="AY1228" s="1"/>
    </row>
    <row r="1229">
      <c r="A1229" s="1"/>
      <c r="C1229" s="1"/>
      <c r="E1229" s="1"/>
      <c r="F1229" s="1"/>
      <c r="G1229" s="1"/>
      <c r="H1229" s="1"/>
      <c r="I1229" s="1"/>
      <c r="J1229" s="1"/>
      <c r="K1229" s="1"/>
      <c r="M1229" s="1"/>
      <c r="N1229" s="1"/>
      <c r="O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P1229" s="1"/>
      <c r="AQ1229" s="1"/>
      <c r="AR1229" s="1"/>
      <c r="AU1229" s="1"/>
      <c r="AW1229" s="1"/>
      <c r="AY1229" s="1"/>
    </row>
    <row r="1230">
      <c r="A1230" s="1"/>
      <c r="C1230" s="1"/>
      <c r="E1230" s="1"/>
      <c r="F1230" s="1"/>
      <c r="G1230" s="1"/>
      <c r="H1230" s="1"/>
      <c r="I1230" s="1"/>
      <c r="J1230" s="1"/>
      <c r="K1230" s="1"/>
      <c r="M1230" s="1"/>
      <c r="N1230" s="1"/>
      <c r="O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P1230" s="1"/>
      <c r="AQ1230" s="1"/>
      <c r="AR1230" s="1"/>
      <c r="AU1230" s="1"/>
      <c r="AW1230" s="1"/>
      <c r="AY1230" s="1"/>
    </row>
    <row r="1231">
      <c r="A1231" s="1"/>
      <c r="C1231" s="1"/>
      <c r="E1231" s="1"/>
      <c r="F1231" s="1"/>
      <c r="G1231" s="1"/>
      <c r="H1231" s="1"/>
      <c r="I1231" s="1"/>
      <c r="J1231" s="1"/>
      <c r="K1231" s="1"/>
      <c r="M1231" s="1"/>
      <c r="N1231" s="1"/>
      <c r="O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P1231" s="1"/>
      <c r="AQ1231" s="1"/>
      <c r="AR1231" s="1"/>
      <c r="AU1231" s="1"/>
      <c r="AW1231" s="1"/>
      <c r="AY1231" s="1"/>
    </row>
    <row r="1232">
      <c r="A1232" s="1"/>
      <c r="C1232" s="1"/>
      <c r="E1232" s="1"/>
      <c r="F1232" s="1"/>
      <c r="G1232" s="1"/>
      <c r="H1232" s="1"/>
      <c r="I1232" s="1"/>
      <c r="J1232" s="1"/>
      <c r="K1232" s="1"/>
      <c r="M1232" s="1"/>
      <c r="N1232" s="1"/>
      <c r="O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P1232" s="1"/>
      <c r="AQ1232" s="1"/>
      <c r="AR1232" s="1"/>
      <c r="AU1232" s="1"/>
      <c r="AW1232" s="1"/>
      <c r="AY1232" s="1"/>
    </row>
    <row r="1233">
      <c r="A1233" s="1"/>
      <c r="C1233" s="1"/>
      <c r="E1233" s="1"/>
      <c r="F1233" s="1"/>
      <c r="G1233" s="1"/>
      <c r="H1233" s="1"/>
      <c r="I1233" s="1"/>
      <c r="J1233" s="1"/>
      <c r="K1233" s="1"/>
      <c r="M1233" s="1"/>
      <c r="N1233" s="1"/>
      <c r="O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P1233" s="1"/>
      <c r="AQ1233" s="1"/>
      <c r="AR1233" s="1"/>
      <c r="AU1233" s="1"/>
      <c r="AW1233" s="1"/>
      <c r="AY1233" s="1"/>
    </row>
    <row r="1234">
      <c r="A1234" s="1"/>
      <c r="C1234" s="1"/>
      <c r="E1234" s="1"/>
      <c r="F1234" s="1"/>
      <c r="G1234" s="1"/>
      <c r="H1234" s="1"/>
      <c r="I1234" s="1"/>
      <c r="J1234" s="1"/>
      <c r="K1234" s="1"/>
      <c r="M1234" s="1"/>
      <c r="N1234" s="1"/>
      <c r="O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P1234" s="1"/>
      <c r="AQ1234" s="1"/>
      <c r="AR1234" s="1"/>
      <c r="AU1234" s="1"/>
      <c r="AW1234" s="1"/>
      <c r="AY1234" s="1"/>
    </row>
    <row r="1235">
      <c r="A1235" s="1"/>
      <c r="C1235" s="1"/>
      <c r="E1235" s="1"/>
      <c r="F1235" s="1"/>
      <c r="G1235" s="1"/>
      <c r="H1235" s="1"/>
      <c r="I1235" s="1"/>
      <c r="J1235" s="1"/>
      <c r="K1235" s="1"/>
      <c r="M1235" s="1"/>
      <c r="N1235" s="1"/>
      <c r="O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P1235" s="1"/>
      <c r="AQ1235" s="1"/>
      <c r="AR1235" s="1"/>
      <c r="AU1235" s="1"/>
      <c r="AW1235" s="1"/>
      <c r="AY1235" s="1"/>
    </row>
    <row r="1236">
      <c r="A1236" s="1"/>
      <c r="C1236" s="1"/>
      <c r="E1236" s="1"/>
      <c r="F1236" s="1"/>
      <c r="G1236" s="1"/>
      <c r="H1236" s="1"/>
      <c r="I1236" s="1"/>
      <c r="J1236" s="1"/>
      <c r="K1236" s="1"/>
      <c r="M1236" s="1"/>
      <c r="N1236" s="1"/>
      <c r="O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P1236" s="1"/>
      <c r="AQ1236" s="1"/>
      <c r="AR1236" s="1"/>
      <c r="AU1236" s="1"/>
      <c r="AW1236" s="1"/>
      <c r="AY1236" s="1"/>
    </row>
    <row r="1237">
      <c r="A1237" s="1"/>
      <c r="C1237" s="1"/>
      <c r="E1237" s="1"/>
      <c r="F1237" s="1"/>
      <c r="G1237" s="1"/>
      <c r="H1237" s="1"/>
      <c r="I1237" s="1"/>
      <c r="J1237" s="1"/>
      <c r="K1237" s="1"/>
      <c r="M1237" s="1"/>
      <c r="N1237" s="1"/>
      <c r="O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P1237" s="1"/>
      <c r="AQ1237" s="1"/>
      <c r="AR1237" s="1"/>
      <c r="AU1237" s="1"/>
      <c r="AW1237" s="1"/>
      <c r="AY1237" s="1"/>
    </row>
    <row r="1238">
      <c r="A1238" s="1"/>
      <c r="C1238" s="1"/>
      <c r="E1238" s="1"/>
      <c r="F1238" s="1"/>
      <c r="G1238" s="1"/>
      <c r="H1238" s="1"/>
      <c r="I1238" s="1"/>
      <c r="J1238" s="1"/>
      <c r="K1238" s="1"/>
      <c r="M1238" s="1"/>
      <c r="N1238" s="1"/>
      <c r="O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P1238" s="1"/>
      <c r="AQ1238" s="1"/>
      <c r="AR1238" s="1"/>
      <c r="AU1238" s="1"/>
      <c r="AW1238" s="1"/>
      <c r="AY1238" s="1"/>
    </row>
    <row r="1239">
      <c r="A1239" s="1"/>
      <c r="C1239" s="1"/>
      <c r="E1239" s="1"/>
      <c r="F1239" s="1"/>
      <c r="G1239" s="1"/>
      <c r="H1239" s="1"/>
      <c r="I1239" s="1"/>
      <c r="J1239" s="1"/>
      <c r="K1239" s="1"/>
      <c r="M1239" s="1"/>
      <c r="N1239" s="1"/>
      <c r="O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P1239" s="1"/>
      <c r="AQ1239" s="1"/>
      <c r="AR1239" s="1"/>
      <c r="AU1239" s="1"/>
      <c r="AW1239" s="1"/>
      <c r="AY1239" s="1"/>
    </row>
    <row r="1240">
      <c r="A1240" s="1"/>
      <c r="C1240" s="1"/>
      <c r="E1240" s="1"/>
      <c r="F1240" s="1"/>
      <c r="G1240" s="1"/>
      <c r="H1240" s="1"/>
      <c r="I1240" s="1"/>
      <c r="J1240" s="1"/>
      <c r="K1240" s="1"/>
      <c r="M1240" s="1"/>
      <c r="N1240" s="1"/>
      <c r="O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P1240" s="1"/>
      <c r="AQ1240" s="1"/>
      <c r="AR1240" s="1"/>
      <c r="AU1240" s="1"/>
      <c r="AW1240" s="1"/>
      <c r="AY1240" s="1"/>
    </row>
    <row r="1241">
      <c r="A1241" s="1"/>
      <c r="C1241" s="1"/>
      <c r="E1241" s="1"/>
      <c r="F1241" s="1"/>
      <c r="G1241" s="1"/>
      <c r="H1241" s="1"/>
      <c r="I1241" s="1"/>
      <c r="J1241" s="1"/>
      <c r="K1241" s="1"/>
      <c r="M1241" s="1"/>
      <c r="N1241" s="1"/>
      <c r="O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P1241" s="1"/>
      <c r="AQ1241" s="1"/>
      <c r="AR1241" s="1"/>
      <c r="AU1241" s="1"/>
      <c r="AW1241" s="1"/>
      <c r="AY1241" s="1"/>
    </row>
    <row r="1242">
      <c r="A1242" s="1"/>
      <c r="C1242" s="1"/>
      <c r="E1242" s="1"/>
      <c r="F1242" s="1"/>
      <c r="G1242" s="1"/>
      <c r="H1242" s="1"/>
      <c r="I1242" s="1"/>
      <c r="J1242" s="1"/>
      <c r="K1242" s="1"/>
      <c r="M1242" s="1"/>
      <c r="N1242" s="1"/>
      <c r="O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P1242" s="1"/>
      <c r="AQ1242" s="1"/>
      <c r="AR1242" s="1"/>
      <c r="AU1242" s="1"/>
      <c r="AW1242" s="1"/>
      <c r="AY1242" s="1"/>
    </row>
    <row r="1243">
      <c r="A1243" s="1"/>
      <c r="C1243" s="1"/>
      <c r="E1243" s="1"/>
      <c r="F1243" s="1"/>
      <c r="G1243" s="1"/>
      <c r="H1243" s="1"/>
      <c r="I1243" s="1"/>
      <c r="J1243" s="1"/>
      <c r="K1243" s="1"/>
      <c r="M1243" s="1"/>
      <c r="N1243" s="1"/>
      <c r="O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P1243" s="1"/>
      <c r="AQ1243" s="1"/>
      <c r="AR1243" s="1"/>
      <c r="AU1243" s="1"/>
      <c r="AW1243" s="1"/>
      <c r="AY1243" s="1"/>
    </row>
    <row r="1244">
      <c r="A1244" s="1"/>
      <c r="C1244" s="1"/>
      <c r="E1244" s="1"/>
      <c r="F1244" s="1"/>
      <c r="G1244" s="1"/>
      <c r="H1244" s="1"/>
      <c r="I1244" s="1"/>
      <c r="J1244" s="1"/>
      <c r="K1244" s="1"/>
      <c r="M1244" s="1"/>
      <c r="N1244" s="1"/>
      <c r="O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P1244" s="1"/>
      <c r="AQ1244" s="1"/>
      <c r="AR1244" s="1"/>
      <c r="AU1244" s="1"/>
      <c r="AW1244" s="1"/>
      <c r="AY1244" s="1"/>
    </row>
    <row r="1245">
      <c r="A1245" s="1"/>
      <c r="C1245" s="1"/>
      <c r="E1245" s="1"/>
      <c r="F1245" s="1"/>
      <c r="G1245" s="1"/>
      <c r="H1245" s="1"/>
      <c r="I1245" s="1"/>
      <c r="J1245" s="1"/>
      <c r="K1245" s="1"/>
      <c r="M1245" s="1"/>
      <c r="N1245" s="1"/>
      <c r="O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P1245" s="1"/>
      <c r="AQ1245" s="1"/>
      <c r="AR1245" s="1"/>
      <c r="AU1245" s="1"/>
      <c r="AW1245" s="1"/>
      <c r="AY1245" s="1"/>
    </row>
    <row r="1246">
      <c r="A1246" s="1"/>
      <c r="C1246" s="1"/>
      <c r="E1246" s="1"/>
      <c r="F1246" s="1"/>
      <c r="G1246" s="1"/>
      <c r="H1246" s="1"/>
      <c r="I1246" s="1"/>
      <c r="J1246" s="1"/>
      <c r="K1246" s="1"/>
      <c r="M1246" s="1"/>
      <c r="N1246" s="1"/>
      <c r="O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P1246" s="1"/>
      <c r="AQ1246" s="1"/>
      <c r="AR1246" s="1"/>
      <c r="AU1246" s="1"/>
      <c r="AW1246" s="1"/>
      <c r="AY1246" s="1"/>
    </row>
    <row r="1247">
      <c r="A1247" s="1"/>
      <c r="C1247" s="1"/>
      <c r="E1247" s="1"/>
      <c r="F1247" s="1"/>
      <c r="G1247" s="1"/>
      <c r="H1247" s="1"/>
      <c r="I1247" s="1"/>
      <c r="J1247" s="1"/>
      <c r="K1247" s="1"/>
      <c r="M1247" s="1"/>
      <c r="N1247" s="1"/>
      <c r="O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P1247" s="1"/>
      <c r="AQ1247" s="1"/>
      <c r="AR1247" s="1"/>
      <c r="AU1247" s="1"/>
      <c r="AW1247" s="1"/>
      <c r="AY1247" s="1"/>
    </row>
    <row r="1248">
      <c r="A1248" s="1"/>
      <c r="C1248" s="1"/>
      <c r="E1248" s="1"/>
      <c r="F1248" s="1"/>
      <c r="G1248" s="1"/>
      <c r="H1248" s="1"/>
      <c r="I1248" s="1"/>
      <c r="J1248" s="1"/>
      <c r="K1248" s="1"/>
      <c r="M1248" s="1"/>
      <c r="N1248" s="1"/>
      <c r="O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P1248" s="1"/>
      <c r="AQ1248" s="1"/>
      <c r="AR1248" s="1"/>
      <c r="AU1248" s="1"/>
      <c r="AW1248" s="1"/>
      <c r="AY1248" s="1"/>
    </row>
    <row r="1249">
      <c r="A1249" s="1"/>
      <c r="C1249" s="1"/>
      <c r="E1249" s="1"/>
      <c r="F1249" s="1"/>
      <c r="G1249" s="1"/>
      <c r="H1249" s="1"/>
      <c r="I1249" s="1"/>
      <c r="J1249" s="1"/>
      <c r="K1249" s="1"/>
      <c r="M1249" s="1"/>
      <c r="N1249" s="1"/>
      <c r="O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P1249" s="1"/>
      <c r="AQ1249" s="1"/>
      <c r="AR1249" s="1"/>
      <c r="AU1249" s="1"/>
      <c r="AW1249" s="1"/>
      <c r="AY1249" s="1"/>
    </row>
    <row r="1250">
      <c r="A1250" s="1"/>
      <c r="C1250" s="1"/>
      <c r="E1250" s="1"/>
      <c r="F1250" s="1"/>
      <c r="G1250" s="1"/>
      <c r="H1250" s="1"/>
      <c r="I1250" s="1"/>
      <c r="J1250" s="1"/>
      <c r="K1250" s="1"/>
      <c r="M1250" s="1"/>
      <c r="N1250" s="1"/>
      <c r="O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P1250" s="1"/>
      <c r="AQ1250" s="1"/>
      <c r="AR1250" s="1"/>
      <c r="AU1250" s="1"/>
      <c r="AW1250" s="1"/>
      <c r="AY1250" s="1"/>
    </row>
    <row r="1251">
      <c r="A1251" s="1"/>
      <c r="C1251" s="1"/>
      <c r="E1251" s="1"/>
      <c r="F1251" s="1"/>
      <c r="G1251" s="1"/>
      <c r="H1251" s="1"/>
      <c r="I1251" s="1"/>
      <c r="J1251" s="1"/>
      <c r="K1251" s="1"/>
      <c r="M1251" s="1"/>
      <c r="N1251" s="1"/>
      <c r="O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P1251" s="1"/>
      <c r="AQ1251" s="1"/>
      <c r="AR1251" s="1"/>
      <c r="AU1251" s="1"/>
      <c r="AW1251" s="1"/>
      <c r="AY1251" s="1"/>
    </row>
    <row r="1252">
      <c r="A1252" s="1"/>
      <c r="C1252" s="1"/>
      <c r="E1252" s="1"/>
      <c r="F1252" s="1"/>
      <c r="G1252" s="1"/>
      <c r="H1252" s="1"/>
      <c r="I1252" s="1"/>
      <c r="J1252" s="1"/>
      <c r="K1252" s="1"/>
      <c r="M1252" s="1"/>
      <c r="N1252" s="1"/>
      <c r="O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P1252" s="1"/>
      <c r="AQ1252" s="1"/>
      <c r="AR1252" s="1"/>
      <c r="AU1252" s="1"/>
      <c r="AW1252" s="1"/>
      <c r="AY1252" s="1"/>
    </row>
    <row r="1253">
      <c r="A1253" s="1"/>
      <c r="C1253" s="1"/>
      <c r="E1253" s="1"/>
      <c r="F1253" s="1"/>
      <c r="G1253" s="1"/>
      <c r="H1253" s="1"/>
      <c r="I1253" s="1"/>
      <c r="J1253" s="1"/>
      <c r="K1253" s="1"/>
      <c r="M1253" s="1"/>
      <c r="N1253" s="1"/>
      <c r="O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P1253" s="1"/>
      <c r="AQ1253" s="1"/>
      <c r="AR1253" s="1"/>
      <c r="AU1253" s="1"/>
      <c r="AW1253" s="1"/>
      <c r="AY1253" s="1"/>
    </row>
    <row r="1254">
      <c r="A1254" s="1"/>
      <c r="C1254" s="1"/>
      <c r="E1254" s="1"/>
      <c r="F1254" s="1"/>
      <c r="G1254" s="1"/>
      <c r="H1254" s="1"/>
      <c r="I1254" s="1"/>
      <c r="J1254" s="1"/>
      <c r="K1254" s="1"/>
      <c r="M1254" s="1"/>
      <c r="N1254" s="1"/>
      <c r="O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P1254" s="1"/>
      <c r="AQ1254" s="1"/>
      <c r="AR1254" s="1"/>
      <c r="AU1254" s="1"/>
      <c r="AW1254" s="1"/>
      <c r="AY1254" s="1"/>
    </row>
    <row r="1255">
      <c r="A1255" s="1"/>
      <c r="C1255" s="1"/>
      <c r="E1255" s="1"/>
      <c r="F1255" s="1"/>
      <c r="G1255" s="1"/>
      <c r="H1255" s="1"/>
      <c r="I1255" s="1"/>
      <c r="J1255" s="1"/>
      <c r="K1255" s="1"/>
      <c r="M1255" s="1"/>
      <c r="N1255" s="1"/>
      <c r="O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P1255" s="1"/>
      <c r="AQ1255" s="1"/>
      <c r="AR1255" s="1"/>
      <c r="AU1255" s="1"/>
      <c r="AW1255" s="1"/>
      <c r="AY1255" s="1"/>
    </row>
    <row r="1256">
      <c r="A1256" s="1"/>
      <c r="C1256" s="1"/>
      <c r="E1256" s="1"/>
      <c r="F1256" s="1"/>
      <c r="G1256" s="1"/>
      <c r="H1256" s="1"/>
      <c r="I1256" s="1"/>
      <c r="J1256" s="1"/>
      <c r="K1256" s="1"/>
      <c r="M1256" s="1"/>
      <c r="N1256" s="1"/>
      <c r="O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P1256" s="1"/>
      <c r="AQ1256" s="1"/>
      <c r="AR1256" s="1"/>
      <c r="AU1256" s="1"/>
      <c r="AW1256" s="1"/>
      <c r="AY1256" s="1"/>
    </row>
    <row r="1257">
      <c r="A1257" s="1"/>
      <c r="C1257" s="1"/>
      <c r="E1257" s="1"/>
      <c r="F1257" s="1"/>
      <c r="G1257" s="1"/>
      <c r="H1257" s="1"/>
      <c r="I1257" s="1"/>
      <c r="J1257" s="1"/>
      <c r="K1257" s="1"/>
      <c r="M1257" s="1"/>
      <c r="N1257" s="1"/>
      <c r="O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P1257" s="1"/>
      <c r="AQ1257" s="1"/>
      <c r="AR1257" s="1"/>
      <c r="AU1257" s="1"/>
      <c r="AW1257" s="1"/>
      <c r="AY1257" s="1"/>
    </row>
    <row r="1258">
      <c r="A1258" s="1"/>
      <c r="C1258" s="1"/>
      <c r="E1258" s="1"/>
      <c r="F1258" s="1"/>
      <c r="G1258" s="1"/>
      <c r="H1258" s="1"/>
      <c r="I1258" s="1"/>
      <c r="J1258" s="1"/>
      <c r="K1258" s="1"/>
      <c r="M1258" s="1"/>
      <c r="N1258" s="1"/>
      <c r="O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P1258" s="1"/>
      <c r="AQ1258" s="1"/>
      <c r="AR1258" s="1"/>
      <c r="AU1258" s="1"/>
      <c r="AW1258" s="1"/>
      <c r="AY1258" s="1"/>
    </row>
    <row r="1259">
      <c r="A1259" s="1"/>
      <c r="C1259" s="1"/>
      <c r="E1259" s="1"/>
      <c r="F1259" s="1"/>
      <c r="G1259" s="1"/>
      <c r="H1259" s="1"/>
      <c r="I1259" s="1"/>
      <c r="J1259" s="1"/>
      <c r="K1259" s="1"/>
      <c r="M1259" s="1"/>
      <c r="N1259" s="1"/>
      <c r="O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P1259" s="1"/>
      <c r="AQ1259" s="1"/>
      <c r="AR1259" s="1"/>
      <c r="AU1259" s="1"/>
      <c r="AW1259" s="1"/>
      <c r="AY1259" s="1"/>
    </row>
    <row r="1260">
      <c r="A1260" s="1"/>
      <c r="C1260" s="1"/>
      <c r="E1260" s="1"/>
      <c r="F1260" s="1"/>
      <c r="G1260" s="1"/>
      <c r="H1260" s="1"/>
      <c r="I1260" s="1"/>
      <c r="J1260" s="1"/>
      <c r="K1260" s="1"/>
      <c r="M1260" s="1"/>
      <c r="N1260" s="1"/>
      <c r="O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P1260" s="1"/>
      <c r="AQ1260" s="1"/>
      <c r="AR1260" s="1"/>
      <c r="AU1260" s="1"/>
      <c r="AW1260" s="1"/>
      <c r="AY1260" s="1"/>
    </row>
    <row r="1261">
      <c r="A1261" s="1"/>
      <c r="C1261" s="1"/>
      <c r="E1261" s="1"/>
      <c r="F1261" s="1"/>
      <c r="G1261" s="1"/>
      <c r="H1261" s="1"/>
      <c r="I1261" s="1"/>
      <c r="J1261" s="1"/>
      <c r="K1261" s="1"/>
      <c r="M1261" s="1"/>
      <c r="N1261" s="1"/>
      <c r="O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P1261" s="1"/>
      <c r="AQ1261" s="1"/>
      <c r="AR1261" s="1"/>
      <c r="AU1261" s="1"/>
      <c r="AW1261" s="1"/>
      <c r="AY1261" s="1"/>
    </row>
    <row r="1262">
      <c r="A1262" s="1"/>
      <c r="C1262" s="1"/>
      <c r="E1262" s="1"/>
      <c r="F1262" s="1"/>
      <c r="G1262" s="1"/>
      <c r="H1262" s="1"/>
      <c r="I1262" s="1"/>
      <c r="J1262" s="1"/>
      <c r="K1262" s="1"/>
      <c r="M1262" s="1"/>
      <c r="N1262" s="1"/>
      <c r="O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P1262" s="1"/>
      <c r="AQ1262" s="1"/>
      <c r="AR1262" s="1"/>
      <c r="AU1262" s="1"/>
      <c r="AW1262" s="1"/>
      <c r="AY1262" s="1"/>
    </row>
    <row r="1263">
      <c r="A1263" s="1"/>
      <c r="C1263" s="1"/>
      <c r="E1263" s="1"/>
      <c r="F1263" s="1"/>
      <c r="G1263" s="1"/>
      <c r="H1263" s="1"/>
      <c r="I1263" s="1"/>
      <c r="J1263" s="1"/>
      <c r="K1263" s="1"/>
      <c r="M1263" s="1"/>
      <c r="N1263" s="1"/>
      <c r="O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P1263" s="1"/>
      <c r="AQ1263" s="1"/>
      <c r="AR1263" s="1"/>
      <c r="AU1263" s="1"/>
      <c r="AW1263" s="1"/>
      <c r="AY1263" s="1"/>
    </row>
    <row r="1264">
      <c r="A1264" s="1"/>
      <c r="C1264" s="1"/>
      <c r="E1264" s="1"/>
      <c r="F1264" s="1"/>
      <c r="G1264" s="1"/>
      <c r="H1264" s="1"/>
      <c r="I1264" s="1"/>
      <c r="J1264" s="1"/>
      <c r="K1264" s="1"/>
      <c r="M1264" s="1"/>
      <c r="N1264" s="1"/>
      <c r="O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P1264" s="1"/>
      <c r="AQ1264" s="1"/>
      <c r="AR1264" s="1"/>
      <c r="AU1264" s="1"/>
      <c r="AW1264" s="1"/>
      <c r="AY1264" s="1"/>
    </row>
    <row r="1265">
      <c r="A1265" s="1"/>
      <c r="C1265" s="1"/>
      <c r="E1265" s="1"/>
      <c r="F1265" s="1"/>
      <c r="G1265" s="1"/>
      <c r="H1265" s="1"/>
      <c r="I1265" s="1"/>
      <c r="J1265" s="1"/>
      <c r="K1265" s="1"/>
      <c r="M1265" s="1"/>
      <c r="N1265" s="1"/>
      <c r="O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P1265" s="1"/>
      <c r="AQ1265" s="1"/>
      <c r="AR1265" s="1"/>
      <c r="AU1265" s="1"/>
      <c r="AW1265" s="1"/>
      <c r="AY1265" s="1"/>
    </row>
    <row r="1266">
      <c r="A1266" s="1"/>
      <c r="C1266" s="1"/>
      <c r="E1266" s="1"/>
      <c r="F1266" s="1"/>
      <c r="G1266" s="1"/>
      <c r="H1266" s="1"/>
      <c r="I1266" s="1"/>
      <c r="J1266" s="1"/>
      <c r="K1266" s="1"/>
      <c r="M1266" s="1"/>
      <c r="N1266" s="1"/>
      <c r="O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P1266" s="1"/>
      <c r="AQ1266" s="1"/>
      <c r="AR1266" s="1"/>
      <c r="AU1266" s="1"/>
      <c r="AW1266" s="1"/>
      <c r="AY1266" s="1"/>
    </row>
    <row r="1267">
      <c r="A1267" s="1"/>
      <c r="C1267" s="1"/>
      <c r="E1267" s="1"/>
      <c r="F1267" s="1"/>
      <c r="G1267" s="1"/>
      <c r="H1267" s="1"/>
      <c r="I1267" s="1"/>
      <c r="J1267" s="1"/>
      <c r="K1267" s="1"/>
      <c r="M1267" s="1"/>
      <c r="N1267" s="1"/>
      <c r="O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P1267" s="1"/>
      <c r="AQ1267" s="1"/>
      <c r="AR1267" s="1"/>
      <c r="AU1267" s="1"/>
      <c r="AW1267" s="1"/>
      <c r="AY1267" s="1"/>
    </row>
    <row r="1268">
      <c r="A1268" s="1"/>
      <c r="C1268" s="1"/>
      <c r="E1268" s="1"/>
      <c r="F1268" s="1"/>
      <c r="G1268" s="1"/>
      <c r="H1268" s="1"/>
      <c r="I1268" s="1"/>
      <c r="J1268" s="1"/>
      <c r="K1268" s="1"/>
      <c r="M1268" s="1"/>
      <c r="N1268" s="1"/>
      <c r="O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P1268" s="1"/>
      <c r="AQ1268" s="1"/>
      <c r="AR1268" s="1"/>
      <c r="AU1268" s="1"/>
      <c r="AW1268" s="1"/>
      <c r="AY1268" s="1"/>
    </row>
    <row r="1269">
      <c r="A1269" s="1"/>
      <c r="C1269" s="1"/>
      <c r="E1269" s="1"/>
      <c r="F1269" s="1"/>
      <c r="G1269" s="1"/>
      <c r="H1269" s="1"/>
      <c r="I1269" s="1"/>
      <c r="J1269" s="1"/>
      <c r="K1269" s="1"/>
      <c r="M1269" s="1"/>
      <c r="N1269" s="1"/>
      <c r="O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P1269" s="1"/>
      <c r="AQ1269" s="1"/>
      <c r="AR1269" s="1"/>
      <c r="AU1269" s="1"/>
      <c r="AW1269" s="1"/>
      <c r="AY1269" s="1"/>
    </row>
    <row r="1270">
      <c r="A1270" s="1"/>
      <c r="C1270" s="1"/>
      <c r="E1270" s="1"/>
      <c r="F1270" s="1"/>
      <c r="G1270" s="1"/>
      <c r="H1270" s="1"/>
      <c r="I1270" s="1"/>
      <c r="J1270" s="1"/>
      <c r="K1270" s="1"/>
      <c r="M1270" s="1"/>
      <c r="N1270" s="1"/>
      <c r="O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P1270" s="1"/>
      <c r="AQ1270" s="1"/>
      <c r="AR1270" s="1"/>
      <c r="AU1270" s="1"/>
      <c r="AW1270" s="1"/>
      <c r="AY1270" s="1"/>
    </row>
    <row r="1271">
      <c r="A1271" s="1"/>
      <c r="C1271" s="1"/>
      <c r="E1271" s="1"/>
      <c r="F1271" s="1"/>
      <c r="G1271" s="1"/>
      <c r="H1271" s="1"/>
      <c r="I1271" s="1"/>
      <c r="J1271" s="1"/>
      <c r="K1271" s="1"/>
      <c r="M1271" s="1"/>
      <c r="N1271" s="1"/>
      <c r="O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P1271" s="1"/>
      <c r="AQ1271" s="1"/>
      <c r="AR1271" s="1"/>
      <c r="AU1271" s="1"/>
      <c r="AW1271" s="1"/>
      <c r="AY1271" s="1"/>
    </row>
    <row r="1272">
      <c r="A1272" s="1"/>
      <c r="C1272" s="1"/>
      <c r="E1272" s="1"/>
      <c r="F1272" s="1"/>
      <c r="G1272" s="1"/>
      <c r="H1272" s="1"/>
      <c r="I1272" s="1"/>
      <c r="J1272" s="1"/>
      <c r="K1272" s="1"/>
      <c r="M1272" s="1"/>
      <c r="N1272" s="1"/>
      <c r="O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P1272" s="1"/>
      <c r="AQ1272" s="1"/>
      <c r="AR1272" s="1"/>
      <c r="AU1272" s="1"/>
      <c r="AW1272" s="1"/>
      <c r="AY1272" s="1"/>
    </row>
    <row r="1273">
      <c r="A1273" s="1"/>
      <c r="C1273" s="1"/>
      <c r="E1273" s="1"/>
      <c r="F1273" s="1"/>
      <c r="G1273" s="1"/>
      <c r="H1273" s="1"/>
      <c r="I1273" s="1"/>
      <c r="J1273" s="1"/>
      <c r="K1273" s="1"/>
      <c r="M1273" s="1"/>
      <c r="N1273" s="1"/>
      <c r="O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P1273" s="1"/>
      <c r="AQ1273" s="1"/>
      <c r="AR1273" s="1"/>
      <c r="AU1273" s="1"/>
      <c r="AW1273" s="1"/>
      <c r="AY1273" s="1"/>
    </row>
    <row r="1274">
      <c r="A1274" s="1"/>
      <c r="C1274" s="1"/>
      <c r="E1274" s="1"/>
      <c r="F1274" s="1"/>
      <c r="G1274" s="1"/>
      <c r="H1274" s="1"/>
      <c r="I1274" s="1"/>
      <c r="J1274" s="1"/>
      <c r="K1274" s="1"/>
      <c r="M1274" s="1"/>
      <c r="N1274" s="1"/>
      <c r="O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P1274" s="1"/>
      <c r="AQ1274" s="1"/>
      <c r="AR1274" s="1"/>
      <c r="AU1274" s="1"/>
      <c r="AW1274" s="1"/>
      <c r="AY1274" s="1"/>
    </row>
    <row r="1275">
      <c r="A1275" s="1"/>
      <c r="C1275" s="1"/>
      <c r="E1275" s="1"/>
      <c r="F1275" s="1"/>
      <c r="G1275" s="1"/>
      <c r="H1275" s="1"/>
      <c r="I1275" s="1"/>
      <c r="J1275" s="1"/>
      <c r="K1275" s="1"/>
      <c r="M1275" s="1"/>
      <c r="N1275" s="1"/>
      <c r="O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P1275" s="1"/>
      <c r="AQ1275" s="1"/>
      <c r="AR1275" s="1"/>
      <c r="AU1275" s="1"/>
      <c r="AW1275" s="1"/>
      <c r="AY1275" s="1"/>
    </row>
    <row r="1276">
      <c r="A1276" s="1"/>
      <c r="C1276" s="1"/>
      <c r="E1276" s="1"/>
      <c r="F1276" s="1"/>
      <c r="G1276" s="1"/>
      <c r="H1276" s="1"/>
      <c r="I1276" s="1"/>
      <c r="J1276" s="1"/>
      <c r="K1276" s="1"/>
      <c r="M1276" s="1"/>
      <c r="N1276" s="1"/>
      <c r="O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P1276" s="1"/>
      <c r="AQ1276" s="1"/>
      <c r="AR1276" s="1"/>
      <c r="AU1276" s="1"/>
      <c r="AW1276" s="1"/>
      <c r="AY1276" s="1"/>
    </row>
    <row r="1277">
      <c r="A1277" s="1"/>
      <c r="C1277" s="1"/>
      <c r="E1277" s="1"/>
      <c r="F1277" s="1"/>
      <c r="G1277" s="1"/>
      <c r="H1277" s="1"/>
      <c r="I1277" s="1"/>
      <c r="J1277" s="1"/>
      <c r="K1277" s="1"/>
      <c r="M1277" s="1"/>
      <c r="N1277" s="1"/>
      <c r="O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P1277" s="1"/>
      <c r="AQ1277" s="1"/>
      <c r="AR1277" s="1"/>
      <c r="AU1277" s="1"/>
      <c r="AW1277" s="1"/>
      <c r="AY1277" s="1"/>
    </row>
    <row r="1278">
      <c r="A1278" s="1"/>
      <c r="C1278" s="1"/>
      <c r="E1278" s="1"/>
      <c r="F1278" s="1"/>
      <c r="G1278" s="1"/>
      <c r="H1278" s="1"/>
      <c r="I1278" s="1"/>
      <c r="J1278" s="1"/>
      <c r="K1278" s="1"/>
      <c r="M1278" s="1"/>
      <c r="N1278" s="1"/>
      <c r="O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P1278" s="1"/>
      <c r="AQ1278" s="1"/>
      <c r="AR1278" s="1"/>
      <c r="AU1278" s="1"/>
      <c r="AW1278" s="1"/>
      <c r="AY1278" s="1"/>
    </row>
    <row r="1279">
      <c r="A1279" s="1"/>
      <c r="C1279" s="1"/>
      <c r="E1279" s="1"/>
      <c r="F1279" s="1"/>
      <c r="G1279" s="1"/>
      <c r="H1279" s="1"/>
      <c r="I1279" s="1"/>
      <c r="J1279" s="1"/>
      <c r="K1279" s="1"/>
      <c r="M1279" s="1"/>
      <c r="N1279" s="1"/>
      <c r="O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P1279" s="1"/>
      <c r="AQ1279" s="1"/>
      <c r="AR1279" s="1"/>
      <c r="AU1279" s="1"/>
      <c r="AW1279" s="1"/>
      <c r="AY1279" s="1"/>
    </row>
    <row r="1280">
      <c r="A1280" s="1"/>
      <c r="C1280" s="1"/>
      <c r="E1280" s="1"/>
      <c r="F1280" s="1"/>
      <c r="G1280" s="1"/>
      <c r="H1280" s="1"/>
      <c r="I1280" s="1"/>
      <c r="J1280" s="1"/>
      <c r="K1280" s="1"/>
      <c r="M1280" s="1"/>
      <c r="N1280" s="1"/>
      <c r="O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P1280" s="1"/>
      <c r="AQ1280" s="1"/>
      <c r="AR1280" s="1"/>
      <c r="AU1280" s="1"/>
      <c r="AW1280" s="1"/>
      <c r="AY1280" s="1"/>
    </row>
    <row r="1281">
      <c r="A1281" s="1"/>
      <c r="C1281" s="1"/>
      <c r="E1281" s="1"/>
      <c r="F1281" s="1"/>
      <c r="G1281" s="1"/>
      <c r="H1281" s="1"/>
      <c r="I1281" s="1"/>
      <c r="J1281" s="1"/>
      <c r="K1281" s="1"/>
      <c r="M1281" s="1"/>
      <c r="N1281" s="1"/>
      <c r="O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P1281" s="1"/>
      <c r="AQ1281" s="1"/>
      <c r="AR1281" s="1"/>
      <c r="AU1281" s="1"/>
      <c r="AW1281" s="1"/>
      <c r="AY1281" s="1"/>
    </row>
    <row r="1282">
      <c r="A1282" s="1"/>
      <c r="C1282" s="1"/>
      <c r="E1282" s="1"/>
      <c r="F1282" s="1"/>
      <c r="G1282" s="1"/>
      <c r="H1282" s="1"/>
      <c r="I1282" s="1"/>
      <c r="J1282" s="1"/>
      <c r="K1282" s="1"/>
      <c r="M1282" s="1"/>
      <c r="N1282" s="1"/>
      <c r="O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P1282" s="1"/>
      <c r="AQ1282" s="1"/>
      <c r="AR1282" s="1"/>
      <c r="AU1282" s="1"/>
      <c r="AW1282" s="1"/>
      <c r="AY1282" s="1"/>
    </row>
    <row r="1283">
      <c r="A1283" s="1"/>
      <c r="C1283" s="1"/>
      <c r="E1283" s="1"/>
      <c r="F1283" s="1"/>
      <c r="G1283" s="1"/>
      <c r="H1283" s="1"/>
      <c r="I1283" s="1"/>
      <c r="J1283" s="1"/>
      <c r="K1283" s="1"/>
      <c r="M1283" s="1"/>
      <c r="N1283" s="1"/>
      <c r="O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P1283" s="1"/>
      <c r="AQ1283" s="1"/>
      <c r="AR1283" s="1"/>
      <c r="AU1283" s="1"/>
      <c r="AW1283" s="1"/>
      <c r="AY1283" s="1"/>
    </row>
    <row r="1284">
      <c r="A1284" s="1"/>
      <c r="C1284" s="1"/>
      <c r="E1284" s="1"/>
      <c r="F1284" s="1"/>
      <c r="G1284" s="1"/>
      <c r="H1284" s="1"/>
      <c r="I1284" s="1"/>
      <c r="J1284" s="1"/>
      <c r="K1284" s="1"/>
      <c r="M1284" s="1"/>
      <c r="N1284" s="1"/>
      <c r="O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P1284" s="1"/>
      <c r="AQ1284" s="1"/>
      <c r="AR1284" s="1"/>
      <c r="AU1284" s="1"/>
      <c r="AW1284" s="1"/>
      <c r="AY1284" s="1"/>
    </row>
    <row r="1285">
      <c r="A1285" s="1"/>
      <c r="C1285" s="1"/>
      <c r="E1285" s="1"/>
      <c r="F1285" s="1"/>
      <c r="G1285" s="1"/>
      <c r="H1285" s="1"/>
      <c r="I1285" s="1"/>
      <c r="J1285" s="1"/>
      <c r="K1285" s="1"/>
      <c r="M1285" s="1"/>
      <c r="N1285" s="1"/>
      <c r="O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P1285" s="1"/>
      <c r="AQ1285" s="1"/>
      <c r="AR1285" s="1"/>
      <c r="AU1285" s="1"/>
      <c r="AW1285" s="1"/>
      <c r="AY1285" s="1"/>
    </row>
    <row r="1286">
      <c r="A1286" s="1"/>
      <c r="C1286" s="1"/>
      <c r="E1286" s="1"/>
      <c r="F1286" s="1"/>
      <c r="G1286" s="1"/>
      <c r="H1286" s="1"/>
      <c r="I1286" s="1"/>
      <c r="J1286" s="1"/>
      <c r="K1286" s="1"/>
      <c r="M1286" s="1"/>
      <c r="N1286" s="1"/>
      <c r="O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P1286" s="1"/>
      <c r="AQ1286" s="1"/>
      <c r="AR1286" s="1"/>
      <c r="AU1286" s="1"/>
      <c r="AW1286" s="1"/>
      <c r="AY1286" s="1"/>
    </row>
    <row r="1287">
      <c r="A1287" s="1"/>
      <c r="C1287" s="1"/>
      <c r="E1287" s="1"/>
      <c r="F1287" s="1"/>
      <c r="G1287" s="1"/>
      <c r="H1287" s="1"/>
      <c r="I1287" s="1"/>
      <c r="J1287" s="1"/>
      <c r="K1287" s="1"/>
      <c r="M1287" s="1"/>
      <c r="N1287" s="1"/>
      <c r="O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P1287" s="1"/>
      <c r="AQ1287" s="1"/>
      <c r="AR1287" s="1"/>
      <c r="AU1287" s="1"/>
      <c r="AW1287" s="1"/>
      <c r="AY1287" s="1"/>
    </row>
    <row r="1288">
      <c r="A1288" s="1"/>
      <c r="C1288" s="1"/>
      <c r="E1288" s="1"/>
      <c r="F1288" s="1"/>
      <c r="G1288" s="1"/>
      <c r="H1288" s="1"/>
      <c r="I1288" s="1"/>
      <c r="J1288" s="1"/>
      <c r="K1288" s="1"/>
      <c r="M1288" s="1"/>
      <c r="N1288" s="1"/>
      <c r="O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P1288" s="1"/>
      <c r="AQ1288" s="1"/>
      <c r="AR1288" s="1"/>
      <c r="AU1288" s="1"/>
      <c r="AW1288" s="1"/>
      <c r="AY1288" s="1"/>
    </row>
    <row r="1289">
      <c r="A1289" s="1"/>
      <c r="C1289" s="1"/>
      <c r="E1289" s="1"/>
      <c r="F1289" s="1"/>
      <c r="G1289" s="1"/>
      <c r="H1289" s="1"/>
      <c r="I1289" s="1"/>
      <c r="J1289" s="1"/>
      <c r="K1289" s="1"/>
      <c r="M1289" s="1"/>
      <c r="N1289" s="1"/>
      <c r="O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P1289" s="1"/>
      <c r="AQ1289" s="1"/>
      <c r="AR1289" s="1"/>
      <c r="AU1289" s="1"/>
      <c r="AW1289" s="1"/>
      <c r="AY1289" s="1"/>
    </row>
    <row r="1290">
      <c r="A1290" s="1"/>
      <c r="C1290" s="1"/>
      <c r="E1290" s="1"/>
      <c r="F1290" s="1"/>
      <c r="G1290" s="1"/>
      <c r="H1290" s="1"/>
      <c r="I1290" s="1"/>
      <c r="J1290" s="1"/>
      <c r="K1290" s="1"/>
      <c r="M1290" s="1"/>
      <c r="N1290" s="1"/>
      <c r="O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P1290" s="1"/>
      <c r="AQ1290" s="1"/>
      <c r="AR1290" s="1"/>
      <c r="AU1290" s="1"/>
      <c r="AW1290" s="1"/>
      <c r="AY1290" s="1"/>
    </row>
    <row r="1291">
      <c r="A1291" s="1"/>
      <c r="C1291" s="1"/>
      <c r="E1291" s="1"/>
      <c r="F1291" s="1"/>
      <c r="G1291" s="1"/>
      <c r="H1291" s="1"/>
      <c r="I1291" s="1"/>
      <c r="J1291" s="1"/>
      <c r="K1291" s="1"/>
      <c r="M1291" s="1"/>
      <c r="N1291" s="1"/>
      <c r="O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P1291" s="1"/>
      <c r="AQ1291" s="1"/>
      <c r="AR1291" s="1"/>
      <c r="AU1291" s="1"/>
      <c r="AW1291" s="1"/>
      <c r="AY1291" s="1"/>
    </row>
    <row r="1292">
      <c r="A1292" s="1"/>
      <c r="C1292" s="1"/>
      <c r="E1292" s="1"/>
      <c r="F1292" s="1"/>
      <c r="G1292" s="1"/>
      <c r="H1292" s="1"/>
      <c r="I1292" s="1"/>
      <c r="J1292" s="1"/>
      <c r="K1292" s="1"/>
      <c r="M1292" s="1"/>
      <c r="N1292" s="1"/>
      <c r="O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P1292" s="1"/>
      <c r="AQ1292" s="1"/>
      <c r="AR1292" s="1"/>
      <c r="AU1292" s="1"/>
      <c r="AW1292" s="1"/>
      <c r="AY1292" s="1"/>
    </row>
    <row r="1293">
      <c r="A1293" s="1"/>
      <c r="C1293" s="1"/>
      <c r="E1293" s="1"/>
      <c r="F1293" s="1"/>
      <c r="G1293" s="1"/>
      <c r="H1293" s="1"/>
      <c r="I1293" s="1"/>
      <c r="J1293" s="1"/>
      <c r="K1293" s="1"/>
      <c r="M1293" s="1"/>
      <c r="N1293" s="1"/>
      <c r="O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P1293" s="1"/>
      <c r="AQ1293" s="1"/>
      <c r="AR1293" s="1"/>
      <c r="AU1293" s="1"/>
      <c r="AW1293" s="1"/>
      <c r="AY1293" s="1"/>
    </row>
    <row r="1294">
      <c r="A1294" s="1"/>
      <c r="C1294" s="1"/>
      <c r="E1294" s="1"/>
      <c r="F1294" s="1"/>
      <c r="G1294" s="1"/>
      <c r="H1294" s="1"/>
      <c r="I1294" s="1"/>
      <c r="J1294" s="1"/>
      <c r="K1294" s="1"/>
      <c r="M1294" s="1"/>
      <c r="N1294" s="1"/>
      <c r="O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P1294" s="1"/>
      <c r="AQ1294" s="1"/>
      <c r="AR1294" s="1"/>
      <c r="AU1294" s="1"/>
      <c r="AW1294" s="1"/>
      <c r="AY1294" s="1"/>
    </row>
    <row r="1295">
      <c r="A1295" s="1"/>
      <c r="C1295" s="1"/>
      <c r="E1295" s="1"/>
      <c r="F1295" s="1"/>
      <c r="G1295" s="1"/>
      <c r="H1295" s="1"/>
      <c r="I1295" s="1"/>
      <c r="J1295" s="1"/>
      <c r="K1295" s="1"/>
      <c r="M1295" s="1"/>
      <c r="N1295" s="1"/>
      <c r="O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P1295" s="1"/>
      <c r="AQ1295" s="1"/>
      <c r="AR1295" s="1"/>
      <c r="AU1295" s="1"/>
      <c r="AW1295" s="1"/>
      <c r="AY1295" s="1"/>
    </row>
    <row r="1296">
      <c r="A1296" s="1"/>
      <c r="C1296" s="1"/>
      <c r="E1296" s="1"/>
      <c r="F1296" s="1"/>
      <c r="G1296" s="1"/>
      <c r="H1296" s="1"/>
      <c r="I1296" s="1"/>
      <c r="J1296" s="1"/>
      <c r="K1296" s="1"/>
      <c r="M1296" s="1"/>
      <c r="N1296" s="1"/>
      <c r="O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P1296" s="1"/>
      <c r="AQ1296" s="1"/>
      <c r="AR1296" s="1"/>
      <c r="AU1296" s="1"/>
      <c r="AW1296" s="1"/>
      <c r="AY1296" s="1"/>
    </row>
    <row r="1297">
      <c r="A1297" s="1"/>
      <c r="C1297" s="1"/>
      <c r="E1297" s="1"/>
      <c r="F1297" s="1"/>
      <c r="G1297" s="1"/>
      <c r="H1297" s="1"/>
      <c r="I1297" s="1"/>
      <c r="J1297" s="1"/>
      <c r="K1297" s="1"/>
      <c r="M1297" s="1"/>
      <c r="N1297" s="1"/>
      <c r="O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P1297" s="1"/>
      <c r="AQ1297" s="1"/>
      <c r="AR1297" s="1"/>
      <c r="AU1297" s="1"/>
      <c r="AW1297" s="1"/>
      <c r="AY1297" s="1"/>
    </row>
    <row r="1298">
      <c r="A1298" s="1"/>
      <c r="C1298" s="1"/>
      <c r="E1298" s="1"/>
      <c r="F1298" s="1"/>
      <c r="G1298" s="1"/>
      <c r="H1298" s="1"/>
      <c r="I1298" s="1"/>
      <c r="J1298" s="1"/>
      <c r="K1298" s="1"/>
      <c r="M1298" s="1"/>
      <c r="N1298" s="1"/>
      <c r="O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P1298" s="1"/>
      <c r="AQ1298" s="1"/>
      <c r="AR1298" s="1"/>
      <c r="AU1298" s="1"/>
      <c r="AW1298" s="1"/>
      <c r="AY1298" s="1"/>
    </row>
    <row r="1299">
      <c r="A1299" s="1"/>
      <c r="C1299" s="1"/>
      <c r="E1299" s="1"/>
      <c r="F1299" s="1"/>
      <c r="G1299" s="1"/>
      <c r="H1299" s="1"/>
      <c r="I1299" s="1"/>
      <c r="J1299" s="1"/>
      <c r="K1299" s="1"/>
      <c r="M1299" s="1"/>
      <c r="N1299" s="1"/>
      <c r="O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P1299" s="1"/>
      <c r="AQ1299" s="1"/>
      <c r="AR1299" s="1"/>
      <c r="AU1299" s="1"/>
      <c r="AW1299" s="1"/>
      <c r="AY1299" s="1"/>
    </row>
    <row r="1300">
      <c r="A1300" s="1"/>
      <c r="C1300" s="1"/>
      <c r="E1300" s="1"/>
      <c r="F1300" s="1"/>
      <c r="G1300" s="1"/>
      <c r="H1300" s="1"/>
      <c r="I1300" s="1"/>
      <c r="J1300" s="1"/>
      <c r="K1300" s="1"/>
      <c r="M1300" s="1"/>
      <c r="N1300" s="1"/>
      <c r="O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P1300" s="1"/>
      <c r="AQ1300" s="1"/>
      <c r="AR1300" s="1"/>
      <c r="AU1300" s="1"/>
      <c r="AW1300" s="1"/>
      <c r="AY1300" s="1"/>
    </row>
    <row r="1301">
      <c r="A1301" s="1"/>
      <c r="C1301" s="1"/>
      <c r="E1301" s="1"/>
      <c r="F1301" s="1"/>
      <c r="G1301" s="1"/>
      <c r="H1301" s="1"/>
      <c r="I1301" s="1"/>
      <c r="J1301" s="1"/>
      <c r="K1301" s="1"/>
      <c r="M1301" s="1"/>
      <c r="N1301" s="1"/>
      <c r="O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P1301" s="1"/>
      <c r="AQ1301" s="1"/>
      <c r="AR1301" s="1"/>
      <c r="AU1301" s="1"/>
      <c r="AW1301" s="1"/>
      <c r="AY1301" s="1"/>
    </row>
    <row r="1302">
      <c r="A1302" s="1"/>
      <c r="C1302" s="1"/>
      <c r="E1302" s="1"/>
      <c r="F1302" s="1"/>
      <c r="G1302" s="1"/>
      <c r="H1302" s="1"/>
      <c r="I1302" s="1"/>
      <c r="J1302" s="1"/>
      <c r="K1302" s="1"/>
      <c r="M1302" s="1"/>
      <c r="N1302" s="1"/>
      <c r="O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P1302" s="1"/>
      <c r="AQ1302" s="1"/>
      <c r="AR1302" s="1"/>
      <c r="AU1302" s="1"/>
      <c r="AW1302" s="1"/>
      <c r="AY1302" s="1"/>
    </row>
    <row r="1303">
      <c r="A1303" s="1"/>
      <c r="C1303" s="1"/>
      <c r="E1303" s="1"/>
      <c r="F1303" s="1"/>
      <c r="G1303" s="1"/>
      <c r="H1303" s="1"/>
      <c r="I1303" s="1"/>
      <c r="J1303" s="1"/>
      <c r="K1303" s="1"/>
      <c r="M1303" s="1"/>
      <c r="N1303" s="1"/>
      <c r="O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P1303" s="1"/>
      <c r="AQ1303" s="1"/>
      <c r="AR1303" s="1"/>
      <c r="AU1303" s="1"/>
      <c r="AW1303" s="1"/>
      <c r="AY1303" s="1"/>
    </row>
    <row r="1304">
      <c r="A1304" s="1"/>
      <c r="C1304" s="1"/>
      <c r="E1304" s="1"/>
      <c r="F1304" s="1"/>
      <c r="G1304" s="1"/>
      <c r="H1304" s="1"/>
      <c r="I1304" s="1"/>
      <c r="J1304" s="1"/>
      <c r="K1304" s="1"/>
      <c r="M1304" s="1"/>
      <c r="N1304" s="1"/>
      <c r="O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P1304" s="1"/>
      <c r="AQ1304" s="1"/>
      <c r="AR1304" s="1"/>
      <c r="AU1304" s="1"/>
      <c r="AW1304" s="1"/>
      <c r="AY1304" s="1"/>
    </row>
    <row r="1305">
      <c r="A1305" s="1"/>
      <c r="C1305" s="1"/>
      <c r="E1305" s="1"/>
      <c r="F1305" s="1"/>
      <c r="G1305" s="1"/>
      <c r="H1305" s="1"/>
      <c r="I1305" s="1"/>
      <c r="J1305" s="1"/>
      <c r="K1305" s="1"/>
      <c r="M1305" s="1"/>
      <c r="N1305" s="1"/>
      <c r="O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P1305" s="1"/>
      <c r="AQ1305" s="1"/>
      <c r="AR1305" s="1"/>
      <c r="AU1305" s="1"/>
      <c r="AW1305" s="1"/>
      <c r="AY1305" s="1"/>
    </row>
    <row r="1306">
      <c r="A1306" s="1"/>
      <c r="C1306" s="1"/>
      <c r="E1306" s="1"/>
      <c r="F1306" s="1"/>
      <c r="G1306" s="1"/>
      <c r="H1306" s="1"/>
      <c r="I1306" s="1"/>
      <c r="J1306" s="1"/>
      <c r="K1306" s="1"/>
      <c r="M1306" s="1"/>
      <c r="N1306" s="1"/>
      <c r="O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P1306" s="1"/>
      <c r="AQ1306" s="1"/>
      <c r="AR1306" s="1"/>
      <c r="AU1306" s="1"/>
      <c r="AW1306" s="1"/>
      <c r="AY1306" s="1"/>
    </row>
    <row r="1307">
      <c r="A1307" s="1"/>
      <c r="C1307" s="1"/>
      <c r="E1307" s="1"/>
      <c r="F1307" s="1"/>
      <c r="G1307" s="1"/>
      <c r="H1307" s="1"/>
      <c r="I1307" s="1"/>
      <c r="J1307" s="1"/>
      <c r="K1307" s="1"/>
      <c r="M1307" s="1"/>
      <c r="N1307" s="1"/>
      <c r="O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P1307" s="1"/>
      <c r="AQ1307" s="1"/>
      <c r="AR1307" s="1"/>
      <c r="AU1307" s="1"/>
      <c r="AW1307" s="1"/>
      <c r="AY1307" s="1"/>
    </row>
    <row r="1308">
      <c r="A1308" s="1"/>
      <c r="C1308" s="1"/>
      <c r="E1308" s="1"/>
      <c r="F1308" s="1"/>
      <c r="G1308" s="1"/>
      <c r="H1308" s="1"/>
      <c r="I1308" s="1"/>
      <c r="J1308" s="1"/>
      <c r="K1308" s="1"/>
      <c r="M1308" s="1"/>
      <c r="N1308" s="1"/>
      <c r="O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P1308" s="1"/>
      <c r="AQ1308" s="1"/>
      <c r="AR1308" s="1"/>
      <c r="AU1308" s="1"/>
      <c r="AW1308" s="1"/>
      <c r="AY1308" s="1"/>
    </row>
    <row r="1309">
      <c r="A1309" s="1"/>
      <c r="C1309" s="1"/>
      <c r="E1309" s="1"/>
      <c r="F1309" s="1"/>
      <c r="G1309" s="1"/>
      <c r="H1309" s="1"/>
      <c r="I1309" s="1"/>
      <c r="J1309" s="1"/>
      <c r="K1309" s="1"/>
      <c r="M1309" s="1"/>
      <c r="N1309" s="1"/>
      <c r="O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P1309" s="1"/>
      <c r="AQ1309" s="1"/>
      <c r="AR1309" s="1"/>
      <c r="AU1309" s="1"/>
      <c r="AW1309" s="1"/>
      <c r="AY1309" s="1"/>
    </row>
    <row r="1310">
      <c r="A1310" s="1"/>
      <c r="C1310" s="1"/>
      <c r="E1310" s="1"/>
      <c r="F1310" s="1"/>
      <c r="G1310" s="1"/>
      <c r="H1310" s="1"/>
      <c r="I1310" s="1"/>
      <c r="J1310" s="1"/>
      <c r="K1310" s="1"/>
      <c r="M1310" s="1"/>
      <c r="N1310" s="1"/>
      <c r="O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P1310" s="1"/>
      <c r="AQ1310" s="1"/>
      <c r="AR1310" s="1"/>
      <c r="AU1310" s="1"/>
      <c r="AW1310" s="1"/>
      <c r="AY1310" s="1"/>
    </row>
    <row r="1311">
      <c r="A1311" s="1"/>
      <c r="C1311" s="1"/>
      <c r="E1311" s="1"/>
      <c r="F1311" s="1"/>
      <c r="G1311" s="1"/>
      <c r="H1311" s="1"/>
      <c r="I1311" s="1"/>
      <c r="J1311" s="1"/>
      <c r="K1311" s="1"/>
      <c r="M1311" s="1"/>
      <c r="N1311" s="1"/>
      <c r="O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P1311" s="1"/>
      <c r="AQ1311" s="1"/>
      <c r="AR1311" s="1"/>
      <c r="AU1311" s="1"/>
      <c r="AW1311" s="1"/>
      <c r="AY1311" s="1"/>
    </row>
    <row r="1312">
      <c r="A1312" s="1"/>
      <c r="C1312" s="1"/>
      <c r="E1312" s="1"/>
      <c r="F1312" s="1"/>
      <c r="G1312" s="1"/>
      <c r="H1312" s="1"/>
      <c r="I1312" s="1"/>
      <c r="J1312" s="1"/>
      <c r="K1312" s="1"/>
      <c r="M1312" s="1"/>
      <c r="N1312" s="1"/>
      <c r="O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P1312" s="1"/>
      <c r="AQ1312" s="1"/>
      <c r="AR1312" s="1"/>
      <c r="AU1312" s="1"/>
      <c r="AW1312" s="1"/>
      <c r="AY1312" s="1"/>
    </row>
    <row r="1313">
      <c r="A1313" s="1"/>
      <c r="C1313" s="1"/>
      <c r="E1313" s="1"/>
      <c r="F1313" s="1"/>
      <c r="G1313" s="1"/>
      <c r="H1313" s="1"/>
      <c r="I1313" s="1"/>
      <c r="J1313" s="1"/>
      <c r="K1313" s="1"/>
      <c r="M1313" s="1"/>
      <c r="N1313" s="1"/>
      <c r="O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P1313" s="1"/>
      <c r="AQ1313" s="1"/>
      <c r="AR1313" s="1"/>
      <c r="AU1313" s="1"/>
      <c r="AW1313" s="1"/>
      <c r="AY1313" s="1"/>
    </row>
    <row r="1314">
      <c r="A1314" s="1"/>
      <c r="C1314" s="1"/>
      <c r="E1314" s="1"/>
      <c r="F1314" s="1"/>
      <c r="G1314" s="1"/>
      <c r="H1314" s="1"/>
      <c r="I1314" s="1"/>
      <c r="J1314" s="1"/>
      <c r="K1314" s="1"/>
      <c r="M1314" s="1"/>
      <c r="N1314" s="1"/>
      <c r="O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P1314" s="1"/>
      <c r="AQ1314" s="1"/>
      <c r="AR1314" s="1"/>
      <c r="AU1314" s="1"/>
      <c r="AW1314" s="1"/>
      <c r="AY1314" s="1"/>
    </row>
    <row r="1315">
      <c r="A1315" s="1"/>
      <c r="C1315" s="1"/>
      <c r="E1315" s="1"/>
      <c r="F1315" s="1"/>
      <c r="G1315" s="1"/>
      <c r="H1315" s="1"/>
      <c r="I1315" s="1"/>
      <c r="J1315" s="1"/>
      <c r="K1315" s="1"/>
      <c r="M1315" s="1"/>
      <c r="N1315" s="1"/>
      <c r="O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P1315" s="1"/>
      <c r="AQ1315" s="1"/>
      <c r="AR1315" s="1"/>
      <c r="AU1315" s="1"/>
      <c r="AW1315" s="1"/>
      <c r="AY1315" s="1"/>
    </row>
    <row r="1316">
      <c r="A1316" s="1"/>
      <c r="C1316" s="1"/>
      <c r="E1316" s="1"/>
      <c r="F1316" s="1"/>
      <c r="G1316" s="1"/>
      <c r="H1316" s="1"/>
      <c r="I1316" s="1"/>
      <c r="J1316" s="1"/>
      <c r="K1316" s="1"/>
      <c r="M1316" s="1"/>
      <c r="N1316" s="1"/>
      <c r="O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P1316" s="1"/>
      <c r="AQ1316" s="1"/>
      <c r="AR1316" s="1"/>
      <c r="AU1316" s="1"/>
      <c r="AW1316" s="1"/>
      <c r="AY1316" s="1"/>
    </row>
    <row r="1317">
      <c r="A1317" s="1"/>
      <c r="C1317" s="1"/>
      <c r="E1317" s="1"/>
      <c r="F1317" s="1"/>
      <c r="G1317" s="1"/>
      <c r="H1317" s="1"/>
      <c r="I1317" s="1"/>
      <c r="J1317" s="1"/>
      <c r="K1317" s="1"/>
      <c r="M1317" s="1"/>
      <c r="N1317" s="1"/>
      <c r="O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P1317" s="1"/>
      <c r="AQ1317" s="1"/>
      <c r="AR1317" s="1"/>
      <c r="AU1317" s="1"/>
      <c r="AW1317" s="1"/>
      <c r="AY1317" s="1"/>
    </row>
    <row r="1318">
      <c r="A1318" s="1"/>
      <c r="C1318" s="1"/>
      <c r="E1318" s="1"/>
      <c r="F1318" s="1"/>
      <c r="G1318" s="1"/>
      <c r="H1318" s="1"/>
      <c r="I1318" s="1"/>
      <c r="J1318" s="1"/>
      <c r="K1318" s="1"/>
      <c r="M1318" s="1"/>
      <c r="N1318" s="1"/>
      <c r="O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P1318" s="1"/>
      <c r="AQ1318" s="1"/>
      <c r="AR1318" s="1"/>
      <c r="AU1318" s="1"/>
      <c r="AW1318" s="1"/>
      <c r="AY1318" s="1"/>
    </row>
    <row r="1319">
      <c r="A1319" s="1"/>
      <c r="C1319" s="1"/>
      <c r="E1319" s="1"/>
      <c r="F1319" s="1"/>
      <c r="G1319" s="1"/>
      <c r="H1319" s="1"/>
      <c r="I1319" s="1"/>
      <c r="J1319" s="1"/>
      <c r="K1319" s="1"/>
      <c r="M1319" s="1"/>
      <c r="N1319" s="1"/>
      <c r="O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P1319" s="1"/>
      <c r="AQ1319" s="1"/>
      <c r="AR1319" s="1"/>
      <c r="AU1319" s="1"/>
      <c r="AW1319" s="1"/>
      <c r="AY1319" s="1"/>
    </row>
    <row r="1320">
      <c r="A1320" s="1"/>
      <c r="C1320" s="1"/>
      <c r="E1320" s="1"/>
      <c r="F1320" s="1"/>
      <c r="G1320" s="1"/>
      <c r="H1320" s="1"/>
      <c r="I1320" s="1"/>
      <c r="J1320" s="1"/>
      <c r="K1320" s="1"/>
      <c r="M1320" s="1"/>
      <c r="N1320" s="1"/>
      <c r="O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P1320" s="1"/>
      <c r="AQ1320" s="1"/>
      <c r="AR1320" s="1"/>
      <c r="AU1320" s="1"/>
      <c r="AW1320" s="1"/>
      <c r="AY1320" s="1"/>
    </row>
    <row r="1321">
      <c r="A1321" s="1"/>
      <c r="C1321" s="1"/>
      <c r="E1321" s="1"/>
      <c r="F1321" s="1"/>
      <c r="G1321" s="1"/>
      <c r="H1321" s="1"/>
      <c r="I1321" s="1"/>
      <c r="J1321" s="1"/>
      <c r="K1321" s="1"/>
      <c r="M1321" s="1"/>
      <c r="N1321" s="1"/>
      <c r="O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P1321" s="1"/>
      <c r="AQ1321" s="1"/>
      <c r="AR1321" s="1"/>
      <c r="AU1321" s="1"/>
      <c r="AW1321" s="1"/>
      <c r="AY1321" s="1"/>
    </row>
  </sheetData>
  <autoFilter ref="$A$1:$AY$321">
    <filterColumn colId="2">
      <filters>
        <filter val="lesotho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tr">
        <f>IFERROR(__xludf.DUMMYFUNCTION("IMPORTDATA(""https://kf.kobotoolbox.org/api/v2/assets/aThVAgCprsJX4TMY9NpFi2/export-settings/esHRjugQrqhUPdABeHm8kb3/data.csv"","";"")"),"consent")</f>
        <v>consent</v>
      </c>
      <c r="B1" s="3" t="str">
        <f>IFERROR(__xludf.DUMMYFUNCTION("""COMPUTED_VALUE"""),"disclaimer_note")</f>
        <v>disclaimer_note</v>
      </c>
      <c r="C1" s="3" t="str">
        <f>IFERROR(__xludf.DUMMYFUNCTION("""COMPUTED_VALUE"""),"nationality")</f>
        <v>nationality</v>
      </c>
      <c r="D1" s="3" t="str">
        <f>IFERROR(__xludf.DUMMYFUNCTION("""COMPUTED_VALUE"""),"other_nat")</f>
        <v>other_nat</v>
      </c>
      <c r="E1" s="3" t="str">
        <f>IFERROR(__xludf.DUMMYFUNCTION("""COMPUTED_VALUE"""),"country_res")</f>
        <v>country_res</v>
      </c>
      <c r="F1" s="3" t="str">
        <f>IFERROR(__xludf.DUMMYFUNCTION("""COMPUTED_VALUE"""),"current_location")</f>
        <v>current_location</v>
      </c>
      <c r="G1" s="3" t="str">
        <f>IFERROR(__xludf.DUMMYFUNCTION("""COMPUTED_VALUE"""),"age")</f>
        <v>age</v>
      </c>
      <c r="H1" s="3" t="str">
        <f>IFERROR(__xludf.DUMMYFUNCTION("""COMPUTED_VALUE"""),"gender")</f>
        <v>gender</v>
      </c>
      <c r="I1" s="3" t="str">
        <f>IFERROR(__xludf.DUMMYFUNCTION("""COMPUTED_VALUE"""),"lived_in_sa")</f>
        <v>lived_in_sa</v>
      </c>
      <c r="J1" s="3" t="str">
        <f>IFERROR(__xludf.DUMMYFUNCTION("""COMPUTED_VALUE"""),"occupation")</f>
        <v>occupation</v>
      </c>
      <c r="K1" s="3" t="str">
        <f>IFERROR(__xludf.DUMMYFUNCTION("""COMPUTED_VALUE"""),"education_level")</f>
        <v>education_level</v>
      </c>
      <c r="L1" s="3" t="str">
        <f>IFERROR(__xludf.DUMMYFUNCTION("""COMPUTED_VALUE"""),"note_healthcare_needs")</f>
        <v>note_healthcare_needs</v>
      </c>
      <c r="M1" s="3" t="str">
        <f>IFERROR(__xludf.DUMMYFUNCTION("""COMPUTED_VALUE"""),"access_quality")</f>
        <v>access_quality</v>
      </c>
      <c r="N1" s="3" t="str">
        <f>IFERROR(__xludf.DUMMYFUNCTION("""COMPUTED_VALUE"""),"ensure_access")</f>
        <v>ensure_access</v>
      </c>
      <c r="O1" s="3" t="str">
        <f>IFERROR(__xludf.DUMMYFUNCTION("""COMPUTED_VALUE"""),"routine_checkups")</f>
        <v>routine_checkups</v>
      </c>
      <c r="P1" s="3" t="str">
        <f>IFERROR(__xludf.DUMMYFUNCTION("""COMPUTED_VALUE"""),"note_willingness")</f>
        <v>note_willingness</v>
      </c>
      <c r="Q1" s="3" t="str">
        <f>IFERROR(__xludf.DUMMYFUNCTION("""COMPUTED_VALUE"""),"nationallity_pref")</f>
        <v>nationallity_pref</v>
      </c>
      <c r="R1" s="3" t="str">
        <f>IFERROR(__xludf.DUMMYFUNCTION("""COMPUTED_VALUE"""),"language_pref")</f>
        <v>language_pref</v>
      </c>
      <c r="S1" s="3" t="str">
        <f>IFERROR(__xludf.DUMMYFUNCTION("""COMPUTED_VALUE"""),"gender_pref")</f>
        <v>gender_pref</v>
      </c>
      <c r="T1" s="3" t="str">
        <f>IFERROR(__xludf.DUMMYFUNCTION("""COMPUTED_VALUE"""),"age_pref")</f>
        <v>age_pref</v>
      </c>
      <c r="U1" s="3" t="str">
        <f>IFERROR(__xludf.DUMMYFUNCTION("""COMPUTED_VALUE"""),"keypop_services")</f>
        <v>keypop_services</v>
      </c>
      <c r="V1" s="3" t="str">
        <f>IFERROR(__xludf.DUMMYFUNCTION("""COMPUTED_VALUE"""),"years_experience")</f>
        <v>years_experience</v>
      </c>
      <c r="W1" s="3" t="str">
        <f>IFERROR(__xludf.DUMMYFUNCTION("""COMPUTED_VALUE"""),"religion_pref")</f>
        <v>religion_pref</v>
      </c>
      <c r="X1" s="3" t="str">
        <f>IFERROR(__xludf.DUMMYFUNCTION("""COMPUTED_VALUE"""),"service_type")</f>
        <v>service_type</v>
      </c>
      <c r="Y1" s="3" t="str">
        <f>IFERROR(__xludf.DUMMYFUNCTION("""COMPUTED_VALUE"""),"payment_option")</f>
        <v>payment_option</v>
      </c>
      <c r="Z1" s="3" t="str">
        <f>IFERROR(__xludf.DUMMYFUNCTION("""COMPUTED_VALUE"""),"subscription_type")</f>
        <v>subscription_type</v>
      </c>
      <c r="AA1" s="3" t="str">
        <f>IFERROR(__xludf.DUMMYFUNCTION("""COMPUTED_VALUE"""),"willingness_to_pay")</f>
        <v>willingness_to_pay</v>
      </c>
      <c r="AB1" s="3" t="str">
        <f>IFERROR(__xludf.DUMMYFUNCTION("""COMPUTED_VALUE"""),"subscription_method")</f>
        <v>subscription_method</v>
      </c>
      <c r="AC1" s="3" t="str">
        <f>IFERROR(__xludf.DUMMYFUNCTION("""COMPUTED_VALUE"""),"employer")</f>
        <v>employer</v>
      </c>
      <c r="AD1" s="3" t="str">
        <f>IFERROR(__xludf.DUMMYFUNCTION("""COMPUTED_VALUE"""),"employer_subscr_type")</f>
        <v>employer_subscr_type</v>
      </c>
      <c r="AE1" s="3" t="str">
        <f>IFERROR(__xludf.DUMMYFUNCTION("""COMPUTED_VALUE"""),"employ_insur_coverage")</f>
        <v>employ_insur_coverage</v>
      </c>
      <c r="AF1" s="3" t="str">
        <f>IFERROR(__xludf.DUMMYFUNCTION("""COMPUTED_VALUE"""),"share_service")</f>
        <v>share_service</v>
      </c>
      <c r="AG1" s="3" t="str">
        <f>IFERROR(__xludf.DUMMYFUNCTION("""COMPUTED_VALUE"""),"become_agent")</f>
        <v>become_agent</v>
      </c>
      <c r="AH1" s="3" t="str">
        <f>IFERROR(__xludf.DUMMYFUNCTION("""COMPUTED_VALUE"""),"agent_commission")</f>
        <v>agent_commission</v>
      </c>
      <c r="AI1" s="3" t="str">
        <f>IFERROR(__xludf.DUMMYFUNCTION("""COMPUTED_VALUE"""),"endorsement_factors/other_govt")</f>
        <v>endorsement_factors/other_govt</v>
      </c>
      <c r="AJ1" s="3" t="str">
        <f>IFERROR(__xludf.DUMMYFUNCTION("""COMPUTED_VALUE"""),"endorsement_factors/govt")</f>
        <v>endorsement_factors/govt</v>
      </c>
      <c r="AK1" s="3" t="str">
        <f>IFERROR(__xludf.DUMMYFUNCTION("""COMPUTED_VALUE"""),"endorsement_factors/private")</f>
        <v>endorsement_factors/private</v>
      </c>
      <c r="AL1" s="3" t="str">
        <f>IFERROR(__xludf.DUMMYFUNCTION("""COMPUTED_VALUE"""),"endorsement_factors/none")</f>
        <v>endorsement_factors/none</v>
      </c>
      <c r="AM1" s="3" t="str">
        <f>IFERROR(__xludf.DUMMYFUNCTION("""COMPUTED_VALUE"""),"interested_more_info")</f>
        <v>interested_more_info</v>
      </c>
      <c r="AN1" s="3" t="str">
        <f>IFERROR(__xludf.DUMMYFUNCTION("""COMPUTED_VALUE"""),"phone_number")</f>
        <v>phone_number</v>
      </c>
      <c r="AO1" s="3" t="str">
        <f>IFERROR(__xludf.DUMMYFUNCTION("""COMPUTED_VALUE"""),"end_note")</f>
        <v>end_note</v>
      </c>
      <c r="AP1" s="3" t="str">
        <f>IFERROR(__xludf.DUMMYFUNCTION("""COMPUTED_VALUE"""),"_id")</f>
        <v>_id</v>
      </c>
      <c r="AQ1" s="3" t="str">
        <f>IFERROR(__xludf.DUMMYFUNCTION("""COMPUTED_VALUE"""),"_uuid")</f>
        <v>_uuid</v>
      </c>
      <c r="AR1" s="3" t="str">
        <f>IFERROR(__xludf.DUMMYFUNCTION("""COMPUTED_VALUE"""),"_submission_time")</f>
        <v>_submission_time</v>
      </c>
      <c r="AS1" s="3" t="str">
        <f>IFERROR(__xludf.DUMMYFUNCTION("""COMPUTED_VALUE"""),"_validation_status")</f>
        <v>_validation_status</v>
      </c>
      <c r="AT1" s="3" t="str">
        <f>IFERROR(__xludf.DUMMYFUNCTION("""COMPUTED_VALUE"""),"_notes")</f>
        <v>_notes</v>
      </c>
      <c r="AU1" s="3" t="str">
        <f>IFERROR(__xludf.DUMMYFUNCTION("""COMPUTED_VALUE"""),"_status")</f>
        <v>_status</v>
      </c>
      <c r="AV1" s="3" t="str">
        <f>IFERROR(__xludf.DUMMYFUNCTION("""COMPUTED_VALUE"""),"_submitted_by")</f>
        <v>_submitted_by</v>
      </c>
      <c r="AW1" s="3" t="str">
        <f>IFERROR(__xludf.DUMMYFUNCTION("""COMPUTED_VALUE"""),"__version__")</f>
        <v>__version__</v>
      </c>
      <c r="AX1" s="3" t="str">
        <f>IFERROR(__xludf.DUMMYFUNCTION("""COMPUTED_VALUE"""),"_tags")</f>
        <v>_tags</v>
      </c>
      <c r="AY1" s="3" t="str">
        <f>IFERROR(__xludf.DUMMYFUNCTION("""COMPUTED_VALUE"""),"_index")</f>
        <v>_index</v>
      </c>
    </row>
    <row r="2">
      <c r="A2" s="3" t="str">
        <f>IFERROR(__xludf.DUMMYFUNCTION("""COMPUTED_VALUE"""),"Yes")</f>
        <v>Yes</v>
      </c>
      <c r="B2" s="3"/>
      <c r="C2" s="3" t="str">
        <f>IFERROR(__xludf.DUMMYFUNCTION("""COMPUTED_VALUE"""),"zimbabwe")</f>
        <v>zimbabwe</v>
      </c>
      <c r="D2" s="3"/>
      <c r="E2" s="3" t="str">
        <f>IFERROR(__xludf.DUMMYFUNCTION("""COMPUTED_VALUE"""),"south_africa")</f>
        <v>south_africa</v>
      </c>
      <c r="F2" s="3" t="str">
        <f>IFERROR(__xludf.DUMMYFUNCTION("""COMPUTED_VALUE"""),"City of Tshwane Metropolitan Municipality")</f>
        <v>City of Tshwane Metropolitan Municipality</v>
      </c>
      <c r="G2" s="3">
        <f>IFERROR(__xludf.DUMMYFUNCTION("""COMPUTED_VALUE"""),36.0)</f>
        <v>36</v>
      </c>
      <c r="H2" s="3" t="str">
        <f>IFERROR(__xludf.DUMMYFUNCTION("""COMPUTED_VALUE"""),"female")</f>
        <v>female</v>
      </c>
      <c r="I2" s="3" t="str">
        <f>IFERROR(__xludf.DUMMYFUNCTION("""COMPUTED_VALUE"""),"over5")</f>
        <v>over5</v>
      </c>
      <c r="J2" s="3" t="str">
        <f>IFERROR(__xludf.DUMMYFUNCTION("""COMPUTED_VALUE"""),"informal")</f>
        <v>informal</v>
      </c>
      <c r="K2" s="3" t="str">
        <f>IFERROR(__xludf.DUMMYFUNCTION("""COMPUTED_VALUE"""),"secondary")</f>
        <v>secondary</v>
      </c>
      <c r="L2" s="3"/>
      <c r="M2" s="3" t="str">
        <f>IFERROR(__xludf.DUMMYFUNCTION("""COMPUTED_VALUE"""),"agree")</f>
        <v>agree</v>
      </c>
      <c r="N2" s="3" t="str">
        <f>IFERROR(__xludf.DUMMYFUNCTION("""COMPUTED_VALUE"""),"agree")</f>
        <v>agree</v>
      </c>
      <c r="O2" s="3" t="str">
        <f>IFERROR(__xludf.DUMMYFUNCTION("""COMPUTED_VALUE"""),"disagree")</f>
        <v>disagree</v>
      </c>
      <c r="P2" s="3"/>
      <c r="Q2" s="3" t="str">
        <f>IFERROR(__xludf.DUMMYFUNCTION("""COMPUTED_VALUE"""),"dontknow")</f>
        <v>dontknow</v>
      </c>
      <c r="R2" s="3" t="str">
        <f>IFERROR(__xludf.DUMMYFUNCTION("""COMPUTED_VALUE"""),"agree")</f>
        <v>agree</v>
      </c>
      <c r="S2" s="3" t="str">
        <f>IFERROR(__xludf.DUMMYFUNCTION("""COMPUTED_VALUE"""),"disagree")</f>
        <v>disagree</v>
      </c>
      <c r="T2" s="3" t="str">
        <f>IFERROR(__xludf.DUMMYFUNCTION("""COMPUTED_VALUE"""),"disagree")</f>
        <v>disagree</v>
      </c>
      <c r="U2" s="3" t="str">
        <f>IFERROR(__xludf.DUMMYFUNCTION("""COMPUTED_VALUE"""),"dontknow")</f>
        <v>dontknow</v>
      </c>
      <c r="V2" s="3" t="str">
        <f>IFERROR(__xludf.DUMMYFUNCTION("""COMPUTED_VALUE"""),"disagree")</f>
        <v>disagree</v>
      </c>
      <c r="W2" s="3" t="str">
        <f>IFERROR(__xludf.DUMMYFUNCTION("""COMPUTED_VALUE"""),"disagree")</f>
        <v>disagree</v>
      </c>
      <c r="X2" s="3" t="str">
        <f>IFERROR(__xludf.DUMMYFUNCTION("""COMPUTED_VALUE"""),"Gold")</f>
        <v>Gold</v>
      </c>
      <c r="Y2" s="3" t="str">
        <f>IFERROR(__xludf.DUMMYFUNCTION("""COMPUTED_VALUE"""),"cash")</f>
        <v>cash</v>
      </c>
      <c r="Z2" s="3" t="str">
        <f>IFERROR(__xludf.DUMMYFUNCTION("""COMPUTED_VALUE"""),"once")</f>
        <v>once</v>
      </c>
      <c r="AA2" s="3">
        <f>IFERROR(__xludf.DUMMYFUNCTION("""COMPUTED_VALUE"""),100.0)</f>
        <v>100</v>
      </c>
      <c r="AB2" s="3" t="str">
        <f>IFERROR(__xludf.DUMMYFUNCTION("""COMPUTED_VALUE"""),"assisted")</f>
        <v>assisted</v>
      </c>
      <c r="AC2" s="3" t="str">
        <f>IFERROR(__xludf.DUMMYFUNCTION("""COMPUTED_VALUE"""),"I am not an employer")</f>
        <v>I am not an employer</v>
      </c>
      <c r="AD2" s="3"/>
      <c r="AE2" s="3"/>
      <c r="AF2" s="3" t="str">
        <f>IFERROR(__xludf.DUMMYFUNCTION("""COMPUTED_VALUE"""),"Yes")</f>
        <v>Yes</v>
      </c>
      <c r="AG2" s="3" t="str">
        <f>IFERROR(__xludf.DUMMYFUNCTION("""COMPUTED_VALUE"""),"Yes")</f>
        <v>Yes</v>
      </c>
      <c r="AH2" s="3">
        <f>IFERROR(__xludf.DUMMYFUNCTION("""COMPUTED_VALUE"""),20.0)</f>
        <v>20</v>
      </c>
      <c r="AI2" s="3">
        <f>IFERROR(__xludf.DUMMYFUNCTION("""COMPUTED_VALUE"""),0.0)</f>
        <v>0</v>
      </c>
      <c r="AJ2" s="3">
        <f>IFERROR(__xludf.DUMMYFUNCTION("""COMPUTED_VALUE"""),0.0)</f>
        <v>0</v>
      </c>
      <c r="AK2" s="3">
        <f>IFERROR(__xludf.DUMMYFUNCTION("""COMPUTED_VALUE"""),0.0)</f>
        <v>0</v>
      </c>
      <c r="AL2" s="3">
        <f>IFERROR(__xludf.DUMMYFUNCTION("""COMPUTED_VALUE"""),1.0)</f>
        <v>1</v>
      </c>
      <c r="AM2" s="3" t="str">
        <f>IFERROR(__xludf.DUMMYFUNCTION("""COMPUTED_VALUE"""),"Yes")</f>
        <v>Yes</v>
      </c>
      <c r="AN2" s="3">
        <f>IFERROR(__xludf.DUMMYFUNCTION("""COMPUTED_VALUE"""),6.03855945E8)</f>
        <v>603855945</v>
      </c>
      <c r="AO2" s="3"/>
      <c r="AP2" s="3">
        <f>IFERROR(__xludf.DUMMYFUNCTION("""COMPUTED_VALUE"""),4.87549124E8)</f>
        <v>487549124</v>
      </c>
      <c r="AQ2" s="3" t="str">
        <f>IFERROR(__xludf.DUMMYFUNCTION("""COMPUTED_VALUE"""),"996d0a96-40e4-4bd9-bc1f-c600cd3ed3cd")</f>
        <v>996d0a96-40e4-4bd9-bc1f-c600cd3ed3cd</v>
      </c>
      <c r="AR2" s="3">
        <f>IFERROR(__xludf.DUMMYFUNCTION("""COMPUTED_VALUE"""),45805.156481481485)</f>
        <v>45805.15648</v>
      </c>
      <c r="AS2" s="3"/>
      <c r="AT2" s="3"/>
      <c r="AU2" s="3" t="str">
        <f>IFERROR(__xludf.DUMMYFUNCTION("""COMPUTED_VALUE"""),"submitted_via_web")</f>
        <v>submitted_via_web</v>
      </c>
      <c r="AV2" s="3"/>
      <c r="AW2" s="3" t="str">
        <f>IFERROR(__xludf.DUMMYFUNCTION("""COMPUTED_VALUE"""),"vL333fTXttq2bepEBmPumB")</f>
        <v>vL333fTXttq2bepEBmPumB</v>
      </c>
      <c r="AX2" s="3"/>
      <c r="AY2" s="3">
        <f>IFERROR(__xludf.DUMMYFUNCTION("""COMPUTED_VALUE"""),1.0)</f>
        <v>1</v>
      </c>
    </row>
    <row r="3">
      <c r="A3" s="3" t="str">
        <f>IFERROR(__xludf.DUMMYFUNCTION("""COMPUTED_VALUE"""),"Yes")</f>
        <v>Yes</v>
      </c>
      <c r="B3" s="3"/>
      <c r="C3" s="3" t="str">
        <f>IFERROR(__xludf.DUMMYFUNCTION("""COMPUTED_VALUE"""),"zimbabwe")</f>
        <v>zimbabwe</v>
      </c>
      <c r="D3" s="3"/>
      <c r="E3" s="3" t="str">
        <f>IFERROR(__xludf.DUMMYFUNCTION("""COMPUTED_VALUE"""),"south_africa")</f>
        <v>south_africa</v>
      </c>
      <c r="F3" s="3" t="str">
        <f>IFERROR(__xludf.DUMMYFUNCTION("""COMPUTED_VALUE"""),"Capetown")</f>
        <v>Capetown</v>
      </c>
      <c r="G3" s="3">
        <f>IFERROR(__xludf.DUMMYFUNCTION("""COMPUTED_VALUE"""),41.0)</f>
        <v>41</v>
      </c>
      <c r="H3" s="3" t="str">
        <f>IFERROR(__xludf.DUMMYFUNCTION("""COMPUTED_VALUE"""),"male")</f>
        <v>male</v>
      </c>
      <c r="I3" s="3" t="str">
        <f>IFERROR(__xludf.DUMMYFUNCTION("""COMPUTED_VALUE"""),"over5")</f>
        <v>over5</v>
      </c>
      <c r="J3" s="3" t="str">
        <f>IFERROR(__xludf.DUMMYFUNCTION("""COMPUTED_VALUE"""),"formal")</f>
        <v>formal</v>
      </c>
      <c r="K3" s="3" t="str">
        <f>IFERROR(__xludf.DUMMYFUNCTION("""COMPUTED_VALUE"""),"tertiary")</f>
        <v>tertiary</v>
      </c>
      <c r="L3" s="3"/>
      <c r="M3" s="3" t="str">
        <f>IFERROR(__xludf.DUMMYFUNCTION("""COMPUTED_VALUE"""),"agree")</f>
        <v>agree</v>
      </c>
      <c r="N3" s="3" t="str">
        <f>IFERROR(__xludf.DUMMYFUNCTION("""COMPUTED_VALUE"""),"dontknow")</f>
        <v>dontknow</v>
      </c>
      <c r="O3" s="3" t="str">
        <f>IFERROR(__xludf.DUMMYFUNCTION("""COMPUTED_VALUE"""),"agree")</f>
        <v>agree</v>
      </c>
      <c r="P3" s="3"/>
      <c r="Q3" s="3" t="str">
        <f>IFERROR(__xludf.DUMMYFUNCTION("""COMPUTED_VALUE"""),"agree")</f>
        <v>agree</v>
      </c>
      <c r="R3" s="3" t="str">
        <f>IFERROR(__xludf.DUMMYFUNCTION("""COMPUTED_VALUE"""),"agree")</f>
        <v>agree</v>
      </c>
      <c r="S3" s="3" t="str">
        <f>IFERROR(__xludf.DUMMYFUNCTION("""COMPUTED_VALUE"""),"disagree")</f>
        <v>disagree</v>
      </c>
      <c r="T3" s="3" t="str">
        <f>IFERROR(__xludf.DUMMYFUNCTION("""COMPUTED_VALUE"""),"dontknow")</f>
        <v>dontknow</v>
      </c>
      <c r="U3" s="3" t="str">
        <f>IFERROR(__xludf.DUMMYFUNCTION("""COMPUTED_VALUE"""),"agree")</f>
        <v>agree</v>
      </c>
      <c r="V3" s="3" t="str">
        <f>IFERROR(__xludf.DUMMYFUNCTION("""COMPUTED_VALUE"""),"agree")</f>
        <v>agree</v>
      </c>
      <c r="W3" s="3" t="str">
        <f>IFERROR(__xludf.DUMMYFUNCTION("""COMPUTED_VALUE"""),"agree")</f>
        <v>agree</v>
      </c>
      <c r="X3" s="3" t="str">
        <f>IFERROR(__xludf.DUMMYFUNCTION("""COMPUTED_VALUE"""),"Platinum")</f>
        <v>Platinum</v>
      </c>
      <c r="Y3" s="3" t="str">
        <f>IFERROR(__xludf.DUMMYFUNCTION("""COMPUTED_VALUE"""),"card")</f>
        <v>card</v>
      </c>
      <c r="Z3" s="3" t="str">
        <f>IFERROR(__xludf.DUMMYFUNCTION("""COMPUTED_VALUE"""),"monthly")</f>
        <v>monthly</v>
      </c>
      <c r="AA3" s="3">
        <f>IFERROR(__xludf.DUMMYFUNCTION("""COMPUTED_VALUE"""),100.0)</f>
        <v>100</v>
      </c>
      <c r="AB3" s="3" t="str">
        <f>IFERROR(__xludf.DUMMYFUNCTION("""COMPUTED_VALUE"""),"online")</f>
        <v>online</v>
      </c>
      <c r="AC3" s="3" t="str">
        <f>IFERROR(__xludf.DUMMYFUNCTION("""COMPUTED_VALUE"""),"Yes")</f>
        <v>Yes</v>
      </c>
      <c r="AD3" s="3" t="str">
        <f>IFERROR(__xludf.DUMMYFUNCTION("""COMPUTED_VALUE"""),"Silver")</f>
        <v>Silver</v>
      </c>
      <c r="AE3" s="3" t="str">
        <f>IFERROR(__xludf.DUMMYFUNCTION("""COMPUTED_VALUE"""),"Yes")</f>
        <v>Yes</v>
      </c>
      <c r="AF3" s="3" t="str">
        <f>IFERROR(__xludf.DUMMYFUNCTION("""COMPUTED_VALUE"""),"Yes")</f>
        <v>Yes</v>
      </c>
      <c r="AG3" s="3" t="str">
        <f>IFERROR(__xludf.DUMMYFUNCTION("""COMPUTED_VALUE"""),"No")</f>
        <v>No</v>
      </c>
      <c r="AH3" s="3"/>
      <c r="AI3" s="3">
        <f>IFERROR(__xludf.DUMMYFUNCTION("""COMPUTED_VALUE"""),0.0)</f>
        <v>0</v>
      </c>
      <c r="AJ3" s="3">
        <f>IFERROR(__xludf.DUMMYFUNCTION("""COMPUTED_VALUE"""),0.0)</f>
        <v>0</v>
      </c>
      <c r="AK3" s="3">
        <f>IFERROR(__xludf.DUMMYFUNCTION("""COMPUTED_VALUE"""),0.0)</f>
        <v>0</v>
      </c>
      <c r="AL3" s="3">
        <f>IFERROR(__xludf.DUMMYFUNCTION("""COMPUTED_VALUE"""),1.0)</f>
        <v>1</v>
      </c>
      <c r="AM3" s="3" t="str">
        <f>IFERROR(__xludf.DUMMYFUNCTION("""COMPUTED_VALUE"""),"Yes")</f>
        <v>Yes</v>
      </c>
      <c r="AN3" s="3">
        <f>IFERROR(__xludf.DUMMYFUNCTION("""COMPUTED_VALUE"""),7.89114176E8)</f>
        <v>789114176</v>
      </c>
      <c r="AO3" s="3"/>
      <c r="AP3" s="3">
        <f>IFERROR(__xludf.DUMMYFUNCTION("""COMPUTED_VALUE"""),4.87569504E8)</f>
        <v>487569504</v>
      </c>
      <c r="AQ3" s="3" t="str">
        <f>IFERROR(__xludf.DUMMYFUNCTION("""COMPUTED_VALUE"""),"b22df229-f0e0-44b1-a860-c9991d80fdc7")</f>
        <v>b22df229-f0e0-44b1-a860-c9991d80fdc7</v>
      </c>
      <c r="AR3" s="3">
        <f>IFERROR(__xludf.DUMMYFUNCTION("""COMPUTED_VALUE"""),45805.204988425925)</f>
        <v>45805.20499</v>
      </c>
      <c r="AS3" s="3"/>
      <c r="AT3" s="3"/>
      <c r="AU3" s="3" t="str">
        <f>IFERROR(__xludf.DUMMYFUNCTION("""COMPUTED_VALUE"""),"submitted_via_web")</f>
        <v>submitted_via_web</v>
      </c>
      <c r="AV3" s="3"/>
      <c r="AW3" s="3" t="str">
        <f>IFERROR(__xludf.DUMMYFUNCTION("""COMPUTED_VALUE"""),"vL333fTXttq2bepEBmPumB")</f>
        <v>vL333fTXttq2bepEBmPumB</v>
      </c>
      <c r="AX3" s="3"/>
      <c r="AY3" s="3">
        <f>IFERROR(__xludf.DUMMYFUNCTION("""COMPUTED_VALUE"""),2.0)</f>
        <v>2</v>
      </c>
    </row>
    <row r="4">
      <c r="A4" s="3" t="str">
        <f>IFERROR(__xludf.DUMMYFUNCTION("""COMPUTED_VALUE"""),"No")</f>
        <v>No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>
        <f>IFERROR(__xludf.DUMMYFUNCTION("""COMPUTED_VALUE"""),4.87569554E8)</f>
        <v>487569554</v>
      </c>
      <c r="AQ4" s="3" t="str">
        <f>IFERROR(__xludf.DUMMYFUNCTION("""COMPUTED_VALUE"""),"4df4f849-108b-4f3e-9ea9-c13c22c88ede")</f>
        <v>4df4f849-108b-4f3e-9ea9-c13c22c88ede</v>
      </c>
      <c r="AR4" s="3">
        <f>IFERROR(__xludf.DUMMYFUNCTION("""COMPUTED_VALUE"""),45805.20506944445)</f>
        <v>45805.20507</v>
      </c>
      <c r="AS4" s="3"/>
      <c r="AT4" s="3"/>
      <c r="AU4" s="3" t="str">
        <f>IFERROR(__xludf.DUMMYFUNCTION("""COMPUTED_VALUE"""),"submitted_via_web")</f>
        <v>submitted_via_web</v>
      </c>
      <c r="AV4" s="3"/>
      <c r="AW4" s="3" t="str">
        <f>IFERROR(__xludf.DUMMYFUNCTION("""COMPUTED_VALUE"""),"vL333fTXttq2bepEBmPumB")</f>
        <v>vL333fTXttq2bepEBmPumB</v>
      </c>
      <c r="AX4" s="3"/>
      <c r="AY4" s="3">
        <f>IFERROR(__xludf.DUMMYFUNCTION("""COMPUTED_VALUE"""),3.0)</f>
        <v>3</v>
      </c>
    </row>
    <row r="5">
      <c r="A5" s="3" t="str">
        <f>IFERROR(__xludf.DUMMYFUNCTION("""COMPUTED_VALUE"""),"Yes")</f>
        <v>Yes</v>
      </c>
      <c r="B5" s="3"/>
      <c r="C5" s="3" t="str">
        <f>IFERROR(__xludf.DUMMYFUNCTION("""COMPUTED_VALUE"""),"zimbabwe")</f>
        <v>zimbabwe</v>
      </c>
      <c r="D5" s="3"/>
      <c r="E5" s="3" t="str">
        <f>IFERROR(__xludf.DUMMYFUNCTION("""COMPUTED_VALUE"""),"south_africa")</f>
        <v>south_africa</v>
      </c>
      <c r="F5" s="3" t="str">
        <f>IFERROR(__xludf.DUMMYFUNCTION("""COMPUTED_VALUE"""),"City of Tshwane Metropolitan Municipality")</f>
        <v>City of Tshwane Metropolitan Municipality</v>
      </c>
      <c r="G5" s="3">
        <f>IFERROR(__xludf.DUMMYFUNCTION("""COMPUTED_VALUE"""),36.0)</f>
        <v>36</v>
      </c>
      <c r="H5" s="3" t="str">
        <f>IFERROR(__xludf.DUMMYFUNCTION("""COMPUTED_VALUE"""),"male")</f>
        <v>male</v>
      </c>
      <c r="I5" s="3" t="str">
        <f>IFERROR(__xludf.DUMMYFUNCTION("""COMPUTED_VALUE"""),"over5")</f>
        <v>over5</v>
      </c>
      <c r="J5" s="3" t="str">
        <f>IFERROR(__xludf.DUMMYFUNCTION("""COMPUTED_VALUE"""),"informal")</f>
        <v>informal</v>
      </c>
      <c r="K5" s="3" t="str">
        <f>IFERROR(__xludf.DUMMYFUNCTION("""COMPUTED_VALUE"""),"vocational")</f>
        <v>vocational</v>
      </c>
      <c r="L5" s="3"/>
      <c r="M5" s="3" t="str">
        <f>IFERROR(__xludf.DUMMYFUNCTION("""COMPUTED_VALUE"""),"agree")</f>
        <v>agree</v>
      </c>
      <c r="N5" s="3" t="str">
        <f>IFERROR(__xludf.DUMMYFUNCTION("""COMPUTED_VALUE"""),"agree")</f>
        <v>agree</v>
      </c>
      <c r="O5" s="3" t="str">
        <f>IFERROR(__xludf.DUMMYFUNCTION("""COMPUTED_VALUE"""),"agree")</f>
        <v>agree</v>
      </c>
      <c r="P5" s="3"/>
      <c r="Q5" s="3" t="str">
        <f>IFERROR(__xludf.DUMMYFUNCTION("""COMPUTED_VALUE"""),"disagree")</f>
        <v>disagree</v>
      </c>
      <c r="R5" s="3" t="str">
        <f>IFERROR(__xludf.DUMMYFUNCTION("""COMPUTED_VALUE"""),"agree")</f>
        <v>agree</v>
      </c>
      <c r="S5" s="3" t="str">
        <f>IFERROR(__xludf.DUMMYFUNCTION("""COMPUTED_VALUE"""),"disagree")</f>
        <v>disagree</v>
      </c>
      <c r="T5" s="3" t="str">
        <f>IFERROR(__xludf.DUMMYFUNCTION("""COMPUTED_VALUE"""),"agree")</f>
        <v>agree</v>
      </c>
      <c r="U5" s="3" t="str">
        <f>IFERROR(__xludf.DUMMYFUNCTION("""COMPUTED_VALUE"""),"agree")</f>
        <v>agree</v>
      </c>
      <c r="V5" s="3" t="str">
        <f>IFERROR(__xludf.DUMMYFUNCTION("""COMPUTED_VALUE"""),"agree")</f>
        <v>agree</v>
      </c>
      <c r="W5" s="3" t="str">
        <f>IFERROR(__xludf.DUMMYFUNCTION("""COMPUTED_VALUE"""),"disagree")</f>
        <v>disagree</v>
      </c>
      <c r="X5" s="3" t="str">
        <f>IFERROR(__xludf.DUMMYFUNCTION("""COMPUTED_VALUE"""),"Gold")</f>
        <v>Gold</v>
      </c>
      <c r="Y5" s="3" t="str">
        <f>IFERROR(__xludf.DUMMYFUNCTION("""COMPUTED_VALUE"""),"card")</f>
        <v>card</v>
      </c>
      <c r="Z5" s="3" t="str">
        <f>IFERROR(__xludf.DUMMYFUNCTION("""COMPUTED_VALUE"""),"monthly")</f>
        <v>monthly</v>
      </c>
      <c r="AA5" s="3">
        <f>IFERROR(__xludf.DUMMYFUNCTION("""COMPUTED_VALUE"""),50.0)</f>
        <v>50</v>
      </c>
      <c r="AB5" s="3" t="str">
        <f>IFERROR(__xludf.DUMMYFUNCTION("""COMPUTED_VALUE"""),"assisted")</f>
        <v>assisted</v>
      </c>
      <c r="AC5" s="3" t="str">
        <f>IFERROR(__xludf.DUMMYFUNCTION("""COMPUTED_VALUE"""),"Yes")</f>
        <v>Yes</v>
      </c>
      <c r="AD5" s="3" t="str">
        <f>IFERROR(__xludf.DUMMYFUNCTION("""COMPUTED_VALUE"""),"Gold")</f>
        <v>Gold</v>
      </c>
      <c r="AE5" s="3" t="str">
        <f>IFERROR(__xludf.DUMMYFUNCTION("""COMPUTED_VALUE"""),"Yes")</f>
        <v>Yes</v>
      </c>
      <c r="AF5" s="3" t="str">
        <f>IFERROR(__xludf.DUMMYFUNCTION("""COMPUTED_VALUE"""),"Yes")</f>
        <v>Yes</v>
      </c>
      <c r="AG5" s="3" t="str">
        <f>IFERROR(__xludf.DUMMYFUNCTION("""COMPUTED_VALUE"""),"Yes")</f>
        <v>Yes</v>
      </c>
      <c r="AH5" s="3">
        <f>IFERROR(__xludf.DUMMYFUNCTION("""COMPUTED_VALUE"""),50.0)</f>
        <v>50</v>
      </c>
      <c r="AI5" s="3">
        <f>IFERROR(__xludf.DUMMYFUNCTION("""COMPUTED_VALUE"""),0.0)</f>
        <v>0</v>
      </c>
      <c r="AJ5" s="3">
        <f>IFERROR(__xludf.DUMMYFUNCTION("""COMPUTED_VALUE"""),0.0)</f>
        <v>0</v>
      </c>
      <c r="AK5" s="3">
        <f>IFERROR(__xludf.DUMMYFUNCTION("""COMPUTED_VALUE"""),0.0)</f>
        <v>0</v>
      </c>
      <c r="AL5" s="3">
        <f>IFERROR(__xludf.DUMMYFUNCTION("""COMPUTED_VALUE"""),1.0)</f>
        <v>1</v>
      </c>
      <c r="AM5" s="3" t="str">
        <f>IFERROR(__xludf.DUMMYFUNCTION("""COMPUTED_VALUE"""),"Yes")</f>
        <v>Yes</v>
      </c>
      <c r="AN5" s="3">
        <f>IFERROR(__xludf.DUMMYFUNCTION("""COMPUTED_VALUE"""),7.85939885E8)</f>
        <v>785939885</v>
      </c>
      <c r="AO5" s="3"/>
      <c r="AP5" s="3">
        <f>IFERROR(__xludf.DUMMYFUNCTION("""COMPUTED_VALUE"""),4.87579768E8)</f>
        <v>487579768</v>
      </c>
      <c r="AQ5" s="3" t="str">
        <f>IFERROR(__xludf.DUMMYFUNCTION("""COMPUTED_VALUE"""),"c837cb0e-f61c-487d-91f5-b449b1df4766")</f>
        <v>c837cb0e-f61c-487d-91f5-b449b1df4766</v>
      </c>
      <c r="AR5" s="3">
        <f>IFERROR(__xludf.DUMMYFUNCTION("""COMPUTED_VALUE"""),45805.2256712963)</f>
        <v>45805.22567</v>
      </c>
      <c r="AS5" s="3"/>
      <c r="AT5" s="3"/>
      <c r="AU5" s="3" t="str">
        <f>IFERROR(__xludf.DUMMYFUNCTION("""COMPUTED_VALUE"""),"submitted_via_web")</f>
        <v>submitted_via_web</v>
      </c>
      <c r="AV5" s="3"/>
      <c r="AW5" s="3" t="str">
        <f>IFERROR(__xludf.DUMMYFUNCTION("""COMPUTED_VALUE"""),"vL333fTXttq2bepEBmPumB")</f>
        <v>vL333fTXttq2bepEBmPumB</v>
      </c>
      <c r="AX5" s="3"/>
      <c r="AY5" s="3">
        <f>IFERROR(__xludf.DUMMYFUNCTION("""COMPUTED_VALUE"""),4.0)</f>
        <v>4</v>
      </c>
    </row>
    <row r="6">
      <c r="A6" s="3" t="str">
        <f>IFERROR(__xludf.DUMMYFUNCTION("""COMPUTED_VALUE"""),"Yes")</f>
        <v>Yes</v>
      </c>
      <c r="B6" s="3"/>
      <c r="C6" s="3" t="str">
        <f>IFERROR(__xludf.DUMMYFUNCTION("""COMPUTED_VALUE"""),"zimbabwe")</f>
        <v>zimbabwe</v>
      </c>
      <c r="D6" s="3"/>
      <c r="E6" s="3" t="str">
        <f>IFERROR(__xludf.DUMMYFUNCTION("""COMPUTED_VALUE"""),"south_africa")</f>
        <v>south_africa</v>
      </c>
      <c r="F6" s="3" t="str">
        <f>IFERROR(__xludf.DUMMYFUNCTION("""COMPUTED_VALUE"""),"City of Ekurhuleni Metropolitan Municipality")</f>
        <v>City of Ekurhuleni Metropolitan Municipality</v>
      </c>
      <c r="G6" s="3">
        <f>IFERROR(__xludf.DUMMYFUNCTION("""COMPUTED_VALUE"""),45.0)</f>
        <v>45</v>
      </c>
      <c r="H6" s="3" t="str">
        <f>IFERROR(__xludf.DUMMYFUNCTION("""COMPUTED_VALUE"""),"female")</f>
        <v>female</v>
      </c>
      <c r="I6" s="3" t="str">
        <f>IFERROR(__xludf.DUMMYFUNCTION("""COMPUTED_VALUE"""),"over5")</f>
        <v>over5</v>
      </c>
      <c r="J6" s="3" t="str">
        <f>IFERROR(__xludf.DUMMYFUNCTION("""COMPUTED_VALUE"""),"formal")</f>
        <v>formal</v>
      </c>
      <c r="K6" s="3" t="str">
        <f>IFERROR(__xludf.DUMMYFUNCTION("""COMPUTED_VALUE"""),"tertiary")</f>
        <v>tertiary</v>
      </c>
      <c r="L6" s="3"/>
      <c r="M6" s="3" t="str">
        <f>IFERROR(__xludf.DUMMYFUNCTION("""COMPUTED_VALUE"""),"agree")</f>
        <v>agree</v>
      </c>
      <c r="N6" s="3" t="str">
        <f>IFERROR(__xludf.DUMMYFUNCTION("""COMPUTED_VALUE"""),"agree")</f>
        <v>agree</v>
      </c>
      <c r="O6" s="3" t="str">
        <f>IFERROR(__xludf.DUMMYFUNCTION("""COMPUTED_VALUE"""),"disagree")</f>
        <v>disagree</v>
      </c>
      <c r="P6" s="3"/>
      <c r="Q6" s="3" t="str">
        <f>IFERROR(__xludf.DUMMYFUNCTION("""COMPUTED_VALUE"""),"disagree")</f>
        <v>disagree</v>
      </c>
      <c r="R6" s="3" t="str">
        <f>IFERROR(__xludf.DUMMYFUNCTION("""COMPUTED_VALUE"""),"agree")</f>
        <v>agree</v>
      </c>
      <c r="S6" s="3" t="str">
        <f>IFERROR(__xludf.DUMMYFUNCTION("""COMPUTED_VALUE"""),"agree")</f>
        <v>agree</v>
      </c>
      <c r="T6" s="3" t="str">
        <f>IFERROR(__xludf.DUMMYFUNCTION("""COMPUTED_VALUE"""),"agree")</f>
        <v>agree</v>
      </c>
      <c r="U6" s="3" t="str">
        <f>IFERROR(__xludf.DUMMYFUNCTION("""COMPUTED_VALUE"""),"disagree")</f>
        <v>disagree</v>
      </c>
      <c r="V6" s="3" t="str">
        <f>IFERROR(__xludf.DUMMYFUNCTION("""COMPUTED_VALUE"""),"agree")</f>
        <v>agree</v>
      </c>
      <c r="W6" s="3" t="str">
        <f>IFERROR(__xludf.DUMMYFUNCTION("""COMPUTED_VALUE"""),"agree")</f>
        <v>agree</v>
      </c>
      <c r="X6" s="3" t="str">
        <f>IFERROR(__xludf.DUMMYFUNCTION("""COMPUTED_VALUE"""),"Platinum")</f>
        <v>Platinum</v>
      </c>
      <c r="Y6" s="3" t="str">
        <f>IFERROR(__xludf.DUMMYFUNCTION("""COMPUTED_VALUE"""),"insurance")</f>
        <v>insurance</v>
      </c>
      <c r="Z6" s="3" t="str">
        <f>IFERROR(__xludf.DUMMYFUNCTION("""COMPUTED_VALUE"""),"annual")</f>
        <v>annual</v>
      </c>
      <c r="AA6" s="3">
        <f>IFERROR(__xludf.DUMMYFUNCTION("""COMPUTED_VALUE"""),100.0)</f>
        <v>100</v>
      </c>
      <c r="AB6" s="3" t="str">
        <f>IFERROR(__xludf.DUMMYFUNCTION("""COMPUTED_VALUE"""),"online")</f>
        <v>online</v>
      </c>
      <c r="AC6" s="3"/>
      <c r="AD6" s="3"/>
      <c r="AE6" s="3"/>
      <c r="AF6" s="3" t="str">
        <f>IFERROR(__xludf.DUMMYFUNCTION("""COMPUTED_VALUE"""),"Yes")</f>
        <v>Yes</v>
      </c>
      <c r="AG6" s="3"/>
      <c r="AH6" s="3"/>
      <c r="AI6" s="3">
        <f>IFERROR(__xludf.DUMMYFUNCTION("""COMPUTED_VALUE"""),0.0)</f>
        <v>0</v>
      </c>
      <c r="AJ6" s="3">
        <f>IFERROR(__xludf.DUMMYFUNCTION("""COMPUTED_VALUE"""),0.0)</f>
        <v>0</v>
      </c>
      <c r="AK6" s="3">
        <f>IFERROR(__xludf.DUMMYFUNCTION("""COMPUTED_VALUE"""),0.0)</f>
        <v>0</v>
      </c>
      <c r="AL6" s="3">
        <f>IFERROR(__xludf.DUMMYFUNCTION("""COMPUTED_VALUE"""),1.0)</f>
        <v>1</v>
      </c>
      <c r="AM6" s="3" t="str">
        <f>IFERROR(__xludf.DUMMYFUNCTION("""COMPUTED_VALUE"""),"Yes")</f>
        <v>Yes</v>
      </c>
      <c r="AN6" s="3"/>
      <c r="AO6" s="3"/>
      <c r="AP6" s="3">
        <f>IFERROR(__xludf.DUMMYFUNCTION("""COMPUTED_VALUE"""),4.87581103E8)</f>
        <v>487581103</v>
      </c>
      <c r="AQ6" s="3" t="str">
        <f>IFERROR(__xludf.DUMMYFUNCTION("""COMPUTED_VALUE"""),"ef631e50-ad9b-46c1-8289-d566fd3b1f05")</f>
        <v>ef631e50-ad9b-46c1-8289-d566fd3b1f05</v>
      </c>
      <c r="AR6" s="3">
        <f>IFERROR(__xludf.DUMMYFUNCTION("""COMPUTED_VALUE"""),45805.22862268519)</f>
        <v>45805.22862</v>
      </c>
      <c r="AS6" s="3"/>
      <c r="AT6" s="3"/>
      <c r="AU6" s="3" t="str">
        <f>IFERROR(__xludf.DUMMYFUNCTION("""COMPUTED_VALUE"""),"submitted_via_web")</f>
        <v>submitted_via_web</v>
      </c>
      <c r="AV6" s="3"/>
      <c r="AW6" s="3" t="str">
        <f>IFERROR(__xludf.DUMMYFUNCTION("""COMPUTED_VALUE"""),"vL333fTXttq2bepEBmPumB")</f>
        <v>vL333fTXttq2bepEBmPumB</v>
      </c>
      <c r="AX6" s="3"/>
      <c r="AY6" s="3">
        <f>IFERROR(__xludf.DUMMYFUNCTION("""COMPUTED_VALUE"""),5.0)</f>
        <v>5</v>
      </c>
    </row>
    <row r="7">
      <c r="A7" s="3" t="str">
        <f>IFERROR(__xludf.DUMMYFUNCTION("""COMPUTED_VALUE"""),"Yes")</f>
        <v>Yes</v>
      </c>
      <c r="B7" s="3"/>
      <c r="C7" s="3" t="str">
        <f>IFERROR(__xludf.DUMMYFUNCTION("""COMPUTED_VALUE"""),"zimbabwe")</f>
        <v>zimbabwe</v>
      </c>
      <c r="D7" s="3"/>
      <c r="E7" s="3" t="str">
        <f>IFERROR(__xludf.DUMMYFUNCTION("""COMPUTED_VALUE"""),"south_africa")</f>
        <v>south_africa</v>
      </c>
      <c r="F7" s="3" t="str">
        <f>IFERROR(__xludf.DUMMYFUNCTION("""COMPUTED_VALUE"""),"City of Tshwane Metropolitan Municipality")</f>
        <v>City of Tshwane Metropolitan Municipality</v>
      </c>
      <c r="G7" s="3">
        <f>IFERROR(__xludf.DUMMYFUNCTION("""COMPUTED_VALUE"""),49.0)</f>
        <v>49</v>
      </c>
      <c r="H7" s="3" t="str">
        <f>IFERROR(__xludf.DUMMYFUNCTION("""COMPUTED_VALUE"""),"male")</f>
        <v>male</v>
      </c>
      <c r="I7" s="3" t="str">
        <f>IFERROR(__xludf.DUMMYFUNCTION("""COMPUTED_VALUE"""),"over5")</f>
        <v>over5</v>
      </c>
      <c r="J7" s="3" t="str">
        <f>IFERROR(__xludf.DUMMYFUNCTION("""COMPUTED_VALUE"""),"formal")</f>
        <v>formal</v>
      </c>
      <c r="K7" s="3" t="str">
        <f>IFERROR(__xludf.DUMMYFUNCTION("""COMPUTED_VALUE"""),"tertiary")</f>
        <v>tertiary</v>
      </c>
      <c r="L7" s="3"/>
      <c r="M7" s="3" t="str">
        <f>IFERROR(__xludf.DUMMYFUNCTION("""COMPUTED_VALUE"""),"agree")</f>
        <v>agree</v>
      </c>
      <c r="N7" s="3" t="str">
        <f>IFERROR(__xludf.DUMMYFUNCTION("""COMPUTED_VALUE"""),"agree")</f>
        <v>agree</v>
      </c>
      <c r="O7" s="3" t="str">
        <f>IFERROR(__xludf.DUMMYFUNCTION("""COMPUTED_VALUE"""),"agree")</f>
        <v>agree</v>
      </c>
      <c r="P7" s="3"/>
      <c r="Q7" s="3" t="str">
        <f>IFERROR(__xludf.DUMMYFUNCTION("""COMPUTED_VALUE"""),"agree")</f>
        <v>agree</v>
      </c>
      <c r="R7" s="3" t="str">
        <f>IFERROR(__xludf.DUMMYFUNCTION("""COMPUTED_VALUE"""),"agree")</f>
        <v>agree</v>
      </c>
      <c r="S7" s="3" t="str">
        <f>IFERROR(__xludf.DUMMYFUNCTION("""COMPUTED_VALUE"""),"agree")</f>
        <v>agree</v>
      </c>
      <c r="T7" s="3" t="str">
        <f>IFERROR(__xludf.DUMMYFUNCTION("""COMPUTED_VALUE"""),"dontknow")</f>
        <v>dontknow</v>
      </c>
      <c r="U7" s="3" t="str">
        <f>IFERROR(__xludf.DUMMYFUNCTION("""COMPUTED_VALUE"""),"agree")</f>
        <v>agree</v>
      </c>
      <c r="V7" s="3" t="str">
        <f>IFERROR(__xludf.DUMMYFUNCTION("""COMPUTED_VALUE"""),"agree")</f>
        <v>agree</v>
      </c>
      <c r="W7" s="3" t="str">
        <f>IFERROR(__xludf.DUMMYFUNCTION("""COMPUTED_VALUE"""),"agree")</f>
        <v>agree</v>
      </c>
      <c r="X7" s="3" t="str">
        <f>IFERROR(__xludf.DUMMYFUNCTION("""COMPUTED_VALUE"""),"Platinum")</f>
        <v>Platinum</v>
      </c>
      <c r="Y7" s="3" t="str">
        <f>IFERROR(__xludf.DUMMYFUNCTION("""COMPUTED_VALUE"""),"insurance")</f>
        <v>insurance</v>
      </c>
      <c r="Z7" s="3" t="str">
        <f>IFERROR(__xludf.DUMMYFUNCTION("""COMPUTED_VALUE"""),"annual")</f>
        <v>annual</v>
      </c>
      <c r="AA7" s="3">
        <f>IFERROR(__xludf.DUMMYFUNCTION("""COMPUTED_VALUE"""),100.0)</f>
        <v>100</v>
      </c>
      <c r="AB7" s="3" t="str">
        <f>IFERROR(__xludf.DUMMYFUNCTION("""COMPUTED_VALUE"""),"online")</f>
        <v>online</v>
      </c>
      <c r="AC7" s="3" t="str">
        <f>IFERROR(__xludf.DUMMYFUNCTION("""COMPUTED_VALUE"""),"Yes")</f>
        <v>Yes</v>
      </c>
      <c r="AD7" s="3" t="str">
        <f>IFERROR(__xludf.DUMMYFUNCTION("""COMPUTED_VALUE"""),"Gold")</f>
        <v>Gold</v>
      </c>
      <c r="AE7" s="3" t="str">
        <f>IFERROR(__xludf.DUMMYFUNCTION("""COMPUTED_VALUE"""),"Yes")</f>
        <v>Yes</v>
      </c>
      <c r="AF7" s="3" t="str">
        <f>IFERROR(__xludf.DUMMYFUNCTION("""COMPUTED_VALUE"""),"Yes")</f>
        <v>Yes</v>
      </c>
      <c r="AG7" s="3" t="str">
        <f>IFERROR(__xludf.DUMMYFUNCTION("""COMPUTED_VALUE"""),"Yes")</f>
        <v>Yes</v>
      </c>
      <c r="AH7" s="3">
        <f>IFERROR(__xludf.DUMMYFUNCTION("""COMPUTED_VALUE"""),50.0)</f>
        <v>50</v>
      </c>
      <c r="AI7" s="3">
        <f>IFERROR(__xludf.DUMMYFUNCTION("""COMPUTED_VALUE"""),0.0)</f>
        <v>0</v>
      </c>
      <c r="AJ7" s="3">
        <f>IFERROR(__xludf.DUMMYFUNCTION("""COMPUTED_VALUE"""),0.0)</f>
        <v>0</v>
      </c>
      <c r="AK7" s="3">
        <f>IFERROR(__xludf.DUMMYFUNCTION("""COMPUTED_VALUE"""),1.0)</f>
        <v>1</v>
      </c>
      <c r="AL7" s="3">
        <f>IFERROR(__xludf.DUMMYFUNCTION("""COMPUTED_VALUE"""),0.0)</f>
        <v>0</v>
      </c>
      <c r="AM7" s="3" t="str">
        <f>IFERROR(__xludf.DUMMYFUNCTION("""COMPUTED_VALUE"""),"Yes")</f>
        <v>Yes</v>
      </c>
      <c r="AN7" s="3">
        <f>IFERROR(__xludf.DUMMYFUNCTION("""COMPUTED_VALUE"""),6.80530886E8)</f>
        <v>680530886</v>
      </c>
      <c r="AO7" s="3"/>
      <c r="AP7" s="3">
        <f>IFERROR(__xludf.DUMMYFUNCTION("""COMPUTED_VALUE"""),4.87583535E8)</f>
        <v>487583535</v>
      </c>
      <c r="AQ7" s="3" t="str">
        <f>IFERROR(__xludf.DUMMYFUNCTION("""COMPUTED_VALUE"""),"f19ab1e2-fa17-4108-87f3-aaccb9eb134b")</f>
        <v>f19ab1e2-fa17-4108-87f3-aaccb9eb134b</v>
      </c>
      <c r="AR7" s="3">
        <f>IFERROR(__xludf.DUMMYFUNCTION("""COMPUTED_VALUE"""),45805.23370370371)</f>
        <v>45805.2337</v>
      </c>
      <c r="AS7" s="3"/>
      <c r="AT7" s="3"/>
      <c r="AU7" s="3" t="str">
        <f>IFERROR(__xludf.DUMMYFUNCTION("""COMPUTED_VALUE"""),"submitted_via_web")</f>
        <v>submitted_via_web</v>
      </c>
      <c r="AV7" s="3"/>
      <c r="AW7" s="3" t="str">
        <f>IFERROR(__xludf.DUMMYFUNCTION("""COMPUTED_VALUE"""),"vL333fTXttq2bepEBmPumB")</f>
        <v>vL333fTXttq2bepEBmPumB</v>
      </c>
      <c r="AX7" s="3"/>
      <c r="AY7" s="3">
        <f>IFERROR(__xludf.DUMMYFUNCTION("""COMPUTED_VALUE"""),6.0)</f>
        <v>6</v>
      </c>
    </row>
    <row r="8">
      <c r="A8" s="3" t="str">
        <f>IFERROR(__xludf.DUMMYFUNCTION("""COMPUTED_VALUE"""),"Yes")</f>
        <v>Yes</v>
      </c>
      <c r="B8" s="3"/>
      <c r="C8" s="3" t="str">
        <f>IFERROR(__xludf.DUMMYFUNCTION("""COMPUTED_VALUE"""),"zimbabwe")</f>
        <v>zimbabwe</v>
      </c>
      <c r="D8" s="3"/>
      <c r="E8" s="3" t="str">
        <f>IFERROR(__xludf.DUMMYFUNCTION("""COMPUTED_VALUE"""),"south_africa")</f>
        <v>south_africa</v>
      </c>
      <c r="F8" s="3" t="str">
        <f>IFERROR(__xludf.DUMMYFUNCTION("""COMPUTED_VALUE"""),"City of Tshwane Metropolitan Municipality")</f>
        <v>City of Tshwane Metropolitan Municipality</v>
      </c>
      <c r="G8" s="3">
        <f>IFERROR(__xludf.DUMMYFUNCTION("""COMPUTED_VALUE"""),39.0)</f>
        <v>39</v>
      </c>
      <c r="H8" s="3" t="str">
        <f>IFERROR(__xludf.DUMMYFUNCTION("""COMPUTED_VALUE"""),"male")</f>
        <v>male</v>
      </c>
      <c r="I8" s="3" t="str">
        <f>IFERROR(__xludf.DUMMYFUNCTION("""COMPUTED_VALUE"""),"over5")</f>
        <v>over5</v>
      </c>
      <c r="J8" s="3" t="str">
        <f>IFERROR(__xludf.DUMMYFUNCTION("""COMPUTED_VALUE"""),"formal")</f>
        <v>formal</v>
      </c>
      <c r="K8" s="3" t="str">
        <f>IFERROR(__xludf.DUMMYFUNCTION("""COMPUTED_VALUE"""),"tertiary")</f>
        <v>tertiary</v>
      </c>
      <c r="L8" s="3"/>
      <c r="M8" s="3" t="str">
        <f>IFERROR(__xludf.DUMMYFUNCTION("""COMPUTED_VALUE"""),"agree")</f>
        <v>agree</v>
      </c>
      <c r="N8" s="3" t="str">
        <f>IFERROR(__xludf.DUMMYFUNCTION("""COMPUTED_VALUE"""),"agree")</f>
        <v>agree</v>
      </c>
      <c r="O8" s="3" t="str">
        <f>IFERROR(__xludf.DUMMYFUNCTION("""COMPUTED_VALUE"""),"disagree")</f>
        <v>disagree</v>
      </c>
      <c r="P8" s="3"/>
      <c r="Q8" s="3" t="str">
        <f>IFERROR(__xludf.DUMMYFUNCTION("""COMPUTED_VALUE"""),"agree")</f>
        <v>agree</v>
      </c>
      <c r="R8" s="3" t="str">
        <f>IFERROR(__xludf.DUMMYFUNCTION("""COMPUTED_VALUE"""),"agree")</f>
        <v>agree</v>
      </c>
      <c r="S8" s="3" t="str">
        <f>IFERROR(__xludf.DUMMYFUNCTION("""COMPUTED_VALUE"""),"agree")</f>
        <v>agree</v>
      </c>
      <c r="T8" s="3" t="str">
        <f>IFERROR(__xludf.DUMMYFUNCTION("""COMPUTED_VALUE"""),"agree")</f>
        <v>agree</v>
      </c>
      <c r="U8" s="3" t="str">
        <f>IFERROR(__xludf.DUMMYFUNCTION("""COMPUTED_VALUE"""),"agree")</f>
        <v>agree</v>
      </c>
      <c r="V8" s="3" t="str">
        <f>IFERROR(__xludf.DUMMYFUNCTION("""COMPUTED_VALUE"""),"agree")</f>
        <v>agree</v>
      </c>
      <c r="W8" s="3" t="str">
        <f>IFERROR(__xludf.DUMMYFUNCTION("""COMPUTED_VALUE"""),"agree")</f>
        <v>agree</v>
      </c>
      <c r="X8" s="3" t="str">
        <f>IFERROR(__xludf.DUMMYFUNCTION("""COMPUTED_VALUE"""),"Platinum")</f>
        <v>Platinum</v>
      </c>
      <c r="Y8" s="3" t="str">
        <f>IFERROR(__xludf.DUMMYFUNCTION("""COMPUTED_VALUE"""),"insurance")</f>
        <v>insurance</v>
      </c>
      <c r="Z8" s="3" t="str">
        <f>IFERROR(__xludf.DUMMYFUNCTION("""COMPUTED_VALUE"""),"monthly")</f>
        <v>monthly</v>
      </c>
      <c r="AA8" s="3">
        <f>IFERROR(__xludf.DUMMYFUNCTION("""COMPUTED_VALUE"""),50.0)</f>
        <v>50</v>
      </c>
      <c r="AB8" s="3" t="str">
        <f>IFERROR(__xludf.DUMMYFUNCTION("""COMPUTED_VALUE"""),"online")</f>
        <v>online</v>
      </c>
      <c r="AC8" s="3" t="str">
        <f>IFERROR(__xludf.DUMMYFUNCTION("""COMPUTED_VALUE"""),"Yes")</f>
        <v>Yes</v>
      </c>
      <c r="AD8" s="3" t="str">
        <f>IFERROR(__xludf.DUMMYFUNCTION("""COMPUTED_VALUE"""),"Gold")</f>
        <v>Gold</v>
      </c>
      <c r="AE8" s="3" t="str">
        <f>IFERROR(__xludf.DUMMYFUNCTION("""COMPUTED_VALUE"""),"Yes")</f>
        <v>Yes</v>
      </c>
      <c r="AF8" s="3" t="str">
        <f>IFERROR(__xludf.DUMMYFUNCTION("""COMPUTED_VALUE"""),"Yes")</f>
        <v>Yes</v>
      </c>
      <c r="AG8" s="3" t="str">
        <f>IFERROR(__xludf.DUMMYFUNCTION("""COMPUTED_VALUE"""),"No")</f>
        <v>No</v>
      </c>
      <c r="AH8" s="3"/>
      <c r="AI8" s="3">
        <f>IFERROR(__xludf.DUMMYFUNCTION("""COMPUTED_VALUE"""),0.0)</f>
        <v>0</v>
      </c>
      <c r="AJ8" s="3">
        <f>IFERROR(__xludf.DUMMYFUNCTION("""COMPUTED_VALUE"""),0.0)</f>
        <v>0</v>
      </c>
      <c r="AK8" s="3">
        <f>IFERROR(__xludf.DUMMYFUNCTION("""COMPUTED_VALUE"""),0.0)</f>
        <v>0</v>
      </c>
      <c r="AL8" s="3">
        <f>IFERROR(__xludf.DUMMYFUNCTION("""COMPUTED_VALUE"""),1.0)</f>
        <v>1</v>
      </c>
      <c r="AM8" s="3" t="str">
        <f>IFERROR(__xludf.DUMMYFUNCTION("""COMPUTED_VALUE"""),"No")</f>
        <v>No</v>
      </c>
      <c r="AN8" s="3"/>
      <c r="AO8" s="3"/>
      <c r="AP8" s="3">
        <f>IFERROR(__xludf.DUMMYFUNCTION("""COMPUTED_VALUE"""),4.87584635E8)</f>
        <v>487584635</v>
      </c>
      <c r="AQ8" s="3" t="str">
        <f>IFERROR(__xludf.DUMMYFUNCTION("""COMPUTED_VALUE"""),"0bec7f61-477e-4396-a0d5-7eb6e8a75117")</f>
        <v>0bec7f61-477e-4396-a0d5-7eb6e8a75117</v>
      </c>
      <c r="AR8" s="3">
        <f>IFERROR(__xludf.DUMMYFUNCTION("""COMPUTED_VALUE"""),45805.23600694445)</f>
        <v>45805.23601</v>
      </c>
      <c r="AS8" s="3"/>
      <c r="AT8" s="3"/>
      <c r="AU8" s="3" t="str">
        <f>IFERROR(__xludf.DUMMYFUNCTION("""COMPUTED_VALUE"""),"submitted_via_web")</f>
        <v>submitted_via_web</v>
      </c>
      <c r="AV8" s="3"/>
      <c r="AW8" s="3" t="str">
        <f>IFERROR(__xludf.DUMMYFUNCTION("""COMPUTED_VALUE"""),"vL333fTXttq2bepEBmPumB")</f>
        <v>vL333fTXttq2bepEBmPumB</v>
      </c>
      <c r="AX8" s="3"/>
      <c r="AY8" s="3">
        <f>IFERROR(__xludf.DUMMYFUNCTION("""COMPUTED_VALUE"""),7.0)</f>
        <v>7</v>
      </c>
    </row>
    <row r="9">
      <c r="A9" s="3" t="str">
        <f>IFERROR(__xludf.DUMMYFUNCTION("""COMPUTED_VALUE"""),"Yes")</f>
        <v>Yes</v>
      </c>
      <c r="B9" s="3"/>
      <c r="C9" s="3" t="str">
        <f>IFERROR(__xludf.DUMMYFUNCTION("""COMPUTED_VALUE"""),"south_africa")</f>
        <v>south_africa</v>
      </c>
      <c r="D9" s="3"/>
      <c r="E9" s="3" t="str">
        <f>IFERROR(__xludf.DUMMYFUNCTION("""COMPUTED_VALUE"""),"south_africa")</f>
        <v>south_africa</v>
      </c>
      <c r="F9" s="3" t="str">
        <f>IFERROR(__xludf.DUMMYFUNCTION("""COMPUTED_VALUE"""),"City of Tshwane Metropolitan Municipality")</f>
        <v>City of Tshwane Metropolitan Municipality</v>
      </c>
      <c r="G9" s="3">
        <f>IFERROR(__xludf.DUMMYFUNCTION("""COMPUTED_VALUE"""),19.0)</f>
        <v>19</v>
      </c>
      <c r="H9" s="3" t="str">
        <f>IFERROR(__xludf.DUMMYFUNCTION("""COMPUTED_VALUE"""),"male")</f>
        <v>male</v>
      </c>
      <c r="I9" s="3" t="str">
        <f>IFERROR(__xludf.DUMMYFUNCTION("""COMPUTED_VALUE"""),"1to5")</f>
        <v>1to5</v>
      </c>
      <c r="J9" s="3" t="str">
        <f>IFERROR(__xludf.DUMMYFUNCTION("""COMPUTED_VALUE"""),"informal")</f>
        <v>informal</v>
      </c>
      <c r="K9" s="3" t="str">
        <f>IFERROR(__xludf.DUMMYFUNCTION("""COMPUTED_VALUE"""),"vocational")</f>
        <v>vocational</v>
      </c>
      <c r="L9" s="3"/>
      <c r="M9" s="3" t="str">
        <f>IFERROR(__xludf.DUMMYFUNCTION("""COMPUTED_VALUE"""),"agree")</f>
        <v>agree</v>
      </c>
      <c r="N9" s="3" t="str">
        <f>IFERROR(__xludf.DUMMYFUNCTION("""COMPUTED_VALUE"""),"agree")</f>
        <v>agree</v>
      </c>
      <c r="O9" s="3" t="str">
        <f>IFERROR(__xludf.DUMMYFUNCTION("""COMPUTED_VALUE"""),"dontknow")</f>
        <v>dontknow</v>
      </c>
      <c r="P9" s="3"/>
      <c r="Q9" s="3" t="str">
        <f>IFERROR(__xludf.DUMMYFUNCTION("""COMPUTED_VALUE"""),"agree")</f>
        <v>agree</v>
      </c>
      <c r="R9" s="3" t="str">
        <f>IFERROR(__xludf.DUMMYFUNCTION("""COMPUTED_VALUE"""),"agree")</f>
        <v>agree</v>
      </c>
      <c r="S9" s="3" t="str">
        <f>IFERROR(__xludf.DUMMYFUNCTION("""COMPUTED_VALUE"""),"disagree")</f>
        <v>disagree</v>
      </c>
      <c r="T9" s="3" t="str">
        <f>IFERROR(__xludf.DUMMYFUNCTION("""COMPUTED_VALUE"""),"disagree")</f>
        <v>disagree</v>
      </c>
      <c r="U9" s="3" t="str">
        <f>IFERROR(__xludf.DUMMYFUNCTION("""COMPUTED_VALUE"""),"dontknow")</f>
        <v>dontknow</v>
      </c>
      <c r="V9" s="3" t="str">
        <f>IFERROR(__xludf.DUMMYFUNCTION("""COMPUTED_VALUE"""),"agree")</f>
        <v>agree</v>
      </c>
      <c r="W9" s="3" t="str">
        <f>IFERROR(__xludf.DUMMYFUNCTION("""COMPUTED_VALUE"""),"disagree")</f>
        <v>disagree</v>
      </c>
      <c r="X9" s="3" t="str">
        <f>IFERROR(__xludf.DUMMYFUNCTION("""COMPUTED_VALUE"""),"Platinum")</f>
        <v>Platinum</v>
      </c>
      <c r="Y9" s="3" t="str">
        <f>IFERROR(__xludf.DUMMYFUNCTION("""COMPUTED_VALUE"""),"cash")</f>
        <v>cash</v>
      </c>
      <c r="Z9" s="3" t="str">
        <f>IFERROR(__xludf.DUMMYFUNCTION("""COMPUTED_VALUE"""),"monthly")</f>
        <v>monthly</v>
      </c>
      <c r="AA9" s="3">
        <f>IFERROR(__xludf.DUMMYFUNCTION("""COMPUTED_VALUE"""),40.0)</f>
        <v>40</v>
      </c>
      <c r="AB9" s="3" t="str">
        <f>IFERROR(__xludf.DUMMYFUNCTION("""COMPUTED_VALUE"""),"employer")</f>
        <v>employer</v>
      </c>
      <c r="AC9" s="3" t="str">
        <f>IFERROR(__xludf.DUMMYFUNCTION("""COMPUTED_VALUE"""),"No")</f>
        <v>No</v>
      </c>
      <c r="AD9" s="3"/>
      <c r="AE9" s="3"/>
      <c r="AF9" s="3" t="str">
        <f>IFERROR(__xludf.DUMMYFUNCTION("""COMPUTED_VALUE"""),"Yes")</f>
        <v>Yes</v>
      </c>
      <c r="AG9" s="3" t="str">
        <f>IFERROR(__xludf.DUMMYFUNCTION("""COMPUTED_VALUE"""),"Yes")</f>
        <v>Yes</v>
      </c>
      <c r="AH9" s="3">
        <f>IFERROR(__xludf.DUMMYFUNCTION("""COMPUTED_VALUE"""),20.0)</f>
        <v>20</v>
      </c>
      <c r="AI9" s="3">
        <f>IFERROR(__xludf.DUMMYFUNCTION("""COMPUTED_VALUE"""),0.0)</f>
        <v>0</v>
      </c>
      <c r="AJ9" s="3">
        <f>IFERROR(__xludf.DUMMYFUNCTION("""COMPUTED_VALUE"""),0.0)</f>
        <v>0</v>
      </c>
      <c r="AK9" s="3">
        <f>IFERROR(__xludf.DUMMYFUNCTION("""COMPUTED_VALUE"""),1.0)</f>
        <v>1</v>
      </c>
      <c r="AL9" s="3">
        <f>IFERROR(__xludf.DUMMYFUNCTION("""COMPUTED_VALUE"""),0.0)</f>
        <v>0</v>
      </c>
      <c r="AM9" s="3" t="str">
        <f>IFERROR(__xludf.DUMMYFUNCTION("""COMPUTED_VALUE"""),"No")</f>
        <v>No</v>
      </c>
      <c r="AN9" s="3"/>
      <c r="AO9" s="3"/>
      <c r="AP9" s="3">
        <f>IFERROR(__xludf.DUMMYFUNCTION("""COMPUTED_VALUE"""),4.87590182E8)</f>
        <v>487590182</v>
      </c>
      <c r="AQ9" s="3" t="str">
        <f>IFERROR(__xludf.DUMMYFUNCTION("""COMPUTED_VALUE"""),"5bfd43b7-9744-47ba-b8f3-8bf409ca7434")</f>
        <v>5bfd43b7-9744-47ba-b8f3-8bf409ca7434</v>
      </c>
      <c r="AR9" s="3">
        <f>IFERROR(__xludf.DUMMYFUNCTION("""COMPUTED_VALUE"""),45805.24518518519)</f>
        <v>45805.24519</v>
      </c>
      <c r="AS9" s="3"/>
      <c r="AT9" s="3"/>
      <c r="AU9" s="3" t="str">
        <f>IFERROR(__xludf.DUMMYFUNCTION("""COMPUTED_VALUE"""),"submitted_via_web")</f>
        <v>submitted_via_web</v>
      </c>
      <c r="AV9" s="3"/>
      <c r="AW9" s="3" t="str">
        <f>IFERROR(__xludf.DUMMYFUNCTION("""COMPUTED_VALUE"""),"vL333fTXttq2bepEBmPumB")</f>
        <v>vL333fTXttq2bepEBmPumB</v>
      </c>
      <c r="AX9" s="3"/>
      <c r="AY9" s="3">
        <f>IFERROR(__xludf.DUMMYFUNCTION("""COMPUTED_VALUE"""),8.0)</f>
        <v>8</v>
      </c>
    </row>
    <row r="10">
      <c r="A10" s="3" t="str">
        <f>IFERROR(__xludf.DUMMYFUNCTION("""COMPUTED_VALUE"""),"Yes")</f>
        <v>Yes</v>
      </c>
      <c r="B10" s="3"/>
      <c r="C10" s="3" t="str">
        <f>IFERROR(__xludf.DUMMYFUNCTION("""COMPUTED_VALUE"""),"zimbabwe")</f>
        <v>zimbabwe</v>
      </c>
      <c r="D10" s="3"/>
      <c r="E10" s="3" t="str">
        <f>IFERROR(__xludf.DUMMYFUNCTION("""COMPUTED_VALUE"""),"south_africa")</f>
        <v>south_africa</v>
      </c>
      <c r="F10" s="3" t="str">
        <f>IFERROR(__xludf.DUMMYFUNCTION("""COMPUTED_VALUE"""),"City of Johannesburg Metropolitan Municipality")</f>
        <v>City of Johannesburg Metropolitan Municipality</v>
      </c>
      <c r="G10" s="3">
        <f>IFERROR(__xludf.DUMMYFUNCTION("""COMPUTED_VALUE"""),41.0)</f>
        <v>41</v>
      </c>
      <c r="H10" s="3" t="str">
        <f>IFERROR(__xludf.DUMMYFUNCTION("""COMPUTED_VALUE"""),"male")</f>
        <v>male</v>
      </c>
      <c r="I10" s="3" t="str">
        <f>IFERROR(__xludf.DUMMYFUNCTION("""COMPUTED_VALUE"""),"over5")</f>
        <v>over5</v>
      </c>
      <c r="J10" s="3" t="str">
        <f>IFERROR(__xludf.DUMMYFUNCTION("""COMPUTED_VALUE"""),"unemployed")</f>
        <v>unemployed</v>
      </c>
      <c r="K10" s="3" t="str">
        <f>IFERROR(__xludf.DUMMYFUNCTION("""COMPUTED_VALUE"""),"tertiary")</f>
        <v>tertiary</v>
      </c>
      <c r="L10" s="3"/>
      <c r="M10" s="3" t="str">
        <f>IFERROR(__xludf.DUMMYFUNCTION("""COMPUTED_VALUE"""),"agree")</f>
        <v>agree</v>
      </c>
      <c r="N10" s="3" t="str">
        <f>IFERROR(__xludf.DUMMYFUNCTION("""COMPUTED_VALUE"""),"agree")</f>
        <v>agree</v>
      </c>
      <c r="O10" s="3" t="str">
        <f>IFERROR(__xludf.DUMMYFUNCTION("""COMPUTED_VALUE"""),"agree")</f>
        <v>agree</v>
      </c>
      <c r="P10" s="3"/>
      <c r="Q10" s="3" t="str">
        <f>IFERROR(__xludf.DUMMYFUNCTION("""COMPUTED_VALUE"""),"dontknow")</f>
        <v>dontknow</v>
      </c>
      <c r="R10" s="3" t="str">
        <f>IFERROR(__xludf.DUMMYFUNCTION("""COMPUTED_VALUE"""),"agree")</f>
        <v>agree</v>
      </c>
      <c r="S10" s="3" t="str">
        <f>IFERROR(__xludf.DUMMYFUNCTION("""COMPUTED_VALUE"""),"disagree")</f>
        <v>disagree</v>
      </c>
      <c r="T10" s="3" t="str">
        <f>IFERROR(__xludf.DUMMYFUNCTION("""COMPUTED_VALUE"""),"disagree")</f>
        <v>disagree</v>
      </c>
      <c r="U10" s="3" t="str">
        <f>IFERROR(__xludf.DUMMYFUNCTION("""COMPUTED_VALUE"""),"disagree")</f>
        <v>disagree</v>
      </c>
      <c r="V10" s="3" t="str">
        <f>IFERROR(__xludf.DUMMYFUNCTION("""COMPUTED_VALUE"""),"agree")</f>
        <v>agree</v>
      </c>
      <c r="W10" s="3" t="str">
        <f>IFERROR(__xludf.DUMMYFUNCTION("""COMPUTED_VALUE"""),"disagree")</f>
        <v>disagree</v>
      </c>
      <c r="X10" s="3" t="str">
        <f>IFERROR(__xludf.DUMMYFUNCTION("""COMPUTED_VALUE"""),"Lithium")</f>
        <v>Lithium</v>
      </c>
      <c r="Y10" s="3" t="str">
        <f>IFERROR(__xludf.DUMMYFUNCTION("""COMPUTED_VALUE"""),"insurance")</f>
        <v>insurance</v>
      </c>
      <c r="Z10" s="3" t="str">
        <f>IFERROR(__xludf.DUMMYFUNCTION("""COMPUTED_VALUE"""),"monthly")</f>
        <v>monthly</v>
      </c>
      <c r="AA10" s="3">
        <f>IFERROR(__xludf.DUMMYFUNCTION("""COMPUTED_VALUE"""),100.0)</f>
        <v>100</v>
      </c>
      <c r="AB10" s="3" t="str">
        <f>IFERROR(__xludf.DUMMYFUNCTION("""COMPUTED_VALUE"""),"online")</f>
        <v>online</v>
      </c>
      <c r="AC10" s="3" t="str">
        <f>IFERROR(__xludf.DUMMYFUNCTION("""COMPUTED_VALUE"""),"I am not an employer")</f>
        <v>I am not an employer</v>
      </c>
      <c r="AD10" s="3"/>
      <c r="AE10" s="3"/>
      <c r="AF10" s="3" t="str">
        <f>IFERROR(__xludf.DUMMYFUNCTION("""COMPUTED_VALUE"""),"No")</f>
        <v>No</v>
      </c>
      <c r="AG10" s="3" t="str">
        <f>IFERROR(__xludf.DUMMYFUNCTION("""COMPUTED_VALUE"""),"Yes")</f>
        <v>Yes</v>
      </c>
      <c r="AH10" s="3">
        <f>IFERROR(__xludf.DUMMYFUNCTION("""COMPUTED_VALUE"""),15.0)</f>
        <v>15</v>
      </c>
      <c r="AI10" s="3">
        <f>IFERROR(__xludf.DUMMYFUNCTION("""COMPUTED_VALUE"""),0.0)</f>
        <v>0</v>
      </c>
      <c r="AJ10" s="3">
        <f>IFERROR(__xludf.DUMMYFUNCTION("""COMPUTED_VALUE"""),0.0)</f>
        <v>0</v>
      </c>
      <c r="AK10" s="3">
        <f>IFERROR(__xludf.DUMMYFUNCTION("""COMPUTED_VALUE"""),1.0)</f>
        <v>1</v>
      </c>
      <c r="AL10" s="3">
        <f>IFERROR(__xludf.DUMMYFUNCTION("""COMPUTED_VALUE"""),0.0)</f>
        <v>0</v>
      </c>
      <c r="AM10" s="3" t="str">
        <f>IFERROR(__xludf.DUMMYFUNCTION("""COMPUTED_VALUE"""),"No")</f>
        <v>No</v>
      </c>
      <c r="AN10" s="3"/>
      <c r="AO10" s="3"/>
      <c r="AP10" s="3">
        <f>IFERROR(__xludf.DUMMYFUNCTION("""COMPUTED_VALUE"""),4.87597851E8)</f>
        <v>487597851</v>
      </c>
      <c r="AQ10" s="3" t="str">
        <f>IFERROR(__xludf.DUMMYFUNCTION("""COMPUTED_VALUE"""),"bca1fc3e-04f8-429c-b7a3-af22aa47d724")</f>
        <v>bca1fc3e-04f8-429c-b7a3-af22aa47d724</v>
      </c>
      <c r="AR10" s="3">
        <f>IFERROR(__xludf.DUMMYFUNCTION("""COMPUTED_VALUE"""),45805.25702546296)</f>
        <v>45805.25703</v>
      </c>
      <c r="AS10" s="3"/>
      <c r="AT10" s="3"/>
      <c r="AU10" s="3" t="str">
        <f>IFERROR(__xludf.DUMMYFUNCTION("""COMPUTED_VALUE"""),"submitted_via_web")</f>
        <v>submitted_via_web</v>
      </c>
      <c r="AV10" s="3"/>
      <c r="AW10" s="3" t="str">
        <f>IFERROR(__xludf.DUMMYFUNCTION("""COMPUTED_VALUE"""),"vL333fTXttq2bepEBmPumB")</f>
        <v>vL333fTXttq2bepEBmPumB</v>
      </c>
      <c r="AX10" s="3"/>
      <c r="AY10" s="3">
        <f>IFERROR(__xludf.DUMMYFUNCTION("""COMPUTED_VALUE"""),9.0)</f>
        <v>9</v>
      </c>
    </row>
    <row r="11">
      <c r="A11" s="3" t="str">
        <f>IFERROR(__xludf.DUMMYFUNCTION("""COMPUTED_VALUE"""),"Yes")</f>
        <v>Yes</v>
      </c>
      <c r="B11" s="3"/>
      <c r="C11" s="3" t="str">
        <f>IFERROR(__xludf.DUMMYFUNCTION("""COMPUTED_VALUE"""),"zimbabwe")</f>
        <v>zimbabwe</v>
      </c>
      <c r="D11" s="3"/>
      <c r="E11" s="3" t="str">
        <f>IFERROR(__xludf.DUMMYFUNCTION("""COMPUTED_VALUE"""),"Other")</f>
        <v>Other</v>
      </c>
      <c r="F11" s="3"/>
      <c r="G11" s="3">
        <f>IFERROR(__xludf.DUMMYFUNCTION("""COMPUTED_VALUE"""),44.0)</f>
        <v>44</v>
      </c>
      <c r="H11" s="3" t="str">
        <f>IFERROR(__xludf.DUMMYFUNCTION("""COMPUTED_VALUE"""),"female")</f>
        <v>female</v>
      </c>
      <c r="I11" s="3"/>
      <c r="J11" s="3"/>
      <c r="K11" s="3" t="str">
        <f>IFERROR(__xludf.DUMMYFUNCTION("""COMPUTED_VALUE"""),"vocational")</f>
        <v>vocational</v>
      </c>
      <c r="L11" s="3"/>
      <c r="M11" s="3" t="str">
        <f>IFERROR(__xludf.DUMMYFUNCTION("""COMPUTED_VALUE"""),"agree")</f>
        <v>agree</v>
      </c>
      <c r="N11" s="3" t="str">
        <f>IFERROR(__xludf.DUMMYFUNCTION("""COMPUTED_VALUE"""),"agree")</f>
        <v>agree</v>
      </c>
      <c r="O11" s="3" t="str">
        <f>IFERROR(__xludf.DUMMYFUNCTION("""COMPUTED_VALUE"""),"agree")</f>
        <v>agree</v>
      </c>
      <c r="P11" s="3"/>
      <c r="Q11" s="3" t="str">
        <f>IFERROR(__xludf.DUMMYFUNCTION("""COMPUTED_VALUE"""),"agree")</f>
        <v>agree</v>
      </c>
      <c r="R11" s="3" t="str">
        <f>IFERROR(__xludf.DUMMYFUNCTION("""COMPUTED_VALUE"""),"agree")</f>
        <v>agree</v>
      </c>
      <c r="S11" s="3" t="str">
        <f>IFERROR(__xludf.DUMMYFUNCTION("""COMPUTED_VALUE"""),"agree")</f>
        <v>agree</v>
      </c>
      <c r="T11" s="3" t="str">
        <f>IFERROR(__xludf.DUMMYFUNCTION("""COMPUTED_VALUE"""),"agree")</f>
        <v>agree</v>
      </c>
      <c r="U11" s="3" t="str">
        <f>IFERROR(__xludf.DUMMYFUNCTION("""COMPUTED_VALUE"""),"agree")</f>
        <v>agree</v>
      </c>
      <c r="V11" s="3" t="str">
        <f>IFERROR(__xludf.DUMMYFUNCTION("""COMPUTED_VALUE"""),"agree")</f>
        <v>agree</v>
      </c>
      <c r="W11" s="3" t="str">
        <f>IFERROR(__xludf.DUMMYFUNCTION("""COMPUTED_VALUE"""),"agree")</f>
        <v>agree</v>
      </c>
      <c r="X11" s="3" t="str">
        <f>IFERROR(__xludf.DUMMYFUNCTION("""COMPUTED_VALUE"""),"Platinum")</f>
        <v>Platinum</v>
      </c>
      <c r="Y11" s="3" t="str">
        <f>IFERROR(__xludf.DUMMYFUNCTION("""COMPUTED_VALUE"""),"insurance")</f>
        <v>insurance</v>
      </c>
      <c r="Z11" s="3" t="str">
        <f>IFERROR(__xludf.DUMMYFUNCTION("""COMPUTED_VALUE"""),"monthly")</f>
        <v>monthly</v>
      </c>
      <c r="AA11" s="3">
        <f>IFERROR(__xludf.DUMMYFUNCTION("""COMPUTED_VALUE"""),100.0)</f>
        <v>100</v>
      </c>
      <c r="AB11" s="3" t="str">
        <f>IFERROR(__xludf.DUMMYFUNCTION("""COMPUTED_VALUE"""),"assisted")</f>
        <v>assisted</v>
      </c>
      <c r="AC11" s="3"/>
      <c r="AD11" s="3"/>
      <c r="AE11" s="3"/>
      <c r="AF11" s="3" t="str">
        <f>IFERROR(__xludf.DUMMYFUNCTION("""COMPUTED_VALUE"""),"Yes")</f>
        <v>Yes</v>
      </c>
      <c r="AG11" s="3" t="str">
        <f>IFERROR(__xludf.DUMMYFUNCTION("""COMPUTED_VALUE"""),"Yes")</f>
        <v>Yes</v>
      </c>
      <c r="AH11" s="3"/>
      <c r="AI11" s="3">
        <f>IFERROR(__xludf.DUMMYFUNCTION("""COMPUTED_VALUE"""),0.0)</f>
        <v>0</v>
      </c>
      <c r="AJ11" s="3">
        <f>IFERROR(__xludf.DUMMYFUNCTION("""COMPUTED_VALUE"""),0.0)</f>
        <v>0</v>
      </c>
      <c r="AK11" s="3">
        <f>IFERROR(__xludf.DUMMYFUNCTION("""COMPUTED_VALUE"""),0.0)</f>
        <v>0</v>
      </c>
      <c r="AL11" s="3">
        <f>IFERROR(__xludf.DUMMYFUNCTION("""COMPUTED_VALUE"""),1.0)</f>
        <v>1</v>
      </c>
      <c r="AM11" s="3"/>
      <c r="AN11" s="3"/>
      <c r="AO11" s="3"/>
      <c r="AP11" s="3">
        <f>IFERROR(__xludf.DUMMYFUNCTION("""COMPUTED_VALUE"""),4.87598469E8)</f>
        <v>487598469</v>
      </c>
      <c r="AQ11" s="3" t="str">
        <f>IFERROR(__xludf.DUMMYFUNCTION("""COMPUTED_VALUE"""),"66a96312-cf23-41ef-af19-9daec17a085b")</f>
        <v>66a96312-cf23-41ef-af19-9daec17a085b</v>
      </c>
      <c r="AR11" s="3">
        <f>IFERROR(__xludf.DUMMYFUNCTION("""COMPUTED_VALUE"""),45805.257789351854)</f>
        <v>45805.25779</v>
      </c>
      <c r="AS11" s="3"/>
      <c r="AT11" s="3"/>
      <c r="AU11" s="3" t="str">
        <f>IFERROR(__xludf.DUMMYFUNCTION("""COMPUTED_VALUE"""),"submitted_via_web")</f>
        <v>submitted_via_web</v>
      </c>
      <c r="AV11" s="3"/>
      <c r="AW11" s="3" t="str">
        <f>IFERROR(__xludf.DUMMYFUNCTION("""COMPUTED_VALUE"""),"vL333fTXttq2bepEBmPumB")</f>
        <v>vL333fTXttq2bepEBmPumB</v>
      </c>
      <c r="AX11" s="3"/>
      <c r="AY11" s="3">
        <f>IFERROR(__xludf.DUMMYFUNCTION("""COMPUTED_VALUE"""),10.0)</f>
        <v>10</v>
      </c>
    </row>
    <row r="12">
      <c r="A12" s="3" t="str">
        <f>IFERROR(__xludf.DUMMYFUNCTION("""COMPUTED_VALUE"""),"Yes")</f>
        <v>Yes</v>
      </c>
      <c r="B12" s="3"/>
      <c r="C12" s="3" t="str">
        <f>IFERROR(__xludf.DUMMYFUNCTION("""COMPUTED_VALUE"""),"zimbabwe")</f>
        <v>zimbabwe</v>
      </c>
      <c r="D12" s="3"/>
      <c r="E12" s="3" t="str">
        <f>IFERROR(__xludf.DUMMYFUNCTION("""COMPUTED_VALUE"""),"eswatini")</f>
        <v>eswatini</v>
      </c>
      <c r="F12" s="3"/>
      <c r="G12" s="3">
        <f>IFERROR(__xludf.DUMMYFUNCTION("""COMPUTED_VALUE"""),45.0)</f>
        <v>45</v>
      </c>
      <c r="H12" s="3" t="str">
        <f>IFERROR(__xludf.DUMMYFUNCTION("""COMPUTED_VALUE"""),"male")</f>
        <v>male</v>
      </c>
      <c r="I12" s="3"/>
      <c r="J12" s="3" t="str">
        <f>IFERROR(__xludf.DUMMYFUNCTION("""COMPUTED_VALUE"""),"formal")</f>
        <v>formal</v>
      </c>
      <c r="K12" s="3" t="str">
        <f>IFERROR(__xludf.DUMMYFUNCTION("""COMPUTED_VALUE"""),"tertiary")</f>
        <v>tertiary</v>
      </c>
      <c r="L12" s="3"/>
      <c r="M12" s="3" t="str">
        <f>IFERROR(__xludf.DUMMYFUNCTION("""COMPUTED_VALUE"""),"agree")</f>
        <v>agree</v>
      </c>
      <c r="N12" s="3" t="str">
        <f>IFERROR(__xludf.DUMMYFUNCTION("""COMPUTED_VALUE"""),"agree")</f>
        <v>agree</v>
      </c>
      <c r="O12" s="3" t="str">
        <f>IFERROR(__xludf.DUMMYFUNCTION("""COMPUTED_VALUE"""),"agree")</f>
        <v>agree</v>
      </c>
      <c r="P12" s="3"/>
      <c r="Q12" s="3" t="str">
        <f>IFERROR(__xludf.DUMMYFUNCTION("""COMPUTED_VALUE"""),"disagree")</f>
        <v>disagree</v>
      </c>
      <c r="R12" s="3" t="str">
        <f>IFERROR(__xludf.DUMMYFUNCTION("""COMPUTED_VALUE"""),"agree")</f>
        <v>agree</v>
      </c>
      <c r="S12" s="3" t="str">
        <f>IFERROR(__xludf.DUMMYFUNCTION("""COMPUTED_VALUE"""),"disagree")</f>
        <v>disagree</v>
      </c>
      <c r="T12" s="3" t="str">
        <f>IFERROR(__xludf.DUMMYFUNCTION("""COMPUTED_VALUE"""),"agree")</f>
        <v>agree</v>
      </c>
      <c r="U12" s="3" t="str">
        <f>IFERROR(__xludf.DUMMYFUNCTION("""COMPUTED_VALUE"""),"agree")</f>
        <v>agree</v>
      </c>
      <c r="V12" s="3" t="str">
        <f>IFERROR(__xludf.DUMMYFUNCTION("""COMPUTED_VALUE"""),"agree")</f>
        <v>agree</v>
      </c>
      <c r="W12" s="3" t="str">
        <f>IFERROR(__xludf.DUMMYFUNCTION("""COMPUTED_VALUE"""),"disagree")</f>
        <v>disagree</v>
      </c>
      <c r="X12" s="3" t="str">
        <f>IFERROR(__xludf.DUMMYFUNCTION("""COMPUTED_VALUE"""),"Lithium")</f>
        <v>Lithium</v>
      </c>
      <c r="Y12" s="3" t="str">
        <f>IFERROR(__xludf.DUMMYFUNCTION("""COMPUTED_VALUE"""),"insurance")</f>
        <v>insurance</v>
      </c>
      <c r="Z12" s="3" t="str">
        <f>IFERROR(__xludf.DUMMYFUNCTION("""COMPUTED_VALUE"""),"quarterly")</f>
        <v>quarterly</v>
      </c>
      <c r="AA12" s="3">
        <f>IFERROR(__xludf.DUMMYFUNCTION("""COMPUTED_VALUE"""),100.0)</f>
        <v>100</v>
      </c>
      <c r="AB12" s="3" t="str">
        <f>IFERROR(__xludf.DUMMYFUNCTION("""COMPUTED_VALUE"""),"online")</f>
        <v>online</v>
      </c>
      <c r="AC12" s="3" t="str">
        <f>IFERROR(__xludf.DUMMYFUNCTION("""COMPUTED_VALUE"""),"I am not an employer")</f>
        <v>I am not an employer</v>
      </c>
      <c r="AD12" s="3"/>
      <c r="AE12" s="3"/>
      <c r="AF12" s="3" t="str">
        <f>IFERROR(__xludf.DUMMYFUNCTION("""COMPUTED_VALUE"""),"Yes")</f>
        <v>Yes</v>
      </c>
      <c r="AG12" s="3" t="str">
        <f>IFERROR(__xludf.DUMMYFUNCTION("""COMPUTED_VALUE"""),"No")</f>
        <v>No</v>
      </c>
      <c r="AH12" s="3"/>
      <c r="AI12" s="3">
        <f>IFERROR(__xludf.DUMMYFUNCTION("""COMPUTED_VALUE"""),0.0)</f>
        <v>0</v>
      </c>
      <c r="AJ12" s="3">
        <f>IFERROR(__xludf.DUMMYFUNCTION("""COMPUTED_VALUE"""),0.0)</f>
        <v>0</v>
      </c>
      <c r="AK12" s="3">
        <f>IFERROR(__xludf.DUMMYFUNCTION("""COMPUTED_VALUE"""),1.0)</f>
        <v>1</v>
      </c>
      <c r="AL12" s="3">
        <f>IFERROR(__xludf.DUMMYFUNCTION("""COMPUTED_VALUE"""),0.0)</f>
        <v>0</v>
      </c>
      <c r="AM12" s="3"/>
      <c r="AN12" s="3"/>
      <c r="AO12" s="3"/>
      <c r="AP12" s="3">
        <f>IFERROR(__xludf.DUMMYFUNCTION("""COMPUTED_VALUE"""),4.87601692E8)</f>
        <v>487601692</v>
      </c>
      <c r="AQ12" s="3" t="str">
        <f>IFERROR(__xludf.DUMMYFUNCTION("""COMPUTED_VALUE"""),"ff4ef0c1-858b-4f18-9956-870a604b07a6")</f>
        <v>ff4ef0c1-858b-4f18-9956-870a604b07a6</v>
      </c>
      <c r="AR12" s="3">
        <f>IFERROR(__xludf.DUMMYFUNCTION("""COMPUTED_VALUE"""),45805.2628587963)</f>
        <v>45805.26286</v>
      </c>
      <c r="AS12" s="3"/>
      <c r="AT12" s="3"/>
      <c r="AU12" s="3" t="str">
        <f>IFERROR(__xludf.DUMMYFUNCTION("""COMPUTED_VALUE"""),"submitted_via_web")</f>
        <v>submitted_via_web</v>
      </c>
      <c r="AV12" s="3"/>
      <c r="AW12" s="3" t="str">
        <f>IFERROR(__xludf.DUMMYFUNCTION("""COMPUTED_VALUE"""),"vL333fTXttq2bepEBmPumB")</f>
        <v>vL333fTXttq2bepEBmPumB</v>
      </c>
      <c r="AX12" s="3"/>
      <c r="AY12" s="3">
        <f>IFERROR(__xludf.DUMMYFUNCTION("""COMPUTED_VALUE"""),11.0)</f>
        <v>11</v>
      </c>
    </row>
    <row r="13">
      <c r="A13" s="3" t="str">
        <f>IFERROR(__xludf.DUMMYFUNCTION("""COMPUTED_VALUE"""),"Yes")</f>
        <v>Yes</v>
      </c>
      <c r="B13" s="3"/>
      <c r="C13" s="3" t="str">
        <f>IFERROR(__xludf.DUMMYFUNCTION("""COMPUTED_VALUE"""),"zimbabwe")</f>
        <v>zimbabwe</v>
      </c>
      <c r="D13" s="3"/>
      <c r="E13" s="3" t="str">
        <f>IFERROR(__xludf.DUMMYFUNCTION("""COMPUTED_VALUE"""),"south_africa")</f>
        <v>south_africa</v>
      </c>
      <c r="F13" s="3"/>
      <c r="G13" s="3">
        <f>IFERROR(__xludf.DUMMYFUNCTION("""COMPUTED_VALUE"""),35.0)</f>
        <v>35</v>
      </c>
      <c r="H13" s="3" t="str">
        <f>IFERROR(__xludf.DUMMYFUNCTION("""COMPUTED_VALUE"""),"female")</f>
        <v>female</v>
      </c>
      <c r="I13" s="3" t="str">
        <f>IFERROR(__xludf.DUMMYFUNCTION("""COMPUTED_VALUE"""),"over5")</f>
        <v>over5</v>
      </c>
      <c r="J13" s="3" t="str">
        <f>IFERROR(__xludf.DUMMYFUNCTION("""COMPUTED_VALUE"""),"informal")</f>
        <v>informal</v>
      </c>
      <c r="K13" s="3" t="str">
        <f>IFERROR(__xludf.DUMMYFUNCTION("""COMPUTED_VALUE"""),"secondary")</f>
        <v>secondary</v>
      </c>
      <c r="L13" s="3"/>
      <c r="M13" s="3" t="str">
        <f>IFERROR(__xludf.DUMMYFUNCTION("""COMPUTED_VALUE"""),"agree")</f>
        <v>agree</v>
      </c>
      <c r="N13" s="3" t="str">
        <f>IFERROR(__xludf.DUMMYFUNCTION("""COMPUTED_VALUE"""),"agree")</f>
        <v>agree</v>
      </c>
      <c r="O13" s="3" t="str">
        <f>IFERROR(__xludf.DUMMYFUNCTION("""COMPUTED_VALUE"""),"agree")</f>
        <v>agree</v>
      </c>
      <c r="P13" s="3"/>
      <c r="Q13" s="3" t="str">
        <f>IFERROR(__xludf.DUMMYFUNCTION("""COMPUTED_VALUE"""),"agree")</f>
        <v>agree</v>
      </c>
      <c r="R13" s="3" t="str">
        <f>IFERROR(__xludf.DUMMYFUNCTION("""COMPUTED_VALUE"""),"agree")</f>
        <v>agree</v>
      </c>
      <c r="S13" s="3" t="str">
        <f>IFERROR(__xludf.DUMMYFUNCTION("""COMPUTED_VALUE"""),"disagree")</f>
        <v>disagree</v>
      </c>
      <c r="T13" s="3" t="str">
        <f>IFERROR(__xludf.DUMMYFUNCTION("""COMPUTED_VALUE"""),"disagree")</f>
        <v>disagree</v>
      </c>
      <c r="U13" s="3" t="str">
        <f>IFERROR(__xludf.DUMMYFUNCTION("""COMPUTED_VALUE"""),"agree")</f>
        <v>agree</v>
      </c>
      <c r="V13" s="3" t="str">
        <f>IFERROR(__xludf.DUMMYFUNCTION("""COMPUTED_VALUE"""),"agree")</f>
        <v>agree</v>
      </c>
      <c r="W13" s="3" t="str">
        <f>IFERROR(__xludf.DUMMYFUNCTION("""COMPUTED_VALUE"""),"disagree")</f>
        <v>disagree</v>
      </c>
      <c r="X13" s="3" t="str">
        <f>IFERROR(__xludf.DUMMYFUNCTION("""COMPUTED_VALUE"""),"Silver")</f>
        <v>Silver</v>
      </c>
      <c r="Y13" s="3" t="str">
        <f>IFERROR(__xludf.DUMMYFUNCTION("""COMPUTED_VALUE"""),"cash")</f>
        <v>cash</v>
      </c>
      <c r="Z13" s="3" t="str">
        <f>IFERROR(__xludf.DUMMYFUNCTION("""COMPUTED_VALUE"""),"quarterly")</f>
        <v>quarterly</v>
      </c>
      <c r="AA13" s="3">
        <f>IFERROR(__xludf.DUMMYFUNCTION("""COMPUTED_VALUE"""),10.0)</f>
        <v>10</v>
      </c>
      <c r="AB13" s="3" t="str">
        <f>IFERROR(__xludf.DUMMYFUNCTION("""COMPUTED_VALUE"""),"assisted")</f>
        <v>assisted</v>
      </c>
      <c r="AC13" s="3" t="str">
        <f>IFERROR(__xludf.DUMMYFUNCTION("""COMPUTED_VALUE"""),"Yes")</f>
        <v>Yes</v>
      </c>
      <c r="AD13" s="3" t="str">
        <f>IFERROR(__xludf.DUMMYFUNCTION("""COMPUTED_VALUE"""),"Gold")</f>
        <v>Gold</v>
      </c>
      <c r="AE13" s="3" t="str">
        <f>IFERROR(__xludf.DUMMYFUNCTION("""COMPUTED_VALUE"""),"Yes")</f>
        <v>Yes</v>
      </c>
      <c r="AF13" s="3" t="str">
        <f>IFERROR(__xludf.DUMMYFUNCTION("""COMPUTED_VALUE"""),"Yes")</f>
        <v>Yes</v>
      </c>
      <c r="AG13" s="3" t="str">
        <f>IFERROR(__xludf.DUMMYFUNCTION("""COMPUTED_VALUE"""),"Yes")</f>
        <v>Yes</v>
      </c>
      <c r="AH13" s="3">
        <f>IFERROR(__xludf.DUMMYFUNCTION("""COMPUTED_VALUE"""),6000.0)</f>
        <v>6000</v>
      </c>
      <c r="AI13" s="3">
        <f>IFERROR(__xludf.DUMMYFUNCTION("""COMPUTED_VALUE"""),0.0)</f>
        <v>0</v>
      </c>
      <c r="AJ13" s="3">
        <f>IFERROR(__xludf.DUMMYFUNCTION("""COMPUTED_VALUE"""),1.0)</f>
        <v>1</v>
      </c>
      <c r="AK13" s="3">
        <f>IFERROR(__xludf.DUMMYFUNCTION("""COMPUTED_VALUE"""),0.0)</f>
        <v>0</v>
      </c>
      <c r="AL13" s="3">
        <f>IFERROR(__xludf.DUMMYFUNCTION("""COMPUTED_VALUE"""),0.0)</f>
        <v>0</v>
      </c>
      <c r="AM13" s="3" t="str">
        <f>IFERROR(__xludf.DUMMYFUNCTION("""COMPUTED_VALUE"""),"Yes")</f>
        <v>Yes</v>
      </c>
      <c r="AN13" s="3">
        <f>IFERROR(__xludf.DUMMYFUNCTION("""COMPUTED_VALUE"""),7.80638071E8)</f>
        <v>780638071</v>
      </c>
      <c r="AO13" s="3"/>
      <c r="AP13" s="3">
        <f>IFERROR(__xludf.DUMMYFUNCTION("""COMPUTED_VALUE"""),4.87603844E8)</f>
        <v>487603844</v>
      </c>
      <c r="AQ13" s="3" t="str">
        <f>IFERROR(__xludf.DUMMYFUNCTION("""COMPUTED_VALUE"""),"8c7d80fc-970a-49ba-8cce-13ce351eb4e0")</f>
        <v>8c7d80fc-970a-49ba-8cce-13ce351eb4e0</v>
      </c>
      <c r="AR13" s="3">
        <f>IFERROR(__xludf.DUMMYFUNCTION("""COMPUTED_VALUE"""),45805.26619212963)</f>
        <v>45805.26619</v>
      </c>
      <c r="AS13" s="3"/>
      <c r="AT13" s="3"/>
      <c r="AU13" s="3" t="str">
        <f>IFERROR(__xludf.DUMMYFUNCTION("""COMPUTED_VALUE"""),"submitted_via_web")</f>
        <v>submitted_via_web</v>
      </c>
      <c r="AV13" s="3"/>
      <c r="AW13" s="3" t="str">
        <f>IFERROR(__xludf.DUMMYFUNCTION("""COMPUTED_VALUE"""),"vL333fTXttq2bepEBmPumB")</f>
        <v>vL333fTXttq2bepEBmPumB</v>
      </c>
      <c r="AX13" s="3"/>
      <c r="AY13" s="3">
        <f>IFERROR(__xludf.DUMMYFUNCTION("""COMPUTED_VALUE"""),12.0)</f>
        <v>12</v>
      </c>
    </row>
    <row r="14">
      <c r="A14" s="3" t="str">
        <f>IFERROR(__xludf.DUMMYFUNCTION("""COMPUTED_VALUE"""),"Yes")</f>
        <v>Yes</v>
      </c>
      <c r="B14" s="3"/>
      <c r="C14" s="3" t="str">
        <f>IFERROR(__xludf.DUMMYFUNCTION("""COMPUTED_VALUE"""),"zimbabwe")</f>
        <v>zimbabwe</v>
      </c>
      <c r="D14" s="3"/>
      <c r="E14" s="3" t="str">
        <f>IFERROR(__xludf.DUMMYFUNCTION("""COMPUTED_VALUE"""),"south_africa")</f>
        <v>south_africa</v>
      </c>
      <c r="F14" s="3" t="str">
        <f>IFERROR(__xludf.DUMMYFUNCTION("""COMPUTED_VALUE"""),"City of Johannesburg Metropolitan Municipality")</f>
        <v>City of Johannesburg Metropolitan Municipality</v>
      </c>
      <c r="G14" s="3">
        <f>IFERROR(__xludf.DUMMYFUNCTION("""COMPUTED_VALUE"""),43.0)</f>
        <v>43</v>
      </c>
      <c r="H14" s="3" t="str">
        <f>IFERROR(__xludf.DUMMYFUNCTION("""COMPUTED_VALUE"""),"female")</f>
        <v>female</v>
      </c>
      <c r="I14" s="3" t="str">
        <f>IFERROR(__xludf.DUMMYFUNCTION("""COMPUTED_VALUE"""),"over5")</f>
        <v>over5</v>
      </c>
      <c r="J14" s="3" t="str">
        <f>IFERROR(__xludf.DUMMYFUNCTION("""COMPUTED_VALUE"""),"ownbusiness")</f>
        <v>ownbusiness</v>
      </c>
      <c r="K14" s="3" t="str">
        <f>IFERROR(__xludf.DUMMYFUNCTION("""COMPUTED_VALUE"""),"tertiary")</f>
        <v>tertiary</v>
      </c>
      <c r="L14" s="3"/>
      <c r="M14" s="3" t="str">
        <f>IFERROR(__xludf.DUMMYFUNCTION("""COMPUTED_VALUE"""),"agree")</f>
        <v>agree</v>
      </c>
      <c r="N14" s="3" t="str">
        <f>IFERROR(__xludf.DUMMYFUNCTION("""COMPUTED_VALUE"""),"agree")</f>
        <v>agree</v>
      </c>
      <c r="O14" s="3" t="str">
        <f>IFERROR(__xludf.DUMMYFUNCTION("""COMPUTED_VALUE"""),"disagree")</f>
        <v>disagree</v>
      </c>
      <c r="P14" s="3"/>
      <c r="Q14" s="3" t="str">
        <f>IFERROR(__xludf.DUMMYFUNCTION("""COMPUTED_VALUE"""),"disagree")</f>
        <v>disagree</v>
      </c>
      <c r="R14" s="3" t="str">
        <f>IFERROR(__xludf.DUMMYFUNCTION("""COMPUTED_VALUE"""),"agree")</f>
        <v>agree</v>
      </c>
      <c r="S14" s="3" t="str">
        <f>IFERROR(__xludf.DUMMYFUNCTION("""COMPUTED_VALUE"""),"disagree")</f>
        <v>disagree</v>
      </c>
      <c r="T14" s="3" t="str">
        <f>IFERROR(__xludf.DUMMYFUNCTION("""COMPUTED_VALUE"""),"disagree")</f>
        <v>disagree</v>
      </c>
      <c r="U14" s="3" t="str">
        <f>IFERROR(__xludf.DUMMYFUNCTION("""COMPUTED_VALUE"""),"disagree")</f>
        <v>disagree</v>
      </c>
      <c r="V14" s="3" t="str">
        <f>IFERROR(__xludf.DUMMYFUNCTION("""COMPUTED_VALUE"""),"agree")</f>
        <v>agree</v>
      </c>
      <c r="W14" s="3" t="str">
        <f>IFERROR(__xludf.DUMMYFUNCTION("""COMPUTED_VALUE"""),"dontknow")</f>
        <v>dontknow</v>
      </c>
      <c r="X14" s="3" t="str">
        <f>IFERROR(__xludf.DUMMYFUNCTION("""COMPUTED_VALUE"""),"Silver")</f>
        <v>Silver</v>
      </c>
      <c r="Y14" s="3" t="str">
        <f>IFERROR(__xludf.DUMMYFUNCTION("""COMPUTED_VALUE"""),"insurance")</f>
        <v>insurance</v>
      </c>
      <c r="Z14" s="3" t="str">
        <f>IFERROR(__xludf.DUMMYFUNCTION("""COMPUTED_VALUE"""),"once")</f>
        <v>once</v>
      </c>
      <c r="AA14" s="3">
        <f>IFERROR(__xludf.DUMMYFUNCTION("""COMPUTED_VALUE"""),10.0)</f>
        <v>10</v>
      </c>
      <c r="AB14" s="3" t="str">
        <f>IFERROR(__xludf.DUMMYFUNCTION("""COMPUTED_VALUE"""),"assisted")</f>
        <v>assisted</v>
      </c>
      <c r="AC14" s="3" t="str">
        <f>IFERROR(__xludf.DUMMYFUNCTION("""COMPUTED_VALUE"""),"Yes")</f>
        <v>Yes</v>
      </c>
      <c r="AD14" s="3" t="str">
        <f>IFERROR(__xludf.DUMMYFUNCTION("""COMPUTED_VALUE"""),"Gold")</f>
        <v>Gold</v>
      </c>
      <c r="AE14" s="3" t="str">
        <f>IFERROR(__xludf.DUMMYFUNCTION("""COMPUTED_VALUE"""),"Yes")</f>
        <v>Yes</v>
      </c>
      <c r="AF14" s="3" t="str">
        <f>IFERROR(__xludf.DUMMYFUNCTION("""COMPUTED_VALUE"""),"Yes")</f>
        <v>Yes</v>
      </c>
      <c r="AG14" s="3" t="str">
        <f>IFERROR(__xludf.DUMMYFUNCTION("""COMPUTED_VALUE"""),"Yes")</f>
        <v>Yes</v>
      </c>
      <c r="AH14" s="3">
        <f>IFERROR(__xludf.DUMMYFUNCTION("""COMPUTED_VALUE"""),100.0)</f>
        <v>100</v>
      </c>
      <c r="AI14" s="3">
        <f>IFERROR(__xludf.DUMMYFUNCTION("""COMPUTED_VALUE"""),0.0)</f>
        <v>0</v>
      </c>
      <c r="AJ14" s="3">
        <f>IFERROR(__xludf.DUMMYFUNCTION("""COMPUTED_VALUE"""),0.0)</f>
        <v>0</v>
      </c>
      <c r="AK14" s="3">
        <f>IFERROR(__xludf.DUMMYFUNCTION("""COMPUTED_VALUE"""),1.0)</f>
        <v>1</v>
      </c>
      <c r="AL14" s="3">
        <f>IFERROR(__xludf.DUMMYFUNCTION("""COMPUTED_VALUE"""),0.0)</f>
        <v>0</v>
      </c>
      <c r="AM14" s="3" t="str">
        <f>IFERROR(__xludf.DUMMYFUNCTION("""COMPUTED_VALUE"""),"Yes")</f>
        <v>Yes</v>
      </c>
      <c r="AN14" s="3">
        <f>IFERROR(__xludf.DUMMYFUNCTION("""COMPUTED_VALUE"""),7.42878903E8)</f>
        <v>742878903</v>
      </c>
      <c r="AO14" s="3"/>
      <c r="AP14" s="3">
        <f>IFERROR(__xludf.DUMMYFUNCTION("""COMPUTED_VALUE"""),4.8760696E8)</f>
        <v>487606960</v>
      </c>
      <c r="AQ14" s="3" t="str">
        <f>IFERROR(__xludf.DUMMYFUNCTION("""COMPUTED_VALUE"""),"6aac13fd-5a4d-42e1-9fce-4e75b491b1f2")</f>
        <v>6aac13fd-5a4d-42e1-9fce-4e75b491b1f2</v>
      </c>
      <c r="AR14" s="3">
        <f>IFERROR(__xludf.DUMMYFUNCTION("""COMPUTED_VALUE"""),45805.27038194444)</f>
        <v>45805.27038</v>
      </c>
      <c r="AS14" s="3"/>
      <c r="AT14" s="3"/>
      <c r="AU14" s="3" t="str">
        <f>IFERROR(__xludf.DUMMYFUNCTION("""COMPUTED_VALUE"""),"submitted_via_web")</f>
        <v>submitted_via_web</v>
      </c>
      <c r="AV14" s="3"/>
      <c r="AW14" s="3" t="str">
        <f>IFERROR(__xludf.DUMMYFUNCTION("""COMPUTED_VALUE"""),"vL333fTXttq2bepEBmPumB")</f>
        <v>vL333fTXttq2bepEBmPumB</v>
      </c>
      <c r="AX14" s="3"/>
      <c r="AY14" s="3">
        <f>IFERROR(__xludf.DUMMYFUNCTION("""COMPUTED_VALUE"""),13.0)</f>
        <v>13</v>
      </c>
    </row>
    <row r="15">
      <c r="A15" s="3" t="str">
        <f>IFERROR(__xludf.DUMMYFUNCTION("""COMPUTED_VALUE"""),"Yes")</f>
        <v>Yes</v>
      </c>
      <c r="B15" s="3"/>
      <c r="C15" s="3" t="str">
        <f>IFERROR(__xludf.DUMMYFUNCTION("""COMPUTED_VALUE"""),"zimbabwe")</f>
        <v>zimbabwe</v>
      </c>
      <c r="D15" s="3"/>
      <c r="E15" s="3" t="str">
        <f>IFERROR(__xludf.DUMMYFUNCTION("""COMPUTED_VALUE"""),"zimbabwe")</f>
        <v>zimbabwe</v>
      </c>
      <c r="F15" s="3"/>
      <c r="G15" s="3">
        <f>IFERROR(__xludf.DUMMYFUNCTION("""COMPUTED_VALUE"""),36.0)</f>
        <v>36</v>
      </c>
      <c r="H15" s="3" t="str">
        <f>IFERROR(__xludf.DUMMYFUNCTION("""COMPUTED_VALUE"""),"male")</f>
        <v>male</v>
      </c>
      <c r="I15" s="3"/>
      <c r="J15" s="3" t="str">
        <f>IFERROR(__xludf.DUMMYFUNCTION("""COMPUTED_VALUE"""),"ownbusiness")</f>
        <v>ownbusiness</v>
      </c>
      <c r="K15" s="3" t="str">
        <f>IFERROR(__xludf.DUMMYFUNCTION("""COMPUTED_VALUE"""),"tertiary")</f>
        <v>tertiary</v>
      </c>
      <c r="L15" s="3"/>
      <c r="M15" s="3" t="str">
        <f>IFERROR(__xludf.DUMMYFUNCTION("""COMPUTED_VALUE"""),"agree")</f>
        <v>agree</v>
      </c>
      <c r="N15" s="3" t="str">
        <f>IFERROR(__xludf.DUMMYFUNCTION("""COMPUTED_VALUE"""),"agree")</f>
        <v>agree</v>
      </c>
      <c r="O15" s="3" t="str">
        <f>IFERROR(__xludf.DUMMYFUNCTION("""COMPUTED_VALUE"""),"disagree")</f>
        <v>disagree</v>
      </c>
      <c r="P15" s="3"/>
      <c r="Q15" s="3" t="str">
        <f>IFERROR(__xludf.DUMMYFUNCTION("""COMPUTED_VALUE"""),"agree")</f>
        <v>agree</v>
      </c>
      <c r="R15" s="3" t="str">
        <f>IFERROR(__xludf.DUMMYFUNCTION("""COMPUTED_VALUE"""),"agree")</f>
        <v>agree</v>
      </c>
      <c r="S15" s="3" t="str">
        <f>IFERROR(__xludf.DUMMYFUNCTION("""COMPUTED_VALUE"""),"disagree")</f>
        <v>disagree</v>
      </c>
      <c r="T15" s="3" t="str">
        <f>IFERROR(__xludf.DUMMYFUNCTION("""COMPUTED_VALUE"""),"agree")</f>
        <v>agree</v>
      </c>
      <c r="U15" s="3" t="str">
        <f>IFERROR(__xludf.DUMMYFUNCTION("""COMPUTED_VALUE"""),"agree")</f>
        <v>agree</v>
      </c>
      <c r="V15" s="3" t="str">
        <f>IFERROR(__xludf.DUMMYFUNCTION("""COMPUTED_VALUE"""),"agree")</f>
        <v>agree</v>
      </c>
      <c r="W15" s="3" t="str">
        <f>IFERROR(__xludf.DUMMYFUNCTION("""COMPUTED_VALUE"""),"disagree")</f>
        <v>disagree</v>
      </c>
      <c r="X15" s="3" t="str">
        <f>IFERROR(__xludf.DUMMYFUNCTION("""COMPUTED_VALUE"""),"Platinum")</f>
        <v>Platinum</v>
      </c>
      <c r="Y15" s="3" t="str">
        <f>IFERROR(__xludf.DUMMYFUNCTION("""COMPUTED_VALUE"""),"insurance")</f>
        <v>insurance</v>
      </c>
      <c r="Z15" s="3" t="str">
        <f>IFERROR(__xludf.DUMMYFUNCTION("""COMPUTED_VALUE"""),"monthly")</f>
        <v>monthly</v>
      </c>
      <c r="AA15" s="3">
        <f>IFERROR(__xludf.DUMMYFUNCTION("""COMPUTED_VALUE"""),50.0)</f>
        <v>50</v>
      </c>
      <c r="AB15" s="3" t="str">
        <f>IFERROR(__xludf.DUMMYFUNCTION("""COMPUTED_VALUE"""),"assisted")</f>
        <v>assisted</v>
      </c>
      <c r="AC15" s="3" t="str">
        <f>IFERROR(__xludf.DUMMYFUNCTION("""COMPUTED_VALUE"""),"I am not an employer")</f>
        <v>I am not an employer</v>
      </c>
      <c r="AD15" s="3"/>
      <c r="AE15" s="3"/>
      <c r="AF15" s="3" t="str">
        <f>IFERROR(__xludf.DUMMYFUNCTION("""COMPUTED_VALUE"""),"Yes")</f>
        <v>Yes</v>
      </c>
      <c r="AG15" s="3" t="str">
        <f>IFERROR(__xludf.DUMMYFUNCTION("""COMPUTED_VALUE"""),"Yes")</f>
        <v>Yes</v>
      </c>
      <c r="AH15" s="3">
        <f>IFERROR(__xludf.DUMMYFUNCTION("""COMPUTED_VALUE"""),50.0)</f>
        <v>50</v>
      </c>
      <c r="AI15" s="3">
        <f>IFERROR(__xludf.DUMMYFUNCTION("""COMPUTED_VALUE"""),0.0)</f>
        <v>0</v>
      </c>
      <c r="AJ15" s="3">
        <f>IFERROR(__xludf.DUMMYFUNCTION("""COMPUTED_VALUE"""),0.0)</f>
        <v>0</v>
      </c>
      <c r="AK15" s="3">
        <f>IFERROR(__xludf.DUMMYFUNCTION("""COMPUTED_VALUE"""),0.0)</f>
        <v>0</v>
      </c>
      <c r="AL15" s="3">
        <f>IFERROR(__xludf.DUMMYFUNCTION("""COMPUTED_VALUE"""),1.0)</f>
        <v>1</v>
      </c>
      <c r="AM15" s="3"/>
      <c r="AN15" s="3"/>
      <c r="AO15" s="3"/>
      <c r="AP15" s="3">
        <f>IFERROR(__xludf.DUMMYFUNCTION("""COMPUTED_VALUE"""),4.87608107E8)</f>
        <v>487608107</v>
      </c>
      <c r="AQ15" s="3" t="str">
        <f>IFERROR(__xludf.DUMMYFUNCTION("""COMPUTED_VALUE"""),"db754ea7-c0ea-4657-a930-7ac09469c93f")</f>
        <v>db754ea7-c0ea-4657-a930-7ac09469c93f</v>
      </c>
      <c r="AR15" s="3">
        <f>IFERROR(__xludf.DUMMYFUNCTION("""COMPUTED_VALUE"""),45805.271875)</f>
        <v>45805.27188</v>
      </c>
      <c r="AS15" s="3"/>
      <c r="AT15" s="3"/>
      <c r="AU15" s="3" t="str">
        <f>IFERROR(__xludf.DUMMYFUNCTION("""COMPUTED_VALUE"""),"submitted_via_web")</f>
        <v>submitted_via_web</v>
      </c>
      <c r="AV15" s="3"/>
      <c r="AW15" s="3" t="str">
        <f>IFERROR(__xludf.DUMMYFUNCTION("""COMPUTED_VALUE"""),"vL333fTXttq2bepEBmPumB")</f>
        <v>vL333fTXttq2bepEBmPumB</v>
      </c>
      <c r="AX15" s="3"/>
      <c r="AY15" s="3">
        <f>IFERROR(__xludf.DUMMYFUNCTION("""COMPUTED_VALUE"""),14.0)</f>
        <v>14</v>
      </c>
    </row>
    <row r="16">
      <c r="A16" s="3" t="str">
        <f>IFERROR(__xludf.DUMMYFUNCTION("""COMPUTED_VALUE"""),"Yes")</f>
        <v>Yes</v>
      </c>
      <c r="B16" s="3"/>
      <c r="C16" s="3" t="str">
        <f>IFERROR(__xludf.DUMMYFUNCTION("""COMPUTED_VALUE"""),"zimbabwe")</f>
        <v>zimbabwe</v>
      </c>
      <c r="D16" s="3"/>
      <c r="E16" s="3" t="str">
        <f>IFERROR(__xludf.DUMMYFUNCTION("""COMPUTED_VALUE"""),"zimbabwe")</f>
        <v>zimbabwe</v>
      </c>
      <c r="F16" s="3"/>
      <c r="G16" s="3">
        <f>IFERROR(__xludf.DUMMYFUNCTION("""COMPUTED_VALUE"""),30.0)</f>
        <v>30</v>
      </c>
      <c r="H16" s="3" t="str">
        <f>IFERROR(__xludf.DUMMYFUNCTION("""COMPUTED_VALUE"""),"male")</f>
        <v>male</v>
      </c>
      <c r="I16" s="3"/>
      <c r="J16" s="3" t="str">
        <f>IFERROR(__xludf.DUMMYFUNCTION("""COMPUTED_VALUE"""),"formal")</f>
        <v>formal</v>
      </c>
      <c r="K16" s="3" t="str">
        <f>IFERROR(__xludf.DUMMYFUNCTION("""COMPUTED_VALUE"""),"tertiary")</f>
        <v>tertiary</v>
      </c>
      <c r="L16" s="3"/>
      <c r="M16" s="3" t="str">
        <f>IFERROR(__xludf.DUMMYFUNCTION("""COMPUTED_VALUE"""),"agree")</f>
        <v>agree</v>
      </c>
      <c r="N16" s="3" t="str">
        <f>IFERROR(__xludf.DUMMYFUNCTION("""COMPUTED_VALUE"""),"agree")</f>
        <v>agree</v>
      </c>
      <c r="O16" s="3" t="str">
        <f>IFERROR(__xludf.DUMMYFUNCTION("""COMPUTED_VALUE"""),"dontknow")</f>
        <v>dontknow</v>
      </c>
      <c r="P16" s="3"/>
      <c r="Q16" s="3" t="str">
        <f>IFERROR(__xludf.DUMMYFUNCTION("""COMPUTED_VALUE"""),"agree")</f>
        <v>agree</v>
      </c>
      <c r="R16" s="3" t="str">
        <f>IFERROR(__xludf.DUMMYFUNCTION("""COMPUTED_VALUE"""),"dontknow")</f>
        <v>dontknow</v>
      </c>
      <c r="S16" s="3" t="str">
        <f>IFERROR(__xludf.DUMMYFUNCTION("""COMPUTED_VALUE"""),"disagree")</f>
        <v>disagree</v>
      </c>
      <c r="T16" s="3" t="str">
        <f>IFERROR(__xludf.DUMMYFUNCTION("""COMPUTED_VALUE"""),"disagree")</f>
        <v>disagree</v>
      </c>
      <c r="U16" s="3" t="str">
        <f>IFERROR(__xludf.DUMMYFUNCTION("""COMPUTED_VALUE"""),"agree")</f>
        <v>agree</v>
      </c>
      <c r="V16" s="3" t="str">
        <f>IFERROR(__xludf.DUMMYFUNCTION("""COMPUTED_VALUE"""),"agree")</f>
        <v>agree</v>
      </c>
      <c r="W16" s="3" t="str">
        <f>IFERROR(__xludf.DUMMYFUNCTION("""COMPUTED_VALUE"""),"disagree")</f>
        <v>disagree</v>
      </c>
      <c r="X16" s="3" t="str">
        <f>IFERROR(__xludf.DUMMYFUNCTION("""COMPUTED_VALUE"""),"Gold")</f>
        <v>Gold</v>
      </c>
      <c r="Y16" s="3" t="str">
        <f>IFERROR(__xludf.DUMMYFUNCTION("""COMPUTED_VALUE"""),"insurance")</f>
        <v>insurance</v>
      </c>
      <c r="Z16" s="3" t="str">
        <f>IFERROR(__xludf.DUMMYFUNCTION("""COMPUTED_VALUE"""),"monthly")</f>
        <v>monthly</v>
      </c>
      <c r="AA16" s="3">
        <f>IFERROR(__xludf.DUMMYFUNCTION("""COMPUTED_VALUE"""),40.0)</f>
        <v>40</v>
      </c>
      <c r="AB16" s="3" t="str">
        <f>IFERROR(__xludf.DUMMYFUNCTION("""COMPUTED_VALUE"""),"online")</f>
        <v>online</v>
      </c>
      <c r="AC16" s="3" t="str">
        <f>IFERROR(__xludf.DUMMYFUNCTION("""COMPUTED_VALUE"""),"Yes")</f>
        <v>Yes</v>
      </c>
      <c r="AD16" s="3" t="str">
        <f>IFERROR(__xludf.DUMMYFUNCTION("""COMPUTED_VALUE"""),"Gold")</f>
        <v>Gold</v>
      </c>
      <c r="AE16" s="3" t="str">
        <f>IFERROR(__xludf.DUMMYFUNCTION("""COMPUTED_VALUE"""),"Yes")</f>
        <v>Yes</v>
      </c>
      <c r="AF16" s="3" t="str">
        <f>IFERROR(__xludf.DUMMYFUNCTION("""COMPUTED_VALUE"""),"Yes")</f>
        <v>Yes</v>
      </c>
      <c r="AG16" s="3" t="str">
        <f>IFERROR(__xludf.DUMMYFUNCTION("""COMPUTED_VALUE"""),"Yes")</f>
        <v>Yes</v>
      </c>
      <c r="AH16" s="3">
        <f>IFERROR(__xludf.DUMMYFUNCTION("""COMPUTED_VALUE"""),20.0)</f>
        <v>20</v>
      </c>
      <c r="AI16" s="3">
        <f>IFERROR(__xludf.DUMMYFUNCTION("""COMPUTED_VALUE"""),1.0)</f>
        <v>1</v>
      </c>
      <c r="AJ16" s="3">
        <f>IFERROR(__xludf.DUMMYFUNCTION("""COMPUTED_VALUE"""),1.0)</f>
        <v>1</v>
      </c>
      <c r="AK16" s="3">
        <f>IFERROR(__xludf.DUMMYFUNCTION("""COMPUTED_VALUE"""),1.0)</f>
        <v>1</v>
      </c>
      <c r="AL16" s="3">
        <f>IFERROR(__xludf.DUMMYFUNCTION("""COMPUTED_VALUE"""),0.0)</f>
        <v>0</v>
      </c>
      <c r="AM16" s="3"/>
      <c r="AN16" s="3"/>
      <c r="AO16" s="3"/>
      <c r="AP16" s="3">
        <f>IFERROR(__xludf.DUMMYFUNCTION("""COMPUTED_VALUE"""),4.87609783E8)</f>
        <v>487609783</v>
      </c>
      <c r="AQ16" s="3" t="str">
        <f>IFERROR(__xludf.DUMMYFUNCTION("""COMPUTED_VALUE"""),"ff677165-a115-4c1a-8b31-6a1a72e17dd1")</f>
        <v>ff677165-a115-4c1a-8b31-6a1a72e17dd1</v>
      </c>
      <c r="AR16" s="3">
        <f>IFERROR(__xludf.DUMMYFUNCTION("""COMPUTED_VALUE"""),45805.27391203704)</f>
        <v>45805.27391</v>
      </c>
      <c r="AS16" s="3"/>
      <c r="AT16" s="3"/>
      <c r="AU16" s="3" t="str">
        <f>IFERROR(__xludf.DUMMYFUNCTION("""COMPUTED_VALUE"""),"submitted_via_web")</f>
        <v>submitted_via_web</v>
      </c>
      <c r="AV16" s="3"/>
      <c r="AW16" s="3" t="str">
        <f>IFERROR(__xludf.DUMMYFUNCTION("""COMPUTED_VALUE"""),"vL333fTXttq2bepEBmPumB")</f>
        <v>vL333fTXttq2bepEBmPumB</v>
      </c>
      <c r="AX16" s="3"/>
      <c r="AY16" s="3">
        <f>IFERROR(__xludf.DUMMYFUNCTION("""COMPUTED_VALUE"""),15.0)</f>
        <v>15</v>
      </c>
    </row>
    <row r="17">
      <c r="A17" s="3" t="str">
        <f>IFERROR(__xludf.DUMMYFUNCTION("""COMPUTED_VALUE"""),"Yes")</f>
        <v>Yes</v>
      </c>
      <c r="B17" s="3"/>
      <c r="C17" s="3" t="str">
        <f>IFERROR(__xludf.DUMMYFUNCTION("""COMPUTED_VALUE"""),"zimbabwe")</f>
        <v>zimbabwe</v>
      </c>
      <c r="D17" s="3"/>
      <c r="E17" s="3" t="str">
        <f>IFERROR(__xludf.DUMMYFUNCTION("""COMPUTED_VALUE"""),"south_africa")</f>
        <v>south_africa</v>
      </c>
      <c r="F17" s="3" t="str">
        <f>IFERROR(__xludf.DUMMYFUNCTION("""COMPUTED_VALUE"""),"Mopani District")</f>
        <v>Mopani District</v>
      </c>
      <c r="G17" s="3">
        <f>IFERROR(__xludf.DUMMYFUNCTION("""COMPUTED_VALUE"""),44.0)</f>
        <v>44</v>
      </c>
      <c r="H17" s="3" t="str">
        <f>IFERROR(__xludf.DUMMYFUNCTION("""COMPUTED_VALUE"""),"male")</f>
        <v>male</v>
      </c>
      <c r="I17" s="3" t="str">
        <f>IFERROR(__xludf.DUMMYFUNCTION("""COMPUTED_VALUE"""),"over5")</f>
        <v>over5</v>
      </c>
      <c r="J17" s="3" t="str">
        <f>IFERROR(__xludf.DUMMYFUNCTION("""COMPUTED_VALUE"""),"formal")</f>
        <v>formal</v>
      </c>
      <c r="K17" s="3" t="str">
        <f>IFERROR(__xludf.DUMMYFUNCTION("""COMPUTED_VALUE"""),"tertiary")</f>
        <v>tertiary</v>
      </c>
      <c r="L17" s="3"/>
      <c r="M17" s="3" t="str">
        <f>IFERROR(__xludf.DUMMYFUNCTION("""COMPUTED_VALUE"""),"agree")</f>
        <v>agree</v>
      </c>
      <c r="N17" s="3" t="str">
        <f>IFERROR(__xludf.DUMMYFUNCTION("""COMPUTED_VALUE"""),"agree")</f>
        <v>agree</v>
      </c>
      <c r="O17" s="3" t="str">
        <f>IFERROR(__xludf.DUMMYFUNCTION("""COMPUTED_VALUE"""),"disagree")</f>
        <v>disagree</v>
      </c>
      <c r="P17" s="3"/>
      <c r="Q17" s="3" t="str">
        <f>IFERROR(__xludf.DUMMYFUNCTION("""COMPUTED_VALUE"""),"disagree")</f>
        <v>disagree</v>
      </c>
      <c r="R17" s="3" t="str">
        <f>IFERROR(__xludf.DUMMYFUNCTION("""COMPUTED_VALUE"""),"dontknow")</f>
        <v>dontknow</v>
      </c>
      <c r="S17" s="3" t="str">
        <f>IFERROR(__xludf.DUMMYFUNCTION("""COMPUTED_VALUE"""),"disagree")</f>
        <v>disagree</v>
      </c>
      <c r="T17" s="3" t="str">
        <f>IFERROR(__xludf.DUMMYFUNCTION("""COMPUTED_VALUE"""),"disagree")</f>
        <v>disagree</v>
      </c>
      <c r="U17" s="3" t="str">
        <f>IFERROR(__xludf.DUMMYFUNCTION("""COMPUTED_VALUE"""),"dontknow")</f>
        <v>dontknow</v>
      </c>
      <c r="V17" s="3" t="str">
        <f>IFERROR(__xludf.DUMMYFUNCTION("""COMPUTED_VALUE"""),"agree")</f>
        <v>agree</v>
      </c>
      <c r="W17" s="3" t="str">
        <f>IFERROR(__xludf.DUMMYFUNCTION("""COMPUTED_VALUE"""),"dontknow")</f>
        <v>dontknow</v>
      </c>
      <c r="X17" s="3" t="str">
        <f>IFERROR(__xludf.DUMMYFUNCTION("""COMPUTED_VALUE"""),"Platinum")</f>
        <v>Platinum</v>
      </c>
      <c r="Y17" s="3" t="str">
        <f>IFERROR(__xludf.DUMMYFUNCTION("""COMPUTED_VALUE"""),"cash")</f>
        <v>cash</v>
      </c>
      <c r="Z17" s="3" t="str">
        <f>IFERROR(__xludf.DUMMYFUNCTION("""COMPUTED_VALUE"""),"monthly")</f>
        <v>monthly</v>
      </c>
      <c r="AA17" s="3">
        <f>IFERROR(__xludf.DUMMYFUNCTION("""COMPUTED_VALUE"""),50.0)</f>
        <v>50</v>
      </c>
      <c r="AB17" s="3" t="str">
        <f>IFERROR(__xludf.DUMMYFUNCTION("""COMPUTED_VALUE"""),"online")</f>
        <v>online</v>
      </c>
      <c r="AC17" s="3" t="str">
        <f>IFERROR(__xludf.DUMMYFUNCTION("""COMPUTED_VALUE"""),"I am not an employer")</f>
        <v>I am not an employer</v>
      </c>
      <c r="AD17" s="3"/>
      <c r="AE17" s="3"/>
      <c r="AF17" s="3" t="str">
        <f>IFERROR(__xludf.DUMMYFUNCTION("""COMPUTED_VALUE"""),"Yes")</f>
        <v>Yes</v>
      </c>
      <c r="AG17" s="3" t="str">
        <f>IFERROR(__xludf.DUMMYFUNCTION("""COMPUTED_VALUE"""),"Yes")</f>
        <v>Yes</v>
      </c>
      <c r="AH17" s="3">
        <f>IFERROR(__xludf.DUMMYFUNCTION("""COMPUTED_VALUE"""),50.0)</f>
        <v>50</v>
      </c>
      <c r="AI17" s="3">
        <f>IFERROR(__xludf.DUMMYFUNCTION("""COMPUTED_VALUE"""),0.0)</f>
        <v>0</v>
      </c>
      <c r="AJ17" s="3">
        <f>IFERROR(__xludf.DUMMYFUNCTION("""COMPUTED_VALUE"""),0.0)</f>
        <v>0</v>
      </c>
      <c r="AK17" s="3">
        <f>IFERROR(__xludf.DUMMYFUNCTION("""COMPUTED_VALUE"""),0.0)</f>
        <v>0</v>
      </c>
      <c r="AL17" s="3">
        <f>IFERROR(__xludf.DUMMYFUNCTION("""COMPUTED_VALUE"""),1.0)</f>
        <v>1</v>
      </c>
      <c r="AM17" s="3" t="str">
        <f>IFERROR(__xludf.DUMMYFUNCTION("""COMPUTED_VALUE"""),"Yes")</f>
        <v>Yes</v>
      </c>
      <c r="AN17" s="3">
        <f>IFERROR(__xludf.DUMMYFUNCTION("""COMPUTED_VALUE"""),8.35757654E8)</f>
        <v>835757654</v>
      </c>
      <c r="AO17" s="3"/>
      <c r="AP17" s="3">
        <f>IFERROR(__xludf.DUMMYFUNCTION("""COMPUTED_VALUE"""),4.87612881E8)</f>
        <v>487612881</v>
      </c>
      <c r="AQ17" s="3" t="str">
        <f>IFERROR(__xludf.DUMMYFUNCTION("""COMPUTED_VALUE"""),"07ac77f6-bc2b-401f-974f-78febbf7d7ca")</f>
        <v>07ac77f6-bc2b-401f-974f-78febbf7d7ca</v>
      </c>
      <c r="AR17" s="3">
        <f>IFERROR(__xludf.DUMMYFUNCTION("""COMPUTED_VALUE"""),45805.27793981481)</f>
        <v>45805.27794</v>
      </c>
      <c r="AS17" s="3"/>
      <c r="AT17" s="3"/>
      <c r="AU17" s="3" t="str">
        <f>IFERROR(__xludf.DUMMYFUNCTION("""COMPUTED_VALUE"""),"submitted_via_web")</f>
        <v>submitted_via_web</v>
      </c>
      <c r="AV17" s="3"/>
      <c r="AW17" s="3" t="str">
        <f>IFERROR(__xludf.DUMMYFUNCTION("""COMPUTED_VALUE"""),"vL333fTXttq2bepEBmPumB")</f>
        <v>vL333fTXttq2bepEBmPumB</v>
      </c>
      <c r="AX17" s="3"/>
      <c r="AY17" s="3">
        <f>IFERROR(__xludf.DUMMYFUNCTION("""COMPUTED_VALUE"""),16.0)</f>
        <v>16</v>
      </c>
    </row>
    <row r="18">
      <c r="A18" s="3" t="str">
        <f>IFERROR(__xludf.DUMMYFUNCTION("""COMPUTED_VALUE"""),"Yes")</f>
        <v>Yes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tr">
        <f>IFERROR(__xludf.DUMMYFUNCTION("""COMPUTED_VALUE"""),"disagree")</f>
        <v>disagree</v>
      </c>
      <c r="R18" s="3" t="str">
        <f>IFERROR(__xludf.DUMMYFUNCTION("""COMPUTED_VALUE"""),"dontknow")</f>
        <v>dontknow</v>
      </c>
      <c r="S18" s="3" t="str">
        <f>IFERROR(__xludf.DUMMYFUNCTION("""COMPUTED_VALUE"""),"dontknow")</f>
        <v>dontknow</v>
      </c>
      <c r="T18" s="3" t="str">
        <f>IFERROR(__xludf.DUMMYFUNCTION("""COMPUTED_VALUE"""),"agree")</f>
        <v>agree</v>
      </c>
      <c r="U18" s="3" t="str">
        <f>IFERROR(__xludf.DUMMYFUNCTION("""COMPUTED_VALUE"""),"agree")</f>
        <v>agree</v>
      </c>
      <c r="V18" s="3" t="str">
        <f>IFERROR(__xludf.DUMMYFUNCTION("""COMPUTED_VALUE"""),"agree")</f>
        <v>agree</v>
      </c>
      <c r="W18" s="3" t="str">
        <f>IFERROR(__xludf.DUMMYFUNCTION("""COMPUTED_VALUE"""),"dontknow")</f>
        <v>dontknow</v>
      </c>
      <c r="X18" s="3" t="str">
        <f>IFERROR(__xludf.DUMMYFUNCTION("""COMPUTED_VALUE"""),"Platinum")</f>
        <v>Platinum</v>
      </c>
      <c r="Y18" s="3" t="str">
        <f>IFERROR(__xludf.DUMMYFUNCTION("""COMPUTED_VALUE"""),"insurance")</f>
        <v>insurance</v>
      </c>
      <c r="Z18" s="3" t="str">
        <f>IFERROR(__xludf.DUMMYFUNCTION("""COMPUTED_VALUE"""),"monthly")</f>
        <v>monthly</v>
      </c>
      <c r="AA18" s="3">
        <f>IFERROR(__xludf.DUMMYFUNCTION("""COMPUTED_VALUE"""),100.0)</f>
        <v>100</v>
      </c>
      <c r="AB18" s="3" t="str">
        <f>IFERROR(__xludf.DUMMYFUNCTION("""COMPUTED_VALUE"""),"assisted")</f>
        <v>assisted</v>
      </c>
      <c r="AC18" s="3" t="str">
        <f>IFERROR(__xludf.DUMMYFUNCTION("""COMPUTED_VALUE"""),"I am not an employer")</f>
        <v>I am not an employer</v>
      </c>
      <c r="AD18" s="3"/>
      <c r="AE18" s="3"/>
      <c r="AF18" s="3" t="str">
        <f>IFERROR(__xludf.DUMMYFUNCTION("""COMPUTED_VALUE"""),"Yes")</f>
        <v>Yes</v>
      </c>
      <c r="AG18" s="3" t="str">
        <f>IFERROR(__xludf.DUMMYFUNCTION("""COMPUTED_VALUE"""),"No")</f>
        <v>No</v>
      </c>
      <c r="AH18" s="3"/>
      <c r="AI18" s="3">
        <f>IFERROR(__xludf.DUMMYFUNCTION("""COMPUTED_VALUE"""),0.0)</f>
        <v>0</v>
      </c>
      <c r="AJ18" s="3">
        <f>IFERROR(__xludf.DUMMYFUNCTION("""COMPUTED_VALUE"""),0.0)</f>
        <v>0</v>
      </c>
      <c r="AK18" s="3">
        <f>IFERROR(__xludf.DUMMYFUNCTION("""COMPUTED_VALUE"""),1.0)</f>
        <v>1</v>
      </c>
      <c r="AL18" s="3">
        <f>IFERROR(__xludf.DUMMYFUNCTION("""COMPUTED_VALUE"""),0.0)</f>
        <v>0</v>
      </c>
      <c r="AM18" s="3"/>
      <c r="AN18" s="3"/>
      <c r="AO18" s="3"/>
      <c r="AP18" s="3">
        <f>IFERROR(__xludf.DUMMYFUNCTION("""COMPUTED_VALUE"""),4.87617465E8)</f>
        <v>487617465</v>
      </c>
      <c r="AQ18" s="3" t="str">
        <f>IFERROR(__xludf.DUMMYFUNCTION("""COMPUTED_VALUE"""),"2de8cbd6-7deb-4181-b03c-80b250071588")</f>
        <v>2de8cbd6-7deb-4181-b03c-80b250071588</v>
      </c>
      <c r="AR18" s="3">
        <f>IFERROR(__xludf.DUMMYFUNCTION("""COMPUTED_VALUE"""),45805.283900462964)</f>
        <v>45805.2839</v>
      </c>
      <c r="AS18" s="3"/>
      <c r="AT18" s="3"/>
      <c r="AU18" s="3" t="str">
        <f>IFERROR(__xludf.DUMMYFUNCTION("""COMPUTED_VALUE"""),"submitted_via_web")</f>
        <v>submitted_via_web</v>
      </c>
      <c r="AV18" s="3"/>
      <c r="AW18" s="3" t="str">
        <f>IFERROR(__xludf.DUMMYFUNCTION("""COMPUTED_VALUE"""),"vL333fTXttq2bepEBmPumB")</f>
        <v>vL333fTXttq2bepEBmPumB</v>
      </c>
      <c r="AX18" s="3"/>
      <c r="AY18" s="3">
        <f>IFERROR(__xludf.DUMMYFUNCTION("""COMPUTED_VALUE"""),17.0)</f>
        <v>17</v>
      </c>
    </row>
    <row r="19">
      <c r="A19" s="3" t="str">
        <f>IFERROR(__xludf.DUMMYFUNCTION("""COMPUTED_VALUE"""),"Yes")</f>
        <v>Yes</v>
      </c>
      <c r="B19" s="3"/>
      <c r="C19" s="3" t="str">
        <f>IFERROR(__xludf.DUMMYFUNCTION("""COMPUTED_VALUE"""),"kenya")</f>
        <v>kenya</v>
      </c>
      <c r="D19" s="3"/>
      <c r="E19" s="3" t="str">
        <f>IFERROR(__xludf.DUMMYFUNCTION("""COMPUTED_VALUE"""),"Other")</f>
        <v>Other</v>
      </c>
      <c r="F19" s="3"/>
      <c r="G19" s="3">
        <f>IFERROR(__xludf.DUMMYFUNCTION("""COMPUTED_VALUE"""),38.0)</f>
        <v>38</v>
      </c>
      <c r="H19" s="3" t="str">
        <f>IFERROR(__xludf.DUMMYFUNCTION("""COMPUTED_VALUE"""),"female")</f>
        <v>female</v>
      </c>
      <c r="I19" s="3"/>
      <c r="J19" s="3" t="str">
        <f>IFERROR(__xludf.DUMMYFUNCTION("""COMPUTED_VALUE"""),"formal")</f>
        <v>formal</v>
      </c>
      <c r="K19" s="3" t="str">
        <f>IFERROR(__xludf.DUMMYFUNCTION("""COMPUTED_VALUE"""),"vocational")</f>
        <v>vocational</v>
      </c>
      <c r="L19" s="3"/>
      <c r="M19" s="3" t="str">
        <f>IFERROR(__xludf.DUMMYFUNCTION("""COMPUTED_VALUE"""),"agree")</f>
        <v>agree</v>
      </c>
      <c r="N19" s="3" t="str">
        <f>IFERROR(__xludf.DUMMYFUNCTION("""COMPUTED_VALUE"""),"agree")</f>
        <v>agree</v>
      </c>
      <c r="O19" s="3" t="str">
        <f>IFERROR(__xludf.DUMMYFUNCTION("""COMPUTED_VALUE"""),"disagree")</f>
        <v>disagree</v>
      </c>
      <c r="P19" s="3"/>
      <c r="Q19" s="3" t="str">
        <f>IFERROR(__xludf.DUMMYFUNCTION("""COMPUTED_VALUE"""),"disagree")</f>
        <v>disagree</v>
      </c>
      <c r="R19" s="3" t="str">
        <f>IFERROR(__xludf.DUMMYFUNCTION("""COMPUTED_VALUE"""),"agree")</f>
        <v>agree</v>
      </c>
      <c r="S19" s="3" t="str">
        <f>IFERROR(__xludf.DUMMYFUNCTION("""COMPUTED_VALUE"""),"disagree")</f>
        <v>disagree</v>
      </c>
      <c r="T19" s="3" t="str">
        <f>IFERROR(__xludf.DUMMYFUNCTION("""COMPUTED_VALUE"""),"disagree")</f>
        <v>disagree</v>
      </c>
      <c r="U19" s="3" t="str">
        <f>IFERROR(__xludf.DUMMYFUNCTION("""COMPUTED_VALUE"""),"disagree")</f>
        <v>disagree</v>
      </c>
      <c r="V19" s="3" t="str">
        <f>IFERROR(__xludf.DUMMYFUNCTION("""COMPUTED_VALUE"""),"disagree")</f>
        <v>disagree</v>
      </c>
      <c r="W19" s="3" t="str">
        <f>IFERROR(__xludf.DUMMYFUNCTION("""COMPUTED_VALUE"""),"disagree")</f>
        <v>disagree</v>
      </c>
      <c r="X19" s="3" t="str">
        <f>IFERROR(__xludf.DUMMYFUNCTION("""COMPUTED_VALUE"""),"Gold")</f>
        <v>Gold</v>
      </c>
      <c r="Y19" s="3" t="str">
        <f>IFERROR(__xludf.DUMMYFUNCTION("""COMPUTED_VALUE"""),"insurance")</f>
        <v>insurance</v>
      </c>
      <c r="Z19" s="3" t="str">
        <f>IFERROR(__xludf.DUMMYFUNCTION("""COMPUTED_VALUE"""),"monthly")</f>
        <v>monthly</v>
      </c>
      <c r="AA19" s="3">
        <f>IFERROR(__xludf.DUMMYFUNCTION("""COMPUTED_VALUE"""),10.0)</f>
        <v>10</v>
      </c>
      <c r="AB19" s="3" t="str">
        <f>IFERROR(__xludf.DUMMYFUNCTION("""COMPUTED_VALUE"""),"employer")</f>
        <v>employer</v>
      </c>
      <c r="AC19" s="3" t="str">
        <f>IFERROR(__xludf.DUMMYFUNCTION("""COMPUTED_VALUE"""),"Yes")</f>
        <v>Yes</v>
      </c>
      <c r="AD19" s="3" t="str">
        <f>IFERROR(__xludf.DUMMYFUNCTION("""COMPUTED_VALUE"""),"Gold")</f>
        <v>Gold</v>
      </c>
      <c r="AE19" s="3" t="str">
        <f>IFERROR(__xludf.DUMMYFUNCTION("""COMPUTED_VALUE"""),"Yes")</f>
        <v>Yes</v>
      </c>
      <c r="AF19" s="3" t="str">
        <f>IFERROR(__xludf.DUMMYFUNCTION("""COMPUTED_VALUE"""),"Yes")</f>
        <v>Yes</v>
      </c>
      <c r="AG19" s="3" t="str">
        <f>IFERROR(__xludf.DUMMYFUNCTION("""COMPUTED_VALUE"""),"Yes")</f>
        <v>Yes</v>
      </c>
      <c r="AH19" s="3">
        <f>IFERROR(__xludf.DUMMYFUNCTION("""COMPUTED_VALUE"""),300.0)</f>
        <v>300</v>
      </c>
      <c r="AI19" s="3">
        <f>IFERROR(__xludf.DUMMYFUNCTION("""COMPUTED_VALUE"""),0.0)</f>
        <v>0</v>
      </c>
      <c r="AJ19" s="3">
        <f>IFERROR(__xludf.DUMMYFUNCTION("""COMPUTED_VALUE"""),0.0)</f>
        <v>0</v>
      </c>
      <c r="AK19" s="3">
        <f>IFERROR(__xludf.DUMMYFUNCTION("""COMPUTED_VALUE"""),0.0)</f>
        <v>0</v>
      </c>
      <c r="AL19" s="3">
        <f>IFERROR(__xludf.DUMMYFUNCTION("""COMPUTED_VALUE"""),1.0)</f>
        <v>1</v>
      </c>
      <c r="AM19" s="3"/>
      <c r="AN19" s="3"/>
      <c r="AO19" s="3"/>
      <c r="AP19" s="3">
        <f>IFERROR(__xludf.DUMMYFUNCTION("""COMPUTED_VALUE"""),4.87617819E8)</f>
        <v>487617819</v>
      </c>
      <c r="AQ19" s="3" t="str">
        <f>IFERROR(__xludf.DUMMYFUNCTION("""COMPUTED_VALUE"""),"0a336b94-5e2a-4613-ad02-e97bce08db1c")</f>
        <v>0a336b94-5e2a-4613-ad02-e97bce08db1c</v>
      </c>
      <c r="AR19" s="3">
        <f>IFERROR(__xludf.DUMMYFUNCTION("""COMPUTED_VALUE"""),45805.284317129626)</f>
        <v>45805.28432</v>
      </c>
      <c r="AS19" s="3"/>
      <c r="AT19" s="3"/>
      <c r="AU19" s="3" t="str">
        <f>IFERROR(__xludf.DUMMYFUNCTION("""COMPUTED_VALUE"""),"submitted_via_web")</f>
        <v>submitted_via_web</v>
      </c>
      <c r="AV19" s="3"/>
      <c r="AW19" s="3" t="str">
        <f>IFERROR(__xludf.DUMMYFUNCTION("""COMPUTED_VALUE"""),"vL333fTXttq2bepEBmPumB")</f>
        <v>vL333fTXttq2bepEBmPumB</v>
      </c>
      <c r="AX19" s="3"/>
      <c r="AY19" s="3">
        <f>IFERROR(__xludf.DUMMYFUNCTION("""COMPUTED_VALUE"""),18.0)</f>
        <v>18</v>
      </c>
    </row>
    <row r="20">
      <c r="A20" s="3" t="str">
        <f>IFERROR(__xludf.DUMMYFUNCTION("""COMPUTED_VALUE"""),"Yes")</f>
        <v>Yes</v>
      </c>
      <c r="B20" s="3"/>
      <c r="C20" s="3" t="str">
        <f>IFERROR(__xludf.DUMMYFUNCTION("""COMPUTED_VALUE"""),"zimbabwe")</f>
        <v>zimbabwe</v>
      </c>
      <c r="D20" s="3"/>
      <c r="E20" s="3" t="str">
        <f>IFERROR(__xludf.DUMMYFUNCTION("""COMPUTED_VALUE"""),"zimbabwe")</f>
        <v>zimbabwe</v>
      </c>
      <c r="F20" s="3"/>
      <c r="G20" s="3">
        <f>IFERROR(__xludf.DUMMYFUNCTION("""COMPUTED_VALUE"""),48.0)</f>
        <v>48</v>
      </c>
      <c r="H20" s="3" t="str">
        <f>IFERROR(__xludf.DUMMYFUNCTION("""COMPUTED_VALUE"""),"female")</f>
        <v>female</v>
      </c>
      <c r="I20" s="3"/>
      <c r="J20" s="3" t="str">
        <f>IFERROR(__xludf.DUMMYFUNCTION("""COMPUTED_VALUE"""),"formal")</f>
        <v>formal</v>
      </c>
      <c r="K20" s="3" t="str">
        <f>IFERROR(__xludf.DUMMYFUNCTION("""COMPUTED_VALUE"""),"tertiary")</f>
        <v>tertiary</v>
      </c>
      <c r="L20" s="3"/>
      <c r="M20" s="3" t="str">
        <f>IFERROR(__xludf.DUMMYFUNCTION("""COMPUTED_VALUE"""),"agree")</f>
        <v>agree</v>
      </c>
      <c r="N20" s="3" t="str">
        <f>IFERROR(__xludf.DUMMYFUNCTION("""COMPUTED_VALUE"""),"agree")</f>
        <v>agree</v>
      </c>
      <c r="O20" s="3" t="str">
        <f>IFERROR(__xludf.DUMMYFUNCTION("""COMPUTED_VALUE"""),"dontknow")</f>
        <v>dontknow</v>
      </c>
      <c r="P20" s="3"/>
      <c r="Q20" s="3" t="str">
        <f>IFERROR(__xludf.DUMMYFUNCTION("""COMPUTED_VALUE"""),"disagree")</f>
        <v>disagree</v>
      </c>
      <c r="R20" s="3" t="str">
        <f>IFERROR(__xludf.DUMMYFUNCTION("""COMPUTED_VALUE"""),"agree")</f>
        <v>agree</v>
      </c>
      <c r="S20" s="3" t="str">
        <f>IFERROR(__xludf.DUMMYFUNCTION("""COMPUTED_VALUE"""),"disagree")</f>
        <v>disagree</v>
      </c>
      <c r="T20" s="3" t="str">
        <f>IFERROR(__xludf.DUMMYFUNCTION("""COMPUTED_VALUE"""),"disagree")</f>
        <v>disagree</v>
      </c>
      <c r="U20" s="3" t="str">
        <f>IFERROR(__xludf.DUMMYFUNCTION("""COMPUTED_VALUE"""),"disagree")</f>
        <v>disagree</v>
      </c>
      <c r="V20" s="3" t="str">
        <f>IFERROR(__xludf.DUMMYFUNCTION("""COMPUTED_VALUE"""),"agree")</f>
        <v>agree</v>
      </c>
      <c r="W20" s="3" t="str">
        <f>IFERROR(__xludf.DUMMYFUNCTION("""COMPUTED_VALUE"""),"disagree")</f>
        <v>disagree</v>
      </c>
      <c r="X20" s="3" t="str">
        <f>IFERROR(__xludf.DUMMYFUNCTION("""COMPUTED_VALUE"""),"Silver")</f>
        <v>Silver</v>
      </c>
      <c r="Y20" s="3" t="str">
        <f>IFERROR(__xludf.DUMMYFUNCTION("""COMPUTED_VALUE"""),"insurance")</f>
        <v>insurance</v>
      </c>
      <c r="Z20" s="3" t="str">
        <f>IFERROR(__xludf.DUMMYFUNCTION("""COMPUTED_VALUE"""),"monthly")</f>
        <v>monthly</v>
      </c>
      <c r="AA20" s="3">
        <f>IFERROR(__xludf.DUMMYFUNCTION("""COMPUTED_VALUE"""),40.0)</f>
        <v>40</v>
      </c>
      <c r="AB20" s="3" t="str">
        <f>IFERROR(__xludf.DUMMYFUNCTION("""COMPUTED_VALUE"""),"online")</f>
        <v>online</v>
      </c>
      <c r="AC20" s="3" t="str">
        <f>IFERROR(__xludf.DUMMYFUNCTION("""COMPUTED_VALUE"""),"I am not an employer")</f>
        <v>I am not an employer</v>
      </c>
      <c r="AD20" s="3"/>
      <c r="AE20" s="3"/>
      <c r="AF20" s="3" t="str">
        <f>IFERROR(__xludf.DUMMYFUNCTION("""COMPUTED_VALUE"""),"Yes")</f>
        <v>Yes</v>
      </c>
      <c r="AG20" s="3" t="str">
        <f>IFERROR(__xludf.DUMMYFUNCTION("""COMPUTED_VALUE"""),"No")</f>
        <v>No</v>
      </c>
      <c r="AH20" s="3"/>
      <c r="AI20" s="3">
        <f>IFERROR(__xludf.DUMMYFUNCTION("""COMPUTED_VALUE"""),1.0)</f>
        <v>1</v>
      </c>
      <c r="AJ20" s="3">
        <f>IFERROR(__xludf.DUMMYFUNCTION("""COMPUTED_VALUE"""),0.0)</f>
        <v>0</v>
      </c>
      <c r="AK20" s="3">
        <f>IFERROR(__xludf.DUMMYFUNCTION("""COMPUTED_VALUE"""),1.0)</f>
        <v>1</v>
      </c>
      <c r="AL20" s="3">
        <f>IFERROR(__xludf.DUMMYFUNCTION("""COMPUTED_VALUE"""),0.0)</f>
        <v>0</v>
      </c>
      <c r="AM20" s="3"/>
      <c r="AN20" s="3"/>
      <c r="AO20" s="3"/>
      <c r="AP20" s="3">
        <f>IFERROR(__xludf.DUMMYFUNCTION("""COMPUTED_VALUE"""),4.87617916E8)</f>
        <v>487617916</v>
      </c>
      <c r="AQ20" s="3" t="str">
        <f>IFERROR(__xludf.DUMMYFUNCTION("""COMPUTED_VALUE"""),"7cbf9b4a-c947-43d4-86b2-d8569b9de62e")</f>
        <v>7cbf9b4a-c947-43d4-86b2-d8569b9de62e</v>
      </c>
      <c r="AR20" s="3">
        <f>IFERROR(__xludf.DUMMYFUNCTION("""COMPUTED_VALUE"""),45805.28444444444)</f>
        <v>45805.28444</v>
      </c>
      <c r="AS20" s="3"/>
      <c r="AT20" s="3"/>
      <c r="AU20" s="3" t="str">
        <f>IFERROR(__xludf.DUMMYFUNCTION("""COMPUTED_VALUE"""),"submitted_via_web")</f>
        <v>submitted_via_web</v>
      </c>
      <c r="AV20" s="3"/>
      <c r="AW20" s="3" t="str">
        <f>IFERROR(__xludf.DUMMYFUNCTION("""COMPUTED_VALUE"""),"vL333fTXttq2bepEBmPumB")</f>
        <v>vL333fTXttq2bepEBmPumB</v>
      </c>
      <c r="AX20" s="3"/>
      <c r="AY20" s="3">
        <f>IFERROR(__xludf.DUMMYFUNCTION("""COMPUTED_VALUE"""),19.0)</f>
        <v>19</v>
      </c>
    </row>
    <row r="21">
      <c r="A21" s="3" t="str">
        <f>IFERROR(__xludf.DUMMYFUNCTION("""COMPUTED_VALUE"""),"Yes")</f>
        <v>Yes</v>
      </c>
      <c r="B21" s="3"/>
      <c r="C21" s="3" t="str">
        <f>IFERROR(__xludf.DUMMYFUNCTION("""COMPUTED_VALUE"""),"south_africa")</f>
        <v>south_africa</v>
      </c>
      <c r="D21" s="3"/>
      <c r="E21" s="3" t="str">
        <f>IFERROR(__xludf.DUMMYFUNCTION("""COMPUTED_VALUE"""),"south_africa")</f>
        <v>south_africa</v>
      </c>
      <c r="F21" s="3" t="str">
        <f>IFERROR(__xludf.DUMMYFUNCTION("""COMPUTED_VALUE"""),"City of Johannesburg Metropolitan Municipality")</f>
        <v>City of Johannesburg Metropolitan Municipality</v>
      </c>
      <c r="G21" s="3">
        <f>IFERROR(__xludf.DUMMYFUNCTION("""COMPUTED_VALUE"""),57.0)</f>
        <v>57</v>
      </c>
      <c r="H21" s="3" t="str">
        <f>IFERROR(__xludf.DUMMYFUNCTION("""COMPUTED_VALUE"""),"female")</f>
        <v>female</v>
      </c>
      <c r="I21" s="3" t="str">
        <f>IFERROR(__xludf.DUMMYFUNCTION("""COMPUTED_VALUE"""),"citizen")</f>
        <v>citizen</v>
      </c>
      <c r="J21" s="3" t="str">
        <f>IFERROR(__xludf.DUMMYFUNCTION("""COMPUTED_VALUE"""),"ownbusiness")</f>
        <v>ownbusiness</v>
      </c>
      <c r="K21" s="3" t="str">
        <f>IFERROR(__xludf.DUMMYFUNCTION("""COMPUTED_VALUE"""),"tertiary")</f>
        <v>tertiary</v>
      </c>
      <c r="L21" s="3"/>
      <c r="M21" s="3" t="str">
        <f>IFERROR(__xludf.DUMMYFUNCTION("""COMPUTED_VALUE"""),"agree")</f>
        <v>agree</v>
      </c>
      <c r="N21" s="3" t="str">
        <f>IFERROR(__xludf.DUMMYFUNCTION("""COMPUTED_VALUE"""),"agree")</f>
        <v>agree</v>
      </c>
      <c r="O21" s="3" t="str">
        <f>IFERROR(__xludf.DUMMYFUNCTION("""COMPUTED_VALUE"""),"agree")</f>
        <v>agree</v>
      </c>
      <c r="P21" s="3"/>
      <c r="Q21" s="3" t="str">
        <f>IFERROR(__xludf.DUMMYFUNCTION("""COMPUTED_VALUE"""),"disagree")</f>
        <v>disagree</v>
      </c>
      <c r="R21" s="3" t="str">
        <f>IFERROR(__xludf.DUMMYFUNCTION("""COMPUTED_VALUE"""),"agree")</f>
        <v>agree</v>
      </c>
      <c r="S21" s="3" t="str">
        <f>IFERROR(__xludf.DUMMYFUNCTION("""COMPUTED_VALUE"""),"dontknow")</f>
        <v>dontknow</v>
      </c>
      <c r="T21" s="3" t="str">
        <f>IFERROR(__xludf.DUMMYFUNCTION("""COMPUTED_VALUE"""),"agree")</f>
        <v>agree</v>
      </c>
      <c r="U21" s="3" t="str">
        <f>IFERROR(__xludf.DUMMYFUNCTION("""COMPUTED_VALUE"""),"agree")</f>
        <v>agree</v>
      </c>
      <c r="V21" s="3" t="str">
        <f>IFERROR(__xludf.DUMMYFUNCTION("""COMPUTED_VALUE"""),"agree")</f>
        <v>agree</v>
      </c>
      <c r="W21" s="3" t="str">
        <f>IFERROR(__xludf.DUMMYFUNCTION("""COMPUTED_VALUE"""),"disagree")</f>
        <v>disagree</v>
      </c>
      <c r="X21" s="3" t="str">
        <f>IFERROR(__xludf.DUMMYFUNCTION("""COMPUTED_VALUE"""),"Platinum")</f>
        <v>Platinum</v>
      </c>
      <c r="Y21" s="3" t="str">
        <f>IFERROR(__xludf.DUMMYFUNCTION("""COMPUTED_VALUE"""),"insurance")</f>
        <v>insurance</v>
      </c>
      <c r="Z21" s="3" t="str">
        <f>IFERROR(__xludf.DUMMYFUNCTION("""COMPUTED_VALUE"""),"monthly")</f>
        <v>monthly</v>
      </c>
      <c r="AA21" s="3">
        <f>IFERROR(__xludf.DUMMYFUNCTION("""COMPUTED_VALUE"""),100.0)</f>
        <v>100</v>
      </c>
      <c r="AB21" s="3" t="str">
        <f>IFERROR(__xludf.DUMMYFUNCTION("""COMPUTED_VALUE"""),"assisted")</f>
        <v>assisted</v>
      </c>
      <c r="AC21" s="3" t="str">
        <f>IFERROR(__xludf.DUMMYFUNCTION("""COMPUTED_VALUE"""),"I am not an employer")</f>
        <v>I am not an employer</v>
      </c>
      <c r="AD21" s="3"/>
      <c r="AE21" s="3"/>
      <c r="AF21" s="3" t="str">
        <f>IFERROR(__xludf.DUMMYFUNCTION("""COMPUTED_VALUE"""),"Yes")</f>
        <v>Yes</v>
      </c>
      <c r="AG21" s="3" t="str">
        <f>IFERROR(__xludf.DUMMYFUNCTION("""COMPUTED_VALUE"""),"No")</f>
        <v>No</v>
      </c>
      <c r="AH21" s="3"/>
      <c r="AI21" s="3">
        <f>IFERROR(__xludf.DUMMYFUNCTION("""COMPUTED_VALUE"""),0.0)</f>
        <v>0</v>
      </c>
      <c r="AJ21" s="3">
        <f>IFERROR(__xludf.DUMMYFUNCTION("""COMPUTED_VALUE"""),0.0)</f>
        <v>0</v>
      </c>
      <c r="AK21" s="3">
        <f>IFERROR(__xludf.DUMMYFUNCTION("""COMPUTED_VALUE"""),1.0)</f>
        <v>1</v>
      </c>
      <c r="AL21" s="3">
        <f>IFERROR(__xludf.DUMMYFUNCTION("""COMPUTED_VALUE"""),0.0)</f>
        <v>0</v>
      </c>
      <c r="AM21" s="3" t="str">
        <f>IFERROR(__xludf.DUMMYFUNCTION("""COMPUTED_VALUE"""),"No")</f>
        <v>No</v>
      </c>
      <c r="AN21" s="3"/>
      <c r="AO21" s="3"/>
      <c r="AP21" s="3">
        <f>IFERROR(__xludf.DUMMYFUNCTION("""COMPUTED_VALUE"""),4.87618968E8)</f>
        <v>487618968</v>
      </c>
      <c r="AQ21" s="3" t="str">
        <f>IFERROR(__xludf.DUMMYFUNCTION("""COMPUTED_VALUE"""),"c0934feb-9776-417b-b270-c0938903c7e0")</f>
        <v>c0934feb-9776-417b-b270-c0938903c7e0</v>
      </c>
      <c r="AR21" s="3">
        <f>IFERROR(__xludf.DUMMYFUNCTION("""COMPUTED_VALUE"""),45805.28563657407)</f>
        <v>45805.28564</v>
      </c>
      <c r="AS21" s="3"/>
      <c r="AT21" s="3"/>
      <c r="AU21" s="3" t="str">
        <f>IFERROR(__xludf.DUMMYFUNCTION("""COMPUTED_VALUE"""),"submitted_via_web")</f>
        <v>submitted_via_web</v>
      </c>
      <c r="AV21" s="3"/>
      <c r="AW21" s="3" t="str">
        <f>IFERROR(__xludf.DUMMYFUNCTION("""COMPUTED_VALUE"""),"vL333fTXttq2bepEBmPumB")</f>
        <v>vL333fTXttq2bepEBmPumB</v>
      </c>
      <c r="AX21" s="3"/>
      <c r="AY21" s="3">
        <f>IFERROR(__xludf.DUMMYFUNCTION("""COMPUTED_VALUE"""),20.0)</f>
        <v>20</v>
      </c>
    </row>
    <row r="22">
      <c r="A22" s="3" t="str">
        <f>IFERROR(__xludf.DUMMYFUNCTION("""COMPUTED_VALUE"""),"Yes")</f>
        <v>Yes</v>
      </c>
      <c r="B22" s="3"/>
      <c r="C22" s="3" t="str">
        <f>IFERROR(__xludf.DUMMYFUNCTION("""COMPUTED_VALUE"""),"zimbabwe")</f>
        <v>zimbabwe</v>
      </c>
      <c r="D22" s="3"/>
      <c r="E22" s="3" t="str">
        <f>IFERROR(__xludf.DUMMYFUNCTION("""COMPUTED_VALUE"""),"south_africa")</f>
        <v>south_africa</v>
      </c>
      <c r="F22" s="3" t="str">
        <f>IFERROR(__xludf.DUMMYFUNCTION("""COMPUTED_VALUE"""),"City of Tshwane Metropolitan Municipality")</f>
        <v>City of Tshwane Metropolitan Municipality</v>
      </c>
      <c r="G22" s="3">
        <f>IFERROR(__xludf.DUMMYFUNCTION("""COMPUTED_VALUE"""),50.0)</f>
        <v>50</v>
      </c>
      <c r="H22" s="3" t="str">
        <f>IFERROR(__xludf.DUMMYFUNCTION("""COMPUTED_VALUE"""),"male")</f>
        <v>male</v>
      </c>
      <c r="I22" s="3" t="str">
        <f>IFERROR(__xludf.DUMMYFUNCTION("""COMPUTED_VALUE"""),"1to5")</f>
        <v>1to5</v>
      </c>
      <c r="J22" s="3" t="str">
        <f>IFERROR(__xludf.DUMMYFUNCTION("""COMPUTED_VALUE"""),"ownbusiness")</f>
        <v>ownbusiness</v>
      </c>
      <c r="K22" s="3" t="str">
        <f>IFERROR(__xludf.DUMMYFUNCTION("""COMPUTED_VALUE"""),"tertiary")</f>
        <v>tertiary</v>
      </c>
      <c r="L22" s="3"/>
      <c r="M22" s="3" t="str">
        <f>IFERROR(__xludf.DUMMYFUNCTION("""COMPUTED_VALUE"""),"agree")</f>
        <v>agree</v>
      </c>
      <c r="N22" s="3" t="str">
        <f>IFERROR(__xludf.DUMMYFUNCTION("""COMPUTED_VALUE"""),"agree")</f>
        <v>agree</v>
      </c>
      <c r="O22" s="3" t="str">
        <f>IFERROR(__xludf.DUMMYFUNCTION("""COMPUTED_VALUE"""),"disagree")</f>
        <v>disagree</v>
      </c>
      <c r="P22" s="3"/>
      <c r="Q22" s="3" t="str">
        <f>IFERROR(__xludf.DUMMYFUNCTION("""COMPUTED_VALUE"""),"dontknow")</f>
        <v>dontknow</v>
      </c>
      <c r="R22" s="3" t="str">
        <f>IFERROR(__xludf.DUMMYFUNCTION("""COMPUTED_VALUE"""),"agree")</f>
        <v>agree</v>
      </c>
      <c r="S22" s="3" t="str">
        <f>IFERROR(__xludf.DUMMYFUNCTION("""COMPUTED_VALUE"""),"agree")</f>
        <v>agree</v>
      </c>
      <c r="T22" s="3" t="str">
        <f>IFERROR(__xludf.DUMMYFUNCTION("""COMPUTED_VALUE"""),"agree")</f>
        <v>agree</v>
      </c>
      <c r="U22" s="3" t="str">
        <f>IFERROR(__xludf.DUMMYFUNCTION("""COMPUTED_VALUE"""),"agree")</f>
        <v>agree</v>
      </c>
      <c r="V22" s="3" t="str">
        <f>IFERROR(__xludf.DUMMYFUNCTION("""COMPUTED_VALUE"""),"agree")</f>
        <v>agree</v>
      </c>
      <c r="W22" s="3" t="str">
        <f>IFERROR(__xludf.DUMMYFUNCTION("""COMPUTED_VALUE"""),"disagree")</f>
        <v>disagree</v>
      </c>
      <c r="X22" s="3" t="str">
        <f>IFERROR(__xludf.DUMMYFUNCTION("""COMPUTED_VALUE"""),"Silver")</f>
        <v>Silver</v>
      </c>
      <c r="Y22" s="3" t="str">
        <f>IFERROR(__xludf.DUMMYFUNCTION("""COMPUTED_VALUE"""),"insurance")</f>
        <v>insurance</v>
      </c>
      <c r="Z22" s="3" t="str">
        <f>IFERROR(__xludf.DUMMYFUNCTION("""COMPUTED_VALUE"""),"monthly")</f>
        <v>monthly</v>
      </c>
      <c r="AA22" s="3">
        <f>IFERROR(__xludf.DUMMYFUNCTION("""COMPUTED_VALUE"""),100.0)</f>
        <v>100</v>
      </c>
      <c r="AB22" s="3" t="str">
        <f>IFERROR(__xludf.DUMMYFUNCTION("""COMPUTED_VALUE"""),"assisted")</f>
        <v>assisted</v>
      </c>
      <c r="AC22" s="3" t="str">
        <f>IFERROR(__xludf.DUMMYFUNCTION("""COMPUTED_VALUE"""),"Yes")</f>
        <v>Yes</v>
      </c>
      <c r="AD22" s="3" t="str">
        <f>IFERROR(__xludf.DUMMYFUNCTION("""COMPUTED_VALUE"""),"Silver")</f>
        <v>Silver</v>
      </c>
      <c r="AE22" s="3" t="str">
        <f>IFERROR(__xludf.DUMMYFUNCTION("""COMPUTED_VALUE"""),"Yes")</f>
        <v>Yes</v>
      </c>
      <c r="AF22" s="3" t="str">
        <f>IFERROR(__xludf.DUMMYFUNCTION("""COMPUTED_VALUE"""),"Yes")</f>
        <v>Yes</v>
      </c>
      <c r="AG22" s="3" t="str">
        <f>IFERROR(__xludf.DUMMYFUNCTION("""COMPUTED_VALUE"""),"Yes")</f>
        <v>Yes</v>
      </c>
      <c r="AH22" s="3">
        <f>IFERROR(__xludf.DUMMYFUNCTION("""COMPUTED_VALUE"""),200.0)</f>
        <v>200</v>
      </c>
      <c r="AI22" s="3">
        <f>IFERROR(__xludf.DUMMYFUNCTION("""COMPUTED_VALUE"""),0.0)</f>
        <v>0</v>
      </c>
      <c r="AJ22" s="3">
        <f>IFERROR(__xludf.DUMMYFUNCTION("""COMPUTED_VALUE"""),0.0)</f>
        <v>0</v>
      </c>
      <c r="AK22" s="3">
        <f>IFERROR(__xludf.DUMMYFUNCTION("""COMPUTED_VALUE"""),0.0)</f>
        <v>0</v>
      </c>
      <c r="AL22" s="3">
        <f>IFERROR(__xludf.DUMMYFUNCTION("""COMPUTED_VALUE"""),1.0)</f>
        <v>1</v>
      </c>
      <c r="AM22" s="3" t="str">
        <f>IFERROR(__xludf.DUMMYFUNCTION("""COMPUTED_VALUE"""),"Yes")</f>
        <v>Yes</v>
      </c>
      <c r="AN22" s="3">
        <f>IFERROR(__xludf.DUMMYFUNCTION("""COMPUTED_VALUE"""),7.10864009E8)</f>
        <v>710864009</v>
      </c>
      <c r="AO22" s="3"/>
      <c r="AP22" s="3">
        <f>IFERROR(__xludf.DUMMYFUNCTION("""COMPUTED_VALUE"""),4.87620011E8)</f>
        <v>487620011</v>
      </c>
      <c r="AQ22" s="3" t="str">
        <f>IFERROR(__xludf.DUMMYFUNCTION("""COMPUTED_VALUE"""),"6ffe918c-36da-4851-b47c-662280ec9e9b")</f>
        <v>6ffe918c-36da-4851-b47c-662280ec9e9b</v>
      </c>
      <c r="AR22" s="3">
        <f>IFERROR(__xludf.DUMMYFUNCTION("""COMPUTED_VALUE"""),45805.28686342593)</f>
        <v>45805.28686</v>
      </c>
      <c r="AS22" s="3"/>
      <c r="AT22" s="3"/>
      <c r="AU22" s="3" t="str">
        <f>IFERROR(__xludf.DUMMYFUNCTION("""COMPUTED_VALUE"""),"submitted_via_web")</f>
        <v>submitted_via_web</v>
      </c>
      <c r="AV22" s="3"/>
      <c r="AW22" s="3" t="str">
        <f>IFERROR(__xludf.DUMMYFUNCTION("""COMPUTED_VALUE"""),"vL333fTXttq2bepEBmPumB")</f>
        <v>vL333fTXttq2bepEBmPumB</v>
      </c>
      <c r="AX22" s="3"/>
      <c r="AY22" s="3">
        <f>IFERROR(__xludf.DUMMYFUNCTION("""COMPUTED_VALUE"""),21.0)</f>
        <v>21</v>
      </c>
    </row>
    <row r="23">
      <c r="A23" s="3" t="str">
        <f>IFERROR(__xludf.DUMMYFUNCTION("""COMPUTED_VALUE"""),"Yes")</f>
        <v>Yes</v>
      </c>
      <c r="B23" s="3"/>
      <c r="C23" s="3" t="str">
        <f>IFERROR(__xludf.DUMMYFUNCTION("""COMPUTED_VALUE"""),"zimbabwe")</f>
        <v>zimbabwe</v>
      </c>
      <c r="D23" s="3"/>
      <c r="E23" s="3" t="str">
        <f>IFERROR(__xludf.DUMMYFUNCTION("""COMPUTED_VALUE"""),"south_africa")</f>
        <v>south_africa</v>
      </c>
      <c r="F23" s="3" t="str">
        <f>IFERROR(__xludf.DUMMYFUNCTION("""COMPUTED_VALUE"""),"City of Johannesburg Metropolitan Municipality")</f>
        <v>City of Johannesburg Metropolitan Municipality</v>
      </c>
      <c r="G23" s="3">
        <f>IFERROR(__xludf.DUMMYFUNCTION("""COMPUTED_VALUE"""),42.0)</f>
        <v>42</v>
      </c>
      <c r="H23" s="3" t="str">
        <f>IFERROR(__xludf.DUMMYFUNCTION("""COMPUTED_VALUE"""),"female")</f>
        <v>female</v>
      </c>
      <c r="I23" s="3" t="str">
        <f>IFERROR(__xludf.DUMMYFUNCTION("""COMPUTED_VALUE"""),"over5")</f>
        <v>over5</v>
      </c>
      <c r="J23" s="3" t="str">
        <f>IFERROR(__xludf.DUMMYFUNCTION("""COMPUTED_VALUE"""),"formal")</f>
        <v>formal</v>
      </c>
      <c r="K23" s="3" t="str">
        <f>IFERROR(__xludf.DUMMYFUNCTION("""COMPUTED_VALUE"""),"tertiary")</f>
        <v>tertiary</v>
      </c>
      <c r="L23" s="3"/>
      <c r="M23" s="3" t="str">
        <f>IFERROR(__xludf.DUMMYFUNCTION("""COMPUTED_VALUE"""),"agree")</f>
        <v>agree</v>
      </c>
      <c r="N23" s="3" t="str">
        <f>IFERROR(__xludf.DUMMYFUNCTION("""COMPUTED_VALUE"""),"agree")</f>
        <v>agree</v>
      </c>
      <c r="O23" s="3" t="str">
        <f>IFERROR(__xludf.DUMMYFUNCTION("""COMPUTED_VALUE"""),"agree")</f>
        <v>agree</v>
      </c>
      <c r="P23" s="3"/>
      <c r="Q23" s="3" t="str">
        <f>IFERROR(__xludf.DUMMYFUNCTION("""COMPUTED_VALUE"""),"disagree")</f>
        <v>disagree</v>
      </c>
      <c r="R23" s="3" t="str">
        <f>IFERROR(__xludf.DUMMYFUNCTION("""COMPUTED_VALUE"""),"agree")</f>
        <v>agree</v>
      </c>
      <c r="S23" s="3" t="str">
        <f>IFERROR(__xludf.DUMMYFUNCTION("""COMPUTED_VALUE"""),"disagree")</f>
        <v>disagree</v>
      </c>
      <c r="T23" s="3" t="str">
        <f>IFERROR(__xludf.DUMMYFUNCTION("""COMPUTED_VALUE"""),"agree")</f>
        <v>agree</v>
      </c>
      <c r="U23" s="3" t="str">
        <f>IFERROR(__xludf.DUMMYFUNCTION("""COMPUTED_VALUE"""),"disagree")</f>
        <v>disagree</v>
      </c>
      <c r="V23" s="3" t="str">
        <f>IFERROR(__xludf.DUMMYFUNCTION("""COMPUTED_VALUE"""),"agree")</f>
        <v>agree</v>
      </c>
      <c r="W23" s="3" t="str">
        <f>IFERROR(__xludf.DUMMYFUNCTION("""COMPUTED_VALUE"""),"agree")</f>
        <v>agree</v>
      </c>
      <c r="X23" s="3" t="str">
        <f>IFERROR(__xludf.DUMMYFUNCTION("""COMPUTED_VALUE"""),"Platinum")</f>
        <v>Platinum</v>
      </c>
      <c r="Y23" s="3" t="str">
        <f>IFERROR(__xludf.DUMMYFUNCTION("""COMPUTED_VALUE"""),"insurance")</f>
        <v>insurance</v>
      </c>
      <c r="Z23" s="3" t="str">
        <f>IFERROR(__xludf.DUMMYFUNCTION("""COMPUTED_VALUE"""),"monthly")</f>
        <v>monthly</v>
      </c>
      <c r="AA23" s="3">
        <f>IFERROR(__xludf.DUMMYFUNCTION("""COMPUTED_VALUE"""),40.0)</f>
        <v>40</v>
      </c>
      <c r="AB23" s="3" t="str">
        <f>IFERROR(__xludf.DUMMYFUNCTION("""COMPUTED_VALUE"""),"online")</f>
        <v>online</v>
      </c>
      <c r="AC23" s="3" t="str">
        <f>IFERROR(__xludf.DUMMYFUNCTION("""COMPUTED_VALUE"""),"I am not an employer")</f>
        <v>I am not an employer</v>
      </c>
      <c r="AD23" s="3"/>
      <c r="AE23" s="3"/>
      <c r="AF23" s="3" t="str">
        <f>IFERROR(__xludf.DUMMYFUNCTION("""COMPUTED_VALUE"""),"Yes")</f>
        <v>Yes</v>
      </c>
      <c r="AG23" s="3" t="str">
        <f>IFERROR(__xludf.DUMMYFUNCTION("""COMPUTED_VALUE"""),"Yes")</f>
        <v>Yes</v>
      </c>
      <c r="AH23" s="3">
        <f>IFERROR(__xludf.DUMMYFUNCTION("""COMPUTED_VALUE"""),20.0)</f>
        <v>20</v>
      </c>
      <c r="AI23" s="3">
        <f>IFERROR(__xludf.DUMMYFUNCTION("""COMPUTED_VALUE"""),0.0)</f>
        <v>0</v>
      </c>
      <c r="AJ23" s="3">
        <f>IFERROR(__xludf.DUMMYFUNCTION("""COMPUTED_VALUE"""),0.0)</f>
        <v>0</v>
      </c>
      <c r="AK23" s="3">
        <f>IFERROR(__xludf.DUMMYFUNCTION("""COMPUTED_VALUE"""),0.0)</f>
        <v>0</v>
      </c>
      <c r="AL23" s="3">
        <f>IFERROR(__xludf.DUMMYFUNCTION("""COMPUTED_VALUE"""),1.0)</f>
        <v>1</v>
      </c>
      <c r="AM23" s="3" t="str">
        <f>IFERROR(__xludf.DUMMYFUNCTION("""COMPUTED_VALUE"""),"Yes")</f>
        <v>Yes</v>
      </c>
      <c r="AN23" s="3">
        <f>IFERROR(__xludf.DUMMYFUNCTION("""COMPUTED_VALUE"""),7.11170838E8)</f>
        <v>711170838</v>
      </c>
      <c r="AO23" s="3"/>
      <c r="AP23" s="3">
        <f>IFERROR(__xludf.DUMMYFUNCTION("""COMPUTED_VALUE"""),4.87629939E8)</f>
        <v>487629939</v>
      </c>
      <c r="AQ23" s="3" t="str">
        <f>IFERROR(__xludf.DUMMYFUNCTION("""COMPUTED_VALUE"""),"9ff4173f-20af-4caa-b015-31cca78757d5")</f>
        <v>9ff4173f-20af-4caa-b015-31cca78757d5</v>
      </c>
      <c r="AR23" s="3">
        <f>IFERROR(__xludf.DUMMYFUNCTION("""COMPUTED_VALUE"""),45805.29896990741)</f>
        <v>45805.29897</v>
      </c>
      <c r="AS23" s="3"/>
      <c r="AT23" s="3"/>
      <c r="AU23" s="3" t="str">
        <f>IFERROR(__xludf.DUMMYFUNCTION("""COMPUTED_VALUE"""),"submitted_via_web")</f>
        <v>submitted_via_web</v>
      </c>
      <c r="AV23" s="3"/>
      <c r="AW23" s="3" t="str">
        <f>IFERROR(__xludf.DUMMYFUNCTION("""COMPUTED_VALUE"""),"vL333fTXttq2bepEBmPumB")</f>
        <v>vL333fTXttq2bepEBmPumB</v>
      </c>
      <c r="AX23" s="3"/>
      <c r="AY23" s="3">
        <f>IFERROR(__xludf.DUMMYFUNCTION("""COMPUTED_VALUE"""),22.0)</f>
        <v>22</v>
      </c>
    </row>
    <row r="24">
      <c r="A24" s="3" t="str">
        <f>IFERROR(__xludf.DUMMYFUNCTION("""COMPUTED_VALUE"""),"Yes")</f>
        <v>Yes</v>
      </c>
      <c r="B24" s="3"/>
      <c r="C24" s="3" t="str">
        <f>IFERROR(__xludf.DUMMYFUNCTION("""COMPUTED_VALUE"""),"zimbabwe")</f>
        <v>zimbabwe</v>
      </c>
      <c r="D24" s="3"/>
      <c r="E24" s="3" t="str">
        <f>IFERROR(__xludf.DUMMYFUNCTION("""COMPUTED_VALUE"""),"south_africa")</f>
        <v>south_africa</v>
      </c>
      <c r="F24" s="3" t="str">
        <f>IFERROR(__xludf.DUMMYFUNCTION("""COMPUTED_VALUE"""),"City of Johannesburg Metropolitan Municipality")</f>
        <v>City of Johannesburg Metropolitan Municipality</v>
      </c>
      <c r="G24" s="3">
        <f>IFERROR(__xludf.DUMMYFUNCTION("""COMPUTED_VALUE"""),45.0)</f>
        <v>45</v>
      </c>
      <c r="H24" s="3" t="str">
        <f>IFERROR(__xludf.DUMMYFUNCTION("""COMPUTED_VALUE"""),"male")</f>
        <v>male</v>
      </c>
      <c r="I24" s="3" t="str">
        <f>IFERROR(__xludf.DUMMYFUNCTION("""COMPUTED_VALUE"""),"over5")</f>
        <v>over5</v>
      </c>
      <c r="J24" s="3" t="str">
        <f>IFERROR(__xludf.DUMMYFUNCTION("""COMPUTED_VALUE"""),"formal")</f>
        <v>formal</v>
      </c>
      <c r="K24" s="3" t="str">
        <f>IFERROR(__xludf.DUMMYFUNCTION("""COMPUTED_VALUE"""),"tertiary")</f>
        <v>tertiary</v>
      </c>
      <c r="L24" s="3"/>
      <c r="M24" s="3" t="str">
        <f>IFERROR(__xludf.DUMMYFUNCTION("""COMPUTED_VALUE"""),"agree")</f>
        <v>agree</v>
      </c>
      <c r="N24" s="3" t="str">
        <f>IFERROR(__xludf.DUMMYFUNCTION("""COMPUTED_VALUE"""),"agree")</f>
        <v>agree</v>
      </c>
      <c r="O24" s="3" t="str">
        <f>IFERROR(__xludf.DUMMYFUNCTION("""COMPUTED_VALUE"""),"disagree")</f>
        <v>disagree</v>
      </c>
      <c r="P24" s="3"/>
      <c r="Q24" s="3" t="str">
        <f>IFERROR(__xludf.DUMMYFUNCTION("""COMPUTED_VALUE"""),"disagree")</f>
        <v>disagree</v>
      </c>
      <c r="R24" s="3" t="str">
        <f>IFERROR(__xludf.DUMMYFUNCTION("""COMPUTED_VALUE"""),"agree")</f>
        <v>agree</v>
      </c>
      <c r="S24" s="3" t="str">
        <f>IFERROR(__xludf.DUMMYFUNCTION("""COMPUTED_VALUE"""),"disagree")</f>
        <v>disagree</v>
      </c>
      <c r="T24" s="3" t="str">
        <f>IFERROR(__xludf.DUMMYFUNCTION("""COMPUTED_VALUE"""),"disagree")</f>
        <v>disagree</v>
      </c>
      <c r="U24" s="3" t="str">
        <f>IFERROR(__xludf.DUMMYFUNCTION("""COMPUTED_VALUE"""),"disagree")</f>
        <v>disagree</v>
      </c>
      <c r="V24" s="3" t="str">
        <f>IFERROR(__xludf.DUMMYFUNCTION("""COMPUTED_VALUE"""),"disagree")</f>
        <v>disagree</v>
      </c>
      <c r="W24" s="3" t="str">
        <f>IFERROR(__xludf.DUMMYFUNCTION("""COMPUTED_VALUE"""),"disagree")</f>
        <v>disagree</v>
      </c>
      <c r="X24" s="3" t="str">
        <f>IFERROR(__xludf.DUMMYFUNCTION("""COMPUTED_VALUE"""),"Platinum")</f>
        <v>Platinum</v>
      </c>
      <c r="Y24" s="3" t="str">
        <f>IFERROR(__xludf.DUMMYFUNCTION("""COMPUTED_VALUE"""),"insurance")</f>
        <v>insurance</v>
      </c>
      <c r="Z24" s="3" t="str">
        <f>IFERROR(__xludf.DUMMYFUNCTION("""COMPUTED_VALUE"""),"monthly")</f>
        <v>monthly</v>
      </c>
      <c r="AA24" s="3">
        <f>IFERROR(__xludf.DUMMYFUNCTION("""COMPUTED_VALUE"""),100.0)</f>
        <v>100</v>
      </c>
      <c r="AB24" s="3" t="str">
        <f>IFERROR(__xludf.DUMMYFUNCTION("""COMPUTED_VALUE"""),"online")</f>
        <v>online</v>
      </c>
      <c r="AC24" s="3" t="str">
        <f>IFERROR(__xludf.DUMMYFUNCTION("""COMPUTED_VALUE"""),"I am not an employer")</f>
        <v>I am not an employer</v>
      </c>
      <c r="AD24" s="3"/>
      <c r="AE24" s="3"/>
      <c r="AF24" s="3" t="str">
        <f>IFERROR(__xludf.DUMMYFUNCTION("""COMPUTED_VALUE"""),"Yes")</f>
        <v>Yes</v>
      </c>
      <c r="AG24" s="3" t="str">
        <f>IFERROR(__xludf.DUMMYFUNCTION("""COMPUTED_VALUE"""),"No")</f>
        <v>No</v>
      </c>
      <c r="AH24" s="3"/>
      <c r="AI24" s="3">
        <f>IFERROR(__xludf.DUMMYFUNCTION("""COMPUTED_VALUE"""),1.0)</f>
        <v>1</v>
      </c>
      <c r="AJ24" s="3">
        <f>IFERROR(__xludf.DUMMYFUNCTION("""COMPUTED_VALUE"""),1.0)</f>
        <v>1</v>
      </c>
      <c r="AK24" s="3">
        <f>IFERROR(__xludf.DUMMYFUNCTION("""COMPUTED_VALUE"""),1.0)</f>
        <v>1</v>
      </c>
      <c r="AL24" s="3">
        <f>IFERROR(__xludf.DUMMYFUNCTION("""COMPUTED_VALUE"""),0.0)</f>
        <v>0</v>
      </c>
      <c r="AM24" s="3" t="str">
        <f>IFERROR(__xludf.DUMMYFUNCTION("""COMPUTED_VALUE"""),"No")</f>
        <v>No</v>
      </c>
      <c r="AN24" s="3"/>
      <c r="AO24" s="3"/>
      <c r="AP24" s="3">
        <f>IFERROR(__xludf.DUMMYFUNCTION("""COMPUTED_VALUE"""),4.87630267E8)</f>
        <v>487630267</v>
      </c>
      <c r="AQ24" s="3" t="str">
        <f>IFERROR(__xludf.DUMMYFUNCTION("""COMPUTED_VALUE"""),"80aa7925-29d0-4c48-80a7-fb38fc7c3628")</f>
        <v>80aa7925-29d0-4c48-80a7-fb38fc7c3628</v>
      </c>
      <c r="AR24" s="3">
        <f>IFERROR(__xludf.DUMMYFUNCTION("""COMPUTED_VALUE"""),45805.29935185185)</f>
        <v>45805.29935</v>
      </c>
      <c r="AS24" s="3"/>
      <c r="AT24" s="3"/>
      <c r="AU24" s="3" t="str">
        <f>IFERROR(__xludf.DUMMYFUNCTION("""COMPUTED_VALUE"""),"submitted_via_web")</f>
        <v>submitted_via_web</v>
      </c>
      <c r="AV24" s="3"/>
      <c r="AW24" s="3" t="str">
        <f>IFERROR(__xludf.DUMMYFUNCTION("""COMPUTED_VALUE"""),"vL333fTXttq2bepEBmPumB")</f>
        <v>vL333fTXttq2bepEBmPumB</v>
      </c>
      <c r="AX24" s="3"/>
      <c r="AY24" s="3">
        <f>IFERROR(__xludf.DUMMYFUNCTION("""COMPUTED_VALUE"""),23.0)</f>
        <v>23</v>
      </c>
    </row>
    <row r="25">
      <c r="A25" s="3" t="str">
        <f>IFERROR(__xludf.DUMMYFUNCTION("""COMPUTED_VALUE"""),"Yes")</f>
        <v>Yes</v>
      </c>
      <c r="B25" s="3"/>
      <c r="C25" s="3" t="str">
        <f>IFERROR(__xludf.DUMMYFUNCTION("""COMPUTED_VALUE"""),"kenya")</f>
        <v>kenya</v>
      </c>
      <c r="D25" s="3"/>
      <c r="E25" s="3" t="str">
        <f>IFERROR(__xludf.DUMMYFUNCTION("""COMPUTED_VALUE"""),"south_africa")</f>
        <v>south_africa</v>
      </c>
      <c r="F25" s="3" t="str">
        <f>IFERROR(__xludf.DUMMYFUNCTION("""COMPUTED_VALUE"""),"City of Johannesburg Metropolitan Municipality")</f>
        <v>City of Johannesburg Metropolitan Municipality</v>
      </c>
      <c r="G25" s="3">
        <f>IFERROR(__xludf.DUMMYFUNCTION("""COMPUTED_VALUE"""),44.0)</f>
        <v>44</v>
      </c>
      <c r="H25" s="3" t="str">
        <f>IFERROR(__xludf.DUMMYFUNCTION("""COMPUTED_VALUE"""),"male")</f>
        <v>male</v>
      </c>
      <c r="I25" s="3" t="str">
        <f>IFERROR(__xludf.DUMMYFUNCTION("""COMPUTED_VALUE"""),"over5")</f>
        <v>over5</v>
      </c>
      <c r="J25" s="3" t="str">
        <f>IFERROR(__xludf.DUMMYFUNCTION("""COMPUTED_VALUE"""),"formal")</f>
        <v>formal</v>
      </c>
      <c r="K25" s="3" t="str">
        <f>IFERROR(__xludf.DUMMYFUNCTION("""COMPUTED_VALUE"""),"tertiary")</f>
        <v>tertiary</v>
      </c>
      <c r="L25" s="3"/>
      <c r="M25" s="3" t="str">
        <f>IFERROR(__xludf.DUMMYFUNCTION("""COMPUTED_VALUE"""),"agree")</f>
        <v>agree</v>
      </c>
      <c r="N25" s="3" t="str">
        <f>IFERROR(__xludf.DUMMYFUNCTION("""COMPUTED_VALUE"""),"agree")</f>
        <v>agree</v>
      </c>
      <c r="O25" s="3" t="str">
        <f>IFERROR(__xludf.DUMMYFUNCTION("""COMPUTED_VALUE"""),"agree")</f>
        <v>agree</v>
      </c>
      <c r="P25" s="3"/>
      <c r="Q25" s="3" t="str">
        <f>IFERROR(__xludf.DUMMYFUNCTION("""COMPUTED_VALUE"""),"disagree")</f>
        <v>disagree</v>
      </c>
      <c r="R25" s="3" t="str">
        <f>IFERROR(__xludf.DUMMYFUNCTION("""COMPUTED_VALUE"""),"agree")</f>
        <v>agree</v>
      </c>
      <c r="S25" s="3" t="str">
        <f>IFERROR(__xludf.DUMMYFUNCTION("""COMPUTED_VALUE"""),"disagree")</f>
        <v>disagree</v>
      </c>
      <c r="T25" s="3" t="str">
        <f>IFERROR(__xludf.DUMMYFUNCTION("""COMPUTED_VALUE"""),"agree")</f>
        <v>agree</v>
      </c>
      <c r="U25" s="3" t="str">
        <f>IFERROR(__xludf.DUMMYFUNCTION("""COMPUTED_VALUE"""),"agree")</f>
        <v>agree</v>
      </c>
      <c r="V25" s="3" t="str">
        <f>IFERROR(__xludf.DUMMYFUNCTION("""COMPUTED_VALUE"""),"agree")</f>
        <v>agree</v>
      </c>
      <c r="W25" s="3" t="str">
        <f>IFERROR(__xludf.DUMMYFUNCTION("""COMPUTED_VALUE"""),"disagree")</f>
        <v>disagree</v>
      </c>
      <c r="X25" s="3" t="str">
        <f>IFERROR(__xludf.DUMMYFUNCTION("""COMPUTED_VALUE"""),"Lithium")</f>
        <v>Lithium</v>
      </c>
      <c r="Y25" s="3" t="str">
        <f>IFERROR(__xludf.DUMMYFUNCTION("""COMPUTED_VALUE"""),"insurance")</f>
        <v>insurance</v>
      </c>
      <c r="Z25" s="3" t="str">
        <f>IFERROR(__xludf.DUMMYFUNCTION("""COMPUTED_VALUE"""),"monthly")</f>
        <v>monthly</v>
      </c>
      <c r="AA25" s="3">
        <f>IFERROR(__xludf.DUMMYFUNCTION("""COMPUTED_VALUE"""),100.0)</f>
        <v>100</v>
      </c>
      <c r="AB25" s="3" t="str">
        <f>IFERROR(__xludf.DUMMYFUNCTION("""COMPUTED_VALUE"""),"online")</f>
        <v>online</v>
      </c>
      <c r="AC25" s="3" t="str">
        <f>IFERROR(__xludf.DUMMYFUNCTION("""COMPUTED_VALUE"""),"I am not an employer")</f>
        <v>I am not an employer</v>
      </c>
      <c r="AD25" s="3"/>
      <c r="AE25" s="3"/>
      <c r="AF25" s="3" t="str">
        <f>IFERROR(__xludf.DUMMYFUNCTION("""COMPUTED_VALUE"""),"Yes")</f>
        <v>Yes</v>
      </c>
      <c r="AG25" s="3" t="str">
        <f>IFERROR(__xludf.DUMMYFUNCTION("""COMPUTED_VALUE"""),"No")</f>
        <v>No</v>
      </c>
      <c r="AH25" s="3"/>
      <c r="AI25" s="3">
        <f>IFERROR(__xludf.DUMMYFUNCTION("""COMPUTED_VALUE"""),0.0)</f>
        <v>0</v>
      </c>
      <c r="AJ25" s="3">
        <f>IFERROR(__xludf.DUMMYFUNCTION("""COMPUTED_VALUE"""),0.0)</f>
        <v>0</v>
      </c>
      <c r="AK25" s="3">
        <f>IFERROR(__xludf.DUMMYFUNCTION("""COMPUTED_VALUE"""),1.0)</f>
        <v>1</v>
      </c>
      <c r="AL25" s="3">
        <f>IFERROR(__xludf.DUMMYFUNCTION("""COMPUTED_VALUE"""),0.0)</f>
        <v>0</v>
      </c>
      <c r="AM25" s="3" t="str">
        <f>IFERROR(__xludf.DUMMYFUNCTION("""COMPUTED_VALUE"""),"No")</f>
        <v>No</v>
      </c>
      <c r="AN25" s="3"/>
      <c r="AO25" s="3"/>
      <c r="AP25" s="3">
        <f>IFERROR(__xludf.DUMMYFUNCTION("""COMPUTED_VALUE"""),4.87631676E8)</f>
        <v>487631676</v>
      </c>
      <c r="AQ25" s="3" t="str">
        <f>IFERROR(__xludf.DUMMYFUNCTION("""COMPUTED_VALUE"""),"a11658a1-b9e2-4fb6-a09b-a52e2135c9b1")</f>
        <v>a11658a1-b9e2-4fb6-a09b-a52e2135c9b1</v>
      </c>
      <c r="AR25" s="3">
        <f>IFERROR(__xludf.DUMMYFUNCTION("""COMPUTED_VALUE"""),45805.3009375)</f>
        <v>45805.30094</v>
      </c>
      <c r="AS25" s="3"/>
      <c r="AT25" s="3"/>
      <c r="AU25" s="3" t="str">
        <f>IFERROR(__xludf.DUMMYFUNCTION("""COMPUTED_VALUE"""),"submitted_via_web")</f>
        <v>submitted_via_web</v>
      </c>
      <c r="AV25" s="3"/>
      <c r="AW25" s="3" t="str">
        <f>IFERROR(__xludf.DUMMYFUNCTION("""COMPUTED_VALUE"""),"vL333fTXttq2bepEBmPumB")</f>
        <v>vL333fTXttq2bepEBmPumB</v>
      </c>
      <c r="AX25" s="3"/>
      <c r="AY25" s="3">
        <f>IFERROR(__xludf.DUMMYFUNCTION("""COMPUTED_VALUE"""),24.0)</f>
        <v>24</v>
      </c>
    </row>
    <row r="26">
      <c r="A26" s="3" t="str">
        <f>IFERROR(__xludf.DUMMYFUNCTION("""COMPUTED_VALUE"""),"Yes")</f>
        <v>Yes</v>
      </c>
      <c r="B26" s="3"/>
      <c r="C26" s="3" t="str">
        <f>IFERROR(__xludf.DUMMYFUNCTION("""COMPUTED_VALUE"""),"zimbabwe")</f>
        <v>zimbabwe</v>
      </c>
      <c r="D26" s="3"/>
      <c r="E26" s="3" t="str">
        <f>IFERROR(__xludf.DUMMYFUNCTION("""COMPUTED_VALUE"""),"eswatini")</f>
        <v>eswatini</v>
      </c>
      <c r="F26" s="3"/>
      <c r="G26" s="3">
        <f>IFERROR(__xludf.DUMMYFUNCTION("""COMPUTED_VALUE"""),40.0)</f>
        <v>40</v>
      </c>
      <c r="H26" s="3" t="str">
        <f>IFERROR(__xludf.DUMMYFUNCTION("""COMPUTED_VALUE"""),"female")</f>
        <v>female</v>
      </c>
      <c r="I26" s="3"/>
      <c r="J26" s="3" t="str">
        <f>IFERROR(__xludf.DUMMYFUNCTION("""COMPUTED_VALUE"""),"formal")</f>
        <v>formal</v>
      </c>
      <c r="K26" s="3" t="str">
        <f>IFERROR(__xludf.DUMMYFUNCTION("""COMPUTED_VALUE"""),"tertiary")</f>
        <v>tertiary</v>
      </c>
      <c r="L26" s="3"/>
      <c r="M26" s="3" t="str">
        <f>IFERROR(__xludf.DUMMYFUNCTION("""COMPUTED_VALUE"""),"agree")</f>
        <v>agree</v>
      </c>
      <c r="N26" s="3" t="str">
        <f>IFERROR(__xludf.DUMMYFUNCTION("""COMPUTED_VALUE"""),"agree")</f>
        <v>agree</v>
      </c>
      <c r="O26" s="3" t="str">
        <f>IFERROR(__xludf.DUMMYFUNCTION("""COMPUTED_VALUE"""),"agree")</f>
        <v>agree</v>
      </c>
      <c r="P26" s="3"/>
      <c r="Q26" s="3" t="str">
        <f>IFERROR(__xludf.DUMMYFUNCTION("""COMPUTED_VALUE"""),"dontknow")</f>
        <v>dontknow</v>
      </c>
      <c r="R26" s="3" t="str">
        <f>IFERROR(__xludf.DUMMYFUNCTION("""COMPUTED_VALUE"""),"agree")</f>
        <v>agree</v>
      </c>
      <c r="S26" s="3" t="str">
        <f>IFERROR(__xludf.DUMMYFUNCTION("""COMPUTED_VALUE"""),"disagree")</f>
        <v>disagree</v>
      </c>
      <c r="T26" s="3" t="str">
        <f>IFERROR(__xludf.DUMMYFUNCTION("""COMPUTED_VALUE"""),"disagree")</f>
        <v>disagree</v>
      </c>
      <c r="U26" s="3" t="str">
        <f>IFERROR(__xludf.DUMMYFUNCTION("""COMPUTED_VALUE"""),"agree")</f>
        <v>agree</v>
      </c>
      <c r="V26" s="3" t="str">
        <f>IFERROR(__xludf.DUMMYFUNCTION("""COMPUTED_VALUE"""),"agree")</f>
        <v>agree</v>
      </c>
      <c r="W26" s="3" t="str">
        <f>IFERROR(__xludf.DUMMYFUNCTION("""COMPUTED_VALUE"""),"disagree")</f>
        <v>disagree</v>
      </c>
      <c r="X26" s="3" t="str">
        <f>IFERROR(__xludf.DUMMYFUNCTION("""COMPUTED_VALUE"""),"Silver")</f>
        <v>Silver</v>
      </c>
      <c r="Y26" s="3" t="str">
        <f>IFERROR(__xludf.DUMMYFUNCTION("""COMPUTED_VALUE"""),"card")</f>
        <v>card</v>
      </c>
      <c r="Z26" s="3" t="str">
        <f>IFERROR(__xludf.DUMMYFUNCTION("""COMPUTED_VALUE"""),"biannual")</f>
        <v>biannual</v>
      </c>
      <c r="AA26" s="3">
        <f>IFERROR(__xludf.DUMMYFUNCTION("""COMPUTED_VALUE"""),40.0)</f>
        <v>40</v>
      </c>
      <c r="AB26" s="3" t="str">
        <f>IFERROR(__xludf.DUMMYFUNCTION("""COMPUTED_VALUE"""),"online")</f>
        <v>online</v>
      </c>
      <c r="AC26" s="3" t="str">
        <f>IFERROR(__xludf.DUMMYFUNCTION("""COMPUTED_VALUE"""),"I am not an employer")</f>
        <v>I am not an employer</v>
      </c>
      <c r="AD26" s="3"/>
      <c r="AE26" s="3"/>
      <c r="AF26" s="3" t="str">
        <f>IFERROR(__xludf.DUMMYFUNCTION("""COMPUTED_VALUE"""),"Yes")</f>
        <v>Yes</v>
      </c>
      <c r="AG26" s="3" t="str">
        <f>IFERROR(__xludf.DUMMYFUNCTION("""COMPUTED_VALUE"""),"No")</f>
        <v>No</v>
      </c>
      <c r="AH26" s="3"/>
      <c r="AI26" s="3">
        <f>IFERROR(__xludf.DUMMYFUNCTION("""COMPUTED_VALUE"""),0.0)</f>
        <v>0</v>
      </c>
      <c r="AJ26" s="3">
        <f>IFERROR(__xludf.DUMMYFUNCTION("""COMPUTED_VALUE"""),0.0)</f>
        <v>0</v>
      </c>
      <c r="AK26" s="3">
        <f>IFERROR(__xludf.DUMMYFUNCTION("""COMPUTED_VALUE"""),0.0)</f>
        <v>0</v>
      </c>
      <c r="AL26" s="3">
        <f>IFERROR(__xludf.DUMMYFUNCTION("""COMPUTED_VALUE"""),1.0)</f>
        <v>1</v>
      </c>
      <c r="AM26" s="3"/>
      <c r="AN26" s="3"/>
      <c r="AO26" s="3"/>
      <c r="AP26" s="3">
        <f>IFERROR(__xludf.DUMMYFUNCTION("""COMPUTED_VALUE"""),4.87633386E8)</f>
        <v>487633386</v>
      </c>
      <c r="AQ26" s="3" t="str">
        <f>IFERROR(__xludf.DUMMYFUNCTION("""COMPUTED_VALUE"""),"16e985da-98ed-41cb-a67f-7b9eb28cf37c")</f>
        <v>16e985da-98ed-41cb-a67f-7b9eb28cf37c</v>
      </c>
      <c r="AR26" s="3">
        <f>IFERROR(__xludf.DUMMYFUNCTION("""COMPUTED_VALUE"""),45805.30300925926)</f>
        <v>45805.30301</v>
      </c>
      <c r="AS26" s="3"/>
      <c r="AT26" s="3"/>
      <c r="AU26" s="3" t="str">
        <f>IFERROR(__xludf.DUMMYFUNCTION("""COMPUTED_VALUE"""),"submitted_via_web")</f>
        <v>submitted_via_web</v>
      </c>
      <c r="AV26" s="3"/>
      <c r="AW26" s="3" t="str">
        <f>IFERROR(__xludf.DUMMYFUNCTION("""COMPUTED_VALUE"""),"vL333fTXttq2bepEBmPumB")</f>
        <v>vL333fTXttq2bepEBmPumB</v>
      </c>
      <c r="AX26" s="3"/>
      <c r="AY26" s="3">
        <f>IFERROR(__xludf.DUMMYFUNCTION("""COMPUTED_VALUE"""),25.0)</f>
        <v>25</v>
      </c>
    </row>
    <row r="27">
      <c r="A27" s="3" t="str">
        <f>IFERROR(__xludf.DUMMYFUNCTION("""COMPUTED_VALUE"""),"Yes")</f>
        <v>Yes</v>
      </c>
      <c r="B27" s="3"/>
      <c r="C27" s="3" t="str">
        <f>IFERROR(__xludf.DUMMYFUNCTION("""COMPUTED_VALUE"""),"south_africa")</f>
        <v>south_africa</v>
      </c>
      <c r="D27" s="3"/>
      <c r="E27" s="3" t="str">
        <f>IFERROR(__xludf.DUMMYFUNCTION("""COMPUTED_VALUE"""),"south_africa")</f>
        <v>south_africa</v>
      </c>
      <c r="F27" s="3" t="str">
        <f>IFERROR(__xludf.DUMMYFUNCTION("""COMPUTED_VALUE"""),"City of Ekurhuleni Metropolitan Municipality")</f>
        <v>City of Ekurhuleni Metropolitan Municipality</v>
      </c>
      <c r="G27" s="3">
        <f>IFERROR(__xludf.DUMMYFUNCTION("""COMPUTED_VALUE"""),48.0)</f>
        <v>48</v>
      </c>
      <c r="H27" s="3" t="str">
        <f>IFERROR(__xludf.DUMMYFUNCTION("""COMPUTED_VALUE"""),"male")</f>
        <v>male</v>
      </c>
      <c r="I27" s="3" t="str">
        <f>IFERROR(__xludf.DUMMYFUNCTION("""COMPUTED_VALUE"""),"citizen")</f>
        <v>citizen</v>
      </c>
      <c r="J27" s="3" t="str">
        <f>IFERROR(__xludf.DUMMYFUNCTION("""COMPUTED_VALUE"""),"formal")</f>
        <v>formal</v>
      </c>
      <c r="K27" s="3" t="str">
        <f>IFERROR(__xludf.DUMMYFUNCTION("""COMPUTED_VALUE"""),"tertiary")</f>
        <v>tertiary</v>
      </c>
      <c r="L27" s="3"/>
      <c r="M27" s="3" t="str">
        <f>IFERROR(__xludf.DUMMYFUNCTION("""COMPUTED_VALUE"""),"agree")</f>
        <v>agree</v>
      </c>
      <c r="N27" s="3" t="str">
        <f>IFERROR(__xludf.DUMMYFUNCTION("""COMPUTED_VALUE"""),"agree")</f>
        <v>agree</v>
      </c>
      <c r="O27" s="3" t="str">
        <f>IFERROR(__xludf.DUMMYFUNCTION("""COMPUTED_VALUE"""),"agree")</f>
        <v>agree</v>
      </c>
      <c r="P27" s="3"/>
      <c r="Q27" s="3" t="str">
        <f>IFERROR(__xludf.DUMMYFUNCTION("""COMPUTED_VALUE"""),"disagree")</f>
        <v>disagree</v>
      </c>
      <c r="R27" s="3" t="str">
        <f>IFERROR(__xludf.DUMMYFUNCTION("""COMPUTED_VALUE"""),"agree")</f>
        <v>agree</v>
      </c>
      <c r="S27" s="3" t="str">
        <f>IFERROR(__xludf.DUMMYFUNCTION("""COMPUTED_VALUE"""),"disagree")</f>
        <v>disagree</v>
      </c>
      <c r="T27" s="3" t="str">
        <f>IFERROR(__xludf.DUMMYFUNCTION("""COMPUTED_VALUE"""),"agree")</f>
        <v>agree</v>
      </c>
      <c r="U27" s="3" t="str">
        <f>IFERROR(__xludf.DUMMYFUNCTION("""COMPUTED_VALUE"""),"agree")</f>
        <v>agree</v>
      </c>
      <c r="V27" s="3" t="str">
        <f>IFERROR(__xludf.DUMMYFUNCTION("""COMPUTED_VALUE"""),"agree")</f>
        <v>agree</v>
      </c>
      <c r="W27" s="3" t="str">
        <f>IFERROR(__xludf.DUMMYFUNCTION("""COMPUTED_VALUE"""),"disagree")</f>
        <v>disagree</v>
      </c>
      <c r="X27" s="3" t="str">
        <f>IFERROR(__xludf.DUMMYFUNCTION("""COMPUTED_VALUE"""),"Lithium")</f>
        <v>Lithium</v>
      </c>
      <c r="Y27" s="3" t="str">
        <f>IFERROR(__xludf.DUMMYFUNCTION("""COMPUTED_VALUE"""),"card")</f>
        <v>card</v>
      </c>
      <c r="Z27" s="3" t="str">
        <f>IFERROR(__xludf.DUMMYFUNCTION("""COMPUTED_VALUE"""),"once")</f>
        <v>once</v>
      </c>
      <c r="AA27" s="3">
        <f>IFERROR(__xludf.DUMMYFUNCTION("""COMPUTED_VALUE"""),100.0)</f>
        <v>100</v>
      </c>
      <c r="AB27" s="3" t="str">
        <f>IFERROR(__xludf.DUMMYFUNCTION("""COMPUTED_VALUE"""),"assisted")</f>
        <v>assisted</v>
      </c>
      <c r="AC27" s="3" t="str">
        <f>IFERROR(__xludf.DUMMYFUNCTION("""COMPUTED_VALUE"""),"I am not an employer")</f>
        <v>I am not an employer</v>
      </c>
      <c r="AD27" s="3"/>
      <c r="AE27" s="3"/>
      <c r="AF27" s="3" t="str">
        <f>IFERROR(__xludf.DUMMYFUNCTION("""COMPUTED_VALUE"""),"Yes")</f>
        <v>Yes</v>
      </c>
      <c r="AG27" s="3" t="str">
        <f>IFERROR(__xludf.DUMMYFUNCTION("""COMPUTED_VALUE"""),"Yes")</f>
        <v>Yes</v>
      </c>
      <c r="AH27" s="3">
        <f>IFERROR(__xludf.DUMMYFUNCTION("""COMPUTED_VALUE"""),500.0)</f>
        <v>500</v>
      </c>
      <c r="AI27" s="3">
        <f>IFERROR(__xludf.DUMMYFUNCTION("""COMPUTED_VALUE"""),0.0)</f>
        <v>0</v>
      </c>
      <c r="AJ27" s="3">
        <f>IFERROR(__xludf.DUMMYFUNCTION("""COMPUTED_VALUE"""),0.0)</f>
        <v>0</v>
      </c>
      <c r="AK27" s="3">
        <f>IFERROR(__xludf.DUMMYFUNCTION("""COMPUTED_VALUE"""),0.0)</f>
        <v>0</v>
      </c>
      <c r="AL27" s="3">
        <f>IFERROR(__xludf.DUMMYFUNCTION("""COMPUTED_VALUE"""),1.0)</f>
        <v>1</v>
      </c>
      <c r="AM27" s="3" t="str">
        <f>IFERROR(__xludf.DUMMYFUNCTION("""COMPUTED_VALUE"""),"Yes")</f>
        <v>Yes</v>
      </c>
      <c r="AN27" s="3">
        <f>IFERROR(__xludf.DUMMYFUNCTION("""COMPUTED_VALUE"""),7.11468867E8)</f>
        <v>711468867</v>
      </c>
      <c r="AO27" s="3"/>
      <c r="AP27" s="3">
        <f>IFERROR(__xludf.DUMMYFUNCTION("""COMPUTED_VALUE"""),4.87636484E8)</f>
        <v>487636484</v>
      </c>
      <c r="AQ27" s="3" t="str">
        <f>IFERROR(__xludf.DUMMYFUNCTION("""COMPUTED_VALUE"""),"6a03bce3-77fe-4e41-9de7-7eeb9dc9d062")</f>
        <v>6a03bce3-77fe-4e41-9de7-7eeb9dc9d062</v>
      </c>
      <c r="AR27" s="3">
        <f>IFERROR(__xludf.DUMMYFUNCTION("""COMPUTED_VALUE"""),45805.306284722225)</f>
        <v>45805.30628</v>
      </c>
      <c r="AS27" s="3"/>
      <c r="AT27" s="3"/>
      <c r="AU27" s="3" t="str">
        <f>IFERROR(__xludf.DUMMYFUNCTION("""COMPUTED_VALUE"""),"submitted_via_web")</f>
        <v>submitted_via_web</v>
      </c>
      <c r="AV27" s="3"/>
      <c r="AW27" s="3" t="str">
        <f>IFERROR(__xludf.DUMMYFUNCTION("""COMPUTED_VALUE"""),"vL333fTXttq2bepEBmPumB")</f>
        <v>vL333fTXttq2bepEBmPumB</v>
      </c>
      <c r="AX27" s="3"/>
      <c r="AY27" s="3">
        <f>IFERROR(__xludf.DUMMYFUNCTION("""COMPUTED_VALUE"""),26.0)</f>
        <v>26</v>
      </c>
    </row>
    <row r="28">
      <c r="A28" s="3" t="str">
        <f>IFERROR(__xludf.DUMMYFUNCTION("""COMPUTED_VALUE"""),"Yes")</f>
        <v>Yes</v>
      </c>
      <c r="B28" s="3"/>
      <c r="C28" s="3" t="str">
        <f>IFERROR(__xludf.DUMMYFUNCTION("""COMPUTED_VALUE"""),"zimbabwe")</f>
        <v>zimbabwe</v>
      </c>
      <c r="D28" s="3"/>
      <c r="E28" s="3" t="str">
        <f>IFERROR(__xludf.DUMMYFUNCTION("""COMPUTED_VALUE"""),"eswatini")</f>
        <v>eswatini</v>
      </c>
      <c r="F28" s="3"/>
      <c r="G28" s="3">
        <f>IFERROR(__xludf.DUMMYFUNCTION("""COMPUTED_VALUE"""),44.0)</f>
        <v>44</v>
      </c>
      <c r="H28" s="3" t="str">
        <f>IFERROR(__xludf.DUMMYFUNCTION("""COMPUTED_VALUE"""),"male")</f>
        <v>male</v>
      </c>
      <c r="I28" s="3"/>
      <c r="J28" s="3" t="str">
        <f>IFERROR(__xludf.DUMMYFUNCTION("""COMPUTED_VALUE"""),"formal")</f>
        <v>formal</v>
      </c>
      <c r="K28" s="3" t="str">
        <f>IFERROR(__xludf.DUMMYFUNCTION("""COMPUTED_VALUE"""),"tertiary")</f>
        <v>tertiary</v>
      </c>
      <c r="L28" s="3"/>
      <c r="M28" s="3" t="str">
        <f>IFERROR(__xludf.DUMMYFUNCTION("""COMPUTED_VALUE"""),"agree")</f>
        <v>agree</v>
      </c>
      <c r="N28" s="3" t="str">
        <f>IFERROR(__xludf.DUMMYFUNCTION("""COMPUTED_VALUE"""),"agree")</f>
        <v>agree</v>
      </c>
      <c r="O28" s="3" t="str">
        <f>IFERROR(__xludf.DUMMYFUNCTION("""COMPUTED_VALUE"""),"disagree")</f>
        <v>disagree</v>
      </c>
      <c r="P28" s="3"/>
      <c r="Q28" s="3" t="str">
        <f>IFERROR(__xludf.DUMMYFUNCTION("""COMPUTED_VALUE"""),"agree")</f>
        <v>agree</v>
      </c>
      <c r="R28" s="3" t="str">
        <f>IFERROR(__xludf.DUMMYFUNCTION("""COMPUTED_VALUE"""),"agree")</f>
        <v>agree</v>
      </c>
      <c r="S28" s="3" t="str">
        <f>IFERROR(__xludf.DUMMYFUNCTION("""COMPUTED_VALUE"""),"agree")</f>
        <v>agree</v>
      </c>
      <c r="T28" s="3" t="str">
        <f>IFERROR(__xludf.DUMMYFUNCTION("""COMPUTED_VALUE"""),"agree")</f>
        <v>agree</v>
      </c>
      <c r="U28" s="3" t="str">
        <f>IFERROR(__xludf.DUMMYFUNCTION("""COMPUTED_VALUE"""),"agree")</f>
        <v>agree</v>
      </c>
      <c r="V28" s="3" t="str">
        <f>IFERROR(__xludf.DUMMYFUNCTION("""COMPUTED_VALUE"""),"agree")</f>
        <v>agree</v>
      </c>
      <c r="W28" s="3" t="str">
        <f>IFERROR(__xludf.DUMMYFUNCTION("""COMPUTED_VALUE"""),"agree")</f>
        <v>agree</v>
      </c>
      <c r="X28" s="3" t="str">
        <f>IFERROR(__xludf.DUMMYFUNCTION("""COMPUTED_VALUE"""),"Lithium")</f>
        <v>Lithium</v>
      </c>
      <c r="Y28" s="3" t="str">
        <f>IFERROR(__xludf.DUMMYFUNCTION("""COMPUTED_VALUE"""),"insurance")</f>
        <v>insurance</v>
      </c>
      <c r="Z28" s="3" t="str">
        <f>IFERROR(__xludf.DUMMYFUNCTION("""COMPUTED_VALUE"""),"monthly")</f>
        <v>monthly</v>
      </c>
      <c r="AA28" s="3">
        <f>IFERROR(__xludf.DUMMYFUNCTION("""COMPUTED_VALUE"""),100.0)</f>
        <v>100</v>
      </c>
      <c r="AB28" s="3" t="str">
        <f>IFERROR(__xludf.DUMMYFUNCTION("""COMPUTED_VALUE"""),"employer")</f>
        <v>employer</v>
      </c>
      <c r="AC28" s="3" t="str">
        <f>IFERROR(__xludf.DUMMYFUNCTION("""COMPUTED_VALUE"""),"Yes")</f>
        <v>Yes</v>
      </c>
      <c r="AD28" s="3" t="str">
        <f>IFERROR(__xludf.DUMMYFUNCTION("""COMPUTED_VALUE"""),"Lithium")</f>
        <v>Lithium</v>
      </c>
      <c r="AE28" s="3" t="str">
        <f>IFERROR(__xludf.DUMMYFUNCTION("""COMPUTED_VALUE"""),"Yes")</f>
        <v>Yes</v>
      </c>
      <c r="AF28" s="3" t="str">
        <f>IFERROR(__xludf.DUMMYFUNCTION("""COMPUTED_VALUE"""),"Yes")</f>
        <v>Yes</v>
      </c>
      <c r="AG28" s="3" t="str">
        <f>IFERROR(__xludf.DUMMYFUNCTION("""COMPUTED_VALUE"""),"Yes")</f>
        <v>Yes</v>
      </c>
      <c r="AH28" s="3">
        <f>IFERROR(__xludf.DUMMYFUNCTION("""COMPUTED_VALUE"""),50.0)</f>
        <v>50</v>
      </c>
      <c r="AI28" s="3">
        <f>IFERROR(__xludf.DUMMYFUNCTION("""COMPUTED_VALUE"""),1.0)</f>
        <v>1</v>
      </c>
      <c r="AJ28" s="3">
        <f>IFERROR(__xludf.DUMMYFUNCTION("""COMPUTED_VALUE"""),0.0)</f>
        <v>0</v>
      </c>
      <c r="AK28" s="3">
        <f>IFERROR(__xludf.DUMMYFUNCTION("""COMPUTED_VALUE"""),1.0)</f>
        <v>1</v>
      </c>
      <c r="AL28" s="3">
        <f>IFERROR(__xludf.DUMMYFUNCTION("""COMPUTED_VALUE"""),0.0)</f>
        <v>0</v>
      </c>
      <c r="AM28" s="3"/>
      <c r="AN28" s="3"/>
      <c r="AO28" s="3"/>
      <c r="AP28" s="3">
        <f>IFERROR(__xludf.DUMMYFUNCTION("""COMPUTED_VALUE"""),4.87637677E8)</f>
        <v>487637677</v>
      </c>
      <c r="AQ28" s="3" t="str">
        <f>IFERROR(__xludf.DUMMYFUNCTION("""COMPUTED_VALUE"""),"c8300d03-5d17-48d9-9038-4922f458d3f0")</f>
        <v>c8300d03-5d17-48d9-9038-4922f458d3f0</v>
      </c>
      <c r="AR28" s="3">
        <f>IFERROR(__xludf.DUMMYFUNCTION("""COMPUTED_VALUE"""),45805.30783564815)</f>
        <v>45805.30784</v>
      </c>
      <c r="AS28" s="3"/>
      <c r="AT28" s="3"/>
      <c r="AU28" s="3" t="str">
        <f>IFERROR(__xludf.DUMMYFUNCTION("""COMPUTED_VALUE"""),"submitted_via_web")</f>
        <v>submitted_via_web</v>
      </c>
      <c r="AV28" s="3"/>
      <c r="AW28" s="3" t="str">
        <f>IFERROR(__xludf.DUMMYFUNCTION("""COMPUTED_VALUE"""),"vL333fTXttq2bepEBmPumB")</f>
        <v>vL333fTXttq2bepEBmPumB</v>
      </c>
      <c r="AX28" s="3"/>
      <c r="AY28" s="3">
        <f>IFERROR(__xludf.DUMMYFUNCTION("""COMPUTED_VALUE"""),27.0)</f>
        <v>27</v>
      </c>
    </row>
    <row r="29">
      <c r="A29" s="3" t="str">
        <f>IFERROR(__xludf.DUMMYFUNCTION("""COMPUTED_VALUE"""),"Yes")</f>
        <v>Yes</v>
      </c>
      <c r="B29" s="3"/>
      <c r="C29" s="3" t="str">
        <f>IFERROR(__xludf.DUMMYFUNCTION("""COMPUTED_VALUE"""),"mozambique")</f>
        <v>mozambique</v>
      </c>
      <c r="D29" s="3"/>
      <c r="E29" s="3" t="str">
        <f>IFERROR(__xludf.DUMMYFUNCTION("""COMPUTED_VALUE"""),"mozambique")</f>
        <v>mozambique</v>
      </c>
      <c r="F29" s="3"/>
      <c r="G29" s="3">
        <f>IFERROR(__xludf.DUMMYFUNCTION("""COMPUTED_VALUE"""),42.0)</f>
        <v>42</v>
      </c>
      <c r="H29" s="3" t="str">
        <f>IFERROR(__xludf.DUMMYFUNCTION("""COMPUTED_VALUE"""),"female")</f>
        <v>female</v>
      </c>
      <c r="I29" s="3"/>
      <c r="J29" s="3" t="str">
        <f>IFERROR(__xludf.DUMMYFUNCTION("""COMPUTED_VALUE"""),"unemployed")</f>
        <v>unemployed</v>
      </c>
      <c r="K29" s="3" t="str">
        <f>IFERROR(__xludf.DUMMYFUNCTION("""COMPUTED_VALUE"""),"tertiary")</f>
        <v>tertiary</v>
      </c>
      <c r="L29" s="3"/>
      <c r="M29" s="3" t="str">
        <f>IFERROR(__xludf.DUMMYFUNCTION("""COMPUTED_VALUE"""),"agree")</f>
        <v>agree</v>
      </c>
      <c r="N29" s="3" t="str">
        <f>IFERROR(__xludf.DUMMYFUNCTION("""COMPUTED_VALUE"""),"agree")</f>
        <v>agree</v>
      </c>
      <c r="O29" s="3" t="str">
        <f>IFERROR(__xludf.DUMMYFUNCTION("""COMPUTED_VALUE"""),"disagree")</f>
        <v>disagree</v>
      </c>
      <c r="P29" s="3"/>
      <c r="Q29" s="3" t="str">
        <f>IFERROR(__xludf.DUMMYFUNCTION("""COMPUTED_VALUE"""),"disagree")</f>
        <v>disagree</v>
      </c>
      <c r="R29" s="3" t="str">
        <f>IFERROR(__xludf.DUMMYFUNCTION("""COMPUTED_VALUE"""),"agree")</f>
        <v>agree</v>
      </c>
      <c r="S29" s="3" t="str">
        <f>IFERROR(__xludf.DUMMYFUNCTION("""COMPUTED_VALUE"""),"agree")</f>
        <v>agree</v>
      </c>
      <c r="T29" s="3" t="str">
        <f>IFERROR(__xludf.DUMMYFUNCTION("""COMPUTED_VALUE"""),"agree")</f>
        <v>agree</v>
      </c>
      <c r="U29" s="3" t="str">
        <f>IFERROR(__xludf.DUMMYFUNCTION("""COMPUTED_VALUE"""),"agree")</f>
        <v>agree</v>
      </c>
      <c r="V29" s="3" t="str">
        <f>IFERROR(__xludf.DUMMYFUNCTION("""COMPUTED_VALUE"""),"agree")</f>
        <v>agree</v>
      </c>
      <c r="W29" s="3" t="str">
        <f>IFERROR(__xludf.DUMMYFUNCTION("""COMPUTED_VALUE"""),"disagree")</f>
        <v>disagree</v>
      </c>
      <c r="X29" s="3" t="str">
        <f>IFERROR(__xludf.DUMMYFUNCTION("""COMPUTED_VALUE"""),"Silver")</f>
        <v>Silver</v>
      </c>
      <c r="Y29" s="3" t="str">
        <f>IFERROR(__xludf.DUMMYFUNCTION("""COMPUTED_VALUE"""),"insurance")</f>
        <v>insurance</v>
      </c>
      <c r="Z29" s="3" t="str">
        <f>IFERROR(__xludf.DUMMYFUNCTION("""COMPUTED_VALUE"""),"annual")</f>
        <v>annual</v>
      </c>
      <c r="AA29" s="3">
        <f>IFERROR(__xludf.DUMMYFUNCTION("""COMPUTED_VALUE"""),30.0)</f>
        <v>30</v>
      </c>
      <c r="AB29" s="3" t="str">
        <f>IFERROR(__xludf.DUMMYFUNCTION("""COMPUTED_VALUE"""),"assisted")</f>
        <v>assisted</v>
      </c>
      <c r="AC29" s="3" t="str">
        <f>IFERROR(__xludf.DUMMYFUNCTION("""COMPUTED_VALUE"""),"I am not an employer")</f>
        <v>I am not an employer</v>
      </c>
      <c r="AD29" s="3"/>
      <c r="AE29" s="3"/>
      <c r="AF29" s="3" t="str">
        <f>IFERROR(__xludf.DUMMYFUNCTION("""COMPUTED_VALUE"""),"Yes")</f>
        <v>Yes</v>
      </c>
      <c r="AG29" s="3" t="str">
        <f>IFERROR(__xludf.DUMMYFUNCTION("""COMPUTED_VALUE"""),"No")</f>
        <v>No</v>
      </c>
      <c r="AH29" s="3"/>
      <c r="AI29" s="3">
        <f>IFERROR(__xludf.DUMMYFUNCTION("""COMPUTED_VALUE"""),1.0)</f>
        <v>1</v>
      </c>
      <c r="AJ29" s="3">
        <f>IFERROR(__xludf.DUMMYFUNCTION("""COMPUTED_VALUE"""),0.0)</f>
        <v>0</v>
      </c>
      <c r="AK29" s="3">
        <f>IFERROR(__xludf.DUMMYFUNCTION("""COMPUTED_VALUE"""),0.0)</f>
        <v>0</v>
      </c>
      <c r="AL29" s="3">
        <f>IFERROR(__xludf.DUMMYFUNCTION("""COMPUTED_VALUE"""),0.0)</f>
        <v>0</v>
      </c>
      <c r="AM29" s="3"/>
      <c r="AN29" s="3"/>
      <c r="AO29" s="3"/>
      <c r="AP29" s="3">
        <f>IFERROR(__xludf.DUMMYFUNCTION("""COMPUTED_VALUE"""),4.87637735E8)</f>
        <v>487637735</v>
      </c>
      <c r="AQ29" s="3" t="str">
        <f>IFERROR(__xludf.DUMMYFUNCTION("""COMPUTED_VALUE"""),"7ca5b8c3-6eb4-43f7-a65b-f98469d94259")</f>
        <v>7ca5b8c3-6eb4-43f7-a65b-f98469d94259</v>
      </c>
      <c r="AR29" s="3">
        <f>IFERROR(__xludf.DUMMYFUNCTION("""COMPUTED_VALUE"""),45805.30792824074)</f>
        <v>45805.30793</v>
      </c>
      <c r="AS29" s="3"/>
      <c r="AT29" s="3"/>
      <c r="AU29" s="3" t="str">
        <f>IFERROR(__xludf.DUMMYFUNCTION("""COMPUTED_VALUE"""),"submitted_via_web")</f>
        <v>submitted_via_web</v>
      </c>
      <c r="AV29" s="3"/>
      <c r="AW29" s="3" t="str">
        <f>IFERROR(__xludf.DUMMYFUNCTION("""COMPUTED_VALUE"""),"vL333fTXttq2bepEBmPumB")</f>
        <v>vL333fTXttq2bepEBmPumB</v>
      </c>
      <c r="AX29" s="3"/>
      <c r="AY29" s="3">
        <f>IFERROR(__xludf.DUMMYFUNCTION("""COMPUTED_VALUE"""),28.0)</f>
        <v>28</v>
      </c>
    </row>
    <row r="30">
      <c r="A30" s="3" t="str">
        <f>IFERROR(__xludf.DUMMYFUNCTION("""COMPUTED_VALUE"""),"Yes")</f>
        <v>Yes</v>
      </c>
      <c r="B30" s="3"/>
      <c r="C30" s="3" t="str">
        <f>IFERROR(__xludf.DUMMYFUNCTION("""COMPUTED_VALUE"""),"zimbabwe")</f>
        <v>zimbabwe</v>
      </c>
      <c r="D30" s="3"/>
      <c r="E30" s="3" t="str">
        <f>IFERROR(__xludf.DUMMYFUNCTION("""COMPUTED_VALUE"""),"south_africa")</f>
        <v>south_africa</v>
      </c>
      <c r="F30" s="3" t="str">
        <f>IFERROR(__xludf.DUMMYFUNCTION("""COMPUTED_VALUE"""),"City of Tshwane Metropolitan Municipality")</f>
        <v>City of Tshwane Metropolitan Municipality</v>
      </c>
      <c r="G30" s="3">
        <f>IFERROR(__xludf.DUMMYFUNCTION("""COMPUTED_VALUE"""),28.0)</f>
        <v>28</v>
      </c>
      <c r="H30" s="3" t="str">
        <f>IFERROR(__xludf.DUMMYFUNCTION("""COMPUTED_VALUE"""),"female")</f>
        <v>female</v>
      </c>
      <c r="I30" s="3" t="str">
        <f>IFERROR(__xludf.DUMMYFUNCTION("""COMPUTED_VALUE"""),"over5")</f>
        <v>over5</v>
      </c>
      <c r="J30" s="3" t="str">
        <f>IFERROR(__xludf.DUMMYFUNCTION("""COMPUTED_VALUE"""),"informal")</f>
        <v>informal</v>
      </c>
      <c r="K30" s="3" t="str">
        <f>IFERROR(__xludf.DUMMYFUNCTION("""COMPUTED_VALUE"""),"secondary")</f>
        <v>secondary</v>
      </c>
      <c r="L30" s="3"/>
      <c r="M30" s="3" t="str">
        <f>IFERROR(__xludf.DUMMYFUNCTION("""COMPUTED_VALUE"""),"agree")</f>
        <v>agree</v>
      </c>
      <c r="N30" s="3" t="str">
        <f>IFERROR(__xludf.DUMMYFUNCTION("""COMPUTED_VALUE"""),"agree")</f>
        <v>agree</v>
      </c>
      <c r="O30" s="3" t="str">
        <f>IFERROR(__xludf.DUMMYFUNCTION("""COMPUTED_VALUE"""),"disagree")</f>
        <v>disagree</v>
      </c>
      <c r="P30" s="3"/>
      <c r="Q30" s="3" t="str">
        <f>IFERROR(__xludf.DUMMYFUNCTION("""COMPUTED_VALUE"""),"agree")</f>
        <v>agree</v>
      </c>
      <c r="R30" s="3" t="str">
        <f>IFERROR(__xludf.DUMMYFUNCTION("""COMPUTED_VALUE"""),"agree")</f>
        <v>agree</v>
      </c>
      <c r="S30" s="3" t="str">
        <f>IFERROR(__xludf.DUMMYFUNCTION("""COMPUTED_VALUE"""),"disagree")</f>
        <v>disagree</v>
      </c>
      <c r="T30" s="3" t="str">
        <f>IFERROR(__xludf.DUMMYFUNCTION("""COMPUTED_VALUE"""),"disagree")</f>
        <v>disagree</v>
      </c>
      <c r="U30" s="3" t="str">
        <f>IFERROR(__xludf.DUMMYFUNCTION("""COMPUTED_VALUE"""),"agree")</f>
        <v>agree</v>
      </c>
      <c r="V30" s="3" t="str">
        <f>IFERROR(__xludf.DUMMYFUNCTION("""COMPUTED_VALUE"""),"agree")</f>
        <v>agree</v>
      </c>
      <c r="W30" s="3" t="str">
        <f>IFERROR(__xludf.DUMMYFUNCTION("""COMPUTED_VALUE"""),"agree")</f>
        <v>agree</v>
      </c>
      <c r="X30" s="3" t="str">
        <f>IFERROR(__xludf.DUMMYFUNCTION("""COMPUTED_VALUE"""),"Platinum")</f>
        <v>Platinum</v>
      </c>
      <c r="Y30" s="3" t="str">
        <f>IFERROR(__xludf.DUMMYFUNCTION("""COMPUTED_VALUE"""),"cash")</f>
        <v>cash</v>
      </c>
      <c r="Z30" s="3" t="str">
        <f>IFERROR(__xludf.DUMMYFUNCTION("""COMPUTED_VALUE"""),"once")</f>
        <v>once</v>
      </c>
      <c r="AA30" s="3">
        <f>IFERROR(__xludf.DUMMYFUNCTION("""COMPUTED_VALUE"""),100.0)</f>
        <v>100</v>
      </c>
      <c r="AB30" s="3" t="str">
        <f>IFERROR(__xludf.DUMMYFUNCTION("""COMPUTED_VALUE"""),"assisted")</f>
        <v>assisted</v>
      </c>
      <c r="AC30" s="3" t="str">
        <f>IFERROR(__xludf.DUMMYFUNCTION("""COMPUTED_VALUE"""),"I am not an employer")</f>
        <v>I am not an employer</v>
      </c>
      <c r="AD30" s="3"/>
      <c r="AE30" s="3"/>
      <c r="AF30" s="3" t="str">
        <f>IFERROR(__xludf.DUMMYFUNCTION("""COMPUTED_VALUE"""),"Yes")</f>
        <v>Yes</v>
      </c>
      <c r="AG30" s="3" t="str">
        <f>IFERROR(__xludf.DUMMYFUNCTION("""COMPUTED_VALUE"""),"Yes")</f>
        <v>Yes</v>
      </c>
      <c r="AH30" s="3">
        <f>IFERROR(__xludf.DUMMYFUNCTION("""COMPUTED_VALUE"""),500.0)</f>
        <v>500</v>
      </c>
      <c r="AI30" s="3">
        <f>IFERROR(__xludf.DUMMYFUNCTION("""COMPUTED_VALUE"""),0.0)</f>
        <v>0</v>
      </c>
      <c r="AJ30" s="3">
        <f>IFERROR(__xludf.DUMMYFUNCTION("""COMPUTED_VALUE"""),0.0)</f>
        <v>0</v>
      </c>
      <c r="AK30" s="3">
        <f>IFERROR(__xludf.DUMMYFUNCTION("""COMPUTED_VALUE"""),0.0)</f>
        <v>0</v>
      </c>
      <c r="AL30" s="3">
        <f>IFERROR(__xludf.DUMMYFUNCTION("""COMPUTED_VALUE"""),1.0)</f>
        <v>1</v>
      </c>
      <c r="AM30" s="3" t="str">
        <f>IFERROR(__xludf.DUMMYFUNCTION("""COMPUTED_VALUE"""),"Yes")</f>
        <v>Yes</v>
      </c>
      <c r="AN30" s="3"/>
      <c r="AO30" s="3"/>
      <c r="AP30" s="3">
        <f>IFERROR(__xludf.DUMMYFUNCTION("""COMPUTED_VALUE"""),4.87640213E8)</f>
        <v>487640213</v>
      </c>
      <c r="AQ30" s="3" t="str">
        <f>IFERROR(__xludf.DUMMYFUNCTION("""COMPUTED_VALUE"""),"8fbb9177-58a0-43f3-97b2-c17fccb2a2ee")</f>
        <v>8fbb9177-58a0-43f3-97b2-c17fccb2a2ee</v>
      </c>
      <c r="AR30" s="3">
        <f>IFERROR(__xludf.DUMMYFUNCTION("""COMPUTED_VALUE"""),45805.31077546296)</f>
        <v>45805.31078</v>
      </c>
      <c r="AS30" s="3"/>
      <c r="AT30" s="3"/>
      <c r="AU30" s="3" t="str">
        <f>IFERROR(__xludf.DUMMYFUNCTION("""COMPUTED_VALUE"""),"submitted_via_web")</f>
        <v>submitted_via_web</v>
      </c>
      <c r="AV30" s="3"/>
      <c r="AW30" s="3" t="str">
        <f>IFERROR(__xludf.DUMMYFUNCTION("""COMPUTED_VALUE"""),"vL333fTXttq2bepEBmPumB")</f>
        <v>vL333fTXttq2bepEBmPumB</v>
      </c>
      <c r="AX30" s="3"/>
      <c r="AY30" s="3">
        <f>IFERROR(__xludf.DUMMYFUNCTION("""COMPUTED_VALUE"""),29.0)</f>
        <v>29</v>
      </c>
    </row>
    <row r="31">
      <c r="A31" s="3" t="str">
        <f>IFERROR(__xludf.DUMMYFUNCTION("""COMPUTED_VALUE"""),"Yes")</f>
        <v>Yes</v>
      </c>
      <c r="B31" s="3"/>
      <c r="C31" s="3" t="str">
        <f>IFERROR(__xludf.DUMMYFUNCTION("""COMPUTED_VALUE"""),"zimbabwe")</f>
        <v>zimbabwe</v>
      </c>
      <c r="D31" s="3"/>
      <c r="E31" s="3" t="str">
        <f>IFERROR(__xludf.DUMMYFUNCTION("""COMPUTED_VALUE"""),"eswatini")</f>
        <v>eswatini</v>
      </c>
      <c r="F31" s="3"/>
      <c r="G31" s="3">
        <f>IFERROR(__xludf.DUMMYFUNCTION("""COMPUTED_VALUE"""),37.0)</f>
        <v>37</v>
      </c>
      <c r="H31" s="3" t="str">
        <f>IFERROR(__xludf.DUMMYFUNCTION("""COMPUTED_VALUE"""),"female")</f>
        <v>female</v>
      </c>
      <c r="I31" s="3"/>
      <c r="J31" s="3" t="str">
        <f>IFERROR(__xludf.DUMMYFUNCTION("""COMPUTED_VALUE"""),"formal")</f>
        <v>formal</v>
      </c>
      <c r="K31" s="3" t="str">
        <f>IFERROR(__xludf.DUMMYFUNCTION("""COMPUTED_VALUE"""),"tertiary")</f>
        <v>tertiary</v>
      </c>
      <c r="L31" s="3"/>
      <c r="M31" s="3" t="str">
        <f>IFERROR(__xludf.DUMMYFUNCTION("""COMPUTED_VALUE"""),"agree")</f>
        <v>agree</v>
      </c>
      <c r="N31" s="3" t="str">
        <f>IFERROR(__xludf.DUMMYFUNCTION("""COMPUTED_VALUE"""),"agree")</f>
        <v>agree</v>
      </c>
      <c r="O31" s="3" t="str">
        <f>IFERROR(__xludf.DUMMYFUNCTION("""COMPUTED_VALUE"""),"dontknow")</f>
        <v>dontknow</v>
      </c>
      <c r="P31" s="3"/>
      <c r="Q31" s="3" t="str">
        <f>IFERROR(__xludf.DUMMYFUNCTION("""COMPUTED_VALUE"""),"disagree")</f>
        <v>disagree</v>
      </c>
      <c r="R31" s="3" t="str">
        <f>IFERROR(__xludf.DUMMYFUNCTION("""COMPUTED_VALUE"""),"dontknow")</f>
        <v>dontknow</v>
      </c>
      <c r="S31" s="3" t="str">
        <f>IFERROR(__xludf.DUMMYFUNCTION("""COMPUTED_VALUE"""),"disagree")</f>
        <v>disagree</v>
      </c>
      <c r="T31" s="3" t="str">
        <f>IFERROR(__xludf.DUMMYFUNCTION("""COMPUTED_VALUE"""),"disagree")</f>
        <v>disagree</v>
      </c>
      <c r="U31" s="3" t="str">
        <f>IFERROR(__xludf.DUMMYFUNCTION("""COMPUTED_VALUE"""),"dontknow")</f>
        <v>dontknow</v>
      </c>
      <c r="V31" s="3" t="str">
        <f>IFERROR(__xludf.DUMMYFUNCTION("""COMPUTED_VALUE"""),"agree")</f>
        <v>agree</v>
      </c>
      <c r="W31" s="3" t="str">
        <f>IFERROR(__xludf.DUMMYFUNCTION("""COMPUTED_VALUE"""),"disagree")</f>
        <v>disagree</v>
      </c>
      <c r="X31" s="3" t="str">
        <f>IFERROR(__xludf.DUMMYFUNCTION("""COMPUTED_VALUE"""),"Gold")</f>
        <v>Gold</v>
      </c>
      <c r="Y31" s="3" t="str">
        <f>IFERROR(__xludf.DUMMYFUNCTION("""COMPUTED_VALUE"""),"insurance")</f>
        <v>insurance</v>
      </c>
      <c r="Z31" s="3" t="str">
        <f>IFERROR(__xludf.DUMMYFUNCTION("""COMPUTED_VALUE"""),"quarterly")</f>
        <v>quarterly</v>
      </c>
      <c r="AA31" s="3">
        <f>IFERROR(__xludf.DUMMYFUNCTION("""COMPUTED_VALUE"""),100.0)</f>
        <v>100</v>
      </c>
      <c r="AB31" s="3" t="str">
        <f>IFERROR(__xludf.DUMMYFUNCTION("""COMPUTED_VALUE"""),"online")</f>
        <v>online</v>
      </c>
      <c r="AC31" s="3" t="str">
        <f>IFERROR(__xludf.DUMMYFUNCTION("""COMPUTED_VALUE"""),"Yes")</f>
        <v>Yes</v>
      </c>
      <c r="AD31" s="3" t="str">
        <f>IFERROR(__xludf.DUMMYFUNCTION("""COMPUTED_VALUE"""),"Gold")</f>
        <v>Gold</v>
      </c>
      <c r="AE31" s="3" t="str">
        <f>IFERROR(__xludf.DUMMYFUNCTION("""COMPUTED_VALUE"""),"Yes")</f>
        <v>Yes</v>
      </c>
      <c r="AF31" s="3" t="str">
        <f>IFERROR(__xludf.DUMMYFUNCTION("""COMPUTED_VALUE"""),"Yes")</f>
        <v>Yes</v>
      </c>
      <c r="AG31" s="3" t="str">
        <f>IFERROR(__xludf.DUMMYFUNCTION("""COMPUTED_VALUE"""),"No")</f>
        <v>No</v>
      </c>
      <c r="AH31" s="3"/>
      <c r="AI31" s="3">
        <f>IFERROR(__xludf.DUMMYFUNCTION("""COMPUTED_VALUE"""),0.0)</f>
        <v>0</v>
      </c>
      <c r="AJ31" s="3">
        <f>IFERROR(__xludf.DUMMYFUNCTION("""COMPUTED_VALUE"""),0.0)</f>
        <v>0</v>
      </c>
      <c r="AK31" s="3">
        <f>IFERROR(__xludf.DUMMYFUNCTION("""COMPUTED_VALUE"""),0.0)</f>
        <v>0</v>
      </c>
      <c r="AL31" s="3">
        <f>IFERROR(__xludf.DUMMYFUNCTION("""COMPUTED_VALUE"""),1.0)</f>
        <v>1</v>
      </c>
      <c r="AM31" s="3"/>
      <c r="AN31" s="3"/>
      <c r="AO31" s="3"/>
      <c r="AP31" s="3">
        <f>IFERROR(__xludf.DUMMYFUNCTION("""COMPUTED_VALUE"""),4.87640652E8)</f>
        <v>487640652</v>
      </c>
      <c r="AQ31" s="3" t="str">
        <f>IFERROR(__xludf.DUMMYFUNCTION("""COMPUTED_VALUE"""),"7fea913b-6f5c-4455-a0cf-abb1c8e4e8c8")</f>
        <v>7fea913b-6f5c-4455-a0cf-abb1c8e4e8c8</v>
      </c>
      <c r="AR31" s="3">
        <f>IFERROR(__xludf.DUMMYFUNCTION("""COMPUTED_VALUE"""),45805.3112962963)</f>
        <v>45805.3113</v>
      </c>
      <c r="AS31" s="3"/>
      <c r="AT31" s="3"/>
      <c r="AU31" s="3" t="str">
        <f>IFERROR(__xludf.DUMMYFUNCTION("""COMPUTED_VALUE"""),"submitted_via_web")</f>
        <v>submitted_via_web</v>
      </c>
      <c r="AV31" s="3"/>
      <c r="AW31" s="3" t="str">
        <f>IFERROR(__xludf.DUMMYFUNCTION("""COMPUTED_VALUE"""),"vL333fTXttq2bepEBmPumB")</f>
        <v>vL333fTXttq2bepEBmPumB</v>
      </c>
      <c r="AX31" s="3"/>
      <c r="AY31" s="3">
        <f>IFERROR(__xludf.DUMMYFUNCTION("""COMPUTED_VALUE"""),30.0)</f>
        <v>30</v>
      </c>
    </row>
    <row r="32">
      <c r="A32" s="3" t="str">
        <f>IFERROR(__xludf.DUMMYFUNCTION("""COMPUTED_VALUE"""),"Yes")</f>
        <v>Yes</v>
      </c>
      <c r="B32" s="3"/>
      <c r="C32" s="3" t="str">
        <f>IFERROR(__xludf.DUMMYFUNCTION("""COMPUTED_VALUE"""),"zimbabwe")</f>
        <v>zimbabwe</v>
      </c>
      <c r="D32" s="3"/>
      <c r="E32" s="3" t="str">
        <f>IFERROR(__xludf.DUMMYFUNCTION("""COMPUTED_VALUE"""),"south_africa")</f>
        <v>south_africa</v>
      </c>
      <c r="F32" s="3" t="str">
        <f>IFERROR(__xludf.DUMMYFUNCTION("""COMPUTED_VALUE"""),"City of Johannesburg Metropolitan Municipality")</f>
        <v>City of Johannesburg Metropolitan Municipality</v>
      </c>
      <c r="G32" s="3">
        <f>IFERROR(__xludf.DUMMYFUNCTION("""COMPUTED_VALUE"""),21.0)</f>
        <v>21</v>
      </c>
      <c r="H32" s="3" t="str">
        <f>IFERROR(__xludf.DUMMYFUNCTION("""COMPUTED_VALUE"""),"male")</f>
        <v>male</v>
      </c>
      <c r="I32" s="3" t="str">
        <f>IFERROR(__xludf.DUMMYFUNCTION("""COMPUTED_VALUE"""),"1to5")</f>
        <v>1to5</v>
      </c>
      <c r="J32" s="3" t="str">
        <f>IFERROR(__xludf.DUMMYFUNCTION("""COMPUTED_VALUE"""),"formal")</f>
        <v>formal</v>
      </c>
      <c r="K32" s="3" t="str">
        <f>IFERROR(__xludf.DUMMYFUNCTION("""COMPUTED_VALUE"""),"tertiary")</f>
        <v>tertiary</v>
      </c>
      <c r="L32" s="3"/>
      <c r="M32" s="3" t="str">
        <f>IFERROR(__xludf.DUMMYFUNCTION("""COMPUTED_VALUE"""),"agree")</f>
        <v>agree</v>
      </c>
      <c r="N32" s="3" t="str">
        <f>IFERROR(__xludf.DUMMYFUNCTION("""COMPUTED_VALUE"""),"agree")</f>
        <v>agree</v>
      </c>
      <c r="O32" s="3" t="str">
        <f>IFERROR(__xludf.DUMMYFUNCTION("""COMPUTED_VALUE"""),"disagree")</f>
        <v>disagree</v>
      </c>
      <c r="P32" s="3"/>
      <c r="Q32" s="3" t="str">
        <f>IFERROR(__xludf.DUMMYFUNCTION("""COMPUTED_VALUE"""),"agree")</f>
        <v>agree</v>
      </c>
      <c r="R32" s="3" t="str">
        <f>IFERROR(__xludf.DUMMYFUNCTION("""COMPUTED_VALUE"""),"agree")</f>
        <v>agree</v>
      </c>
      <c r="S32" s="3" t="str">
        <f>IFERROR(__xludf.DUMMYFUNCTION("""COMPUTED_VALUE"""),"agree")</f>
        <v>agree</v>
      </c>
      <c r="T32" s="3" t="str">
        <f>IFERROR(__xludf.DUMMYFUNCTION("""COMPUTED_VALUE"""),"disagree")</f>
        <v>disagree</v>
      </c>
      <c r="U32" s="3" t="str">
        <f>IFERROR(__xludf.DUMMYFUNCTION("""COMPUTED_VALUE"""),"dontknow")</f>
        <v>dontknow</v>
      </c>
      <c r="V32" s="3" t="str">
        <f>IFERROR(__xludf.DUMMYFUNCTION("""COMPUTED_VALUE"""),"agree")</f>
        <v>agree</v>
      </c>
      <c r="W32" s="3" t="str">
        <f>IFERROR(__xludf.DUMMYFUNCTION("""COMPUTED_VALUE"""),"disagree")</f>
        <v>disagree</v>
      </c>
      <c r="X32" s="3" t="str">
        <f>IFERROR(__xludf.DUMMYFUNCTION("""COMPUTED_VALUE"""),"Gold")</f>
        <v>Gold</v>
      </c>
      <c r="Y32" s="3" t="str">
        <f>IFERROR(__xludf.DUMMYFUNCTION("""COMPUTED_VALUE"""),"card")</f>
        <v>card</v>
      </c>
      <c r="Z32" s="3" t="str">
        <f>IFERROR(__xludf.DUMMYFUNCTION("""COMPUTED_VALUE"""),"monthly")</f>
        <v>monthly</v>
      </c>
      <c r="AA32" s="3">
        <f>IFERROR(__xludf.DUMMYFUNCTION("""COMPUTED_VALUE"""),50.0)</f>
        <v>50</v>
      </c>
      <c r="AB32" s="3" t="str">
        <f>IFERROR(__xludf.DUMMYFUNCTION("""COMPUTED_VALUE"""),"assisted")</f>
        <v>assisted</v>
      </c>
      <c r="AC32" s="3" t="str">
        <f>IFERROR(__xludf.DUMMYFUNCTION("""COMPUTED_VALUE"""),"I am not an employer")</f>
        <v>I am not an employer</v>
      </c>
      <c r="AD32" s="3"/>
      <c r="AE32" s="3"/>
      <c r="AF32" s="3" t="str">
        <f>IFERROR(__xludf.DUMMYFUNCTION("""COMPUTED_VALUE"""),"Yes")</f>
        <v>Yes</v>
      </c>
      <c r="AG32" s="3" t="str">
        <f>IFERROR(__xludf.DUMMYFUNCTION("""COMPUTED_VALUE"""),"Yes")</f>
        <v>Yes</v>
      </c>
      <c r="AH32" s="3">
        <f>IFERROR(__xludf.DUMMYFUNCTION("""COMPUTED_VALUE"""),50.0)</f>
        <v>50</v>
      </c>
      <c r="AI32" s="3">
        <f>IFERROR(__xludf.DUMMYFUNCTION("""COMPUTED_VALUE"""),1.0)</f>
        <v>1</v>
      </c>
      <c r="AJ32" s="3">
        <f>IFERROR(__xludf.DUMMYFUNCTION("""COMPUTED_VALUE"""),0.0)</f>
        <v>0</v>
      </c>
      <c r="AK32" s="3">
        <f>IFERROR(__xludf.DUMMYFUNCTION("""COMPUTED_VALUE"""),0.0)</f>
        <v>0</v>
      </c>
      <c r="AL32" s="3">
        <f>IFERROR(__xludf.DUMMYFUNCTION("""COMPUTED_VALUE"""),0.0)</f>
        <v>0</v>
      </c>
      <c r="AM32" s="3" t="str">
        <f>IFERROR(__xludf.DUMMYFUNCTION("""COMPUTED_VALUE"""),"Yes")</f>
        <v>Yes</v>
      </c>
      <c r="AN32" s="3">
        <f>IFERROR(__xludf.DUMMYFUNCTION("""COMPUTED_VALUE"""),6.01072833E8)</f>
        <v>601072833</v>
      </c>
      <c r="AO32" s="3"/>
      <c r="AP32" s="3">
        <f>IFERROR(__xludf.DUMMYFUNCTION("""COMPUTED_VALUE"""),4.87644284E8)</f>
        <v>487644284</v>
      </c>
      <c r="AQ32" s="3" t="str">
        <f>IFERROR(__xludf.DUMMYFUNCTION("""COMPUTED_VALUE"""),"654d1e5f-6db4-4189-af5f-596d76872796")</f>
        <v>654d1e5f-6db4-4189-af5f-596d76872796</v>
      </c>
      <c r="AR32" s="3">
        <f>IFERROR(__xludf.DUMMYFUNCTION("""COMPUTED_VALUE"""),45805.31496527778)</f>
        <v>45805.31497</v>
      </c>
      <c r="AS32" s="3"/>
      <c r="AT32" s="3"/>
      <c r="AU32" s="3" t="str">
        <f>IFERROR(__xludf.DUMMYFUNCTION("""COMPUTED_VALUE"""),"submitted_via_web")</f>
        <v>submitted_via_web</v>
      </c>
      <c r="AV32" s="3"/>
      <c r="AW32" s="3" t="str">
        <f>IFERROR(__xludf.DUMMYFUNCTION("""COMPUTED_VALUE"""),"vL333fTXttq2bepEBmPumB")</f>
        <v>vL333fTXttq2bepEBmPumB</v>
      </c>
      <c r="AX32" s="3"/>
      <c r="AY32" s="3">
        <f>IFERROR(__xludf.DUMMYFUNCTION("""COMPUTED_VALUE"""),31.0)</f>
        <v>31</v>
      </c>
    </row>
    <row r="33">
      <c r="A33" s="3" t="str">
        <f>IFERROR(__xludf.DUMMYFUNCTION("""COMPUTED_VALUE"""),"Yes")</f>
        <v>Yes</v>
      </c>
      <c r="B33" s="3"/>
      <c r="C33" s="3" t="str">
        <f>IFERROR(__xludf.DUMMYFUNCTION("""COMPUTED_VALUE"""),"zimbabwe")</f>
        <v>zimbabwe</v>
      </c>
      <c r="D33" s="3"/>
      <c r="E33" s="3" t="str">
        <f>IFERROR(__xludf.DUMMYFUNCTION("""COMPUTED_VALUE"""),"south_africa")</f>
        <v>south_africa</v>
      </c>
      <c r="F33" s="3" t="str">
        <f>IFERROR(__xludf.DUMMYFUNCTION("""COMPUTED_VALUE"""),"OR Tambo District")</f>
        <v>OR Tambo District</v>
      </c>
      <c r="G33" s="3">
        <f>IFERROR(__xludf.DUMMYFUNCTION("""COMPUTED_VALUE"""),28.0)</f>
        <v>28</v>
      </c>
      <c r="H33" s="3" t="str">
        <f>IFERROR(__xludf.DUMMYFUNCTION("""COMPUTED_VALUE"""),"female")</f>
        <v>female</v>
      </c>
      <c r="I33" s="3" t="str">
        <f>IFERROR(__xludf.DUMMYFUNCTION("""COMPUTED_VALUE"""),"over5")</f>
        <v>over5</v>
      </c>
      <c r="J33" s="3" t="str">
        <f>IFERROR(__xludf.DUMMYFUNCTION("""COMPUTED_VALUE"""),"unemployed")</f>
        <v>unemployed</v>
      </c>
      <c r="K33" s="3" t="str">
        <f>IFERROR(__xludf.DUMMYFUNCTION("""COMPUTED_VALUE"""),"secondary")</f>
        <v>secondary</v>
      </c>
      <c r="L33" s="3"/>
      <c r="M33" s="3" t="str">
        <f>IFERROR(__xludf.DUMMYFUNCTION("""COMPUTED_VALUE"""),"agree")</f>
        <v>agree</v>
      </c>
      <c r="N33" s="3" t="str">
        <f>IFERROR(__xludf.DUMMYFUNCTION("""COMPUTED_VALUE"""),"agree")</f>
        <v>agree</v>
      </c>
      <c r="O33" s="3" t="str">
        <f>IFERROR(__xludf.DUMMYFUNCTION("""COMPUTED_VALUE"""),"agree")</f>
        <v>agree</v>
      </c>
      <c r="P33" s="3"/>
      <c r="Q33" s="3" t="str">
        <f>IFERROR(__xludf.DUMMYFUNCTION("""COMPUTED_VALUE"""),"agree")</f>
        <v>agree</v>
      </c>
      <c r="R33" s="3" t="str">
        <f>IFERROR(__xludf.DUMMYFUNCTION("""COMPUTED_VALUE"""),"agree")</f>
        <v>agree</v>
      </c>
      <c r="S33" s="3" t="str">
        <f>IFERROR(__xludf.DUMMYFUNCTION("""COMPUTED_VALUE"""),"agree")</f>
        <v>agree</v>
      </c>
      <c r="T33" s="3" t="str">
        <f>IFERROR(__xludf.DUMMYFUNCTION("""COMPUTED_VALUE"""),"agree")</f>
        <v>agree</v>
      </c>
      <c r="U33" s="3" t="str">
        <f>IFERROR(__xludf.DUMMYFUNCTION("""COMPUTED_VALUE"""),"agree")</f>
        <v>agree</v>
      </c>
      <c r="V33" s="3" t="str">
        <f>IFERROR(__xludf.DUMMYFUNCTION("""COMPUTED_VALUE"""),"agree")</f>
        <v>agree</v>
      </c>
      <c r="W33" s="3" t="str">
        <f>IFERROR(__xludf.DUMMYFUNCTION("""COMPUTED_VALUE"""),"agree")</f>
        <v>agree</v>
      </c>
      <c r="X33" s="3" t="str">
        <f>IFERROR(__xludf.DUMMYFUNCTION("""COMPUTED_VALUE"""),"Silver")</f>
        <v>Silver</v>
      </c>
      <c r="Y33" s="3" t="str">
        <f>IFERROR(__xludf.DUMMYFUNCTION("""COMPUTED_VALUE"""),"cash")</f>
        <v>cash</v>
      </c>
      <c r="Z33" s="3" t="str">
        <f>IFERROR(__xludf.DUMMYFUNCTION("""COMPUTED_VALUE"""),"once")</f>
        <v>once</v>
      </c>
      <c r="AA33" s="3">
        <f>IFERROR(__xludf.DUMMYFUNCTION("""COMPUTED_VALUE"""),100.0)</f>
        <v>100</v>
      </c>
      <c r="AB33" s="3" t="str">
        <f>IFERROR(__xludf.DUMMYFUNCTION("""COMPUTED_VALUE"""),"employer")</f>
        <v>employer</v>
      </c>
      <c r="AC33" s="3" t="str">
        <f>IFERROR(__xludf.DUMMYFUNCTION("""COMPUTED_VALUE"""),"I am not an employer")</f>
        <v>I am not an employer</v>
      </c>
      <c r="AD33" s="3"/>
      <c r="AE33" s="3"/>
      <c r="AF33" s="3" t="str">
        <f>IFERROR(__xludf.DUMMYFUNCTION("""COMPUTED_VALUE"""),"Yes")</f>
        <v>Yes</v>
      </c>
      <c r="AG33" s="3" t="str">
        <f>IFERROR(__xludf.DUMMYFUNCTION("""COMPUTED_VALUE"""),"Yes")</f>
        <v>Yes</v>
      </c>
      <c r="AH33" s="3">
        <f>IFERROR(__xludf.DUMMYFUNCTION("""COMPUTED_VALUE"""),3000.0)</f>
        <v>3000</v>
      </c>
      <c r="AI33" s="3">
        <f>IFERROR(__xludf.DUMMYFUNCTION("""COMPUTED_VALUE"""),0.0)</f>
        <v>0</v>
      </c>
      <c r="AJ33" s="3">
        <f>IFERROR(__xludf.DUMMYFUNCTION("""COMPUTED_VALUE"""),1.0)</f>
        <v>1</v>
      </c>
      <c r="AK33" s="3">
        <f>IFERROR(__xludf.DUMMYFUNCTION("""COMPUTED_VALUE"""),0.0)</f>
        <v>0</v>
      </c>
      <c r="AL33" s="3">
        <f>IFERROR(__xludf.DUMMYFUNCTION("""COMPUTED_VALUE"""),0.0)</f>
        <v>0</v>
      </c>
      <c r="AM33" s="3" t="str">
        <f>IFERROR(__xludf.DUMMYFUNCTION("""COMPUTED_VALUE"""),"Yes")</f>
        <v>Yes</v>
      </c>
      <c r="AN33" s="3">
        <f>IFERROR(__xludf.DUMMYFUNCTION("""COMPUTED_VALUE"""),7.32575737E8)</f>
        <v>732575737</v>
      </c>
      <c r="AO33" s="3"/>
      <c r="AP33" s="3">
        <f>IFERROR(__xludf.DUMMYFUNCTION("""COMPUTED_VALUE"""),4.87651294E8)</f>
        <v>487651294</v>
      </c>
      <c r="AQ33" s="3" t="str">
        <f>IFERROR(__xludf.DUMMYFUNCTION("""COMPUTED_VALUE"""),"dab7f63b-cee7-455a-823c-660144f80883")</f>
        <v>dab7f63b-cee7-455a-823c-660144f80883</v>
      </c>
      <c r="AR33" s="3">
        <f>IFERROR(__xludf.DUMMYFUNCTION("""COMPUTED_VALUE"""),45805.32439814815)</f>
        <v>45805.3244</v>
      </c>
      <c r="AS33" s="3"/>
      <c r="AT33" s="3"/>
      <c r="AU33" s="3" t="str">
        <f>IFERROR(__xludf.DUMMYFUNCTION("""COMPUTED_VALUE"""),"submitted_via_web")</f>
        <v>submitted_via_web</v>
      </c>
      <c r="AV33" s="3"/>
      <c r="AW33" s="3" t="str">
        <f>IFERROR(__xludf.DUMMYFUNCTION("""COMPUTED_VALUE"""),"vL333fTXttq2bepEBmPumB")</f>
        <v>vL333fTXttq2bepEBmPumB</v>
      </c>
      <c r="AX33" s="3"/>
      <c r="AY33" s="3">
        <f>IFERROR(__xludf.DUMMYFUNCTION("""COMPUTED_VALUE"""),32.0)</f>
        <v>32</v>
      </c>
    </row>
    <row r="34">
      <c r="A34" s="3" t="str">
        <f>IFERROR(__xludf.DUMMYFUNCTION("""COMPUTED_VALUE"""),"Yes")</f>
        <v>Yes</v>
      </c>
      <c r="B34" s="3"/>
      <c r="C34" s="3" t="str">
        <f>IFERROR(__xludf.DUMMYFUNCTION("""COMPUTED_VALUE"""),"zimbabwe")</f>
        <v>zimbabwe</v>
      </c>
      <c r="D34" s="3"/>
      <c r="E34" s="3" t="str">
        <f>IFERROR(__xludf.DUMMYFUNCTION("""COMPUTED_VALUE"""),"zimbabwe")</f>
        <v>zimbabwe</v>
      </c>
      <c r="F34" s="3"/>
      <c r="G34" s="3">
        <f>IFERROR(__xludf.DUMMYFUNCTION("""COMPUTED_VALUE"""),59.0)</f>
        <v>59</v>
      </c>
      <c r="H34" s="3" t="str">
        <f>IFERROR(__xludf.DUMMYFUNCTION("""COMPUTED_VALUE"""),"male")</f>
        <v>male</v>
      </c>
      <c r="I34" s="3"/>
      <c r="J34" s="3" t="str">
        <f>IFERROR(__xludf.DUMMYFUNCTION("""COMPUTED_VALUE"""),"ownbusiness")</f>
        <v>ownbusiness</v>
      </c>
      <c r="K34" s="3" t="str">
        <f>IFERROR(__xludf.DUMMYFUNCTION("""COMPUTED_VALUE"""),"tertiary")</f>
        <v>tertiary</v>
      </c>
      <c r="L34" s="3"/>
      <c r="M34" s="3" t="str">
        <f>IFERROR(__xludf.DUMMYFUNCTION("""COMPUTED_VALUE"""),"agree")</f>
        <v>agree</v>
      </c>
      <c r="N34" s="3" t="str">
        <f>IFERROR(__xludf.DUMMYFUNCTION("""COMPUTED_VALUE"""),"agree")</f>
        <v>agree</v>
      </c>
      <c r="O34" s="3" t="str">
        <f>IFERROR(__xludf.DUMMYFUNCTION("""COMPUTED_VALUE"""),"agree")</f>
        <v>agree</v>
      </c>
      <c r="P34" s="3"/>
      <c r="Q34" s="3" t="str">
        <f>IFERROR(__xludf.DUMMYFUNCTION("""COMPUTED_VALUE"""),"disagree")</f>
        <v>disagree</v>
      </c>
      <c r="R34" s="3" t="str">
        <f>IFERROR(__xludf.DUMMYFUNCTION("""COMPUTED_VALUE"""),"agree")</f>
        <v>agree</v>
      </c>
      <c r="S34" s="3" t="str">
        <f>IFERROR(__xludf.DUMMYFUNCTION("""COMPUTED_VALUE"""),"disagree")</f>
        <v>disagree</v>
      </c>
      <c r="T34" s="3" t="str">
        <f>IFERROR(__xludf.DUMMYFUNCTION("""COMPUTED_VALUE"""),"dontknow")</f>
        <v>dontknow</v>
      </c>
      <c r="U34" s="3" t="str">
        <f>IFERROR(__xludf.DUMMYFUNCTION("""COMPUTED_VALUE"""),"agree")</f>
        <v>agree</v>
      </c>
      <c r="V34" s="3" t="str">
        <f>IFERROR(__xludf.DUMMYFUNCTION("""COMPUTED_VALUE"""),"agree")</f>
        <v>agree</v>
      </c>
      <c r="W34" s="3" t="str">
        <f>IFERROR(__xludf.DUMMYFUNCTION("""COMPUTED_VALUE"""),"agree")</f>
        <v>agree</v>
      </c>
      <c r="X34" s="3" t="str">
        <f>IFERROR(__xludf.DUMMYFUNCTION("""COMPUTED_VALUE"""),"Lithium")</f>
        <v>Lithium</v>
      </c>
      <c r="Y34" s="3" t="str">
        <f>IFERROR(__xludf.DUMMYFUNCTION("""COMPUTED_VALUE"""),"insurance")</f>
        <v>insurance</v>
      </c>
      <c r="Z34" s="3" t="str">
        <f>IFERROR(__xludf.DUMMYFUNCTION("""COMPUTED_VALUE"""),"monthly")</f>
        <v>monthly</v>
      </c>
      <c r="AA34" s="3">
        <f>IFERROR(__xludf.DUMMYFUNCTION("""COMPUTED_VALUE"""),100.0)</f>
        <v>100</v>
      </c>
      <c r="AB34" s="3" t="str">
        <f>IFERROR(__xludf.DUMMYFUNCTION("""COMPUTED_VALUE"""),"online")</f>
        <v>online</v>
      </c>
      <c r="AC34" s="3" t="str">
        <f>IFERROR(__xludf.DUMMYFUNCTION("""COMPUTED_VALUE"""),"I am not an employer")</f>
        <v>I am not an employer</v>
      </c>
      <c r="AD34" s="3"/>
      <c r="AE34" s="3"/>
      <c r="AF34" s="3" t="str">
        <f>IFERROR(__xludf.DUMMYFUNCTION("""COMPUTED_VALUE"""),"Yes")</f>
        <v>Yes</v>
      </c>
      <c r="AG34" s="3"/>
      <c r="AH34" s="3"/>
      <c r="AI34" s="3">
        <f>IFERROR(__xludf.DUMMYFUNCTION("""COMPUTED_VALUE"""),0.0)</f>
        <v>0</v>
      </c>
      <c r="AJ34" s="3">
        <f>IFERROR(__xludf.DUMMYFUNCTION("""COMPUTED_VALUE"""),0.0)</f>
        <v>0</v>
      </c>
      <c r="AK34" s="3">
        <f>IFERROR(__xludf.DUMMYFUNCTION("""COMPUTED_VALUE"""),1.0)</f>
        <v>1</v>
      </c>
      <c r="AL34" s="3">
        <f>IFERROR(__xludf.DUMMYFUNCTION("""COMPUTED_VALUE"""),0.0)</f>
        <v>0</v>
      </c>
      <c r="AM34" s="3"/>
      <c r="AN34" s="3"/>
      <c r="AO34" s="3"/>
      <c r="AP34" s="3">
        <f>IFERROR(__xludf.DUMMYFUNCTION("""COMPUTED_VALUE"""),4.87664993E8)</f>
        <v>487664993</v>
      </c>
      <c r="AQ34" s="3" t="str">
        <f>IFERROR(__xludf.DUMMYFUNCTION("""COMPUTED_VALUE"""),"6a6de0e0-59c9-4b49-ab0a-71332b0d7d81")</f>
        <v>6a6de0e0-59c9-4b49-ab0a-71332b0d7d81</v>
      </c>
      <c r="AR34" s="3">
        <f>IFERROR(__xludf.DUMMYFUNCTION("""COMPUTED_VALUE"""),45805.33640046296)</f>
        <v>45805.3364</v>
      </c>
      <c r="AS34" s="3"/>
      <c r="AT34" s="3"/>
      <c r="AU34" s="3" t="str">
        <f>IFERROR(__xludf.DUMMYFUNCTION("""COMPUTED_VALUE"""),"submitted_via_web")</f>
        <v>submitted_via_web</v>
      </c>
      <c r="AV34" s="3"/>
      <c r="AW34" s="3" t="str">
        <f>IFERROR(__xludf.DUMMYFUNCTION("""COMPUTED_VALUE"""),"vL333fTXttq2bepEBmPumB")</f>
        <v>vL333fTXttq2bepEBmPumB</v>
      </c>
      <c r="AX34" s="3"/>
      <c r="AY34" s="3">
        <f>IFERROR(__xludf.DUMMYFUNCTION("""COMPUTED_VALUE"""),33.0)</f>
        <v>33</v>
      </c>
    </row>
    <row r="35">
      <c r="A35" s="3" t="str">
        <f>IFERROR(__xludf.DUMMYFUNCTION("""COMPUTED_VALUE"""),"Yes")</f>
        <v>Yes</v>
      </c>
      <c r="B35" s="3"/>
      <c r="C35" s="3" t="str">
        <f>IFERROR(__xludf.DUMMYFUNCTION("""COMPUTED_VALUE"""),"zimbabwe")</f>
        <v>zimbabwe</v>
      </c>
      <c r="D35" s="3"/>
      <c r="E35" s="3" t="str">
        <f>IFERROR(__xludf.DUMMYFUNCTION("""COMPUTED_VALUE"""),"south_africa")</f>
        <v>south_africa</v>
      </c>
      <c r="F35" s="3" t="str">
        <f>IFERROR(__xludf.DUMMYFUNCTION("""COMPUTED_VALUE"""),"City of Tshwane Metropolitan Municipality")</f>
        <v>City of Tshwane Metropolitan Municipality</v>
      </c>
      <c r="G35" s="3">
        <f>IFERROR(__xludf.DUMMYFUNCTION("""COMPUTED_VALUE"""),44.0)</f>
        <v>44</v>
      </c>
      <c r="H35" s="3" t="str">
        <f>IFERROR(__xludf.DUMMYFUNCTION("""COMPUTED_VALUE"""),"male")</f>
        <v>male</v>
      </c>
      <c r="I35" s="3" t="str">
        <f>IFERROR(__xludf.DUMMYFUNCTION("""COMPUTED_VALUE"""),"1to5")</f>
        <v>1to5</v>
      </c>
      <c r="J35" s="3" t="str">
        <f>IFERROR(__xludf.DUMMYFUNCTION("""COMPUTED_VALUE"""),"formal")</f>
        <v>formal</v>
      </c>
      <c r="K35" s="3" t="str">
        <f>IFERROR(__xludf.DUMMYFUNCTION("""COMPUTED_VALUE"""),"tertiary")</f>
        <v>tertiary</v>
      </c>
      <c r="L35" s="3"/>
      <c r="M35" s="3" t="str">
        <f>IFERROR(__xludf.DUMMYFUNCTION("""COMPUTED_VALUE"""),"agree")</f>
        <v>agree</v>
      </c>
      <c r="N35" s="3" t="str">
        <f>IFERROR(__xludf.DUMMYFUNCTION("""COMPUTED_VALUE"""),"agree")</f>
        <v>agree</v>
      </c>
      <c r="O35" s="3" t="str">
        <f>IFERROR(__xludf.DUMMYFUNCTION("""COMPUTED_VALUE"""),"agree")</f>
        <v>agree</v>
      </c>
      <c r="P35" s="3"/>
      <c r="Q35" s="3" t="str">
        <f>IFERROR(__xludf.DUMMYFUNCTION("""COMPUTED_VALUE"""),"agree")</f>
        <v>agree</v>
      </c>
      <c r="R35" s="3" t="str">
        <f>IFERROR(__xludf.DUMMYFUNCTION("""COMPUTED_VALUE"""),"agree")</f>
        <v>agree</v>
      </c>
      <c r="S35" s="3" t="str">
        <f>IFERROR(__xludf.DUMMYFUNCTION("""COMPUTED_VALUE"""),"agree")</f>
        <v>agree</v>
      </c>
      <c r="T35" s="3" t="str">
        <f>IFERROR(__xludf.DUMMYFUNCTION("""COMPUTED_VALUE"""),"agree")</f>
        <v>agree</v>
      </c>
      <c r="U35" s="3" t="str">
        <f>IFERROR(__xludf.DUMMYFUNCTION("""COMPUTED_VALUE"""),"agree")</f>
        <v>agree</v>
      </c>
      <c r="V35" s="3" t="str">
        <f>IFERROR(__xludf.DUMMYFUNCTION("""COMPUTED_VALUE"""),"agree")</f>
        <v>agree</v>
      </c>
      <c r="W35" s="3" t="str">
        <f>IFERROR(__xludf.DUMMYFUNCTION("""COMPUTED_VALUE"""),"agree")</f>
        <v>agree</v>
      </c>
      <c r="X35" s="3" t="str">
        <f>IFERROR(__xludf.DUMMYFUNCTION("""COMPUTED_VALUE"""),"Silver")</f>
        <v>Silver</v>
      </c>
      <c r="Y35" s="3" t="str">
        <f>IFERROR(__xludf.DUMMYFUNCTION("""COMPUTED_VALUE"""),"card")</f>
        <v>card</v>
      </c>
      <c r="Z35" s="3" t="str">
        <f>IFERROR(__xludf.DUMMYFUNCTION("""COMPUTED_VALUE"""),"monthly")</f>
        <v>monthly</v>
      </c>
      <c r="AA35" s="3">
        <f>IFERROR(__xludf.DUMMYFUNCTION("""COMPUTED_VALUE"""),100.0)</f>
        <v>100</v>
      </c>
      <c r="AB35" s="3" t="str">
        <f>IFERROR(__xludf.DUMMYFUNCTION("""COMPUTED_VALUE"""),"assisted")</f>
        <v>assisted</v>
      </c>
      <c r="AC35" s="3" t="str">
        <f>IFERROR(__xludf.DUMMYFUNCTION("""COMPUTED_VALUE"""),"I am not an employer")</f>
        <v>I am not an employer</v>
      </c>
      <c r="AD35" s="3"/>
      <c r="AE35" s="3"/>
      <c r="AF35" s="3" t="str">
        <f>IFERROR(__xludf.DUMMYFUNCTION("""COMPUTED_VALUE"""),"Yes")</f>
        <v>Yes</v>
      </c>
      <c r="AG35" s="3" t="str">
        <f>IFERROR(__xludf.DUMMYFUNCTION("""COMPUTED_VALUE"""),"No")</f>
        <v>No</v>
      </c>
      <c r="AH35" s="3"/>
      <c r="AI35" s="3">
        <f>IFERROR(__xludf.DUMMYFUNCTION("""COMPUTED_VALUE"""),1.0)</f>
        <v>1</v>
      </c>
      <c r="AJ35" s="3">
        <f>IFERROR(__xludf.DUMMYFUNCTION("""COMPUTED_VALUE"""),1.0)</f>
        <v>1</v>
      </c>
      <c r="AK35" s="3">
        <f>IFERROR(__xludf.DUMMYFUNCTION("""COMPUTED_VALUE"""),1.0)</f>
        <v>1</v>
      </c>
      <c r="AL35" s="3">
        <f>IFERROR(__xludf.DUMMYFUNCTION("""COMPUTED_VALUE"""),0.0)</f>
        <v>0</v>
      </c>
      <c r="AM35" s="3" t="str">
        <f>IFERROR(__xludf.DUMMYFUNCTION("""COMPUTED_VALUE"""),"Yes")</f>
        <v>Yes</v>
      </c>
      <c r="AN35" s="3">
        <f>IFERROR(__xludf.DUMMYFUNCTION("""COMPUTED_VALUE"""),7.19465454E8)</f>
        <v>719465454</v>
      </c>
      <c r="AO35" s="3"/>
      <c r="AP35" s="3">
        <f>IFERROR(__xludf.DUMMYFUNCTION("""COMPUTED_VALUE"""),4.87674106E8)</f>
        <v>487674106</v>
      </c>
      <c r="AQ35" s="3" t="str">
        <f>IFERROR(__xludf.DUMMYFUNCTION("""COMPUTED_VALUE"""),"0fa2f58f-919d-4452-a7b6-15c51caafcd5")</f>
        <v>0fa2f58f-919d-4452-a7b6-15c51caafcd5</v>
      </c>
      <c r="AR35" s="3">
        <f>IFERROR(__xludf.DUMMYFUNCTION("""COMPUTED_VALUE"""),45805.34543981482)</f>
        <v>45805.34544</v>
      </c>
      <c r="AS35" s="3"/>
      <c r="AT35" s="3"/>
      <c r="AU35" s="3" t="str">
        <f>IFERROR(__xludf.DUMMYFUNCTION("""COMPUTED_VALUE"""),"submitted_via_web")</f>
        <v>submitted_via_web</v>
      </c>
      <c r="AV35" s="3"/>
      <c r="AW35" s="3" t="str">
        <f>IFERROR(__xludf.DUMMYFUNCTION("""COMPUTED_VALUE"""),"vL333fTXttq2bepEBmPumB")</f>
        <v>vL333fTXttq2bepEBmPumB</v>
      </c>
      <c r="AX35" s="3"/>
      <c r="AY35" s="3">
        <f>IFERROR(__xludf.DUMMYFUNCTION("""COMPUTED_VALUE"""),34.0)</f>
        <v>34</v>
      </c>
    </row>
    <row r="36">
      <c r="A36" s="3" t="str">
        <f>IFERROR(__xludf.DUMMYFUNCTION("""COMPUTED_VALUE"""),"Yes")</f>
        <v>Yes</v>
      </c>
      <c r="B36" s="3"/>
      <c r="C36" s="3" t="str">
        <f>IFERROR(__xludf.DUMMYFUNCTION("""COMPUTED_VALUE"""),"zimbabwe")</f>
        <v>zimbabwe</v>
      </c>
      <c r="D36" s="3"/>
      <c r="E36" s="3" t="str">
        <f>IFERROR(__xludf.DUMMYFUNCTION("""COMPUTED_VALUE"""),"south_africa")</f>
        <v>south_africa</v>
      </c>
      <c r="F36" s="3" t="str">
        <f>IFERROR(__xludf.DUMMYFUNCTION("""COMPUTED_VALUE"""),"City of Tshwane Metropolitan Municipality")</f>
        <v>City of Tshwane Metropolitan Municipality</v>
      </c>
      <c r="G36" s="3">
        <f>IFERROR(__xludf.DUMMYFUNCTION("""COMPUTED_VALUE"""),42.0)</f>
        <v>42</v>
      </c>
      <c r="H36" s="3" t="str">
        <f>IFERROR(__xludf.DUMMYFUNCTION("""COMPUTED_VALUE"""),"female")</f>
        <v>female</v>
      </c>
      <c r="I36" s="3" t="str">
        <f>IFERROR(__xludf.DUMMYFUNCTION("""COMPUTED_VALUE"""),"over5")</f>
        <v>over5</v>
      </c>
      <c r="J36" s="3" t="str">
        <f>IFERROR(__xludf.DUMMYFUNCTION("""COMPUTED_VALUE"""),"formal")</f>
        <v>formal</v>
      </c>
      <c r="K36" s="3" t="str">
        <f>IFERROR(__xludf.DUMMYFUNCTION("""COMPUTED_VALUE"""),"tertiary")</f>
        <v>tertiary</v>
      </c>
      <c r="L36" s="3"/>
      <c r="M36" s="3" t="str">
        <f>IFERROR(__xludf.DUMMYFUNCTION("""COMPUTED_VALUE"""),"agree")</f>
        <v>agree</v>
      </c>
      <c r="N36" s="3" t="str">
        <f>IFERROR(__xludf.DUMMYFUNCTION("""COMPUTED_VALUE"""),"agree")</f>
        <v>agree</v>
      </c>
      <c r="O36" s="3" t="str">
        <f>IFERROR(__xludf.DUMMYFUNCTION("""COMPUTED_VALUE"""),"agree")</f>
        <v>agree</v>
      </c>
      <c r="P36" s="3"/>
      <c r="Q36" s="3" t="str">
        <f>IFERROR(__xludf.DUMMYFUNCTION("""COMPUTED_VALUE"""),"disagree")</f>
        <v>disagree</v>
      </c>
      <c r="R36" s="3" t="str">
        <f>IFERROR(__xludf.DUMMYFUNCTION("""COMPUTED_VALUE"""),"agree")</f>
        <v>agree</v>
      </c>
      <c r="S36" s="3" t="str">
        <f>IFERROR(__xludf.DUMMYFUNCTION("""COMPUTED_VALUE"""),"disagree")</f>
        <v>disagree</v>
      </c>
      <c r="T36" s="3" t="str">
        <f>IFERROR(__xludf.DUMMYFUNCTION("""COMPUTED_VALUE"""),"disagree")</f>
        <v>disagree</v>
      </c>
      <c r="U36" s="3" t="str">
        <f>IFERROR(__xludf.DUMMYFUNCTION("""COMPUTED_VALUE"""),"agree")</f>
        <v>agree</v>
      </c>
      <c r="V36" s="3" t="str">
        <f>IFERROR(__xludf.DUMMYFUNCTION("""COMPUTED_VALUE"""),"agree")</f>
        <v>agree</v>
      </c>
      <c r="W36" s="3" t="str">
        <f>IFERROR(__xludf.DUMMYFUNCTION("""COMPUTED_VALUE"""),"disagree")</f>
        <v>disagree</v>
      </c>
      <c r="X36" s="3" t="str">
        <f>IFERROR(__xludf.DUMMYFUNCTION("""COMPUTED_VALUE"""),"Silver")</f>
        <v>Silver</v>
      </c>
      <c r="Y36" s="3" t="str">
        <f>IFERROR(__xludf.DUMMYFUNCTION("""COMPUTED_VALUE"""),"insurance")</f>
        <v>insurance</v>
      </c>
      <c r="Z36" s="3" t="str">
        <f>IFERROR(__xludf.DUMMYFUNCTION("""COMPUTED_VALUE"""),"monthly")</f>
        <v>monthly</v>
      </c>
      <c r="AA36" s="3">
        <f>IFERROR(__xludf.DUMMYFUNCTION("""COMPUTED_VALUE"""),50.0)</f>
        <v>50</v>
      </c>
      <c r="AB36" s="3" t="str">
        <f>IFERROR(__xludf.DUMMYFUNCTION("""COMPUTED_VALUE"""),"online")</f>
        <v>online</v>
      </c>
      <c r="AC36" s="3" t="str">
        <f>IFERROR(__xludf.DUMMYFUNCTION("""COMPUTED_VALUE"""),"Yes")</f>
        <v>Yes</v>
      </c>
      <c r="AD36" s="3" t="str">
        <f>IFERROR(__xludf.DUMMYFUNCTION("""COMPUTED_VALUE"""),"Gold")</f>
        <v>Gold</v>
      </c>
      <c r="AE36" s="3" t="str">
        <f>IFERROR(__xludf.DUMMYFUNCTION("""COMPUTED_VALUE"""),"Yes")</f>
        <v>Yes</v>
      </c>
      <c r="AF36" s="3" t="str">
        <f>IFERROR(__xludf.DUMMYFUNCTION("""COMPUTED_VALUE"""),"Yes")</f>
        <v>Yes</v>
      </c>
      <c r="AG36" s="3" t="str">
        <f>IFERROR(__xludf.DUMMYFUNCTION("""COMPUTED_VALUE"""),"Yes")</f>
        <v>Yes</v>
      </c>
      <c r="AH36" s="3">
        <f>IFERROR(__xludf.DUMMYFUNCTION("""COMPUTED_VALUE"""),4000.0)</f>
        <v>4000</v>
      </c>
      <c r="AI36" s="3">
        <f>IFERROR(__xludf.DUMMYFUNCTION("""COMPUTED_VALUE"""),0.0)</f>
        <v>0</v>
      </c>
      <c r="AJ36" s="3">
        <f>IFERROR(__xludf.DUMMYFUNCTION("""COMPUTED_VALUE"""),0.0)</f>
        <v>0</v>
      </c>
      <c r="AK36" s="3">
        <f>IFERROR(__xludf.DUMMYFUNCTION("""COMPUTED_VALUE"""),0.0)</f>
        <v>0</v>
      </c>
      <c r="AL36" s="3">
        <f>IFERROR(__xludf.DUMMYFUNCTION("""COMPUTED_VALUE"""),1.0)</f>
        <v>1</v>
      </c>
      <c r="AM36" s="3" t="str">
        <f>IFERROR(__xludf.DUMMYFUNCTION("""COMPUTED_VALUE"""),"Yes")</f>
        <v>Yes</v>
      </c>
      <c r="AN36" s="3">
        <f>IFERROR(__xludf.DUMMYFUNCTION("""COMPUTED_VALUE"""),7.18013824E8)</f>
        <v>718013824</v>
      </c>
      <c r="AO36" s="3"/>
      <c r="AP36" s="3">
        <f>IFERROR(__xludf.DUMMYFUNCTION("""COMPUTED_VALUE"""),4.87690832E8)</f>
        <v>487690832</v>
      </c>
      <c r="AQ36" s="3" t="str">
        <f>IFERROR(__xludf.DUMMYFUNCTION("""COMPUTED_VALUE"""),"7984bd0b-a4a5-4683-a34a-82a4871c0a81")</f>
        <v>7984bd0b-a4a5-4683-a34a-82a4871c0a81</v>
      </c>
      <c r="AR36" s="3">
        <f>IFERROR(__xludf.DUMMYFUNCTION("""COMPUTED_VALUE"""),45805.363032407404)</f>
        <v>45805.36303</v>
      </c>
      <c r="AS36" s="3"/>
      <c r="AT36" s="3"/>
      <c r="AU36" s="3" t="str">
        <f>IFERROR(__xludf.DUMMYFUNCTION("""COMPUTED_VALUE"""),"submitted_via_web")</f>
        <v>submitted_via_web</v>
      </c>
      <c r="AV36" s="3"/>
      <c r="AW36" s="3" t="str">
        <f>IFERROR(__xludf.DUMMYFUNCTION("""COMPUTED_VALUE"""),"vL333fTXttq2bepEBmPumB")</f>
        <v>vL333fTXttq2bepEBmPumB</v>
      </c>
      <c r="AX36" s="3"/>
      <c r="AY36" s="3">
        <f>IFERROR(__xludf.DUMMYFUNCTION("""COMPUTED_VALUE"""),35.0)</f>
        <v>35</v>
      </c>
    </row>
    <row r="37">
      <c r="A37" s="3" t="str">
        <f>IFERROR(__xludf.DUMMYFUNCTION("""COMPUTED_VALUE"""),"Yes")</f>
        <v>Yes</v>
      </c>
      <c r="B37" s="3"/>
      <c r="C37" s="3" t="str">
        <f>IFERROR(__xludf.DUMMYFUNCTION("""COMPUTED_VALUE"""),"zimbabwe")</f>
        <v>zimbabwe</v>
      </c>
      <c r="D37" s="3"/>
      <c r="E37" s="3" t="str">
        <f>IFERROR(__xludf.DUMMYFUNCTION("""COMPUTED_VALUE"""),"zimbabwe")</f>
        <v>zimbabwe</v>
      </c>
      <c r="F37" s="3"/>
      <c r="G37" s="3">
        <f>IFERROR(__xludf.DUMMYFUNCTION("""COMPUTED_VALUE"""),55.0)</f>
        <v>55</v>
      </c>
      <c r="H37" s="3" t="str">
        <f>IFERROR(__xludf.DUMMYFUNCTION("""COMPUTED_VALUE"""),"male")</f>
        <v>male</v>
      </c>
      <c r="I37" s="3"/>
      <c r="J37" s="3" t="str">
        <f>IFERROR(__xludf.DUMMYFUNCTION("""COMPUTED_VALUE"""),"formal")</f>
        <v>formal</v>
      </c>
      <c r="K37" s="3" t="str">
        <f>IFERROR(__xludf.DUMMYFUNCTION("""COMPUTED_VALUE"""),"tertiary")</f>
        <v>tertiary</v>
      </c>
      <c r="L37" s="3"/>
      <c r="M37" s="3" t="str">
        <f>IFERROR(__xludf.DUMMYFUNCTION("""COMPUTED_VALUE"""),"agree")</f>
        <v>agree</v>
      </c>
      <c r="N37" s="3" t="str">
        <f>IFERROR(__xludf.DUMMYFUNCTION("""COMPUTED_VALUE"""),"agree")</f>
        <v>agree</v>
      </c>
      <c r="O37" s="3" t="str">
        <f>IFERROR(__xludf.DUMMYFUNCTION("""COMPUTED_VALUE"""),"agree")</f>
        <v>agree</v>
      </c>
      <c r="P37" s="3"/>
      <c r="Q37" s="3" t="str">
        <f>IFERROR(__xludf.DUMMYFUNCTION("""COMPUTED_VALUE"""),"disagree")</f>
        <v>disagree</v>
      </c>
      <c r="R37" s="3" t="str">
        <f>IFERROR(__xludf.DUMMYFUNCTION("""COMPUTED_VALUE"""),"agree")</f>
        <v>agree</v>
      </c>
      <c r="S37" s="3" t="str">
        <f>IFERROR(__xludf.DUMMYFUNCTION("""COMPUTED_VALUE"""),"disagree")</f>
        <v>disagree</v>
      </c>
      <c r="T37" s="3" t="str">
        <f>IFERROR(__xludf.DUMMYFUNCTION("""COMPUTED_VALUE"""),"disagree")</f>
        <v>disagree</v>
      </c>
      <c r="U37" s="3" t="str">
        <f>IFERROR(__xludf.DUMMYFUNCTION("""COMPUTED_VALUE"""),"disagree")</f>
        <v>disagree</v>
      </c>
      <c r="V37" s="3" t="str">
        <f>IFERROR(__xludf.DUMMYFUNCTION("""COMPUTED_VALUE"""),"agree")</f>
        <v>agree</v>
      </c>
      <c r="W37" s="3" t="str">
        <f>IFERROR(__xludf.DUMMYFUNCTION("""COMPUTED_VALUE"""),"disagree")</f>
        <v>disagree</v>
      </c>
      <c r="X37" s="3" t="str">
        <f>IFERROR(__xludf.DUMMYFUNCTION("""COMPUTED_VALUE"""),"Silver")</f>
        <v>Silver</v>
      </c>
      <c r="Y37" s="3" t="str">
        <f>IFERROR(__xludf.DUMMYFUNCTION("""COMPUTED_VALUE"""),"insurance")</f>
        <v>insurance</v>
      </c>
      <c r="Z37" s="3" t="str">
        <f>IFERROR(__xludf.DUMMYFUNCTION("""COMPUTED_VALUE"""),"monthly")</f>
        <v>monthly</v>
      </c>
      <c r="AA37" s="3">
        <f>IFERROR(__xludf.DUMMYFUNCTION("""COMPUTED_VALUE"""),100.0)</f>
        <v>100</v>
      </c>
      <c r="AB37" s="3" t="str">
        <f>IFERROR(__xludf.DUMMYFUNCTION("""COMPUTED_VALUE"""),"assisted")</f>
        <v>assisted</v>
      </c>
      <c r="AC37" s="3" t="str">
        <f>IFERROR(__xludf.DUMMYFUNCTION("""COMPUTED_VALUE"""),"Yes")</f>
        <v>Yes</v>
      </c>
      <c r="AD37" s="3" t="str">
        <f>IFERROR(__xludf.DUMMYFUNCTION("""COMPUTED_VALUE"""),"Silver")</f>
        <v>Silver</v>
      </c>
      <c r="AE37" s="3" t="str">
        <f>IFERROR(__xludf.DUMMYFUNCTION("""COMPUTED_VALUE"""),"Yes")</f>
        <v>Yes</v>
      </c>
      <c r="AF37" s="3" t="str">
        <f>IFERROR(__xludf.DUMMYFUNCTION("""COMPUTED_VALUE"""),"Yes")</f>
        <v>Yes</v>
      </c>
      <c r="AG37" s="3" t="str">
        <f>IFERROR(__xludf.DUMMYFUNCTION("""COMPUTED_VALUE"""),"No")</f>
        <v>No</v>
      </c>
      <c r="AH37" s="3"/>
      <c r="AI37" s="3">
        <f>IFERROR(__xludf.DUMMYFUNCTION("""COMPUTED_VALUE"""),0.0)</f>
        <v>0</v>
      </c>
      <c r="AJ37" s="3">
        <f>IFERROR(__xludf.DUMMYFUNCTION("""COMPUTED_VALUE"""),0.0)</f>
        <v>0</v>
      </c>
      <c r="AK37" s="3">
        <f>IFERROR(__xludf.DUMMYFUNCTION("""COMPUTED_VALUE"""),0.0)</f>
        <v>0</v>
      </c>
      <c r="AL37" s="3">
        <f>IFERROR(__xludf.DUMMYFUNCTION("""COMPUTED_VALUE"""),1.0)</f>
        <v>1</v>
      </c>
      <c r="AM37" s="3"/>
      <c r="AN37" s="3"/>
      <c r="AO37" s="3"/>
      <c r="AP37" s="3">
        <f>IFERROR(__xludf.DUMMYFUNCTION("""COMPUTED_VALUE"""),4.8770913E8)</f>
        <v>487709130</v>
      </c>
      <c r="AQ37" s="3" t="str">
        <f>IFERROR(__xludf.DUMMYFUNCTION("""COMPUTED_VALUE"""),"f5d99ec3-a1af-459b-84ad-3636095fa277")</f>
        <v>f5d99ec3-a1af-459b-84ad-3636095fa277</v>
      </c>
      <c r="AR37" s="3">
        <f>IFERROR(__xludf.DUMMYFUNCTION("""COMPUTED_VALUE"""),45805.381689814814)</f>
        <v>45805.38169</v>
      </c>
      <c r="AS37" s="3"/>
      <c r="AT37" s="3"/>
      <c r="AU37" s="3" t="str">
        <f>IFERROR(__xludf.DUMMYFUNCTION("""COMPUTED_VALUE"""),"submitted_via_web")</f>
        <v>submitted_via_web</v>
      </c>
      <c r="AV37" s="3"/>
      <c r="AW37" s="3" t="str">
        <f>IFERROR(__xludf.DUMMYFUNCTION("""COMPUTED_VALUE"""),"vL333fTXttq2bepEBmPumB")</f>
        <v>vL333fTXttq2bepEBmPumB</v>
      </c>
      <c r="AX37" s="3"/>
      <c r="AY37" s="3">
        <f>IFERROR(__xludf.DUMMYFUNCTION("""COMPUTED_VALUE"""),36.0)</f>
        <v>36</v>
      </c>
    </row>
    <row r="38">
      <c r="A38" s="3" t="str">
        <f>IFERROR(__xludf.DUMMYFUNCTION("""COMPUTED_VALUE"""),"Yes")</f>
        <v>Yes</v>
      </c>
      <c r="B38" s="3"/>
      <c r="C38" s="3" t="str">
        <f>IFERROR(__xludf.DUMMYFUNCTION("""COMPUTED_VALUE"""),"south_africa")</f>
        <v>south_africa</v>
      </c>
      <c r="D38" s="3"/>
      <c r="E38" s="3" t="str">
        <f>IFERROR(__xludf.DUMMYFUNCTION("""COMPUTED_VALUE"""),"south_africa")</f>
        <v>south_africa</v>
      </c>
      <c r="F38" s="3" t="str">
        <f>IFERROR(__xludf.DUMMYFUNCTION("""COMPUTED_VALUE"""),"City of Tshwane Metropolitan Municipality")</f>
        <v>City of Tshwane Metropolitan Municipality</v>
      </c>
      <c r="G38" s="3">
        <f>IFERROR(__xludf.DUMMYFUNCTION("""COMPUTED_VALUE"""),51.0)</f>
        <v>51</v>
      </c>
      <c r="H38" s="3" t="str">
        <f>IFERROR(__xludf.DUMMYFUNCTION("""COMPUTED_VALUE"""),"female")</f>
        <v>female</v>
      </c>
      <c r="I38" s="3" t="str">
        <f>IFERROR(__xludf.DUMMYFUNCTION("""COMPUTED_VALUE"""),"citizen")</f>
        <v>citizen</v>
      </c>
      <c r="J38" s="3" t="str">
        <f>IFERROR(__xludf.DUMMYFUNCTION("""COMPUTED_VALUE"""),"ownbusiness")</f>
        <v>ownbusiness</v>
      </c>
      <c r="K38" s="3" t="str">
        <f>IFERROR(__xludf.DUMMYFUNCTION("""COMPUTED_VALUE"""),"tertiary")</f>
        <v>tertiary</v>
      </c>
      <c r="L38" s="3"/>
      <c r="M38" s="3" t="str">
        <f>IFERROR(__xludf.DUMMYFUNCTION("""COMPUTED_VALUE"""),"agree")</f>
        <v>agree</v>
      </c>
      <c r="N38" s="3" t="str">
        <f>IFERROR(__xludf.DUMMYFUNCTION("""COMPUTED_VALUE"""),"agree")</f>
        <v>agree</v>
      </c>
      <c r="O38" s="3" t="str">
        <f>IFERROR(__xludf.DUMMYFUNCTION("""COMPUTED_VALUE"""),"agree")</f>
        <v>agree</v>
      </c>
      <c r="P38" s="3"/>
      <c r="Q38" s="3" t="str">
        <f>IFERROR(__xludf.DUMMYFUNCTION("""COMPUTED_VALUE"""),"agree")</f>
        <v>agree</v>
      </c>
      <c r="R38" s="3" t="str">
        <f>IFERROR(__xludf.DUMMYFUNCTION("""COMPUTED_VALUE"""),"agree")</f>
        <v>agree</v>
      </c>
      <c r="S38" s="3" t="str">
        <f>IFERROR(__xludf.DUMMYFUNCTION("""COMPUTED_VALUE"""),"agree")</f>
        <v>agree</v>
      </c>
      <c r="T38" s="3" t="str">
        <f>IFERROR(__xludf.DUMMYFUNCTION("""COMPUTED_VALUE"""),"dontknow")</f>
        <v>dontknow</v>
      </c>
      <c r="U38" s="3" t="str">
        <f>IFERROR(__xludf.DUMMYFUNCTION("""COMPUTED_VALUE"""),"disagree")</f>
        <v>disagree</v>
      </c>
      <c r="V38" s="3" t="str">
        <f>IFERROR(__xludf.DUMMYFUNCTION("""COMPUTED_VALUE"""),"disagree")</f>
        <v>disagree</v>
      </c>
      <c r="W38" s="3" t="str">
        <f>IFERROR(__xludf.DUMMYFUNCTION("""COMPUTED_VALUE"""),"disagree")</f>
        <v>disagree</v>
      </c>
      <c r="X38" s="3" t="str">
        <f>IFERROR(__xludf.DUMMYFUNCTION("""COMPUTED_VALUE"""),"Silver")</f>
        <v>Silver</v>
      </c>
      <c r="Y38" s="3" t="str">
        <f>IFERROR(__xludf.DUMMYFUNCTION("""COMPUTED_VALUE"""),"card")</f>
        <v>card</v>
      </c>
      <c r="Z38" s="3"/>
      <c r="AA38" s="3"/>
      <c r="AB38" s="3"/>
      <c r="AC38" s="3" t="str">
        <f>IFERROR(__xludf.DUMMYFUNCTION("""COMPUTED_VALUE"""),"Yes")</f>
        <v>Yes</v>
      </c>
      <c r="AD38" s="3" t="str">
        <f>IFERROR(__xludf.DUMMYFUNCTION("""COMPUTED_VALUE"""),"Silver")</f>
        <v>Silver</v>
      </c>
      <c r="AE38" s="3" t="str">
        <f>IFERROR(__xludf.DUMMYFUNCTION("""COMPUTED_VALUE"""),"No")</f>
        <v>No</v>
      </c>
      <c r="AF38" s="3" t="str">
        <f>IFERROR(__xludf.DUMMYFUNCTION("""COMPUTED_VALUE"""),"No")</f>
        <v>No</v>
      </c>
      <c r="AG38" s="3" t="str">
        <f>IFERROR(__xludf.DUMMYFUNCTION("""COMPUTED_VALUE"""),"No")</f>
        <v>No</v>
      </c>
      <c r="AH38" s="3"/>
      <c r="AI38" s="3">
        <f>IFERROR(__xludf.DUMMYFUNCTION("""COMPUTED_VALUE"""),0.0)</f>
        <v>0</v>
      </c>
      <c r="AJ38" s="3">
        <f>IFERROR(__xludf.DUMMYFUNCTION("""COMPUTED_VALUE"""),0.0)</f>
        <v>0</v>
      </c>
      <c r="AK38" s="3">
        <f>IFERROR(__xludf.DUMMYFUNCTION("""COMPUTED_VALUE"""),0.0)</f>
        <v>0</v>
      </c>
      <c r="AL38" s="3">
        <f>IFERROR(__xludf.DUMMYFUNCTION("""COMPUTED_VALUE"""),1.0)</f>
        <v>1</v>
      </c>
      <c r="AM38" s="3" t="str">
        <f>IFERROR(__xludf.DUMMYFUNCTION("""COMPUTED_VALUE"""),"No")</f>
        <v>No</v>
      </c>
      <c r="AN38" s="3"/>
      <c r="AO38" s="3"/>
      <c r="AP38" s="3">
        <f>IFERROR(__xludf.DUMMYFUNCTION("""COMPUTED_VALUE"""),4.87711757E8)</f>
        <v>487711757</v>
      </c>
      <c r="AQ38" s="3" t="str">
        <f>IFERROR(__xludf.DUMMYFUNCTION("""COMPUTED_VALUE"""),"91a575f1-5284-4a10-a0bf-fb704258638d")</f>
        <v>91a575f1-5284-4a10-a0bf-fb704258638d</v>
      </c>
      <c r="AR38" s="3">
        <f>IFERROR(__xludf.DUMMYFUNCTION("""COMPUTED_VALUE"""),45805.383993055555)</f>
        <v>45805.38399</v>
      </c>
      <c r="AS38" s="3"/>
      <c r="AT38" s="3"/>
      <c r="AU38" s="3" t="str">
        <f>IFERROR(__xludf.DUMMYFUNCTION("""COMPUTED_VALUE"""),"submitted_via_web")</f>
        <v>submitted_via_web</v>
      </c>
      <c r="AV38" s="3"/>
      <c r="AW38" s="3" t="str">
        <f>IFERROR(__xludf.DUMMYFUNCTION("""COMPUTED_VALUE"""),"vL333fTXttq2bepEBmPumB")</f>
        <v>vL333fTXttq2bepEBmPumB</v>
      </c>
      <c r="AX38" s="3"/>
      <c r="AY38" s="3">
        <f>IFERROR(__xludf.DUMMYFUNCTION("""COMPUTED_VALUE"""),37.0)</f>
        <v>37</v>
      </c>
    </row>
    <row r="39">
      <c r="A39" s="3" t="str">
        <f>IFERROR(__xludf.DUMMYFUNCTION("""COMPUTED_VALUE"""),"Yes")</f>
        <v>Yes</v>
      </c>
      <c r="B39" s="3"/>
      <c r="C39" s="3" t="str">
        <f>IFERROR(__xludf.DUMMYFUNCTION("""COMPUTED_VALUE"""),"eswatini")</f>
        <v>eswatini</v>
      </c>
      <c r="D39" s="3"/>
      <c r="E39" s="3" t="str">
        <f>IFERROR(__xludf.DUMMYFUNCTION("""COMPUTED_VALUE"""),"south_africa")</f>
        <v>south_africa</v>
      </c>
      <c r="F39" s="3" t="str">
        <f>IFERROR(__xludf.DUMMYFUNCTION("""COMPUTED_VALUE"""),"City of Johannesburg Metropolitan Municipality")</f>
        <v>City of Johannesburg Metropolitan Municipality</v>
      </c>
      <c r="G39" s="3">
        <f>IFERROR(__xludf.DUMMYFUNCTION("""COMPUTED_VALUE"""),44.0)</f>
        <v>44</v>
      </c>
      <c r="H39" s="3" t="str">
        <f>IFERROR(__xludf.DUMMYFUNCTION("""COMPUTED_VALUE"""),"male")</f>
        <v>male</v>
      </c>
      <c r="I39" s="3" t="str">
        <f>IFERROR(__xludf.DUMMYFUNCTION("""COMPUTED_VALUE"""),"over5")</f>
        <v>over5</v>
      </c>
      <c r="J39" s="3" t="str">
        <f>IFERROR(__xludf.DUMMYFUNCTION("""COMPUTED_VALUE"""),"ownbusiness")</f>
        <v>ownbusiness</v>
      </c>
      <c r="K39" s="3" t="str">
        <f>IFERROR(__xludf.DUMMYFUNCTION("""COMPUTED_VALUE"""),"tertiary")</f>
        <v>tertiary</v>
      </c>
      <c r="L39" s="3"/>
      <c r="M39" s="3" t="str">
        <f>IFERROR(__xludf.DUMMYFUNCTION("""COMPUTED_VALUE"""),"agree")</f>
        <v>agree</v>
      </c>
      <c r="N39" s="3" t="str">
        <f>IFERROR(__xludf.DUMMYFUNCTION("""COMPUTED_VALUE"""),"agree")</f>
        <v>agree</v>
      </c>
      <c r="O39" s="3" t="str">
        <f>IFERROR(__xludf.DUMMYFUNCTION("""COMPUTED_VALUE"""),"disagree")</f>
        <v>disagree</v>
      </c>
      <c r="P39" s="3"/>
      <c r="Q39" s="3" t="str">
        <f>IFERROR(__xludf.DUMMYFUNCTION("""COMPUTED_VALUE"""),"agree")</f>
        <v>agree</v>
      </c>
      <c r="R39" s="3" t="str">
        <f>IFERROR(__xludf.DUMMYFUNCTION("""COMPUTED_VALUE"""),"dontknow")</f>
        <v>dontknow</v>
      </c>
      <c r="S39" s="3" t="str">
        <f>IFERROR(__xludf.DUMMYFUNCTION("""COMPUTED_VALUE"""),"disagree")</f>
        <v>disagree</v>
      </c>
      <c r="T39" s="3" t="str">
        <f>IFERROR(__xludf.DUMMYFUNCTION("""COMPUTED_VALUE"""),"disagree")</f>
        <v>disagree</v>
      </c>
      <c r="U39" s="3" t="str">
        <f>IFERROR(__xludf.DUMMYFUNCTION("""COMPUTED_VALUE"""),"disagree")</f>
        <v>disagree</v>
      </c>
      <c r="V39" s="3" t="str">
        <f>IFERROR(__xludf.DUMMYFUNCTION("""COMPUTED_VALUE"""),"agree")</f>
        <v>agree</v>
      </c>
      <c r="W39" s="3" t="str">
        <f>IFERROR(__xludf.DUMMYFUNCTION("""COMPUTED_VALUE"""),"disagree")</f>
        <v>disagree</v>
      </c>
      <c r="X39" s="3" t="str">
        <f>IFERROR(__xludf.DUMMYFUNCTION("""COMPUTED_VALUE"""),"Platinum")</f>
        <v>Platinum</v>
      </c>
      <c r="Y39" s="3" t="str">
        <f>IFERROR(__xludf.DUMMYFUNCTION("""COMPUTED_VALUE"""),"cash")</f>
        <v>cash</v>
      </c>
      <c r="Z39" s="3" t="str">
        <f>IFERROR(__xludf.DUMMYFUNCTION("""COMPUTED_VALUE"""),"once")</f>
        <v>once</v>
      </c>
      <c r="AA39" s="3">
        <f>IFERROR(__xludf.DUMMYFUNCTION("""COMPUTED_VALUE"""),100.0)</f>
        <v>100</v>
      </c>
      <c r="AB39" s="3" t="str">
        <f>IFERROR(__xludf.DUMMYFUNCTION("""COMPUTED_VALUE"""),"assisted")</f>
        <v>assisted</v>
      </c>
      <c r="AC39" s="3" t="str">
        <f>IFERROR(__xludf.DUMMYFUNCTION("""COMPUTED_VALUE"""),"Yes")</f>
        <v>Yes</v>
      </c>
      <c r="AD39" s="3" t="str">
        <f>IFERROR(__xludf.DUMMYFUNCTION("""COMPUTED_VALUE"""),"Silver")</f>
        <v>Silver</v>
      </c>
      <c r="AE39" s="3" t="str">
        <f>IFERROR(__xludf.DUMMYFUNCTION("""COMPUTED_VALUE"""),"Yes")</f>
        <v>Yes</v>
      </c>
      <c r="AF39" s="3" t="str">
        <f>IFERROR(__xludf.DUMMYFUNCTION("""COMPUTED_VALUE"""),"Yes")</f>
        <v>Yes</v>
      </c>
      <c r="AG39" s="3" t="str">
        <f>IFERROR(__xludf.DUMMYFUNCTION("""COMPUTED_VALUE"""),"No")</f>
        <v>No</v>
      </c>
      <c r="AH39" s="3"/>
      <c r="AI39" s="3">
        <f>IFERROR(__xludf.DUMMYFUNCTION("""COMPUTED_VALUE"""),0.0)</f>
        <v>0</v>
      </c>
      <c r="AJ39" s="3">
        <f>IFERROR(__xludf.DUMMYFUNCTION("""COMPUTED_VALUE"""),0.0)</f>
        <v>0</v>
      </c>
      <c r="AK39" s="3">
        <f>IFERROR(__xludf.DUMMYFUNCTION("""COMPUTED_VALUE"""),1.0)</f>
        <v>1</v>
      </c>
      <c r="AL39" s="3">
        <f>IFERROR(__xludf.DUMMYFUNCTION("""COMPUTED_VALUE"""),0.0)</f>
        <v>0</v>
      </c>
      <c r="AM39" s="3" t="str">
        <f>IFERROR(__xludf.DUMMYFUNCTION("""COMPUTED_VALUE"""),"Yes")</f>
        <v>Yes</v>
      </c>
      <c r="AN39" s="3">
        <f>IFERROR(__xludf.DUMMYFUNCTION("""COMPUTED_VALUE"""),7.24087235E8)</f>
        <v>724087235</v>
      </c>
      <c r="AO39" s="3"/>
      <c r="AP39" s="3">
        <f>IFERROR(__xludf.DUMMYFUNCTION("""COMPUTED_VALUE"""),4.87711791E8)</f>
        <v>487711791</v>
      </c>
      <c r="AQ39" s="3" t="str">
        <f>IFERROR(__xludf.DUMMYFUNCTION("""COMPUTED_VALUE"""),"719ec4e4-0cb4-4f89-912f-b3528fcf132c")</f>
        <v>719ec4e4-0cb4-4f89-912f-b3528fcf132c</v>
      </c>
      <c r="AR39" s="3">
        <f>IFERROR(__xludf.DUMMYFUNCTION("""COMPUTED_VALUE"""),45805.3840162037)</f>
        <v>45805.38402</v>
      </c>
      <c r="AS39" s="3"/>
      <c r="AT39" s="3"/>
      <c r="AU39" s="3" t="str">
        <f>IFERROR(__xludf.DUMMYFUNCTION("""COMPUTED_VALUE"""),"submitted_via_web")</f>
        <v>submitted_via_web</v>
      </c>
      <c r="AV39" s="3"/>
      <c r="AW39" s="3" t="str">
        <f>IFERROR(__xludf.DUMMYFUNCTION("""COMPUTED_VALUE"""),"vL333fTXttq2bepEBmPumB")</f>
        <v>vL333fTXttq2bepEBmPumB</v>
      </c>
      <c r="AX39" s="3"/>
      <c r="AY39" s="3">
        <f>IFERROR(__xludf.DUMMYFUNCTION("""COMPUTED_VALUE"""),38.0)</f>
        <v>38</v>
      </c>
    </row>
    <row r="40">
      <c r="A40" s="3" t="str">
        <f>IFERROR(__xludf.DUMMYFUNCTION("""COMPUTED_VALUE"""),"Yes")</f>
        <v>Yes</v>
      </c>
      <c r="B40" s="3"/>
      <c r="C40" s="3" t="str">
        <f>IFERROR(__xludf.DUMMYFUNCTION("""COMPUTED_VALUE"""),"zimbabwe")</f>
        <v>zimbabwe</v>
      </c>
      <c r="D40" s="3"/>
      <c r="E40" s="3" t="str">
        <f>IFERROR(__xludf.DUMMYFUNCTION("""COMPUTED_VALUE"""),"south_africa")</f>
        <v>south_africa</v>
      </c>
      <c r="F40" s="3" t="str">
        <f>IFERROR(__xludf.DUMMYFUNCTION("""COMPUTED_VALUE"""),"Capetown")</f>
        <v>Capetown</v>
      </c>
      <c r="G40" s="3">
        <f>IFERROR(__xludf.DUMMYFUNCTION("""COMPUTED_VALUE"""),43.0)</f>
        <v>43</v>
      </c>
      <c r="H40" s="3" t="str">
        <f>IFERROR(__xludf.DUMMYFUNCTION("""COMPUTED_VALUE"""),"male")</f>
        <v>male</v>
      </c>
      <c r="I40" s="3" t="str">
        <f>IFERROR(__xludf.DUMMYFUNCTION("""COMPUTED_VALUE"""),"over5")</f>
        <v>over5</v>
      </c>
      <c r="J40" s="3" t="str">
        <f>IFERROR(__xludf.DUMMYFUNCTION("""COMPUTED_VALUE"""),"formal")</f>
        <v>formal</v>
      </c>
      <c r="K40" s="3" t="str">
        <f>IFERROR(__xludf.DUMMYFUNCTION("""COMPUTED_VALUE"""),"tertiary")</f>
        <v>tertiary</v>
      </c>
      <c r="L40" s="3"/>
      <c r="M40" s="3" t="str">
        <f>IFERROR(__xludf.DUMMYFUNCTION("""COMPUTED_VALUE"""),"agree")</f>
        <v>agree</v>
      </c>
      <c r="N40" s="3" t="str">
        <f>IFERROR(__xludf.DUMMYFUNCTION("""COMPUTED_VALUE"""),"agree")</f>
        <v>agree</v>
      </c>
      <c r="O40" s="3" t="str">
        <f>IFERROR(__xludf.DUMMYFUNCTION("""COMPUTED_VALUE"""),"disagree")</f>
        <v>disagree</v>
      </c>
      <c r="P40" s="3"/>
      <c r="Q40" s="3" t="str">
        <f>IFERROR(__xludf.DUMMYFUNCTION("""COMPUTED_VALUE"""),"agree")</f>
        <v>agree</v>
      </c>
      <c r="R40" s="3" t="str">
        <f>IFERROR(__xludf.DUMMYFUNCTION("""COMPUTED_VALUE"""),"agree")</f>
        <v>agree</v>
      </c>
      <c r="S40" s="3" t="str">
        <f>IFERROR(__xludf.DUMMYFUNCTION("""COMPUTED_VALUE"""),"agree")</f>
        <v>agree</v>
      </c>
      <c r="T40" s="3" t="str">
        <f>IFERROR(__xludf.DUMMYFUNCTION("""COMPUTED_VALUE"""),"agree")</f>
        <v>agree</v>
      </c>
      <c r="U40" s="3" t="str">
        <f>IFERROR(__xludf.DUMMYFUNCTION("""COMPUTED_VALUE"""),"agree")</f>
        <v>agree</v>
      </c>
      <c r="V40" s="3" t="str">
        <f>IFERROR(__xludf.DUMMYFUNCTION("""COMPUTED_VALUE"""),"agree")</f>
        <v>agree</v>
      </c>
      <c r="W40" s="3" t="str">
        <f>IFERROR(__xludf.DUMMYFUNCTION("""COMPUTED_VALUE"""),"disagree")</f>
        <v>disagree</v>
      </c>
      <c r="X40" s="3" t="str">
        <f>IFERROR(__xludf.DUMMYFUNCTION("""COMPUTED_VALUE"""),"Silver")</f>
        <v>Silver</v>
      </c>
      <c r="Y40" s="3" t="str">
        <f>IFERROR(__xludf.DUMMYFUNCTION("""COMPUTED_VALUE"""),"insurance")</f>
        <v>insurance</v>
      </c>
      <c r="Z40" s="3" t="str">
        <f>IFERROR(__xludf.DUMMYFUNCTION("""COMPUTED_VALUE"""),"monthly")</f>
        <v>monthly</v>
      </c>
      <c r="AA40" s="3">
        <f>IFERROR(__xludf.DUMMYFUNCTION("""COMPUTED_VALUE"""),30.0)</f>
        <v>30</v>
      </c>
      <c r="AB40" s="3" t="str">
        <f>IFERROR(__xludf.DUMMYFUNCTION("""COMPUTED_VALUE"""),"online")</f>
        <v>online</v>
      </c>
      <c r="AC40" s="3" t="str">
        <f>IFERROR(__xludf.DUMMYFUNCTION("""COMPUTED_VALUE"""),"I am not an employer")</f>
        <v>I am not an employer</v>
      </c>
      <c r="AD40" s="3"/>
      <c r="AE40" s="3"/>
      <c r="AF40" s="3" t="str">
        <f>IFERROR(__xludf.DUMMYFUNCTION("""COMPUTED_VALUE"""),"Yes")</f>
        <v>Yes</v>
      </c>
      <c r="AG40" s="3" t="str">
        <f>IFERROR(__xludf.DUMMYFUNCTION("""COMPUTED_VALUE"""),"No")</f>
        <v>No</v>
      </c>
      <c r="AH40" s="3"/>
      <c r="AI40" s="3">
        <f>IFERROR(__xludf.DUMMYFUNCTION("""COMPUTED_VALUE"""),0.0)</f>
        <v>0</v>
      </c>
      <c r="AJ40" s="3">
        <f>IFERROR(__xludf.DUMMYFUNCTION("""COMPUTED_VALUE"""),0.0)</f>
        <v>0</v>
      </c>
      <c r="AK40" s="3">
        <f>IFERROR(__xludf.DUMMYFUNCTION("""COMPUTED_VALUE"""),0.0)</f>
        <v>0</v>
      </c>
      <c r="AL40" s="3">
        <f>IFERROR(__xludf.DUMMYFUNCTION("""COMPUTED_VALUE"""),1.0)</f>
        <v>1</v>
      </c>
      <c r="AM40" s="3" t="str">
        <f>IFERROR(__xludf.DUMMYFUNCTION("""COMPUTED_VALUE"""),"No")</f>
        <v>No</v>
      </c>
      <c r="AN40" s="3"/>
      <c r="AO40" s="3"/>
      <c r="AP40" s="3">
        <f>IFERROR(__xludf.DUMMYFUNCTION("""COMPUTED_VALUE"""),4.8771705E8)</f>
        <v>487717050</v>
      </c>
      <c r="AQ40" s="3" t="str">
        <f>IFERROR(__xludf.DUMMYFUNCTION("""COMPUTED_VALUE"""),"3bafe0f8-0ac4-492f-a737-3006f12b4b72")</f>
        <v>3bafe0f8-0ac4-492f-a737-3006f12b4b72</v>
      </c>
      <c r="AR40" s="3">
        <f>IFERROR(__xludf.DUMMYFUNCTION("""COMPUTED_VALUE"""),45805.3884837963)</f>
        <v>45805.38848</v>
      </c>
      <c r="AS40" s="3"/>
      <c r="AT40" s="3"/>
      <c r="AU40" s="3" t="str">
        <f>IFERROR(__xludf.DUMMYFUNCTION("""COMPUTED_VALUE"""),"submitted_via_web")</f>
        <v>submitted_via_web</v>
      </c>
      <c r="AV40" s="3"/>
      <c r="AW40" s="3" t="str">
        <f>IFERROR(__xludf.DUMMYFUNCTION("""COMPUTED_VALUE"""),"vL333fTXttq2bepEBmPumB")</f>
        <v>vL333fTXttq2bepEBmPumB</v>
      </c>
      <c r="AX40" s="3"/>
      <c r="AY40" s="3">
        <f>IFERROR(__xludf.DUMMYFUNCTION("""COMPUTED_VALUE"""),39.0)</f>
        <v>39</v>
      </c>
    </row>
    <row r="41">
      <c r="A41" s="3" t="str">
        <f>IFERROR(__xludf.DUMMYFUNCTION("""COMPUTED_VALUE"""),"Yes")</f>
        <v>Yes</v>
      </c>
      <c r="B41" s="3"/>
      <c r="C41" s="3" t="str">
        <f>IFERROR(__xludf.DUMMYFUNCTION("""COMPUTED_VALUE"""),"south_africa")</f>
        <v>south_africa</v>
      </c>
      <c r="D41" s="3"/>
      <c r="E41" s="3" t="str">
        <f>IFERROR(__xludf.DUMMYFUNCTION("""COMPUTED_VALUE"""),"south_africa")</f>
        <v>south_africa</v>
      </c>
      <c r="F41" s="3" t="str">
        <f>IFERROR(__xludf.DUMMYFUNCTION("""COMPUTED_VALUE"""),"City of Johannesburg Metropolitan Municipality")</f>
        <v>City of Johannesburg Metropolitan Municipality</v>
      </c>
      <c r="G41" s="3">
        <f>IFERROR(__xludf.DUMMYFUNCTION("""COMPUTED_VALUE"""),39.0)</f>
        <v>39</v>
      </c>
      <c r="H41" s="3" t="str">
        <f>IFERROR(__xludf.DUMMYFUNCTION("""COMPUTED_VALUE"""),"male")</f>
        <v>male</v>
      </c>
      <c r="I41" s="3" t="str">
        <f>IFERROR(__xludf.DUMMYFUNCTION("""COMPUTED_VALUE"""),"citizen")</f>
        <v>citizen</v>
      </c>
      <c r="J41" s="3" t="str">
        <f>IFERROR(__xludf.DUMMYFUNCTION("""COMPUTED_VALUE"""),"unemployed")</f>
        <v>unemployed</v>
      </c>
      <c r="K41" s="3" t="str">
        <f>IFERROR(__xludf.DUMMYFUNCTION("""COMPUTED_VALUE"""),"tertiary")</f>
        <v>tertiary</v>
      </c>
      <c r="L41" s="3"/>
      <c r="M41" s="3" t="str">
        <f>IFERROR(__xludf.DUMMYFUNCTION("""COMPUTED_VALUE"""),"agree")</f>
        <v>agree</v>
      </c>
      <c r="N41" s="3" t="str">
        <f>IFERROR(__xludf.DUMMYFUNCTION("""COMPUTED_VALUE"""),"agree")</f>
        <v>agree</v>
      </c>
      <c r="O41" s="3" t="str">
        <f>IFERROR(__xludf.DUMMYFUNCTION("""COMPUTED_VALUE"""),"agree")</f>
        <v>agree</v>
      </c>
      <c r="P41" s="3"/>
      <c r="Q41" s="3" t="str">
        <f>IFERROR(__xludf.DUMMYFUNCTION("""COMPUTED_VALUE"""),"agree")</f>
        <v>agree</v>
      </c>
      <c r="R41" s="3" t="str">
        <f>IFERROR(__xludf.DUMMYFUNCTION("""COMPUTED_VALUE"""),"agree")</f>
        <v>agree</v>
      </c>
      <c r="S41" s="3" t="str">
        <f>IFERROR(__xludf.DUMMYFUNCTION("""COMPUTED_VALUE"""),"disagree")</f>
        <v>disagree</v>
      </c>
      <c r="T41" s="3" t="str">
        <f>IFERROR(__xludf.DUMMYFUNCTION("""COMPUTED_VALUE"""),"disagree")</f>
        <v>disagree</v>
      </c>
      <c r="U41" s="3" t="str">
        <f>IFERROR(__xludf.DUMMYFUNCTION("""COMPUTED_VALUE"""),"agree")</f>
        <v>agree</v>
      </c>
      <c r="V41" s="3" t="str">
        <f>IFERROR(__xludf.DUMMYFUNCTION("""COMPUTED_VALUE"""),"disagree")</f>
        <v>disagree</v>
      </c>
      <c r="W41" s="3" t="str">
        <f>IFERROR(__xludf.DUMMYFUNCTION("""COMPUTED_VALUE"""),"disagree")</f>
        <v>disagree</v>
      </c>
      <c r="X41" s="3" t="str">
        <f>IFERROR(__xludf.DUMMYFUNCTION("""COMPUTED_VALUE"""),"Gold")</f>
        <v>Gold</v>
      </c>
      <c r="Y41" s="3" t="str">
        <f>IFERROR(__xludf.DUMMYFUNCTION("""COMPUTED_VALUE"""),"card")</f>
        <v>card</v>
      </c>
      <c r="Z41" s="3" t="str">
        <f>IFERROR(__xludf.DUMMYFUNCTION("""COMPUTED_VALUE"""),"once")</f>
        <v>once</v>
      </c>
      <c r="AA41" s="3">
        <f>IFERROR(__xludf.DUMMYFUNCTION("""COMPUTED_VALUE"""),100.0)</f>
        <v>100</v>
      </c>
      <c r="AB41" s="3" t="str">
        <f>IFERROR(__xludf.DUMMYFUNCTION("""COMPUTED_VALUE"""),"assisted")</f>
        <v>assisted</v>
      </c>
      <c r="AC41" s="3" t="str">
        <f>IFERROR(__xludf.DUMMYFUNCTION("""COMPUTED_VALUE"""),"No")</f>
        <v>No</v>
      </c>
      <c r="AD41" s="3"/>
      <c r="AE41" s="3"/>
      <c r="AF41" s="3" t="str">
        <f>IFERROR(__xludf.DUMMYFUNCTION("""COMPUTED_VALUE"""),"Yes")</f>
        <v>Yes</v>
      </c>
      <c r="AG41" s="3" t="str">
        <f>IFERROR(__xludf.DUMMYFUNCTION("""COMPUTED_VALUE"""),"No")</f>
        <v>No</v>
      </c>
      <c r="AH41" s="3"/>
      <c r="AI41" s="3">
        <f>IFERROR(__xludf.DUMMYFUNCTION("""COMPUTED_VALUE"""),0.0)</f>
        <v>0</v>
      </c>
      <c r="AJ41" s="3">
        <f>IFERROR(__xludf.DUMMYFUNCTION("""COMPUTED_VALUE"""),1.0)</f>
        <v>1</v>
      </c>
      <c r="AK41" s="3">
        <f>IFERROR(__xludf.DUMMYFUNCTION("""COMPUTED_VALUE"""),0.0)</f>
        <v>0</v>
      </c>
      <c r="AL41" s="3">
        <f>IFERROR(__xludf.DUMMYFUNCTION("""COMPUTED_VALUE"""),0.0)</f>
        <v>0</v>
      </c>
      <c r="AM41" s="3" t="str">
        <f>IFERROR(__xludf.DUMMYFUNCTION("""COMPUTED_VALUE"""),"Yes")</f>
        <v>Yes</v>
      </c>
      <c r="AN41" s="3"/>
      <c r="AO41" s="3"/>
      <c r="AP41" s="3">
        <f>IFERROR(__xludf.DUMMYFUNCTION("""COMPUTED_VALUE"""),4.87749469E8)</f>
        <v>487749469</v>
      </c>
      <c r="AQ41" s="3" t="str">
        <f>IFERROR(__xludf.DUMMYFUNCTION("""COMPUTED_VALUE"""),"55acc006-035d-4e57-b947-d1a57b1afd5b")</f>
        <v>55acc006-035d-4e57-b947-d1a57b1afd5b</v>
      </c>
      <c r="AR41" s="3">
        <f>IFERROR(__xludf.DUMMYFUNCTION("""COMPUTED_VALUE"""),45805.421898148146)</f>
        <v>45805.4219</v>
      </c>
      <c r="AS41" s="3"/>
      <c r="AT41" s="3"/>
      <c r="AU41" s="3" t="str">
        <f>IFERROR(__xludf.DUMMYFUNCTION("""COMPUTED_VALUE"""),"submitted_via_web")</f>
        <v>submitted_via_web</v>
      </c>
      <c r="AV41" s="3"/>
      <c r="AW41" s="3" t="str">
        <f>IFERROR(__xludf.DUMMYFUNCTION("""COMPUTED_VALUE"""),"vL333fTXttq2bepEBmPumB")</f>
        <v>vL333fTXttq2bepEBmPumB</v>
      </c>
      <c r="AX41" s="3"/>
      <c r="AY41" s="3">
        <f>IFERROR(__xludf.DUMMYFUNCTION("""COMPUTED_VALUE"""),40.0)</f>
        <v>40</v>
      </c>
    </row>
    <row r="42">
      <c r="A42" s="3" t="str">
        <f>IFERROR(__xludf.DUMMYFUNCTION("""COMPUTED_VALUE"""),"Yes")</f>
        <v>Yes</v>
      </c>
      <c r="B42" s="3"/>
      <c r="C42" s="3" t="str">
        <f>IFERROR(__xludf.DUMMYFUNCTION("""COMPUTED_VALUE"""),"zimbabwe")</f>
        <v>zimbabwe</v>
      </c>
      <c r="D42" s="3"/>
      <c r="E42" s="3" t="str">
        <f>IFERROR(__xludf.DUMMYFUNCTION("""COMPUTED_VALUE"""),"south_africa")</f>
        <v>south_africa</v>
      </c>
      <c r="F42" s="3" t="str">
        <f>IFERROR(__xludf.DUMMYFUNCTION("""COMPUTED_VALUE"""),"City of Ekurhuleni Metropolitan Municipality")</f>
        <v>City of Ekurhuleni Metropolitan Municipality</v>
      </c>
      <c r="G42" s="3">
        <f>IFERROR(__xludf.DUMMYFUNCTION("""COMPUTED_VALUE"""),42.0)</f>
        <v>42</v>
      </c>
      <c r="H42" s="3" t="str">
        <f>IFERROR(__xludf.DUMMYFUNCTION("""COMPUTED_VALUE"""),"female")</f>
        <v>female</v>
      </c>
      <c r="I42" s="3" t="str">
        <f>IFERROR(__xludf.DUMMYFUNCTION("""COMPUTED_VALUE"""),"over5")</f>
        <v>over5</v>
      </c>
      <c r="J42" s="3" t="str">
        <f>IFERROR(__xludf.DUMMYFUNCTION("""COMPUTED_VALUE"""),"unemployed")</f>
        <v>unemployed</v>
      </c>
      <c r="K42" s="3" t="str">
        <f>IFERROR(__xludf.DUMMYFUNCTION("""COMPUTED_VALUE"""),"tertiary")</f>
        <v>tertiary</v>
      </c>
      <c r="L42" s="3"/>
      <c r="M42" s="3" t="str">
        <f>IFERROR(__xludf.DUMMYFUNCTION("""COMPUTED_VALUE"""),"agree")</f>
        <v>agree</v>
      </c>
      <c r="N42" s="3" t="str">
        <f>IFERROR(__xludf.DUMMYFUNCTION("""COMPUTED_VALUE"""),"agree")</f>
        <v>agree</v>
      </c>
      <c r="O42" s="3" t="str">
        <f>IFERROR(__xludf.DUMMYFUNCTION("""COMPUTED_VALUE"""),"disagree")</f>
        <v>disagree</v>
      </c>
      <c r="P42" s="3"/>
      <c r="Q42" s="3" t="str">
        <f>IFERROR(__xludf.DUMMYFUNCTION("""COMPUTED_VALUE"""),"disagree")</f>
        <v>disagree</v>
      </c>
      <c r="R42" s="3" t="str">
        <f>IFERROR(__xludf.DUMMYFUNCTION("""COMPUTED_VALUE"""),"disagree")</f>
        <v>disagree</v>
      </c>
      <c r="S42" s="3" t="str">
        <f>IFERROR(__xludf.DUMMYFUNCTION("""COMPUTED_VALUE"""),"dontknow")</f>
        <v>dontknow</v>
      </c>
      <c r="T42" s="3" t="str">
        <f>IFERROR(__xludf.DUMMYFUNCTION("""COMPUTED_VALUE"""),"disagree")</f>
        <v>disagree</v>
      </c>
      <c r="U42" s="3" t="str">
        <f>IFERROR(__xludf.DUMMYFUNCTION("""COMPUTED_VALUE"""),"agree")</f>
        <v>agree</v>
      </c>
      <c r="V42" s="3" t="str">
        <f>IFERROR(__xludf.DUMMYFUNCTION("""COMPUTED_VALUE"""),"agree")</f>
        <v>agree</v>
      </c>
      <c r="W42" s="3" t="str">
        <f>IFERROR(__xludf.DUMMYFUNCTION("""COMPUTED_VALUE"""),"disagree")</f>
        <v>disagree</v>
      </c>
      <c r="X42" s="3" t="str">
        <f>IFERROR(__xludf.DUMMYFUNCTION("""COMPUTED_VALUE"""),"Silver")</f>
        <v>Silver</v>
      </c>
      <c r="Y42" s="3" t="str">
        <f>IFERROR(__xludf.DUMMYFUNCTION("""COMPUTED_VALUE"""),"card")</f>
        <v>card</v>
      </c>
      <c r="Z42" s="3" t="str">
        <f>IFERROR(__xludf.DUMMYFUNCTION("""COMPUTED_VALUE"""),"monthly")</f>
        <v>monthly</v>
      </c>
      <c r="AA42" s="3">
        <f>IFERROR(__xludf.DUMMYFUNCTION("""COMPUTED_VALUE"""),100.0)</f>
        <v>100</v>
      </c>
      <c r="AB42" s="3" t="str">
        <f>IFERROR(__xludf.DUMMYFUNCTION("""COMPUTED_VALUE"""),"online")</f>
        <v>online</v>
      </c>
      <c r="AC42" s="3" t="str">
        <f>IFERROR(__xludf.DUMMYFUNCTION("""COMPUTED_VALUE"""),"I am not an employer")</f>
        <v>I am not an employer</v>
      </c>
      <c r="AD42" s="3"/>
      <c r="AE42" s="3"/>
      <c r="AF42" s="3" t="str">
        <f>IFERROR(__xludf.DUMMYFUNCTION("""COMPUTED_VALUE"""),"Yes")</f>
        <v>Yes</v>
      </c>
      <c r="AG42" s="3" t="str">
        <f>IFERROR(__xludf.DUMMYFUNCTION("""COMPUTED_VALUE"""),"Yes")</f>
        <v>Yes</v>
      </c>
      <c r="AH42" s="3">
        <f>IFERROR(__xludf.DUMMYFUNCTION("""COMPUTED_VALUE"""),50.0)</f>
        <v>50</v>
      </c>
      <c r="AI42" s="3">
        <f>IFERROR(__xludf.DUMMYFUNCTION("""COMPUTED_VALUE"""),1.0)</f>
        <v>1</v>
      </c>
      <c r="AJ42" s="3">
        <f>IFERROR(__xludf.DUMMYFUNCTION("""COMPUTED_VALUE"""),0.0)</f>
        <v>0</v>
      </c>
      <c r="AK42" s="3">
        <f>IFERROR(__xludf.DUMMYFUNCTION("""COMPUTED_VALUE"""),1.0)</f>
        <v>1</v>
      </c>
      <c r="AL42" s="3">
        <f>IFERROR(__xludf.DUMMYFUNCTION("""COMPUTED_VALUE"""),0.0)</f>
        <v>0</v>
      </c>
      <c r="AM42" s="3" t="str">
        <f>IFERROR(__xludf.DUMMYFUNCTION("""COMPUTED_VALUE"""),"No")</f>
        <v>No</v>
      </c>
      <c r="AN42" s="3"/>
      <c r="AO42" s="3"/>
      <c r="AP42" s="3">
        <f>IFERROR(__xludf.DUMMYFUNCTION("""COMPUTED_VALUE"""),4.87750454E8)</f>
        <v>487750454</v>
      </c>
      <c r="AQ42" s="3" t="str">
        <f>IFERROR(__xludf.DUMMYFUNCTION("""COMPUTED_VALUE"""),"40e39bda-cbf6-4d32-90e3-e4c5dcc8dafc")</f>
        <v>40e39bda-cbf6-4d32-90e3-e4c5dcc8dafc</v>
      </c>
      <c r="AR42" s="3">
        <f>IFERROR(__xludf.DUMMYFUNCTION("""COMPUTED_VALUE"""),45805.42289351852)</f>
        <v>45805.42289</v>
      </c>
      <c r="AS42" s="3"/>
      <c r="AT42" s="3"/>
      <c r="AU42" s="3" t="str">
        <f>IFERROR(__xludf.DUMMYFUNCTION("""COMPUTED_VALUE"""),"submitted_via_web")</f>
        <v>submitted_via_web</v>
      </c>
      <c r="AV42" s="3"/>
      <c r="AW42" s="3" t="str">
        <f>IFERROR(__xludf.DUMMYFUNCTION("""COMPUTED_VALUE"""),"vL333fTXttq2bepEBmPumB")</f>
        <v>vL333fTXttq2bepEBmPumB</v>
      </c>
      <c r="AX42" s="3"/>
      <c r="AY42" s="3">
        <f>IFERROR(__xludf.DUMMYFUNCTION("""COMPUTED_VALUE"""),41.0)</f>
        <v>41</v>
      </c>
    </row>
    <row r="43">
      <c r="A43" s="3" t="str">
        <f>IFERROR(__xludf.DUMMYFUNCTION("""COMPUTED_VALUE"""),"Yes")</f>
        <v>Yes</v>
      </c>
      <c r="B43" s="3"/>
      <c r="C43" s="3" t="str">
        <f>IFERROR(__xludf.DUMMYFUNCTION("""COMPUTED_VALUE"""),"south_africa")</f>
        <v>south_africa</v>
      </c>
      <c r="D43" s="3"/>
      <c r="E43" s="3" t="str">
        <f>IFERROR(__xludf.DUMMYFUNCTION("""COMPUTED_VALUE"""),"south_africa")</f>
        <v>south_africa</v>
      </c>
      <c r="F43" s="3" t="str">
        <f>IFERROR(__xludf.DUMMYFUNCTION("""COMPUTED_VALUE"""),"City of Tshwane Metropolitan Municipality")</f>
        <v>City of Tshwane Metropolitan Municipality</v>
      </c>
      <c r="G43" s="3">
        <f>IFERROR(__xludf.DUMMYFUNCTION("""COMPUTED_VALUE"""),55.0)</f>
        <v>55</v>
      </c>
      <c r="H43" s="3" t="str">
        <f>IFERROR(__xludf.DUMMYFUNCTION("""COMPUTED_VALUE"""),"female")</f>
        <v>female</v>
      </c>
      <c r="I43" s="3" t="str">
        <f>IFERROR(__xludf.DUMMYFUNCTION("""COMPUTED_VALUE"""),"citizen")</f>
        <v>citizen</v>
      </c>
      <c r="J43" s="3" t="str">
        <f>IFERROR(__xludf.DUMMYFUNCTION("""COMPUTED_VALUE"""),"unemployed")</f>
        <v>unemployed</v>
      </c>
      <c r="K43" s="3" t="str">
        <f>IFERROR(__xludf.DUMMYFUNCTION("""COMPUTED_VALUE"""),"tertiary")</f>
        <v>tertiary</v>
      </c>
      <c r="L43" s="3"/>
      <c r="M43" s="3" t="str">
        <f>IFERROR(__xludf.DUMMYFUNCTION("""COMPUTED_VALUE"""),"agree")</f>
        <v>agree</v>
      </c>
      <c r="N43" s="3" t="str">
        <f>IFERROR(__xludf.DUMMYFUNCTION("""COMPUTED_VALUE"""),"agree")</f>
        <v>agree</v>
      </c>
      <c r="O43" s="3" t="str">
        <f>IFERROR(__xludf.DUMMYFUNCTION("""COMPUTED_VALUE"""),"agree")</f>
        <v>agree</v>
      </c>
      <c r="P43" s="3"/>
      <c r="Q43" s="3" t="str">
        <f>IFERROR(__xludf.DUMMYFUNCTION("""COMPUTED_VALUE"""),"dontknow")</f>
        <v>dontknow</v>
      </c>
      <c r="R43" s="3" t="str">
        <f>IFERROR(__xludf.DUMMYFUNCTION("""COMPUTED_VALUE"""),"agree")</f>
        <v>agree</v>
      </c>
      <c r="S43" s="3" t="str">
        <f>IFERROR(__xludf.DUMMYFUNCTION("""COMPUTED_VALUE"""),"agree")</f>
        <v>agree</v>
      </c>
      <c r="T43" s="3" t="str">
        <f>IFERROR(__xludf.DUMMYFUNCTION("""COMPUTED_VALUE"""),"disagree")</f>
        <v>disagree</v>
      </c>
      <c r="U43" s="3" t="str">
        <f>IFERROR(__xludf.DUMMYFUNCTION("""COMPUTED_VALUE"""),"dontknow")</f>
        <v>dontknow</v>
      </c>
      <c r="V43" s="3" t="str">
        <f>IFERROR(__xludf.DUMMYFUNCTION("""COMPUTED_VALUE"""),"agree")</f>
        <v>agree</v>
      </c>
      <c r="W43" s="3" t="str">
        <f>IFERROR(__xludf.DUMMYFUNCTION("""COMPUTED_VALUE"""),"disagree")</f>
        <v>disagree</v>
      </c>
      <c r="X43" s="3" t="str">
        <f>IFERROR(__xludf.DUMMYFUNCTION("""COMPUTED_VALUE"""),"Silver")</f>
        <v>Silver</v>
      </c>
      <c r="Y43" s="3" t="str">
        <f>IFERROR(__xludf.DUMMYFUNCTION("""COMPUTED_VALUE"""),"card")</f>
        <v>card</v>
      </c>
      <c r="Z43" s="3" t="str">
        <f>IFERROR(__xludf.DUMMYFUNCTION("""COMPUTED_VALUE"""),"monthly")</f>
        <v>monthly</v>
      </c>
      <c r="AA43" s="3">
        <f>IFERROR(__xludf.DUMMYFUNCTION("""COMPUTED_VALUE"""),40.0)</f>
        <v>40</v>
      </c>
      <c r="AB43" s="3" t="str">
        <f>IFERROR(__xludf.DUMMYFUNCTION("""COMPUTED_VALUE"""),"assisted")</f>
        <v>assisted</v>
      </c>
      <c r="AC43" s="3" t="str">
        <f>IFERROR(__xludf.DUMMYFUNCTION("""COMPUTED_VALUE"""),"I am not an employer")</f>
        <v>I am not an employer</v>
      </c>
      <c r="AD43" s="3"/>
      <c r="AE43" s="3"/>
      <c r="AF43" s="3" t="str">
        <f>IFERROR(__xludf.DUMMYFUNCTION("""COMPUTED_VALUE"""),"Yes")</f>
        <v>Yes</v>
      </c>
      <c r="AG43" s="3" t="str">
        <f>IFERROR(__xludf.DUMMYFUNCTION("""COMPUTED_VALUE"""),"No")</f>
        <v>No</v>
      </c>
      <c r="AH43" s="3"/>
      <c r="AI43" s="3">
        <f>IFERROR(__xludf.DUMMYFUNCTION("""COMPUTED_VALUE"""),0.0)</f>
        <v>0</v>
      </c>
      <c r="AJ43" s="3">
        <f>IFERROR(__xludf.DUMMYFUNCTION("""COMPUTED_VALUE"""),0.0)</f>
        <v>0</v>
      </c>
      <c r="AK43" s="3">
        <f>IFERROR(__xludf.DUMMYFUNCTION("""COMPUTED_VALUE"""),0.0)</f>
        <v>0</v>
      </c>
      <c r="AL43" s="3">
        <f>IFERROR(__xludf.DUMMYFUNCTION("""COMPUTED_VALUE"""),1.0)</f>
        <v>1</v>
      </c>
      <c r="AM43" s="3" t="str">
        <f>IFERROR(__xludf.DUMMYFUNCTION("""COMPUTED_VALUE"""),"Yes")</f>
        <v>Yes</v>
      </c>
      <c r="AN43" s="3">
        <f>IFERROR(__xludf.DUMMYFUNCTION("""COMPUTED_VALUE"""),8.27701274E8)</f>
        <v>827701274</v>
      </c>
      <c r="AO43" s="3"/>
      <c r="AP43" s="3">
        <f>IFERROR(__xludf.DUMMYFUNCTION("""COMPUTED_VALUE"""),4.87757298E8)</f>
        <v>487757298</v>
      </c>
      <c r="AQ43" s="3" t="str">
        <f>IFERROR(__xludf.DUMMYFUNCTION("""COMPUTED_VALUE"""),"df59c341-676c-458a-b529-fcbcedaf465b")</f>
        <v>df59c341-676c-458a-b529-fcbcedaf465b</v>
      </c>
      <c r="AR43" s="3">
        <f>IFERROR(__xludf.DUMMYFUNCTION("""COMPUTED_VALUE"""),45805.43035879629)</f>
        <v>45805.43036</v>
      </c>
      <c r="AS43" s="3"/>
      <c r="AT43" s="3"/>
      <c r="AU43" s="3" t="str">
        <f>IFERROR(__xludf.DUMMYFUNCTION("""COMPUTED_VALUE"""),"submitted_via_web")</f>
        <v>submitted_via_web</v>
      </c>
      <c r="AV43" s="3"/>
      <c r="AW43" s="3" t="str">
        <f>IFERROR(__xludf.DUMMYFUNCTION("""COMPUTED_VALUE"""),"vL333fTXttq2bepEBmPumB")</f>
        <v>vL333fTXttq2bepEBmPumB</v>
      </c>
      <c r="AX43" s="3"/>
      <c r="AY43" s="3">
        <f>IFERROR(__xludf.DUMMYFUNCTION("""COMPUTED_VALUE"""),42.0)</f>
        <v>42</v>
      </c>
    </row>
    <row r="44">
      <c r="A44" s="3" t="str">
        <f>IFERROR(__xludf.DUMMYFUNCTION("""COMPUTED_VALUE"""),"Yes")</f>
        <v>Yes</v>
      </c>
      <c r="B44" s="3"/>
      <c r="C44" s="3" t="str">
        <f>IFERROR(__xludf.DUMMYFUNCTION("""COMPUTED_VALUE"""),"zimbabwe")</f>
        <v>zimbabwe</v>
      </c>
      <c r="D44" s="3"/>
      <c r="E44" s="3" t="str">
        <f>IFERROR(__xludf.DUMMYFUNCTION("""COMPUTED_VALUE"""),"south_africa")</f>
        <v>south_africa</v>
      </c>
      <c r="F44" s="3" t="str">
        <f>IFERROR(__xludf.DUMMYFUNCTION("""COMPUTED_VALUE"""),"Capetown")</f>
        <v>Capetown</v>
      </c>
      <c r="G44" s="3">
        <f>IFERROR(__xludf.DUMMYFUNCTION("""COMPUTED_VALUE"""),42.0)</f>
        <v>42</v>
      </c>
      <c r="H44" s="3" t="str">
        <f>IFERROR(__xludf.DUMMYFUNCTION("""COMPUTED_VALUE"""),"male")</f>
        <v>male</v>
      </c>
      <c r="I44" s="3" t="str">
        <f>IFERROR(__xludf.DUMMYFUNCTION("""COMPUTED_VALUE"""),"over5")</f>
        <v>over5</v>
      </c>
      <c r="J44" s="3" t="str">
        <f>IFERROR(__xludf.DUMMYFUNCTION("""COMPUTED_VALUE"""),"formal")</f>
        <v>formal</v>
      </c>
      <c r="K44" s="3" t="str">
        <f>IFERROR(__xludf.DUMMYFUNCTION("""COMPUTED_VALUE"""),"tertiary")</f>
        <v>tertiary</v>
      </c>
      <c r="L44" s="3"/>
      <c r="M44" s="3" t="str">
        <f>IFERROR(__xludf.DUMMYFUNCTION("""COMPUTED_VALUE"""),"disagree")</f>
        <v>disagree</v>
      </c>
      <c r="N44" s="3" t="str">
        <f>IFERROR(__xludf.DUMMYFUNCTION("""COMPUTED_VALUE"""),"disagree")</f>
        <v>disagree</v>
      </c>
      <c r="O44" s="3" t="str">
        <f>IFERROR(__xludf.DUMMYFUNCTION("""COMPUTED_VALUE"""),"disagree")</f>
        <v>disagree</v>
      </c>
      <c r="P44" s="3"/>
      <c r="Q44" s="3" t="str">
        <f>IFERROR(__xludf.DUMMYFUNCTION("""COMPUTED_VALUE"""),"disagree")</f>
        <v>disagree</v>
      </c>
      <c r="R44" s="3" t="str">
        <f>IFERROR(__xludf.DUMMYFUNCTION("""COMPUTED_VALUE"""),"agree")</f>
        <v>agree</v>
      </c>
      <c r="S44" s="3" t="str">
        <f>IFERROR(__xludf.DUMMYFUNCTION("""COMPUTED_VALUE"""),"agree")</f>
        <v>agree</v>
      </c>
      <c r="T44" s="3" t="str">
        <f>IFERROR(__xludf.DUMMYFUNCTION("""COMPUTED_VALUE"""),"disagree")</f>
        <v>disagree</v>
      </c>
      <c r="U44" s="3" t="str">
        <f>IFERROR(__xludf.DUMMYFUNCTION("""COMPUTED_VALUE"""),"agree")</f>
        <v>agree</v>
      </c>
      <c r="V44" s="3" t="str">
        <f>IFERROR(__xludf.DUMMYFUNCTION("""COMPUTED_VALUE"""),"agree")</f>
        <v>agree</v>
      </c>
      <c r="W44" s="3" t="str">
        <f>IFERROR(__xludf.DUMMYFUNCTION("""COMPUTED_VALUE"""),"disagree")</f>
        <v>disagree</v>
      </c>
      <c r="X44" s="3" t="str">
        <f>IFERROR(__xludf.DUMMYFUNCTION("""COMPUTED_VALUE"""),"Gold")</f>
        <v>Gold</v>
      </c>
      <c r="Y44" s="3" t="str">
        <f>IFERROR(__xludf.DUMMYFUNCTION("""COMPUTED_VALUE"""),"card")</f>
        <v>card</v>
      </c>
      <c r="Z44" s="3" t="str">
        <f>IFERROR(__xludf.DUMMYFUNCTION("""COMPUTED_VALUE"""),"once")</f>
        <v>once</v>
      </c>
      <c r="AA44" s="3">
        <f>IFERROR(__xludf.DUMMYFUNCTION("""COMPUTED_VALUE"""),50.0)</f>
        <v>50</v>
      </c>
      <c r="AB44" s="3" t="str">
        <f>IFERROR(__xludf.DUMMYFUNCTION("""COMPUTED_VALUE"""),"online")</f>
        <v>online</v>
      </c>
      <c r="AC44" s="3" t="str">
        <f>IFERROR(__xludf.DUMMYFUNCTION("""COMPUTED_VALUE"""),"I am not an employer")</f>
        <v>I am not an employer</v>
      </c>
      <c r="AD44" s="3"/>
      <c r="AE44" s="3"/>
      <c r="AF44" s="3" t="str">
        <f>IFERROR(__xludf.DUMMYFUNCTION("""COMPUTED_VALUE"""),"Yes")</f>
        <v>Yes</v>
      </c>
      <c r="AG44" s="3" t="str">
        <f>IFERROR(__xludf.DUMMYFUNCTION("""COMPUTED_VALUE"""),"No")</f>
        <v>No</v>
      </c>
      <c r="AH44" s="3"/>
      <c r="AI44" s="3">
        <f>IFERROR(__xludf.DUMMYFUNCTION("""COMPUTED_VALUE"""),1.0)</f>
        <v>1</v>
      </c>
      <c r="AJ44" s="3">
        <f>IFERROR(__xludf.DUMMYFUNCTION("""COMPUTED_VALUE"""),0.0)</f>
        <v>0</v>
      </c>
      <c r="AK44" s="3">
        <f>IFERROR(__xludf.DUMMYFUNCTION("""COMPUTED_VALUE"""),0.0)</f>
        <v>0</v>
      </c>
      <c r="AL44" s="3">
        <f>IFERROR(__xludf.DUMMYFUNCTION("""COMPUTED_VALUE"""),0.0)</f>
        <v>0</v>
      </c>
      <c r="AM44" s="3" t="str">
        <f>IFERROR(__xludf.DUMMYFUNCTION("""COMPUTED_VALUE"""),"No")</f>
        <v>No</v>
      </c>
      <c r="AN44" s="3"/>
      <c r="AO44" s="3"/>
      <c r="AP44" s="3">
        <f>IFERROR(__xludf.DUMMYFUNCTION("""COMPUTED_VALUE"""),4.87766407E8)</f>
        <v>487766407</v>
      </c>
      <c r="AQ44" s="3" t="str">
        <f>IFERROR(__xludf.DUMMYFUNCTION("""COMPUTED_VALUE"""),"fb0f1fe3-0655-462b-8712-f42d7cabe708")</f>
        <v>fb0f1fe3-0655-462b-8712-f42d7cabe708</v>
      </c>
      <c r="AR44" s="3">
        <f>IFERROR(__xludf.DUMMYFUNCTION("""COMPUTED_VALUE"""),45805.43989583333)</f>
        <v>45805.4399</v>
      </c>
      <c r="AS44" s="3"/>
      <c r="AT44" s="3"/>
      <c r="AU44" s="3" t="str">
        <f>IFERROR(__xludf.DUMMYFUNCTION("""COMPUTED_VALUE"""),"submitted_via_web")</f>
        <v>submitted_via_web</v>
      </c>
      <c r="AV44" s="3"/>
      <c r="AW44" s="3" t="str">
        <f>IFERROR(__xludf.DUMMYFUNCTION("""COMPUTED_VALUE"""),"vL333fTXttq2bepEBmPumB")</f>
        <v>vL333fTXttq2bepEBmPumB</v>
      </c>
      <c r="AX44" s="3"/>
      <c r="AY44" s="3">
        <f>IFERROR(__xludf.DUMMYFUNCTION("""COMPUTED_VALUE"""),43.0)</f>
        <v>43</v>
      </c>
    </row>
    <row r="45">
      <c r="A45" s="3" t="str">
        <f>IFERROR(__xludf.DUMMYFUNCTION("""COMPUTED_VALUE"""),"Yes")</f>
        <v>Yes</v>
      </c>
      <c r="B45" s="3"/>
      <c r="C45" s="3" t="str">
        <f>IFERROR(__xludf.DUMMYFUNCTION("""COMPUTED_VALUE"""),"zimbabwe")</f>
        <v>zimbabwe</v>
      </c>
      <c r="D45" s="3"/>
      <c r="E45" s="3" t="str">
        <f>IFERROR(__xludf.DUMMYFUNCTION("""COMPUTED_VALUE"""),"south_africa")</f>
        <v>south_africa</v>
      </c>
      <c r="F45" s="3" t="str">
        <f>IFERROR(__xludf.DUMMYFUNCTION("""COMPUTED_VALUE"""),"eThekwini Metropolitan Municipality")</f>
        <v>eThekwini Metropolitan Municipality</v>
      </c>
      <c r="G45" s="3">
        <f>IFERROR(__xludf.DUMMYFUNCTION("""COMPUTED_VALUE"""),46.0)</f>
        <v>46</v>
      </c>
      <c r="H45" s="3" t="str">
        <f>IFERROR(__xludf.DUMMYFUNCTION("""COMPUTED_VALUE"""),"male")</f>
        <v>male</v>
      </c>
      <c r="I45" s="3" t="str">
        <f>IFERROR(__xludf.DUMMYFUNCTION("""COMPUTED_VALUE"""),"over5")</f>
        <v>over5</v>
      </c>
      <c r="J45" s="3" t="str">
        <f>IFERROR(__xludf.DUMMYFUNCTION("""COMPUTED_VALUE"""),"formal")</f>
        <v>formal</v>
      </c>
      <c r="K45" s="3" t="str">
        <f>IFERROR(__xludf.DUMMYFUNCTION("""COMPUTED_VALUE"""),"tertiary")</f>
        <v>tertiary</v>
      </c>
      <c r="L45" s="3"/>
      <c r="M45" s="3" t="str">
        <f>IFERROR(__xludf.DUMMYFUNCTION("""COMPUTED_VALUE"""),"agree")</f>
        <v>agree</v>
      </c>
      <c r="N45" s="3" t="str">
        <f>IFERROR(__xludf.DUMMYFUNCTION("""COMPUTED_VALUE"""),"agree")</f>
        <v>agree</v>
      </c>
      <c r="O45" s="3" t="str">
        <f>IFERROR(__xludf.DUMMYFUNCTION("""COMPUTED_VALUE"""),"agree")</f>
        <v>agree</v>
      </c>
      <c r="P45" s="3"/>
      <c r="Q45" s="3" t="str">
        <f>IFERROR(__xludf.DUMMYFUNCTION("""COMPUTED_VALUE"""),"disagree")</f>
        <v>disagree</v>
      </c>
      <c r="R45" s="3" t="str">
        <f>IFERROR(__xludf.DUMMYFUNCTION("""COMPUTED_VALUE"""),"agree")</f>
        <v>agree</v>
      </c>
      <c r="S45" s="3" t="str">
        <f>IFERROR(__xludf.DUMMYFUNCTION("""COMPUTED_VALUE"""),"disagree")</f>
        <v>disagree</v>
      </c>
      <c r="T45" s="3" t="str">
        <f>IFERROR(__xludf.DUMMYFUNCTION("""COMPUTED_VALUE"""),"disagree")</f>
        <v>disagree</v>
      </c>
      <c r="U45" s="3" t="str">
        <f>IFERROR(__xludf.DUMMYFUNCTION("""COMPUTED_VALUE"""),"agree")</f>
        <v>agree</v>
      </c>
      <c r="V45" s="3" t="str">
        <f>IFERROR(__xludf.DUMMYFUNCTION("""COMPUTED_VALUE"""),"agree")</f>
        <v>agree</v>
      </c>
      <c r="W45" s="3" t="str">
        <f>IFERROR(__xludf.DUMMYFUNCTION("""COMPUTED_VALUE"""),"disagree")</f>
        <v>disagree</v>
      </c>
      <c r="X45" s="3" t="str">
        <f>IFERROR(__xludf.DUMMYFUNCTION("""COMPUTED_VALUE"""),"Platinum")</f>
        <v>Platinum</v>
      </c>
      <c r="Y45" s="3" t="str">
        <f>IFERROR(__xludf.DUMMYFUNCTION("""COMPUTED_VALUE"""),"insurance")</f>
        <v>insurance</v>
      </c>
      <c r="Z45" s="3" t="str">
        <f>IFERROR(__xludf.DUMMYFUNCTION("""COMPUTED_VALUE"""),"monthly")</f>
        <v>monthly</v>
      </c>
      <c r="AA45" s="3">
        <f>IFERROR(__xludf.DUMMYFUNCTION("""COMPUTED_VALUE"""),100.0)</f>
        <v>100</v>
      </c>
      <c r="AB45" s="3" t="str">
        <f>IFERROR(__xludf.DUMMYFUNCTION("""COMPUTED_VALUE"""),"employer")</f>
        <v>employer</v>
      </c>
      <c r="AC45" s="3" t="str">
        <f>IFERROR(__xludf.DUMMYFUNCTION("""COMPUTED_VALUE"""),"I am not an employer")</f>
        <v>I am not an employer</v>
      </c>
      <c r="AD45" s="3"/>
      <c r="AE45" s="3"/>
      <c r="AF45" s="3" t="str">
        <f>IFERROR(__xludf.DUMMYFUNCTION("""COMPUTED_VALUE"""),"Yes")</f>
        <v>Yes</v>
      </c>
      <c r="AG45" s="3" t="str">
        <f>IFERROR(__xludf.DUMMYFUNCTION("""COMPUTED_VALUE"""),"No")</f>
        <v>No</v>
      </c>
      <c r="AH45" s="3"/>
      <c r="AI45" s="3">
        <f>IFERROR(__xludf.DUMMYFUNCTION("""COMPUTED_VALUE"""),0.0)</f>
        <v>0</v>
      </c>
      <c r="AJ45" s="3">
        <f>IFERROR(__xludf.DUMMYFUNCTION("""COMPUTED_VALUE"""),0.0)</f>
        <v>0</v>
      </c>
      <c r="AK45" s="3">
        <f>IFERROR(__xludf.DUMMYFUNCTION("""COMPUTED_VALUE"""),1.0)</f>
        <v>1</v>
      </c>
      <c r="AL45" s="3">
        <f>IFERROR(__xludf.DUMMYFUNCTION("""COMPUTED_VALUE"""),0.0)</f>
        <v>0</v>
      </c>
      <c r="AM45" s="3" t="str">
        <f>IFERROR(__xludf.DUMMYFUNCTION("""COMPUTED_VALUE"""),"No")</f>
        <v>No</v>
      </c>
      <c r="AN45" s="3"/>
      <c r="AO45" s="3"/>
      <c r="AP45" s="3">
        <f>IFERROR(__xludf.DUMMYFUNCTION("""COMPUTED_VALUE"""),4.87788797E8)</f>
        <v>487788797</v>
      </c>
      <c r="AQ45" s="3" t="str">
        <f>IFERROR(__xludf.DUMMYFUNCTION("""COMPUTED_VALUE"""),"4aeb8f54-2875-4c63-9594-01fe825d3c60")</f>
        <v>4aeb8f54-2875-4c63-9594-01fe825d3c60</v>
      </c>
      <c r="AR45" s="3">
        <f>IFERROR(__xludf.DUMMYFUNCTION("""COMPUTED_VALUE"""),45805.46019675926)</f>
        <v>45805.4602</v>
      </c>
      <c r="AS45" s="3"/>
      <c r="AT45" s="3"/>
      <c r="AU45" s="3" t="str">
        <f>IFERROR(__xludf.DUMMYFUNCTION("""COMPUTED_VALUE"""),"submitted_via_web")</f>
        <v>submitted_via_web</v>
      </c>
      <c r="AV45" s="3"/>
      <c r="AW45" s="3" t="str">
        <f>IFERROR(__xludf.DUMMYFUNCTION("""COMPUTED_VALUE"""),"vL333fTXttq2bepEBmPumB")</f>
        <v>vL333fTXttq2bepEBmPumB</v>
      </c>
      <c r="AX45" s="3"/>
      <c r="AY45" s="3">
        <f>IFERROR(__xludf.DUMMYFUNCTION("""COMPUTED_VALUE"""),44.0)</f>
        <v>44</v>
      </c>
    </row>
    <row r="46">
      <c r="A46" s="3" t="str">
        <f>IFERROR(__xludf.DUMMYFUNCTION("""COMPUTED_VALUE"""),"Yes")</f>
        <v>Yes</v>
      </c>
      <c r="B46" s="3"/>
      <c r="C46" s="3" t="str">
        <f>IFERROR(__xludf.DUMMYFUNCTION("""COMPUTED_VALUE"""),"lesotho")</f>
        <v>lesotho</v>
      </c>
      <c r="D46" s="3"/>
      <c r="E46" s="3" t="str">
        <f>IFERROR(__xludf.DUMMYFUNCTION("""COMPUTED_VALUE"""),"south_africa")</f>
        <v>south_africa</v>
      </c>
      <c r="F46" s="3" t="str">
        <f>IFERROR(__xludf.DUMMYFUNCTION("""COMPUTED_VALUE"""),"City of Tshwane Metropolitan Municipality")</f>
        <v>City of Tshwane Metropolitan Municipality</v>
      </c>
      <c r="G46" s="3">
        <f>IFERROR(__xludf.DUMMYFUNCTION("""COMPUTED_VALUE"""),43.0)</f>
        <v>43</v>
      </c>
      <c r="H46" s="3" t="str">
        <f>IFERROR(__xludf.DUMMYFUNCTION("""COMPUTED_VALUE"""),"male")</f>
        <v>male</v>
      </c>
      <c r="I46" s="3" t="str">
        <f>IFERROR(__xludf.DUMMYFUNCTION("""COMPUTED_VALUE"""),"over5")</f>
        <v>over5</v>
      </c>
      <c r="J46" s="3" t="str">
        <f>IFERROR(__xludf.DUMMYFUNCTION("""COMPUTED_VALUE"""),"unemployed")</f>
        <v>unemployed</v>
      </c>
      <c r="K46" s="3" t="str">
        <f>IFERROR(__xludf.DUMMYFUNCTION("""COMPUTED_VALUE"""),"none")</f>
        <v>none</v>
      </c>
      <c r="L46" s="3"/>
      <c r="M46" s="3" t="str">
        <f>IFERROR(__xludf.DUMMYFUNCTION("""COMPUTED_VALUE"""),"agree")</f>
        <v>agree</v>
      </c>
      <c r="N46" s="3" t="str">
        <f>IFERROR(__xludf.DUMMYFUNCTION("""COMPUTED_VALUE"""),"agree")</f>
        <v>agree</v>
      </c>
      <c r="O46" s="3" t="str">
        <f>IFERROR(__xludf.DUMMYFUNCTION("""COMPUTED_VALUE"""),"agree")</f>
        <v>agree</v>
      </c>
      <c r="P46" s="3"/>
      <c r="Q46" s="3" t="str">
        <f>IFERROR(__xludf.DUMMYFUNCTION("""COMPUTED_VALUE"""),"agree")</f>
        <v>agree</v>
      </c>
      <c r="R46" s="3" t="str">
        <f>IFERROR(__xludf.DUMMYFUNCTION("""COMPUTED_VALUE"""),"agree")</f>
        <v>agree</v>
      </c>
      <c r="S46" s="3" t="str">
        <f>IFERROR(__xludf.DUMMYFUNCTION("""COMPUTED_VALUE"""),"agree")</f>
        <v>agree</v>
      </c>
      <c r="T46" s="3" t="str">
        <f>IFERROR(__xludf.DUMMYFUNCTION("""COMPUTED_VALUE"""),"agree")</f>
        <v>agree</v>
      </c>
      <c r="U46" s="3" t="str">
        <f>IFERROR(__xludf.DUMMYFUNCTION("""COMPUTED_VALUE"""),"agree")</f>
        <v>agree</v>
      </c>
      <c r="V46" s="3" t="str">
        <f>IFERROR(__xludf.DUMMYFUNCTION("""COMPUTED_VALUE"""),"agree")</f>
        <v>agree</v>
      </c>
      <c r="W46" s="3" t="str">
        <f>IFERROR(__xludf.DUMMYFUNCTION("""COMPUTED_VALUE"""),"agree")</f>
        <v>agree</v>
      </c>
      <c r="X46" s="3" t="str">
        <f>IFERROR(__xludf.DUMMYFUNCTION("""COMPUTED_VALUE"""),"Gold")</f>
        <v>Gold</v>
      </c>
      <c r="Y46" s="3" t="str">
        <f>IFERROR(__xludf.DUMMYFUNCTION("""COMPUTED_VALUE"""),"cash")</f>
        <v>cash</v>
      </c>
      <c r="Z46" s="3" t="str">
        <f>IFERROR(__xludf.DUMMYFUNCTION("""COMPUTED_VALUE"""),"monthly")</f>
        <v>monthly</v>
      </c>
      <c r="AA46" s="3">
        <f>IFERROR(__xludf.DUMMYFUNCTION("""COMPUTED_VALUE"""),50.0)</f>
        <v>50</v>
      </c>
      <c r="AB46" s="3" t="str">
        <f>IFERROR(__xludf.DUMMYFUNCTION("""COMPUTED_VALUE"""),"assisted")</f>
        <v>assisted</v>
      </c>
      <c r="AC46" s="3" t="str">
        <f>IFERROR(__xludf.DUMMYFUNCTION("""COMPUTED_VALUE"""),"I am not an employer")</f>
        <v>I am not an employer</v>
      </c>
      <c r="AD46" s="3"/>
      <c r="AE46" s="3"/>
      <c r="AF46" s="3" t="str">
        <f>IFERROR(__xludf.DUMMYFUNCTION("""COMPUTED_VALUE"""),"Yes")</f>
        <v>Yes</v>
      </c>
      <c r="AG46" s="3" t="str">
        <f>IFERROR(__xludf.DUMMYFUNCTION("""COMPUTED_VALUE"""),"Yes")</f>
        <v>Yes</v>
      </c>
      <c r="AH46" s="3">
        <f>IFERROR(__xludf.DUMMYFUNCTION("""COMPUTED_VALUE"""),40.0)</f>
        <v>40</v>
      </c>
      <c r="AI46" s="3">
        <f>IFERROR(__xludf.DUMMYFUNCTION("""COMPUTED_VALUE"""),0.0)</f>
        <v>0</v>
      </c>
      <c r="AJ46" s="3">
        <f>IFERROR(__xludf.DUMMYFUNCTION("""COMPUTED_VALUE"""),0.0)</f>
        <v>0</v>
      </c>
      <c r="AK46" s="3">
        <f>IFERROR(__xludf.DUMMYFUNCTION("""COMPUTED_VALUE"""),0.0)</f>
        <v>0</v>
      </c>
      <c r="AL46" s="3">
        <f>IFERROR(__xludf.DUMMYFUNCTION("""COMPUTED_VALUE"""),1.0)</f>
        <v>1</v>
      </c>
      <c r="AM46" s="3" t="str">
        <f>IFERROR(__xludf.DUMMYFUNCTION("""COMPUTED_VALUE"""),"Yes")</f>
        <v>Yes</v>
      </c>
      <c r="AN46" s="3">
        <f>IFERROR(__xludf.DUMMYFUNCTION("""COMPUTED_VALUE"""),8.39756269E8)</f>
        <v>839756269</v>
      </c>
      <c r="AO46" s="3"/>
      <c r="AP46" s="3">
        <f>IFERROR(__xludf.DUMMYFUNCTION("""COMPUTED_VALUE"""),4.87797842E8)</f>
        <v>487797842</v>
      </c>
      <c r="AQ46" s="3" t="str">
        <f>IFERROR(__xludf.DUMMYFUNCTION("""COMPUTED_VALUE"""),"ded13f09-16f3-48a7-b28a-9f7d5ae4f791")</f>
        <v>ded13f09-16f3-48a7-b28a-9f7d5ae4f791</v>
      </c>
      <c r="AR46" s="3">
        <f>IFERROR(__xludf.DUMMYFUNCTION("""COMPUTED_VALUE"""),45805.46944444445)</f>
        <v>45805.46944</v>
      </c>
      <c r="AS46" s="3"/>
      <c r="AT46" s="3"/>
      <c r="AU46" s="3" t="str">
        <f>IFERROR(__xludf.DUMMYFUNCTION("""COMPUTED_VALUE"""),"submitted_via_web")</f>
        <v>submitted_via_web</v>
      </c>
      <c r="AV46" s="3"/>
      <c r="AW46" s="3" t="str">
        <f>IFERROR(__xludf.DUMMYFUNCTION("""COMPUTED_VALUE"""),"vL333fTXttq2bepEBmPumB")</f>
        <v>vL333fTXttq2bepEBmPumB</v>
      </c>
      <c r="AX46" s="3"/>
      <c r="AY46" s="3">
        <f>IFERROR(__xludf.DUMMYFUNCTION("""COMPUTED_VALUE"""),45.0)</f>
        <v>45</v>
      </c>
    </row>
    <row r="47">
      <c r="A47" s="3" t="str">
        <f>IFERROR(__xludf.DUMMYFUNCTION("""COMPUTED_VALUE"""),"Yes")</f>
        <v>Yes</v>
      </c>
      <c r="B47" s="3"/>
      <c r="C47" s="3" t="str">
        <f>IFERROR(__xludf.DUMMYFUNCTION("""COMPUTED_VALUE"""),"kenya")</f>
        <v>kenya</v>
      </c>
      <c r="D47" s="3"/>
      <c r="E47" s="3" t="str">
        <f>IFERROR(__xludf.DUMMYFUNCTION("""COMPUTED_VALUE"""),"south_africa")</f>
        <v>south_africa</v>
      </c>
      <c r="F47" s="3" t="str">
        <f>IFERROR(__xludf.DUMMYFUNCTION("""COMPUTED_VALUE"""),"Capetown")</f>
        <v>Capetown</v>
      </c>
      <c r="G47" s="3">
        <f>IFERROR(__xludf.DUMMYFUNCTION("""COMPUTED_VALUE"""),39.0)</f>
        <v>39</v>
      </c>
      <c r="H47" s="3" t="str">
        <f>IFERROR(__xludf.DUMMYFUNCTION("""COMPUTED_VALUE"""),"male")</f>
        <v>male</v>
      </c>
      <c r="I47" s="3" t="str">
        <f>IFERROR(__xludf.DUMMYFUNCTION("""COMPUTED_VALUE"""),"over5")</f>
        <v>over5</v>
      </c>
      <c r="J47" s="3" t="str">
        <f>IFERROR(__xludf.DUMMYFUNCTION("""COMPUTED_VALUE"""),"formal")</f>
        <v>formal</v>
      </c>
      <c r="K47" s="3" t="str">
        <f>IFERROR(__xludf.DUMMYFUNCTION("""COMPUTED_VALUE"""),"tertiary")</f>
        <v>tertiary</v>
      </c>
      <c r="L47" s="3"/>
      <c r="M47" s="3" t="str">
        <f>IFERROR(__xludf.DUMMYFUNCTION("""COMPUTED_VALUE"""),"agree")</f>
        <v>agree</v>
      </c>
      <c r="N47" s="3" t="str">
        <f>IFERROR(__xludf.DUMMYFUNCTION("""COMPUTED_VALUE"""),"agree")</f>
        <v>agree</v>
      </c>
      <c r="O47" s="3" t="str">
        <f>IFERROR(__xludf.DUMMYFUNCTION("""COMPUTED_VALUE"""),"disagree")</f>
        <v>disagree</v>
      </c>
      <c r="P47" s="3"/>
      <c r="Q47" s="3" t="str">
        <f>IFERROR(__xludf.DUMMYFUNCTION("""COMPUTED_VALUE"""),"disagree")</f>
        <v>disagree</v>
      </c>
      <c r="R47" s="3" t="str">
        <f>IFERROR(__xludf.DUMMYFUNCTION("""COMPUTED_VALUE"""),"disagree")</f>
        <v>disagree</v>
      </c>
      <c r="S47" s="3" t="str">
        <f>IFERROR(__xludf.DUMMYFUNCTION("""COMPUTED_VALUE"""),"disagree")</f>
        <v>disagree</v>
      </c>
      <c r="T47" s="3" t="str">
        <f>IFERROR(__xludf.DUMMYFUNCTION("""COMPUTED_VALUE"""),"disagree")</f>
        <v>disagree</v>
      </c>
      <c r="U47" s="3" t="str">
        <f>IFERROR(__xludf.DUMMYFUNCTION("""COMPUTED_VALUE"""),"disagree")</f>
        <v>disagree</v>
      </c>
      <c r="V47" s="3" t="str">
        <f>IFERROR(__xludf.DUMMYFUNCTION("""COMPUTED_VALUE"""),"agree")</f>
        <v>agree</v>
      </c>
      <c r="W47" s="3" t="str">
        <f>IFERROR(__xludf.DUMMYFUNCTION("""COMPUTED_VALUE"""),"disagree")</f>
        <v>disagree</v>
      </c>
      <c r="X47" s="3" t="str">
        <f>IFERROR(__xludf.DUMMYFUNCTION("""COMPUTED_VALUE"""),"Platinum")</f>
        <v>Platinum</v>
      </c>
      <c r="Y47" s="3" t="str">
        <f>IFERROR(__xludf.DUMMYFUNCTION("""COMPUTED_VALUE"""),"insurance")</f>
        <v>insurance</v>
      </c>
      <c r="Z47" s="3" t="str">
        <f>IFERROR(__xludf.DUMMYFUNCTION("""COMPUTED_VALUE"""),"monthly")</f>
        <v>monthly</v>
      </c>
      <c r="AA47" s="3">
        <f>IFERROR(__xludf.DUMMYFUNCTION("""COMPUTED_VALUE"""),100.0)</f>
        <v>100</v>
      </c>
      <c r="AB47" s="3" t="str">
        <f>IFERROR(__xludf.DUMMYFUNCTION("""COMPUTED_VALUE"""),"online")</f>
        <v>online</v>
      </c>
      <c r="AC47" s="3" t="str">
        <f>IFERROR(__xludf.DUMMYFUNCTION("""COMPUTED_VALUE"""),"I am not an employer")</f>
        <v>I am not an employer</v>
      </c>
      <c r="AD47" s="3"/>
      <c r="AE47" s="3"/>
      <c r="AF47" s="3" t="str">
        <f>IFERROR(__xludf.DUMMYFUNCTION("""COMPUTED_VALUE"""),"Yes")</f>
        <v>Yes</v>
      </c>
      <c r="AG47" s="3" t="str">
        <f>IFERROR(__xludf.DUMMYFUNCTION("""COMPUTED_VALUE"""),"No")</f>
        <v>No</v>
      </c>
      <c r="AH47" s="3"/>
      <c r="AI47" s="3">
        <f>IFERROR(__xludf.DUMMYFUNCTION("""COMPUTED_VALUE"""),0.0)</f>
        <v>0</v>
      </c>
      <c r="AJ47" s="3">
        <f>IFERROR(__xludf.DUMMYFUNCTION("""COMPUTED_VALUE"""),0.0)</f>
        <v>0</v>
      </c>
      <c r="AK47" s="3">
        <f>IFERROR(__xludf.DUMMYFUNCTION("""COMPUTED_VALUE"""),0.0)</f>
        <v>0</v>
      </c>
      <c r="AL47" s="3">
        <f>IFERROR(__xludf.DUMMYFUNCTION("""COMPUTED_VALUE"""),1.0)</f>
        <v>1</v>
      </c>
      <c r="AM47" s="3" t="str">
        <f>IFERROR(__xludf.DUMMYFUNCTION("""COMPUTED_VALUE"""),"No")</f>
        <v>No</v>
      </c>
      <c r="AN47" s="3"/>
      <c r="AO47" s="3"/>
      <c r="AP47" s="3">
        <f>IFERROR(__xludf.DUMMYFUNCTION("""COMPUTED_VALUE"""),4.87805968E8)</f>
        <v>487805968</v>
      </c>
      <c r="AQ47" s="3" t="str">
        <f>IFERROR(__xludf.DUMMYFUNCTION("""COMPUTED_VALUE"""),"50e44e70-ead0-48e4-8f46-ebde3ac75a0b")</f>
        <v>50e44e70-ead0-48e4-8f46-ebde3ac75a0b</v>
      </c>
      <c r="AR47" s="3">
        <f>IFERROR(__xludf.DUMMYFUNCTION("""COMPUTED_VALUE"""),45805.47703703704)</f>
        <v>45805.47704</v>
      </c>
      <c r="AS47" s="3"/>
      <c r="AT47" s="3"/>
      <c r="AU47" s="3" t="str">
        <f>IFERROR(__xludf.DUMMYFUNCTION("""COMPUTED_VALUE"""),"submitted_via_web")</f>
        <v>submitted_via_web</v>
      </c>
      <c r="AV47" s="3"/>
      <c r="AW47" s="3" t="str">
        <f>IFERROR(__xludf.DUMMYFUNCTION("""COMPUTED_VALUE"""),"vL333fTXttq2bepEBmPumB")</f>
        <v>vL333fTXttq2bepEBmPumB</v>
      </c>
      <c r="AX47" s="3"/>
      <c r="AY47" s="3">
        <f>IFERROR(__xludf.DUMMYFUNCTION("""COMPUTED_VALUE"""),46.0)</f>
        <v>46</v>
      </c>
    </row>
    <row r="48">
      <c r="A48" s="3" t="str">
        <f>IFERROR(__xludf.DUMMYFUNCTION("""COMPUTED_VALUE"""),"Yes")</f>
        <v>Yes</v>
      </c>
      <c r="B48" s="3"/>
      <c r="C48" s="3" t="str">
        <f>IFERROR(__xludf.DUMMYFUNCTION("""COMPUTED_VALUE"""),"zimbabwe")</f>
        <v>zimbabwe</v>
      </c>
      <c r="D48" s="3"/>
      <c r="E48" s="3" t="str">
        <f>IFERROR(__xludf.DUMMYFUNCTION("""COMPUTED_VALUE"""),"namibia")</f>
        <v>namibia</v>
      </c>
      <c r="F48" s="3"/>
      <c r="G48" s="3">
        <f>IFERROR(__xludf.DUMMYFUNCTION("""COMPUTED_VALUE"""),45.0)</f>
        <v>45</v>
      </c>
      <c r="H48" s="3" t="str">
        <f>IFERROR(__xludf.DUMMYFUNCTION("""COMPUTED_VALUE"""),"female")</f>
        <v>female</v>
      </c>
      <c r="I48" s="3"/>
      <c r="J48" s="3" t="str">
        <f>IFERROR(__xludf.DUMMYFUNCTION("""COMPUTED_VALUE"""),"formal")</f>
        <v>formal</v>
      </c>
      <c r="K48" s="3" t="str">
        <f>IFERROR(__xludf.DUMMYFUNCTION("""COMPUTED_VALUE"""),"tertiary")</f>
        <v>tertiary</v>
      </c>
      <c r="L48" s="3"/>
      <c r="M48" s="3" t="str">
        <f>IFERROR(__xludf.DUMMYFUNCTION("""COMPUTED_VALUE"""),"disagree")</f>
        <v>disagree</v>
      </c>
      <c r="N48" s="3" t="str">
        <f>IFERROR(__xludf.DUMMYFUNCTION("""COMPUTED_VALUE"""),"agree")</f>
        <v>agree</v>
      </c>
      <c r="O48" s="3" t="str">
        <f>IFERROR(__xludf.DUMMYFUNCTION("""COMPUTED_VALUE"""),"disagree")</f>
        <v>disagree</v>
      </c>
      <c r="P48" s="3"/>
      <c r="Q48" s="3" t="str">
        <f>IFERROR(__xludf.DUMMYFUNCTION("""COMPUTED_VALUE"""),"agree")</f>
        <v>agree</v>
      </c>
      <c r="R48" s="3" t="str">
        <f>IFERROR(__xludf.DUMMYFUNCTION("""COMPUTED_VALUE"""),"agree")</f>
        <v>agree</v>
      </c>
      <c r="S48" s="3" t="str">
        <f>IFERROR(__xludf.DUMMYFUNCTION("""COMPUTED_VALUE"""),"agree")</f>
        <v>agree</v>
      </c>
      <c r="T48" s="3" t="str">
        <f>IFERROR(__xludf.DUMMYFUNCTION("""COMPUTED_VALUE"""),"agree")</f>
        <v>agree</v>
      </c>
      <c r="U48" s="3" t="str">
        <f>IFERROR(__xludf.DUMMYFUNCTION("""COMPUTED_VALUE"""),"agree")</f>
        <v>agree</v>
      </c>
      <c r="V48" s="3" t="str">
        <f>IFERROR(__xludf.DUMMYFUNCTION("""COMPUTED_VALUE"""),"agree")</f>
        <v>agree</v>
      </c>
      <c r="W48" s="3" t="str">
        <f>IFERROR(__xludf.DUMMYFUNCTION("""COMPUTED_VALUE"""),"disagree")</f>
        <v>disagree</v>
      </c>
      <c r="X48" s="3" t="str">
        <f>IFERROR(__xludf.DUMMYFUNCTION("""COMPUTED_VALUE"""),"Silver")</f>
        <v>Silver</v>
      </c>
      <c r="Y48" s="3" t="str">
        <f>IFERROR(__xludf.DUMMYFUNCTION("""COMPUTED_VALUE"""),"card")</f>
        <v>card</v>
      </c>
      <c r="Z48" s="3" t="str">
        <f>IFERROR(__xludf.DUMMYFUNCTION("""COMPUTED_VALUE"""),"biannual")</f>
        <v>biannual</v>
      </c>
      <c r="AA48" s="3">
        <f>IFERROR(__xludf.DUMMYFUNCTION("""COMPUTED_VALUE"""),100.0)</f>
        <v>100</v>
      </c>
      <c r="AB48" s="3" t="str">
        <f>IFERROR(__xludf.DUMMYFUNCTION("""COMPUTED_VALUE"""),"employer")</f>
        <v>employer</v>
      </c>
      <c r="AC48" s="3" t="str">
        <f>IFERROR(__xludf.DUMMYFUNCTION("""COMPUTED_VALUE"""),"Yes")</f>
        <v>Yes</v>
      </c>
      <c r="AD48" s="3" t="str">
        <f>IFERROR(__xludf.DUMMYFUNCTION("""COMPUTED_VALUE"""),"Silver")</f>
        <v>Silver</v>
      </c>
      <c r="AE48" s="3" t="str">
        <f>IFERROR(__xludf.DUMMYFUNCTION("""COMPUTED_VALUE"""),"Yes")</f>
        <v>Yes</v>
      </c>
      <c r="AF48" s="3" t="str">
        <f>IFERROR(__xludf.DUMMYFUNCTION("""COMPUTED_VALUE"""),"Yes")</f>
        <v>Yes</v>
      </c>
      <c r="AG48" s="3" t="str">
        <f>IFERROR(__xludf.DUMMYFUNCTION("""COMPUTED_VALUE"""),"Yes")</f>
        <v>Yes</v>
      </c>
      <c r="AH48" s="3">
        <f>IFERROR(__xludf.DUMMYFUNCTION("""COMPUTED_VALUE"""),200.0)</f>
        <v>200</v>
      </c>
      <c r="AI48" s="3">
        <f>IFERROR(__xludf.DUMMYFUNCTION("""COMPUTED_VALUE"""),0.0)</f>
        <v>0</v>
      </c>
      <c r="AJ48" s="3">
        <f>IFERROR(__xludf.DUMMYFUNCTION("""COMPUTED_VALUE"""),0.0)</f>
        <v>0</v>
      </c>
      <c r="AK48" s="3">
        <f>IFERROR(__xludf.DUMMYFUNCTION("""COMPUTED_VALUE"""),0.0)</f>
        <v>0</v>
      </c>
      <c r="AL48" s="3">
        <f>IFERROR(__xludf.DUMMYFUNCTION("""COMPUTED_VALUE"""),1.0)</f>
        <v>1</v>
      </c>
      <c r="AM48" s="3"/>
      <c r="AN48" s="3"/>
      <c r="AO48" s="3"/>
      <c r="AP48" s="3">
        <f>IFERROR(__xludf.DUMMYFUNCTION("""COMPUTED_VALUE"""),4.87813566E8)</f>
        <v>487813566</v>
      </c>
      <c r="AQ48" s="3" t="str">
        <f>IFERROR(__xludf.DUMMYFUNCTION("""COMPUTED_VALUE"""),"b70b912f-283e-4cdc-879f-c27ec784b98c")</f>
        <v>b70b912f-283e-4cdc-879f-c27ec784b98c</v>
      </c>
      <c r="AR48" s="3">
        <f>IFERROR(__xludf.DUMMYFUNCTION("""COMPUTED_VALUE"""),45805.48422453704)</f>
        <v>45805.48422</v>
      </c>
      <c r="AS48" s="3"/>
      <c r="AT48" s="3"/>
      <c r="AU48" s="3" t="str">
        <f>IFERROR(__xludf.DUMMYFUNCTION("""COMPUTED_VALUE"""),"submitted_via_web")</f>
        <v>submitted_via_web</v>
      </c>
      <c r="AV48" s="3"/>
      <c r="AW48" s="3" t="str">
        <f>IFERROR(__xludf.DUMMYFUNCTION("""COMPUTED_VALUE"""),"vL333fTXttq2bepEBmPumB")</f>
        <v>vL333fTXttq2bepEBmPumB</v>
      </c>
      <c r="AX48" s="3"/>
      <c r="AY48" s="3">
        <f>IFERROR(__xludf.DUMMYFUNCTION("""COMPUTED_VALUE"""),47.0)</f>
        <v>47</v>
      </c>
    </row>
    <row r="49">
      <c r="A49" s="3" t="str">
        <f>IFERROR(__xludf.DUMMYFUNCTION("""COMPUTED_VALUE"""),"Yes")</f>
        <v>Yes</v>
      </c>
      <c r="B49" s="3"/>
      <c r="C49" s="3" t="str">
        <f>IFERROR(__xludf.DUMMYFUNCTION("""COMPUTED_VALUE"""),"zimbabwe")</f>
        <v>zimbabwe</v>
      </c>
      <c r="D49" s="3"/>
      <c r="E49" s="3" t="str">
        <f>IFERROR(__xludf.DUMMYFUNCTION("""COMPUTED_VALUE"""),"namibia")</f>
        <v>namibia</v>
      </c>
      <c r="F49" s="3"/>
      <c r="G49" s="3">
        <f>IFERROR(__xludf.DUMMYFUNCTION("""COMPUTED_VALUE"""),55.0)</f>
        <v>55</v>
      </c>
      <c r="H49" s="3" t="str">
        <f>IFERROR(__xludf.DUMMYFUNCTION("""COMPUTED_VALUE"""),"female")</f>
        <v>female</v>
      </c>
      <c r="I49" s="3"/>
      <c r="J49" s="3" t="str">
        <f>IFERROR(__xludf.DUMMYFUNCTION("""COMPUTED_VALUE"""),"formal")</f>
        <v>formal</v>
      </c>
      <c r="K49" s="3" t="str">
        <f>IFERROR(__xludf.DUMMYFUNCTION("""COMPUTED_VALUE"""),"tertiary")</f>
        <v>tertiary</v>
      </c>
      <c r="L49" s="3"/>
      <c r="M49" s="3" t="str">
        <f>IFERROR(__xludf.DUMMYFUNCTION("""COMPUTED_VALUE"""),"agree")</f>
        <v>agree</v>
      </c>
      <c r="N49" s="3" t="str">
        <f>IFERROR(__xludf.DUMMYFUNCTION("""COMPUTED_VALUE"""),"agree")</f>
        <v>agree</v>
      </c>
      <c r="O49" s="3" t="str">
        <f>IFERROR(__xludf.DUMMYFUNCTION("""COMPUTED_VALUE"""),"agree")</f>
        <v>agree</v>
      </c>
      <c r="P49" s="3"/>
      <c r="Q49" s="3" t="str">
        <f>IFERROR(__xludf.DUMMYFUNCTION("""COMPUTED_VALUE"""),"agree")</f>
        <v>agree</v>
      </c>
      <c r="R49" s="3" t="str">
        <f>IFERROR(__xludf.DUMMYFUNCTION("""COMPUTED_VALUE"""),"agree")</f>
        <v>agree</v>
      </c>
      <c r="S49" s="3" t="str">
        <f>IFERROR(__xludf.DUMMYFUNCTION("""COMPUTED_VALUE"""),"disagree")</f>
        <v>disagree</v>
      </c>
      <c r="T49" s="3" t="str">
        <f>IFERROR(__xludf.DUMMYFUNCTION("""COMPUTED_VALUE"""),"dontknow")</f>
        <v>dontknow</v>
      </c>
      <c r="U49" s="3" t="str">
        <f>IFERROR(__xludf.DUMMYFUNCTION("""COMPUTED_VALUE"""),"dontknow")</f>
        <v>dontknow</v>
      </c>
      <c r="V49" s="3" t="str">
        <f>IFERROR(__xludf.DUMMYFUNCTION("""COMPUTED_VALUE"""),"agree")</f>
        <v>agree</v>
      </c>
      <c r="W49" s="3" t="str">
        <f>IFERROR(__xludf.DUMMYFUNCTION("""COMPUTED_VALUE"""),"dontknow")</f>
        <v>dontknow</v>
      </c>
      <c r="X49" s="3" t="str">
        <f>IFERROR(__xludf.DUMMYFUNCTION("""COMPUTED_VALUE"""),"Gold")</f>
        <v>Gold</v>
      </c>
      <c r="Y49" s="3" t="str">
        <f>IFERROR(__xludf.DUMMYFUNCTION("""COMPUTED_VALUE"""),"insurance")</f>
        <v>insurance</v>
      </c>
      <c r="Z49" s="3" t="str">
        <f>IFERROR(__xludf.DUMMYFUNCTION("""COMPUTED_VALUE"""),"annual")</f>
        <v>annual</v>
      </c>
      <c r="AA49" s="3">
        <f>IFERROR(__xludf.DUMMYFUNCTION("""COMPUTED_VALUE"""),100.0)</f>
        <v>100</v>
      </c>
      <c r="AB49" s="3" t="str">
        <f>IFERROR(__xludf.DUMMYFUNCTION("""COMPUTED_VALUE"""),"online")</f>
        <v>online</v>
      </c>
      <c r="AC49" s="3" t="str">
        <f>IFERROR(__xludf.DUMMYFUNCTION("""COMPUTED_VALUE"""),"I am not an employer")</f>
        <v>I am not an employer</v>
      </c>
      <c r="AD49" s="3"/>
      <c r="AE49" s="3"/>
      <c r="AF49" s="3" t="str">
        <f>IFERROR(__xludf.DUMMYFUNCTION("""COMPUTED_VALUE"""),"Yes")</f>
        <v>Yes</v>
      </c>
      <c r="AG49" s="3" t="str">
        <f>IFERROR(__xludf.DUMMYFUNCTION("""COMPUTED_VALUE"""),"Yes")</f>
        <v>Yes</v>
      </c>
      <c r="AH49" s="3"/>
      <c r="AI49" s="3"/>
      <c r="AJ49" s="3"/>
      <c r="AK49" s="3"/>
      <c r="AL49" s="3"/>
      <c r="AM49" s="3"/>
      <c r="AN49" s="3"/>
      <c r="AO49" s="3"/>
      <c r="AP49" s="3">
        <f>IFERROR(__xludf.DUMMYFUNCTION("""COMPUTED_VALUE"""),4.878188E8)</f>
        <v>487818800</v>
      </c>
      <c r="AQ49" s="3" t="str">
        <f>IFERROR(__xludf.DUMMYFUNCTION("""COMPUTED_VALUE"""),"d28dd19d-5ee8-4194-9ed5-e870a89dda9b")</f>
        <v>d28dd19d-5ee8-4194-9ed5-e870a89dda9b</v>
      </c>
      <c r="AR49" s="3">
        <f>IFERROR(__xludf.DUMMYFUNCTION("""COMPUTED_VALUE"""),45805.48887731481)</f>
        <v>45805.48888</v>
      </c>
      <c r="AS49" s="3"/>
      <c r="AT49" s="3"/>
      <c r="AU49" s="3" t="str">
        <f>IFERROR(__xludf.DUMMYFUNCTION("""COMPUTED_VALUE"""),"submitted_via_web")</f>
        <v>submitted_via_web</v>
      </c>
      <c r="AV49" s="3"/>
      <c r="AW49" s="3" t="str">
        <f>IFERROR(__xludf.DUMMYFUNCTION("""COMPUTED_VALUE"""),"vL333fTXttq2bepEBmPumB")</f>
        <v>vL333fTXttq2bepEBmPumB</v>
      </c>
      <c r="AX49" s="3"/>
      <c r="AY49" s="3">
        <f>IFERROR(__xludf.DUMMYFUNCTION("""COMPUTED_VALUE"""),48.0)</f>
        <v>48</v>
      </c>
    </row>
    <row r="50">
      <c r="A50" s="3" t="str">
        <f>IFERROR(__xludf.DUMMYFUNCTION("""COMPUTED_VALUE"""),"Yes")</f>
        <v>Yes</v>
      </c>
      <c r="B50" s="3"/>
      <c r="C50" s="3" t="str">
        <f>IFERROR(__xludf.DUMMYFUNCTION("""COMPUTED_VALUE"""),"zimbabwe")</f>
        <v>zimbabwe</v>
      </c>
      <c r="D50" s="3"/>
      <c r="E50" s="3" t="str">
        <f>IFERROR(__xludf.DUMMYFUNCTION("""COMPUTED_VALUE"""),"namibia")</f>
        <v>namibia</v>
      </c>
      <c r="F50" s="3"/>
      <c r="G50" s="3">
        <f>IFERROR(__xludf.DUMMYFUNCTION("""COMPUTED_VALUE"""),47.0)</f>
        <v>47</v>
      </c>
      <c r="H50" s="3" t="str">
        <f>IFERROR(__xludf.DUMMYFUNCTION("""COMPUTED_VALUE"""),"male")</f>
        <v>male</v>
      </c>
      <c r="I50" s="3"/>
      <c r="J50" s="3" t="str">
        <f>IFERROR(__xludf.DUMMYFUNCTION("""COMPUTED_VALUE"""),"formal")</f>
        <v>formal</v>
      </c>
      <c r="K50" s="3" t="str">
        <f>IFERROR(__xludf.DUMMYFUNCTION("""COMPUTED_VALUE"""),"tertiary")</f>
        <v>tertiary</v>
      </c>
      <c r="L50" s="3"/>
      <c r="M50" s="3" t="str">
        <f>IFERROR(__xludf.DUMMYFUNCTION("""COMPUTED_VALUE"""),"agree")</f>
        <v>agree</v>
      </c>
      <c r="N50" s="3" t="str">
        <f>IFERROR(__xludf.DUMMYFUNCTION("""COMPUTED_VALUE"""),"agree")</f>
        <v>agree</v>
      </c>
      <c r="O50" s="3" t="str">
        <f>IFERROR(__xludf.DUMMYFUNCTION("""COMPUTED_VALUE"""),"agree")</f>
        <v>agree</v>
      </c>
      <c r="P50" s="3"/>
      <c r="Q50" s="3" t="str">
        <f>IFERROR(__xludf.DUMMYFUNCTION("""COMPUTED_VALUE"""),"disagree")</f>
        <v>disagree</v>
      </c>
      <c r="R50" s="3" t="str">
        <f>IFERROR(__xludf.DUMMYFUNCTION("""COMPUTED_VALUE"""),"agree")</f>
        <v>agree</v>
      </c>
      <c r="S50" s="3" t="str">
        <f>IFERROR(__xludf.DUMMYFUNCTION("""COMPUTED_VALUE"""),"disagree")</f>
        <v>disagree</v>
      </c>
      <c r="T50" s="3" t="str">
        <f>IFERROR(__xludf.DUMMYFUNCTION("""COMPUTED_VALUE"""),"disagree")</f>
        <v>disagree</v>
      </c>
      <c r="U50" s="3" t="str">
        <f>IFERROR(__xludf.DUMMYFUNCTION("""COMPUTED_VALUE"""),"agree")</f>
        <v>agree</v>
      </c>
      <c r="V50" s="3" t="str">
        <f>IFERROR(__xludf.DUMMYFUNCTION("""COMPUTED_VALUE"""),"agree")</f>
        <v>agree</v>
      </c>
      <c r="W50" s="3" t="str">
        <f>IFERROR(__xludf.DUMMYFUNCTION("""COMPUTED_VALUE"""),"disagree")</f>
        <v>disagree</v>
      </c>
      <c r="X50" s="3" t="str">
        <f>IFERROR(__xludf.DUMMYFUNCTION("""COMPUTED_VALUE"""),"Platinum")</f>
        <v>Platinum</v>
      </c>
      <c r="Y50" s="3" t="str">
        <f>IFERROR(__xludf.DUMMYFUNCTION("""COMPUTED_VALUE"""),"insurance")</f>
        <v>insurance</v>
      </c>
      <c r="Z50" s="3" t="str">
        <f>IFERROR(__xludf.DUMMYFUNCTION("""COMPUTED_VALUE"""),"monthly")</f>
        <v>monthly</v>
      </c>
      <c r="AA50" s="3">
        <f>IFERROR(__xludf.DUMMYFUNCTION("""COMPUTED_VALUE"""),100.0)</f>
        <v>100</v>
      </c>
      <c r="AB50" s="3" t="str">
        <f>IFERROR(__xludf.DUMMYFUNCTION("""COMPUTED_VALUE"""),"online")</f>
        <v>online</v>
      </c>
      <c r="AC50" s="3" t="str">
        <f>IFERROR(__xludf.DUMMYFUNCTION("""COMPUTED_VALUE"""),"Yes")</f>
        <v>Yes</v>
      </c>
      <c r="AD50" s="3" t="str">
        <f>IFERROR(__xludf.DUMMYFUNCTION("""COMPUTED_VALUE"""),"Platinum")</f>
        <v>Platinum</v>
      </c>
      <c r="AE50" s="3" t="str">
        <f>IFERROR(__xludf.DUMMYFUNCTION("""COMPUTED_VALUE"""),"Yes")</f>
        <v>Yes</v>
      </c>
      <c r="AF50" s="3" t="str">
        <f>IFERROR(__xludf.DUMMYFUNCTION("""COMPUTED_VALUE"""),"Yes")</f>
        <v>Yes</v>
      </c>
      <c r="AG50" s="3" t="str">
        <f>IFERROR(__xludf.DUMMYFUNCTION("""COMPUTED_VALUE"""),"Yes")</f>
        <v>Yes</v>
      </c>
      <c r="AH50" s="3">
        <f>IFERROR(__xludf.DUMMYFUNCTION("""COMPUTED_VALUE"""),30.0)</f>
        <v>30</v>
      </c>
      <c r="AI50" s="3">
        <f>IFERROR(__xludf.DUMMYFUNCTION("""COMPUTED_VALUE"""),0.0)</f>
        <v>0</v>
      </c>
      <c r="AJ50" s="3">
        <f>IFERROR(__xludf.DUMMYFUNCTION("""COMPUTED_VALUE"""),0.0)</f>
        <v>0</v>
      </c>
      <c r="AK50" s="3">
        <f>IFERROR(__xludf.DUMMYFUNCTION("""COMPUTED_VALUE"""),0.0)</f>
        <v>0</v>
      </c>
      <c r="AL50" s="3">
        <f>IFERROR(__xludf.DUMMYFUNCTION("""COMPUTED_VALUE"""),1.0)</f>
        <v>1</v>
      </c>
      <c r="AM50" s="3"/>
      <c r="AN50" s="3"/>
      <c r="AO50" s="3"/>
      <c r="AP50" s="3">
        <f>IFERROR(__xludf.DUMMYFUNCTION("""COMPUTED_VALUE"""),4.87826428E8)</f>
        <v>487826428</v>
      </c>
      <c r="AQ50" s="3" t="str">
        <f>IFERROR(__xludf.DUMMYFUNCTION("""COMPUTED_VALUE"""),"28600347-9a78-40a7-b977-531f267536f5")</f>
        <v>28600347-9a78-40a7-b977-531f267536f5</v>
      </c>
      <c r="AR50" s="3">
        <f>IFERROR(__xludf.DUMMYFUNCTION("""COMPUTED_VALUE"""),45805.496099537035)</f>
        <v>45805.4961</v>
      </c>
      <c r="AS50" s="3"/>
      <c r="AT50" s="3"/>
      <c r="AU50" s="3" t="str">
        <f>IFERROR(__xludf.DUMMYFUNCTION("""COMPUTED_VALUE"""),"submitted_via_web")</f>
        <v>submitted_via_web</v>
      </c>
      <c r="AV50" s="3"/>
      <c r="AW50" s="3" t="str">
        <f>IFERROR(__xludf.DUMMYFUNCTION("""COMPUTED_VALUE"""),"vL333fTXttq2bepEBmPumB")</f>
        <v>vL333fTXttq2bepEBmPumB</v>
      </c>
      <c r="AX50" s="3"/>
      <c r="AY50" s="3">
        <f>IFERROR(__xludf.DUMMYFUNCTION("""COMPUTED_VALUE"""),49.0)</f>
        <v>49</v>
      </c>
    </row>
    <row r="51">
      <c r="A51" s="3" t="str">
        <f>IFERROR(__xludf.DUMMYFUNCTION("""COMPUTED_VALUE"""),"Yes")</f>
        <v>Yes</v>
      </c>
      <c r="B51" s="3"/>
      <c r="C51" s="3" t="str">
        <f>IFERROR(__xludf.DUMMYFUNCTION("""COMPUTED_VALUE"""),"south_africa")</f>
        <v>south_africa</v>
      </c>
      <c r="D51" s="3"/>
      <c r="E51" s="3" t="str">
        <f>IFERROR(__xludf.DUMMYFUNCTION("""COMPUTED_VALUE"""),"south_africa")</f>
        <v>south_africa</v>
      </c>
      <c r="F51" s="3" t="str">
        <f>IFERROR(__xludf.DUMMYFUNCTION("""COMPUTED_VALUE"""),"Buffalo City Metropolitan Municipality")</f>
        <v>Buffalo City Metropolitan Municipality</v>
      </c>
      <c r="G51" s="3">
        <f>IFERROR(__xludf.DUMMYFUNCTION("""COMPUTED_VALUE"""),45.0)</f>
        <v>45</v>
      </c>
      <c r="H51" s="3" t="str">
        <f>IFERROR(__xludf.DUMMYFUNCTION("""COMPUTED_VALUE"""),"female")</f>
        <v>female</v>
      </c>
      <c r="I51" s="3" t="str">
        <f>IFERROR(__xludf.DUMMYFUNCTION("""COMPUTED_VALUE"""),"citizen")</f>
        <v>citizen</v>
      </c>
      <c r="J51" s="3" t="str">
        <f>IFERROR(__xludf.DUMMYFUNCTION("""COMPUTED_VALUE"""),"formal")</f>
        <v>formal</v>
      </c>
      <c r="K51" s="3" t="str">
        <f>IFERROR(__xludf.DUMMYFUNCTION("""COMPUTED_VALUE"""),"tertiary")</f>
        <v>tertiary</v>
      </c>
      <c r="L51" s="3"/>
      <c r="M51" s="3" t="str">
        <f>IFERROR(__xludf.DUMMYFUNCTION("""COMPUTED_VALUE"""),"agree")</f>
        <v>agree</v>
      </c>
      <c r="N51" s="3" t="str">
        <f>IFERROR(__xludf.DUMMYFUNCTION("""COMPUTED_VALUE"""),"agree")</f>
        <v>agree</v>
      </c>
      <c r="O51" s="3" t="str">
        <f>IFERROR(__xludf.DUMMYFUNCTION("""COMPUTED_VALUE"""),"dontknow")</f>
        <v>dontknow</v>
      </c>
      <c r="P51" s="3"/>
      <c r="Q51" s="3" t="str">
        <f>IFERROR(__xludf.DUMMYFUNCTION("""COMPUTED_VALUE"""),"agree")</f>
        <v>agree</v>
      </c>
      <c r="R51" s="3" t="str">
        <f>IFERROR(__xludf.DUMMYFUNCTION("""COMPUTED_VALUE"""),"agree")</f>
        <v>agree</v>
      </c>
      <c r="S51" s="3" t="str">
        <f>IFERROR(__xludf.DUMMYFUNCTION("""COMPUTED_VALUE"""),"agree")</f>
        <v>agree</v>
      </c>
      <c r="T51" s="3" t="str">
        <f>IFERROR(__xludf.DUMMYFUNCTION("""COMPUTED_VALUE"""),"disagree")</f>
        <v>disagree</v>
      </c>
      <c r="U51" s="3" t="str">
        <f>IFERROR(__xludf.DUMMYFUNCTION("""COMPUTED_VALUE"""),"dontknow")</f>
        <v>dontknow</v>
      </c>
      <c r="V51" s="3" t="str">
        <f>IFERROR(__xludf.DUMMYFUNCTION("""COMPUTED_VALUE"""),"disagree")</f>
        <v>disagree</v>
      </c>
      <c r="W51" s="3" t="str">
        <f>IFERROR(__xludf.DUMMYFUNCTION("""COMPUTED_VALUE"""),"disagree")</f>
        <v>disagree</v>
      </c>
      <c r="X51" s="3" t="str">
        <f>IFERROR(__xludf.DUMMYFUNCTION("""COMPUTED_VALUE"""),"Silver")</f>
        <v>Silver</v>
      </c>
      <c r="Y51" s="3" t="str">
        <f>IFERROR(__xludf.DUMMYFUNCTION("""COMPUTED_VALUE"""),"cash")</f>
        <v>cash</v>
      </c>
      <c r="Z51" s="3" t="str">
        <f>IFERROR(__xludf.DUMMYFUNCTION("""COMPUTED_VALUE"""),"monthly")</f>
        <v>monthly</v>
      </c>
      <c r="AA51" s="3">
        <f>IFERROR(__xludf.DUMMYFUNCTION("""COMPUTED_VALUE"""),10.0)</f>
        <v>10</v>
      </c>
      <c r="AB51" s="3" t="str">
        <f>IFERROR(__xludf.DUMMYFUNCTION("""COMPUTED_VALUE"""),"assisted")</f>
        <v>assisted</v>
      </c>
      <c r="AC51" s="3" t="str">
        <f>IFERROR(__xludf.DUMMYFUNCTION("""COMPUTED_VALUE"""),"I am not an employer")</f>
        <v>I am not an employer</v>
      </c>
      <c r="AD51" s="3"/>
      <c r="AE51" s="3"/>
      <c r="AF51" s="3" t="str">
        <f>IFERROR(__xludf.DUMMYFUNCTION("""COMPUTED_VALUE"""),"Yes")</f>
        <v>Yes</v>
      </c>
      <c r="AG51" s="3" t="str">
        <f>IFERROR(__xludf.DUMMYFUNCTION("""COMPUTED_VALUE"""),"Yes")</f>
        <v>Yes</v>
      </c>
      <c r="AH51" s="3">
        <f>IFERROR(__xludf.DUMMYFUNCTION("""COMPUTED_VALUE"""),250.0)</f>
        <v>250</v>
      </c>
      <c r="AI51" s="3">
        <f>IFERROR(__xludf.DUMMYFUNCTION("""COMPUTED_VALUE"""),0.0)</f>
        <v>0</v>
      </c>
      <c r="AJ51" s="3">
        <f>IFERROR(__xludf.DUMMYFUNCTION("""COMPUTED_VALUE"""),0.0)</f>
        <v>0</v>
      </c>
      <c r="AK51" s="3">
        <f>IFERROR(__xludf.DUMMYFUNCTION("""COMPUTED_VALUE"""),0.0)</f>
        <v>0</v>
      </c>
      <c r="AL51" s="3">
        <f>IFERROR(__xludf.DUMMYFUNCTION("""COMPUTED_VALUE"""),1.0)</f>
        <v>1</v>
      </c>
      <c r="AM51" s="3" t="str">
        <f>IFERROR(__xludf.DUMMYFUNCTION("""COMPUTED_VALUE"""),"No")</f>
        <v>No</v>
      </c>
      <c r="AN51" s="3"/>
      <c r="AO51" s="3"/>
      <c r="AP51" s="3">
        <f>IFERROR(__xludf.DUMMYFUNCTION("""COMPUTED_VALUE"""),4.87873583E8)</f>
        <v>487873583</v>
      </c>
      <c r="AQ51" s="3" t="str">
        <f>IFERROR(__xludf.DUMMYFUNCTION("""COMPUTED_VALUE"""),"a28d37fc-9ae5-45b3-946a-a7338e37d3a7")</f>
        <v>a28d37fc-9ae5-45b3-946a-a7338e37d3a7</v>
      </c>
      <c r="AR51" s="3">
        <f>IFERROR(__xludf.DUMMYFUNCTION("""COMPUTED_VALUE"""),45805.533530092594)</f>
        <v>45805.53353</v>
      </c>
      <c r="AS51" s="3"/>
      <c r="AT51" s="3"/>
      <c r="AU51" s="3" t="str">
        <f>IFERROR(__xludf.DUMMYFUNCTION("""COMPUTED_VALUE"""),"submitted_via_web")</f>
        <v>submitted_via_web</v>
      </c>
      <c r="AV51" s="3"/>
      <c r="AW51" s="3" t="str">
        <f>IFERROR(__xludf.DUMMYFUNCTION("""COMPUTED_VALUE"""),"vL333fTXttq2bepEBmPumB")</f>
        <v>vL333fTXttq2bepEBmPumB</v>
      </c>
      <c r="AX51" s="3"/>
      <c r="AY51" s="3">
        <f>IFERROR(__xludf.DUMMYFUNCTION("""COMPUTED_VALUE"""),50.0)</f>
        <v>50</v>
      </c>
    </row>
    <row r="52">
      <c r="A52" s="3" t="str">
        <f>IFERROR(__xludf.DUMMYFUNCTION("""COMPUTED_VALUE"""),"Yes")</f>
        <v>Yes</v>
      </c>
      <c r="B52" s="3"/>
      <c r="C52" s="3" t="str">
        <f>IFERROR(__xludf.DUMMYFUNCTION("""COMPUTED_VALUE"""),"zimbabwe")</f>
        <v>zimbabwe</v>
      </c>
      <c r="D52" s="3"/>
      <c r="E52" s="3" t="str">
        <f>IFERROR(__xludf.DUMMYFUNCTION("""COMPUTED_VALUE"""),"Other")</f>
        <v>Other</v>
      </c>
      <c r="F52" s="3"/>
      <c r="G52" s="3">
        <f>IFERROR(__xludf.DUMMYFUNCTION("""COMPUTED_VALUE"""),44.0)</f>
        <v>44</v>
      </c>
      <c r="H52" s="3" t="str">
        <f>IFERROR(__xludf.DUMMYFUNCTION("""COMPUTED_VALUE"""),"female")</f>
        <v>female</v>
      </c>
      <c r="I52" s="3"/>
      <c r="J52" s="3" t="str">
        <f>IFERROR(__xludf.DUMMYFUNCTION("""COMPUTED_VALUE"""),"formal")</f>
        <v>formal</v>
      </c>
      <c r="K52" s="3" t="str">
        <f>IFERROR(__xludf.DUMMYFUNCTION("""COMPUTED_VALUE"""),"tertiary")</f>
        <v>tertiary</v>
      </c>
      <c r="L52" s="3"/>
      <c r="M52" s="3" t="str">
        <f>IFERROR(__xludf.DUMMYFUNCTION("""COMPUTED_VALUE"""),"agree")</f>
        <v>agree</v>
      </c>
      <c r="N52" s="3" t="str">
        <f>IFERROR(__xludf.DUMMYFUNCTION("""COMPUTED_VALUE"""),"agree")</f>
        <v>agree</v>
      </c>
      <c r="O52" s="3" t="str">
        <f>IFERROR(__xludf.DUMMYFUNCTION("""COMPUTED_VALUE"""),"disagree")</f>
        <v>disagree</v>
      </c>
      <c r="P52" s="3"/>
      <c r="Q52" s="3" t="str">
        <f>IFERROR(__xludf.DUMMYFUNCTION("""COMPUTED_VALUE"""),"agree")</f>
        <v>agree</v>
      </c>
      <c r="R52" s="3" t="str">
        <f>IFERROR(__xludf.DUMMYFUNCTION("""COMPUTED_VALUE"""),"agree")</f>
        <v>agree</v>
      </c>
      <c r="S52" s="3" t="str">
        <f>IFERROR(__xludf.DUMMYFUNCTION("""COMPUTED_VALUE"""),"disagree")</f>
        <v>disagree</v>
      </c>
      <c r="T52" s="3" t="str">
        <f>IFERROR(__xludf.DUMMYFUNCTION("""COMPUTED_VALUE"""),"dontknow")</f>
        <v>dontknow</v>
      </c>
      <c r="U52" s="3" t="str">
        <f>IFERROR(__xludf.DUMMYFUNCTION("""COMPUTED_VALUE"""),"dontknow")</f>
        <v>dontknow</v>
      </c>
      <c r="V52" s="3" t="str">
        <f>IFERROR(__xludf.DUMMYFUNCTION("""COMPUTED_VALUE"""),"dontknow")</f>
        <v>dontknow</v>
      </c>
      <c r="W52" s="3" t="str">
        <f>IFERROR(__xludf.DUMMYFUNCTION("""COMPUTED_VALUE"""),"disagree")</f>
        <v>disagree</v>
      </c>
      <c r="X52" s="3" t="str">
        <f>IFERROR(__xludf.DUMMYFUNCTION("""COMPUTED_VALUE"""),"Gold")</f>
        <v>Gold</v>
      </c>
      <c r="Y52" s="3" t="str">
        <f>IFERROR(__xludf.DUMMYFUNCTION("""COMPUTED_VALUE"""),"insurance")</f>
        <v>insurance</v>
      </c>
      <c r="Z52" s="3" t="str">
        <f>IFERROR(__xludf.DUMMYFUNCTION("""COMPUTED_VALUE"""),"monthly")</f>
        <v>monthly</v>
      </c>
      <c r="AA52" s="3">
        <f>IFERROR(__xludf.DUMMYFUNCTION("""COMPUTED_VALUE"""),100.0)</f>
        <v>100</v>
      </c>
      <c r="AB52" s="3" t="str">
        <f>IFERROR(__xludf.DUMMYFUNCTION("""COMPUTED_VALUE"""),"online")</f>
        <v>online</v>
      </c>
      <c r="AC52" s="3" t="str">
        <f>IFERROR(__xludf.DUMMYFUNCTION("""COMPUTED_VALUE"""),"I am not an employer")</f>
        <v>I am not an employer</v>
      </c>
      <c r="AD52" s="3"/>
      <c r="AE52" s="3"/>
      <c r="AF52" s="3" t="str">
        <f>IFERROR(__xludf.DUMMYFUNCTION("""COMPUTED_VALUE"""),"Yes")</f>
        <v>Yes</v>
      </c>
      <c r="AG52" s="3" t="str">
        <f>IFERROR(__xludf.DUMMYFUNCTION("""COMPUTED_VALUE"""),"No")</f>
        <v>No</v>
      </c>
      <c r="AH52" s="3"/>
      <c r="AI52" s="3">
        <f>IFERROR(__xludf.DUMMYFUNCTION("""COMPUTED_VALUE"""),0.0)</f>
        <v>0</v>
      </c>
      <c r="AJ52" s="3">
        <f>IFERROR(__xludf.DUMMYFUNCTION("""COMPUTED_VALUE"""),0.0)</f>
        <v>0</v>
      </c>
      <c r="AK52" s="3">
        <f>IFERROR(__xludf.DUMMYFUNCTION("""COMPUTED_VALUE"""),0.0)</f>
        <v>0</v>
      </c>
      <c r="AL52" s="3">
        <f>IFERROR(__xludf.DUMMYFUNCTION("""COMPUTED_VALUE"""),1.0)</f>
        <v>1</v>
      </c>
      <c r="AM52" s="3"/>
      <c r="AN52" s="3"/>
      <c r="AO52" s="3"/>
      <c r="AP52" s="3">
        <f>IFERROR(__xludf.DUMMYFUNCTION("""COMPUTED_VALUE"""),4.87902328E8)</f>
        <v>487902328</v>
      </c>
      <c r="AQ52" s="3" t="str">
        <f>IFERROR(__xludf.DUMMYFUNCTION("""COMPUTED_VALUE"""),"127987b8-34a0-4f7c-8aa2-eafd06fef2dc")</f>
        <v>127987b8-34a0-4f7c-8aa2-eafd06fef2dc</v>
      </c>
      <c r="AR52" s="3">
        <f>IFERROR(__xludf.DUMMYFUNCTION("""COMPUTED_VALUE"""),45805.5534375)</f>
        <v>45805.55344</v>
      </c>
      <c r="AS52" s="3"/>
      <c r="AT52" s="3"/>
      <c r="AU52" s="3" t="str">
        <f>IFERROR(__xludf.DUMMYFUNCTION("""COMPUTED_VALUE"""),"submitted_via_web")</f>
        <v>submitted_via_web</v>
      </c>
      <c r="AV52" s="3"/>
      <c r="AW52" s="3" t="str">
        <f>IFERROR(__xludf.DUMMYFUNCTION("""COMPUTED_VALUE"""),"vL333fTXttq2bepEBmPumB")</f>
        <v>vL333fTXttq2bepEBmPumB</v>
      </c>
      <c r="AX52" s="3"/>
      <c r="AY52" s="3">
        <f>IFERROR(__xludf.DUMMYFUNCTION("""COMPUTED_VALUE"""),51.0)</f>
        <v>51</v>
      </c>
    </row>
    <row r="53">
      <c r="A53" s="3" t="str">
        <f>IFERROR(__xludf.DUMMYFUNCTION("""COMPUTED_VALUE"""),"Yes")</f>
        <v>Yes</v>
      </c>
      <c r="B53" s="3"/>
      <c r="C53" s="3" t="str">
        <f>IFERROR(__xludf.DUMMYFUNCTION("""COMPUTED_VALUE"""),"south_africa")</f>
        <v>south_africa</v>
      </c>
      <c r="D53" s="3"/>
      <c r="E53" s="3" t="str">
        <f>IFERROR(__xludf.DUMMYFUNCTION("""COMPUTED_VALUE"""),"south_africa")</f>
        <v>south_africa</v>
      </c>
      <c r="F53" s="3" t="str">
        <f>IFERROR(__xludf.DUMMYFUNCTION("""COMPUTED_VALUE"""),"Ehlanzeni District")</f>
        <v>Ehlanzeni District</v>
      </c>
      <c r="G53" s="3">
        <f>IFERROR(__xludf.DUMMYFUNCTION("""COMPUTED_VALUE"""),41.0)</f>
        <v>41</v>
      </c>
      <c r="H53" s="3" t="str">
        <f>IFERROR(__xludf.DUMMYFUNCTION("""COMPUTED_VALUE"""),"female")</f>
        <v>female</v>
      </c>
      <c r="I53" s="3" t="str">
        <f>IFERROR(__xludf.DUMMYFUNCTION("""COMPUTED_VALUE"""),"citizen")</f>
        <v>citizen</v>
      </c>
      <c r="J53" s="3" t="str">
        <f>IFERROR(__xludf.DUMMYFUNCTION("""COMPUTED_VALUE"""),"ownbusiness")</f>
        <v>ownbusiness</v>
      </c>
      <c r="K53" s="3" t="str">
        <f>IFERROR(__xludf.DUMMYFUNCTION("""COMPUTED_VALUE"""),"tertiary")</f>
        <v>tertiary</v>
      </c>
      <c r="L53" s="3"/>
      <c r="M53" s="3" t="str">
        <f>IFERROR(__xludf.DUMMYFUNCTION("""COMPUTED_VALUE"""),"agree")</f>
        <v>agree</v>
      </c>
      <c r="N53" s="3" t="str">
        <f>IFERROR(__xludf.DUMMYFUNCTION("""COMPUTED_VALUE"""),"agree")</f>
        <v>agree</v>
      </c>
      <c r="O53" s="3" t="str">
        <f>IFERROR(__xludf.DUMMYFUNCTION("""COMPUTED_VALUE"""),"disagree")</f>
        <v>disagree</v>
      </c>
      <c r="P53" s="3"/>
      <c r="Q53" s="3" t="str">
        <f>IFERROR(__xludf.DUMMYFUNCTION("""COMPUTED_VALUE"""),"agree")</f>
        <v>agree</v>
      </c>
      <c r="R53" s="3" t="str">
        <f>IFERROR(__xludf.DUMMYFUNCTION("""COMPUTED_VALUE"""),"agree")</f>
        <v>agree</v>
      </c>
      <c r="S53" s="3" t="str">
        <f>IFERROR(__xludf.DUMMYFUNCTION("""COMPUTED_VALUE"""),"agree")</f>
        <v>agree</v>
      </c>
      <c r="T53" s="3" t="str">
        <f>IFERROR(__xludf.DUMMYFUNCTION("""COMPUTED_VALUE"""),"disagree")</f>
        <v>disagree</v>
      </c>
      <c r="U53" s="3" t="str">
        <f>IFERROR(__xludf.DUMMYFUNCTION("""COMPUTED_VALUE"""),"disagree")</f>
        <v>disagree</v>
      </c>
      <c r="V53" s="3" t="str">
        <f>IFERROR(__xludf.DUMMYFUNCTION("""COMPUTED_VALUE"""),"agree")</f>
        <v>agree</v>
      </c>
      <c r="W53" s="3" t="str">
        <f>IFERROR(__xludf.DUMMYFUNCTION("""COMPUTED_VALUE"""),"disagree")</f>
        <v>disagree</v>
      </c>
      <c r="X53" s="3" t="str">
        <f>IFERROR(__xludf.DUMMYFUNCTION("""COMPUTED_VALUE"""),"Platinum")</f>
        <v>Platinum</v>
      </c>
      <c r="Y53" s="3" t="str">
        <f>IFERROR(__xludf.DUMMYFUNCTION("""COMPUTED_VALUE"""),"insurance")</f>
        <v>insurance</v>
      </c>
      <c r="Z53" s="3" t="str">
        <f>IFERROR(__xludf.DUMMYFUNCTION("""COMPUTED_VALUE"""),"once")</f>
        <v>once</v>
      </c>
      <c r="AA53" s="3">
        <f>IFERROR(__xludf.DUMMYFUNCTION("""COMPUTED_VALUE"""),100.0)</f>
        <v>100</v>
      </c>
      <c r="AB53" s="3" t="str">
        <f>IFERROR(__xludf.DUMMYFUNCTION("""COMPUTED_VALUE"""),"online")</f>
        <v>online</v>
      </c>
      <c r="AC53" s="3" t="str">
        <f>IFERROR(__xludf.DUMMYFUNCTION("""COMPUTED_VALUE"""),"No")</f>
        <v>No</v>
      </c>
      <c r="AD53" s="3"/>
      <c r="AE53" s="3"/>
      <c r="AF53" s="3" t="str">
        <f>IFERROR(__xludf.DUMMYFUNCTION("""COMPUTED_VALUE"""),"Yes")</f>
        <v>Yes</v>
      </c>
      <c r="AG53" s="3" t="str">
        <f>IFERROR(__xludf.DUMMYFUNCTION("""COMPUTED_VALUE"""),"Yes")</f>
        <v>Yes</v>
      </c>
      <c r="AH53" s="3">
        <f>IFERROR(__xludf.DUMMYFUNCTION("""COMPUTED_VALUE"""),50.0)</f>
        <v>50</v>
      </c>
      <c r="AI53" s="3">
        <f>IFERROR(__xludf.DUMMYFUNCTION("""COMPUTED_VALUE"""),0.0)</f>
        <v>0</v>
      </c>
      <c r="AJ53" s="3">
        <f>IFERROR(__xludf.DUMMYFUNCTION("""COMPUTED_VALUE"""),0.0)</f>
        <v>0</v>
      </c>
      <c r="AK53" s="3">
        <f>IFERROR(__xludf.DUMMYFUNCTION("""COMPUTED_VALUE"""),0.0)</f>
        <v>0</v>
      </c>
      <c r="AL53" s="3">
        <f>IFERROR(__xludf.DUMMYFUNCTION("""COMPUTED_VALUE"""),1.0)</f>
        <v>1</v>
      </c>
      <c r="AM53" s="3" t="str">
        <f>IFERROR(__xludf.DUMMYFUNCTION("""COMPUTED_VALUE"""),"Yes")</f>
        <v>Yes</v>
      </c>
      <c r="AN53" s="3">
        <f>IFERROR(__xludf.DUMMYFUNCTION("""COMPUTED_VALUE"""),7.16262093E8)</f>
        <v>716262093</v>
      </c>
      <c r="AO53" s="3"/>
      <c r="AP53" s="3">
        <f>IFERROR(__xludf.DUMMYFUNCTION("""COMPUTED_VALUE"""),4.87913501E8)</f>
        <v>487913501</v>
      </c>
      <c r="AQ53" s="3" t="str">
        <f>IFERROR(__xludf.DUMMYFUNCTION("""COMPUTED_VALUE"""),"cc44c5aa-06ee-42a8-8277-ea3cc97a7dbb")</f>
        <v>cc44c5aa-06ee-42a8-8277-ea3cc97a7dbb</v>
      </c>
      <c r="AR53" s="3">
        <f>IFERROR(__xludf.DUMMYFUNCTION("""COMPUTED_VALUE"""),45805.56046296296)</f>
        <v>45805.56046</v>
      </c>
      <c r="AS53" s="3"/>
      <c r="AT53" s="3"/>
      <c r="AU53" s="3" t="str">
        <f>IFERROR(__xludf.DUMMYFUNCTION("""COMPUTED_VALUE"""),"submitted_via_web")</f>
        <v>submitted_via_web</v>
      </c>
      <c r="AV53" s="3"/>
      <c r="AW53" s="3" t="str">
        <f>IFERROR(__xludf.DUMMYFUNCTION("""COMPUTED_VALUE"""),"vL333fTXttq2bepEBmPumB")</f>
        <v>vL333fTXttq2bepEBmPumB</v>
      </c>
      <c r="AX53" s="3"/>
      <c r="AY53" s="3">
        <f>IFERROR(__xludf.DUMMYFUNCTION("""COMPUTED_VALUE"""),52.0)</f>
        <v>52</v>
      </c>
    </row>
    <row r="54">
      <c r="A54" s="3" t="str">
        <f>IFERROR(__xludf.DUMMYFUNCTION("""COMPUTED_VALUE"""),"Yes")</f>
        <v>Yes</v>
      </c>
      <c r="B54" s="3"/>
      <c r="C54" s="3" t="str">
        <f>IFERROR(__xludf.DUMMYFUNCTION("""COMPUTED_VALUE"""),"zimbabwe")</f>
        <v>zimbabwe</v>
      </c>
      <c r="D54" s="3"/>
      <c r="E54" s="3" t="str">
        <f>IFERROR(__xludf.DUMMYFUNCTION("""COMPUTED_VALUE"""),"south_africa")</f>
        <v>south_africa</v>
      </c>
      <c r="F54" s="3" t="str">
        <f>IFERROR(__xludf.DUMMYFUNCTION("""COMPUTED_VALUE"""),"City of Johannesburg Metropolitan Municipality")</f>
        <v>City of Johannesburg Metropolitan Municipality</v>
      </c>
      <c r="G54" s="3">
        <f>IFERROR(__xludf.DUMMYFUNCTION("""COMPUTED_VALUE"""),45.0)</f>
        <v>45</v>
      </c>
      <c r="H54" s="3" t="str">
        <f>IFERROR(__xludf.DUMMYFUNCTION("""COMPUTED_VALUE"""),"male")</f>
        <v>male</v>
      </c>
      <c r="I54" s="3" t="str">
        <f>IFERROR(__xludf.DUMMYFUNCTION("""COMPUTED_VALUE"""),"over5")</f>
        <v>over5</v>
      </c>
      <c r="J54" s="3" t="str">
        <f>IFERROR(__xludf.DUMMYFUNCTION("""COMPUTED_VALUE"""),"formal")</f>
        <v>formal</v>
      </c>
      <c r="K54" s="3" t="str">
        <f>IFERROR(__xludf.DUMMYFUNCTION("""COMPUTED_VALUE"""),"tertiary")</f>
        <v>tertiary</v>
      </c>
      <c r="L54" s="3"/>
      <c r="M54" s="3" t="str">
        <f>IFERROR(__xludf.DUMMYFUNCTION("""COMPUTED_VALUE"""),"agree")</f>
        <v>agree</v>
      </c>
      <c r="N54" s="3" t="str">
        <f>IFERROR(__xludf.DUMMYFUNCTION("""COMPUTED_VALUE"""),"agree")</f>
        <v>agree</v>
      </c>
      <c r="O54" s="3" t="str">
        <f>IFERROR(__xludf.DUMMYFUNCTION("""COMPUTED_VALUE"""),"agree")</f>
        <v>agree</v>
      </c>
      <c r="P54" s="3"/>
      <c r="Q54" s="3" t="str">
        <f>IFERROR(__xludf.DUMMYFUNCTION("""COMPUTED_VALUE"""),"dontknow")</f>
        <v>dontknow</v>
      </c>
      <c r="R54" s="3" t="str">
        <f>IFERROR(__xludf.DUMMYFUNCTION("""COMPUTED_VALUE"""),"agree")</f>
        <v>agree</v>
      </c>
      <c r="S54" s="3" t="str">
        <f>IFERROR(__xludf.DUMMYFUNCTION("""COMPUTED_VALUE"""),"disagree")</f>
        <v>disagree</v>
      </c>
      <c r="T54" s="3" t="str">
        <f>IFERROR(__xludf.DUMMYFUNCTION("""COMPUTED_VALUE"""),"agree")</f>
        <v>agree</v>
      </c>
      <c r="U54" s="3" t="str">
        <f>IFERROR(__xludf.DUMMYFUNCTION("""COMPUTED_VALUE"""),"dontknow")</f>
        <v>dontknow</v>
      </c>
      <c r="V54" s="3" t="str">
        <f>IFERROR(__xludf.DUMMYFUNCTION("""COMPUTED_VALUE"""),"agree")</f>
        <v>agree</v>
      </c>
      <c r="W54" s="3" t="str">
        <f>IFERROR(__xludf.DUMMYFUNCTION("""COMPUTED_VALUE"""),"disagree")</f>
        <v>disagree</v>
      </c>
      <c r="X54" s="3" t="str">
        <f>IFERROR(__xludf.DUMMYFUNCTION("""COMPUTED_VALUE"""),"Gold")</f>
        <v>Gold</v>
      </c>
      <c r="Y54" s="3" t="str">
        <f>IFERROR(__xludf.DUMMYFUNCTION("""COMPUTED_VALUE"""),"insurance")</f>
        <v>insurance</v>
      </c>
      <c r="Z54" s="3" t="str">
        <f>IFERROR(__xludf.DUMMYFUNCTION("""COMPUTED_VALUE"""),"monthly")</f>
        <v>monthly</v>
      </c>
      <c r="AA54" s="3">
        <f>IFERROR(__xludf.DUMMYFUNCTION("""COMPUTED_VALUE"""),50.0)</f>
        <v>50</v>
      </c>
      <c r="AB54" s="3" t="str">
        <f>IFERROR(__xludf.DUMMYFUNCTION("""COMPUTED_VALUE"""),"online")</f>
        <v>online</v>
      </c>
      <c r="AC54" s="3" t="str">
        <f>IFERROR(__xludf.DUMMYFUNCTION("""COMPUTED_VALUE"""),"I am not an employer")</f>
        <v>I am not an employer</v>
      </c>
      <c r="AD54" s="3"/>
      <c r="AE54" s="3"/>
      <c r="AF54" s="3" t="str">
        <f>IFERROR(__xludf.DUMMYFUNCTION("""COMPUTED_VALUE"""),"Yes")</f>
        <v>Yes</v>
      </c>
      <c r="AG54" s="3" t="str">
        <f>IFERROR(__xludf.DUMMYFUNCTION("""COMPUTED_VALUE"""),"No")</f>
        <v>No</v>
      </c>
      <c r="AH54" s="3"/>
      <c r="AI54" s="3">
        <f>IFERROR(__xludf.DUMMYFUNCTION("""COMPUTED_VALUE"""),0.0)</f>
        <v>0</v>
      </c>
      <c r="AJ54" s="3">
        <f>IFERROR(__xludf.DUMMYFUNCTION("""COMPUTED_VALUE"""),0.0)</f>
        <v>0</v>
      </c>
      <c r="AK54" s="3">
        <f>IFERROR(__xludf.DUMMYFUNCTION("""COMPUTED_VALUE"""),0.0)</f>
        <v>0</v>
      </c>
      <c r="AL54" s="3">
        <f>IFERROR(__xludf.DUMMYFUNCTION("""COMPUTED_VALUE"""),1.0)</f>
        <v>1</v>
      </c>
      <c r="AM54" s="3" t="str">
        <f>IFERROR(__xludf.DUMMYFUNCTION("""COMPUTED_VALUE"""),"No")</f>
        <v>No</v>
      </c>
      <c r="AN54" s="3"/>
      <c r="AO54" s="3"/>
      <c r="AP54" s="3">
        <f>IFERROR(__xludf.DUMMYFUNCTION("""COMPUTED_VALUE"""),4.87937854E8)</f>
        <v>487937854</v>
      </c>
      <c r="AQ54" s="3" t="str">
        <f>IFERROR(__xludf.DUMMYFUNCTION("""COMPUTED_VALUE"""),"8f7cf146-5427-47e4-943c-2a56a7df2255")</f>
        <v>8f7cf146-5427-47e4-943c-2a56a7df2255</v>
      </c>
      <c r="AR54" s="3">
        <f>IFERROR(__xludf.DUMMYFUNCTION("""COMPUTED_VALUE"""),45805.575833333336)</f>
        <v>45805.57583</v>
      </c>
      <c r="AS54" s="3"/>
      <c r="AT54" s="3"/>
      <c r="AU54" s="3" t="str">
        <f>IFERROR(__xludf.DUMMYFUNCTION("""COMPUTED_VALUE"""),"submitted_via_web")</f>
        <v>submitted_via_web</v>
      </c>
      <c r="AV54" s="3"/>
      <c r="AW54" s="3" t="str">
        <f>IFERROR(__xludf.DUMMYFUNCTION("""COMPUTED_VALUE"""),"vL333fTXttq2bepEBmPumB")</f>
        <v>vL333fTXttq2bepEBmPumB</v>
      </c>
      <c r="AX54" s="3"/>
      <c r="AY54" s="3">
        <f>IFERROR(__xludf.DUMMYFUNCTION("""COMPUTED_VALUE"""),53.0)</f>
        <v>53</v>
      </c>
    </row>
    <row r="55">
      <c r="A55" s="3" t="str">
        <f>IFERROR(__xludf.DUMMYFUNCTION("""COMPUTED_VALUE"""),"Yes")</f>
        <v>Yes</v>
      </c>
      <c r="B55" s="3"/>
      <c r="C55" s="3" t="str">
        <f>IFERROR(__xludf.DUMMYFUNCTION("""COMPUTED_VALUE"""),"zimbabwe")</f>
        <v>zimbabwe</v>
      </c>
      <c r="D55" s="3"/>
      <c r="E55" s="3" t="str">
        <f>IFERROR(__xludf.DUMMYFUNCTION("""COMPUTED_VALUE"""),"south_africa")</f>
        <v>south_africa</v>
      </c>
      <c r="F55" s="3" t="str">
        <f>IFERROR(__xludf.DUMMYFUNCTION("""COMPUTED_VALUE"""),"City of Johannesburg Metropolitan Municipality")</f>
        <v>City of Johannesburg Metropolitan Municipality</v>
      </c>
      <c r="G55" s="3">
        <f>IFERROR(__xludf.DUMMYFUNCTION("""COMPUTED_VALUE"""),37.0)</f>
        <v>37</v>
      </c>
      <c r="H55" s="3" t="str">
        <f>IFERROR(__xludf.DUMMYFUNCTION("""COMPUTED_VALUE"""),"male")</f>
        <v>male</v>
      </c>
      <c r="I55" s="3" t="str">
        <f>IFERROR(__xludf.DUMMYFUNCTION("""COMPUTED_VALUE"""),"over5")</f>
        <v>over5</v>
      </c>
      <c r="J55" s="3" t="str">
        <f>IFERROR(__xludf.DUMMYFUNCTION("""COMPUTED_VALUE"""),"formal")</f>
        <v>formal</v>
      </c>
      <c r="K55" s="3" t="str">
        <f>IFERROR(__xludf.DUMMYFUNCTION("""COMPUTED_VALUE"""),"tertiary")</f>
        <v>tertiary</v>
      </c>
      <c r="L55" s="3"/>
      <c r="M55" s="3" t="str">
        <f>IFERROR(__xludf.DUMMYFUNCTION("""COMPUTED_VALUE"""),"agree")</f>
        <v>agree</v>
      </c>
      <c r="N55" s="3" t="str">
        <f>IFERROR(__xludf.DUMMYFUNCTION("""COMPUTED_VALUE"""),"agree")</f>
        <v>agree</v>
      </c>
      <c r="O55" s="3" t="str">
        <f>IFERROR(__xludf.DUMMYFUNCTION("""COMPUTED_VALUE"""),"agree")</f>
        <v>agree</v>
      </c>
      <c r="P55" s="3"/>
      <c r="Q55" s="3" t="str">
        <f>IFERROR(__xludf.DUMMYFUNCTION("""COMPUTED_VALUE"""),"disagree")</f>
        <v>disagree</v>
      </c>
      <c r="R55" s="3" t="str">
        <f>IFERROR(__xludf.DUMMYFUNCTION("""COMPUTED_VALUE"""),"agree")</f>
        <v>agree</v>
      </c>
      <c r="S55" s="3" t="str">
        <f>IFERROR(__xludf.DUMMYFUNCTION("""COMPUTED_VALUE"""),"disagree")</f>
        <v>disagree</v>
      </c>
      <c r="T55" s="3" t="str">
        <f>IFERROR(__xludf.DUMMYFUNCTION("""COMPUTED_VALUE"""),"disagree")</f>
        <v>disagree</v>
      </c>
      <c r="U55" s="3" t="str">
        <f>IFERROR(__xludf.DUMMYFUNCTION("""COMPUTED_VALUE"""),"disagree")</f>
        <v>disagree</v>
      </c>
      <c r="V55" s="3" t="str">
        <f>IFERROR(__xludf.DUMMYFUNCTION("""COMPUTED_VALUE"""),"dontknow")</f>
        <v>dontknow</v>
      </c>
      <c r="W55" s="3" t="str">
        <f>IFERROR(__xludf.DUMMYFUNCTION("""COMPUTED_VALUE"""),"disagree")</f>
        <v>disagree</v>
      </c>
      <c r="X55" s="3" t="str">
        <f>IFERROR(__xludf.DUMMYFUNCTION("""COMPUTED_VALUE"""),"Platinum")</f>
        <v>Platinum</v>
      </c>
      <c r="Y55" s="3" t="str">
        <f>IFERROR(__xludf.DUMMYFUNCTION("""COMPUTED_VALUE"""),"insurance")</f>
        <v>insurance</v>
      </c>
      <c r="Z55" s="3" t="str">
        <f>IFERROR(__xludf.DUMMYFUNCTION("""COMPUTED_VALUE"""),"monthly")</f>
        <v>monthly</v>
      </c>
      <c r="AA55" s="3">
        <f>IFERROR(__xludf.DUMMYFUNCTION("""COMPUTED_VALUE"""),50.0)</f>
        <v>50</v>
      </c>
      <c r="AB55" s="3" t="str">
        <f>IFERROR(__xludf.DUMMYFUNCTION("""COMPUTED_VALUE"""),"online")</f>
        <v>online</v>
      </c>
      <c r="AC55" s="3" t="str">
        <f>IFERROR(__xludf.DUMMYFUNCTION("""COMPUTED_VALUE"""),"I am not an employer")</f>
        <v>I am not an employer</v>
      </c>
      <c r="AD55" s="3"/>
      <c r="AE55" s="3"/>
      <c r="AF55" s="3" t="str">
        <f>IFERROR(__xludf.DUMMYFUNCTION("""COMPUTED_VALUE"""),"Yes")</f>
        <v>Yes</v>
      </c>
      <c r="AG55" s="3" t="str">
        <f>IFERROR(__xludf.DUMMYFUNCTION("""COMPUTED_VALUE"""),"No")</f>
        <v>No</v>
      </c>
      <c r="AH55" s="3"/>
      <c r="AI55" s="3">
        <f>IFERROR(__xludf.DUMMYFUNCTION("""COMPUTED_VALUE"""),0.0)</f>
        <v>0</v>
      </c>
      <c r="AJ55" s="3">
        <f>IFERROR(__xludf.DUMMYFUNCTION("""COMPUTED_VALUE"""),0.0)</f>
        <v>0</v>
      </c>
      <c r="AK55" s="3">
        <f>IFERROR(__xludf.DUMMYFUNCTION("""COMPUTED_VALUE"""),1.0)</f>
        <v>1</v>
      </c>
      <c r="AL55" s="3">
        <f>IFERROR(__xludf.DUMMYFUNCTION("""COMPUTED_VALUE"""),0.0)</f>
        <v>0</v>
      </c>
      <c r="AM55" s="3" t="str">
        <f>IFERROR(__xludf.DUMMYFUNCTION("""COMPUTED_VALUE"""),"No")</f>
        <v>No</v>
      </c>
      <c r="AN55" s="3"/>
      <c r="AO55" s="3"/>
      <c r="AP55" s="3">
        <f>IFERROR(__xludf.DUMMYFUNCTION("""COMPUTED_VALUE"""),4.87977877E8)</f>
        <v>487977877</v>
      </c>
      <c r="AQ55" s="3" t="str">
        <f>IFERROR(__xludf.DUMMYFUNCTION("""COMPUTED_VALUE"""),"0f1eedd1-7c3d-4628-ba89-29945a091a28")</f>
        <v>0f1eedd1-7c3d-4628-ba89-29945a091a28</v>
      </c>
      <c r="AR55" s="3">
        <f>IFERROR(__xludf.DUMMYFUNCTION("""COMPUTED_VALUE"""),45805.59931712963)</f>
        <v>45805.59932</v>
      </c>
      <c r="AS55" s="3"/>
      <c r="AT55" s="3"/>
      <c r="AU55" s="3" t="str">
        <f>IFERROR(__xludf.DUMMYFUNCTION("""COMPUTED_VALUE"""),"submitted_via_web")</f>
        <v>submitted_via_web</v>
      </c>
      <c r="AV55" s="3"/>
      <c r="AW55" s="3" t="str">
        <f>IFERROR(__xludf.DUMMYFUNCTION("""COMPUTED_VALUE"""),"vyQ2YQjU4ktbYYqmXjw6CP")</f>
        <v>vyQ2YQjU4ktbYYqmXjw6CP</v>
      </c>
      <c r="AX55" s="3"/>
      <c r="AY55" s="3">
        <f>IFERROR(__xludf.DUMMYFUNCTION("""COMPUTED_VALUE"""),54.0)</f>
        <v>54</v>
      </c>
    </row>
    <row r="56">
      <c r="A56" s="3" t="str">
        <f>IFERROR(__xludf.DUMMYFUNCTION("""COMPUTED_VALUE"""),"Yes")</f>
        <v>Yes</v>
      </c>
      <c r="B56" s="3"/>
      <c r="C56" s="3" t="str">
        <f>IFERROR(__xludf.DUMMYFUNCTION("""COMPUTED_VALUE"""),"zimbabwe")</f>
        <v>zimbabwe</v>
      </c>
      <c r="D56" s="3"/>
      <c r="E56" s="3" t="str">
        <f>IFERROR(__xludf.DUMMYFUNCTION("""COMPUTED_VALUE"""),"south_africa")</f>
        <v>south_africa</v>
      </c>
      <c r="F56" s="3" t="str">
        <f>IFERROR(__xludf.DUMMYFUNCTION("""COMPUTED_VALUE"""),"City of Johannesburg Metropolitan Municipality")</f>
        <v>City of Johannesburg Metropolitan Municipality</v>
      </c>
      <c r="G56" s="3">
        <f>IFERROR(__xludf.DUMMYFUNCTION("""COMPUTED_VALUE"""),44.0)</f>
        <v>44</v>
      </c>
      <c r="H56" s="3" t="str">
        <f>IFERROR(__xludf.DUMMYFUNCTION("""COMPUTED_VALUE"""),"female")</f>
        <v>female</v>
      </c>
      <c r="I56" s="3" t="str">
        <f>IFERROR(__xludf.DUMMYFUNCTION("""COMPUTED_VALUE"""),"over5")</f>
        <v>over5</v>
      </c>
      <c r="J56" s="3" t="str">
        <f>IFERROR(__xludf.DUMMYFUNCTION("""COMPUTED_VALUE"""),"ownbusiness")</f>
        <v>ownbusiness</v>
      </c>
      <c r="K56" s="3" t="str">
        <f>IFERROR(__xludf.DUMMYFUNCTION("""COMPUTED_VALUE"""),"tertiary")</f>
        <v>tertiary</v>
      </c>
      <c r="L56" s="3"/>
      <c r="M56" s="3" t="str">
        <f>IFERROR(__xludf.DUMMYFUNCTION("""COMPUTED_VALUE"""),"agree")</f>
        <v>agree</v>
      </c>
      <c r="N56" s="3" t="str">
        <f>IFERROR(__xludf.DUMMYFUNCTION("""COMPUTED_VALUE"""),"agree")</f>
        <v>agree</v>
      </c>
      <c r="O56" s="3" t="str">
        <f>IFERROR(__xludf.DUMMYFUNCTION("""COMPUTED_VALUE"""),"agree")</f>
        <v>agree</v>
      </c>
      <c r="P56" s="3"/>
      <c r="Q56" s="3" t="str">
        <f>IFERROR(__xludf.DUMMYFUNCTION("""COMPUTED_VALUE"""),"disagree")</f>
        <v>disagree</v>
      </c>
      <c r="R56" s="3" t="str">
        <f>IFERROR(__xludf.DUMMYFUNCTION("""COMPUTED_VALUE"""),"agree")</f>
        <v>agree</v>
      </c>
      <c r="S56" s="3" t="str">
        <f>IFERROR(__xludf.DUMMYFUNCTION("""COMPUTED_VALUE"""),"disagree")</f>
        <v>disagree</v>
      </c>
      <c r="T56" s="3" t="str">
        <f>IFERROR(__xludf.DUMMYFUNCTION("""COMPUTED_VALUE"""),"disagree")</f>
        <v>disagree</v>
      </c>
      <c r="U56" s="3" t="str">
        <f>IFERROR(__xludf.DUMMYFUNCTION("""COMPUTED_VALUE"""),"agree")</f>
        <v>agree</v>
      </c>
      <c r="V56" s="3" t="str">
        <f>IFERROR(__xludf.DUMMYFUNCTION("""COMPUTED_VALUE"""),"agree")</f>
        <v>agree</v>
      </c>
      <c r="W56" s="3" t="str">
        <f>IFERROR(__xludf.DUMMYFUNCTION("""COMPUTED_VALUE"""),"disagree")</f>
        <v>disagree</v>
      </c>
      <c r="X56" s="3" t="str">
        <f>IFERROR(__xludf.DUMMYFUNCTION("""COMPUTED_VALUE"""),"Platinum")</f>
        <v>Platinum</v>
      </c>
      <c r="Y56" s="3" t="str">
        <f>IFERROR(__xludf.DUMMYFUNCTION("""COMPUTED_VALUE"""),"insurance")</f>
        <v>insurance</v>
      </c>
      <c r="Z56" s="3" t="str">
        <f>IFERROR(__xludf.DUMMYFUNCTION("""COMPUTED_VALUE"""),"monthly")</f>
        <v>monthly</v>
      </c>
      <c r="AA56" s="3">
        <f>IFERROR(__xludf.DUMMYFUNCTION("""COMPUTED_VALUE"""),100.0)</f>
        <v>100</v>
      </c>
      <c r="AB56" s="3" t="str">
        <f>IFERROR(__xludf.DUMMYFUNCTION("""COMPUTED_VALUE"""),"assisted")</f>
        <v>assisted</v>
      </c>
      <c r="AC56" s="3" t="str">
        <f>IFERROR(__xludf.DUMMYFUNCTION("""COMPUTED_VALUE"""),"I am not an employer")</f>
        <v>I am not an employer</v>
      </c>
      <c r="AD56" s="3"/>
      <c r="AE56" s="3"/>
      <c r="AF56" s="3" t="str">
        <f>IFERROR(__xludf.DUMMYFUNCTION("""COMPUTED_VALUE"""),"Yes")</f>
        <v>Yes</v>
      </c>
      <c r="AG56" s="3" t="str">
        <f>IFERROR(__xludf.DUMMYFUNCTION("""COMPUTED_VALUE"""),"No")</f>
        <v>No</v>
      </c>
      <c r="AH56" s="3"/>
      <c r="AI56" s="3">
        <f>IFERROR(__xludf.DUMMYFUNCTION("""COMPUTED_VALUE"""),0.0)</f>
        <v>0</v>
      </c>
      <c r="AJ56" s="3">
        <f>IFERROR(__xludf.DUMMYFUNCTION("""COMPUTED_VALUE"""),1.0)</f>
        <v>1</v>
      </c>
      <c r="AK56" s="3">
        <f>IFERROR(__xludf.DUMMYFUNCTION("""COMPUTED_VALUE"""),1.0)</f>
        <v>1</v>
      </c>
      <c r="AL56" s="3">
        <f>IFERROR(__xludf.DUMMYFUNCTION("""COMPUTED_VALUE"""),0.0)</f>
        <v>0</v>
      </c>
      <c r="AM56" s="3" t="str">
        <f>IFERROR(__xludf.DUMMYFUNCTION("""COMPUTED_VALUE"""),"No")</f>
        <v>No</v>
      </c>
      <c r="AN56" s="3"/>
      <c r="AO56" s="3"/>
      <c r="AP56" s="3">
        <f>IFERROR(__xludf.DUMMYFUNCTION("""COMPUTED_VALUE"""),4.88028391E8)</f>
        <v>488028391</v>
      </c>
      <c r="AQ56" s="3" t="str">
        <f>IFERROR(__xludf.DUMMYFUNCTION("""COMPUTED_VALUE"""),"00e373c9-ab92-4ae1-8a93-df8c5450e84f")</f>
        <v>00e373c9-ab92-4ae1-8a93-df8c5450e84f</v>
      </c>
      <c r="AR56" s="3">
        <f>IFERROR(__xludf.DUMMYFUNCTION("""COMPUTED_VALUE"""),45805.62755787037)</f>
        <v>45805.62756</v>
      </c>
      <c r="AS56" s="3"/>
      <c r="AT56" s="3"/>
      <c r="AU56" s="3" t="str">
        <f>IFERROR(__xludf.DUMMYFUNCTION("""COMPUTED_VALUE"""),"submitted_via_web")</f>
        <v>submitted_via_web</v>
      </c>
      <c r="AV56" s="3"/>
      <c r="AW56" s="3" t="str">
        <f>IFERROR(__xludf.DUMMYFUNCTION("""COMPUTED_VALUE"""),"vyQ2YQjU4ktbYYqmXjw6CP")</f>
        <v>vyQ2YQjU4ktbYYqmXjw6CP</v>
      </c>
      <c r="AX56" s="3"/>
      <c r="AY56" s="3">
        <f>IFERROR(__xludf.DUMMYFUNCTION("""COMPUTED_VALUE"""),55.0)</f>
        <v>55</v>
      </c>
    </row>
    <row r="57">
      <c r="A57" s="3" t="str">
        <f>IFERROR(__xludf.DUMMYFUNCTION("""COMPUTED_VALUE"""),"Yes")</f>
        <v>Yes</v>
      </c>
      <c r="B57" s="3"/>
      <c r="C57" s="3" t="str">
        <f>IFERROR(__xludf.DUMMYFUNCTION("""COMPUTED_VALUE"""),"zimbabwe")</f>
        <v>zimbabwe</v>
      </c>
      <c r="D57" s="3"/>
      <c r="E57" s="3" t="str">
        <f>IFERROR(__xludf.DUMMYFUNCTION("""COMPUTED_VALUE"""),"south_africa")</f>
        <v>south_africa</v>
      </c>
      <c r="F57" s="3" t="str">
        <f>IFERROR(__xludf.DUMMYFUNCTION("""COMPUTED_VALUE"""),"City of Tshwane Metropolitan Municipality")</f>
        <v>City of Tshwane Metropolitan Municipality</v>
      </c>
      <c r="G57" s="3">
        <f>IFERROR(__xludf.DUMMYFUNCTION("""COMPUTED_VALUE"""),45.0)</f>
        <v>45</v>
      </c>
      <c r="H57" s="3" t="str">
        <f>IFERROR(__xludf.DUMMYFUNCTION("""COMPUTED_VALUE"""),"female")</f>
        <v>female</v>
      </c>
      <c r="I57" s="3" t="str">
        <f>IFERROR(__xludf.DUMMYFUNCTION("""COMPUTED_VALUE"""),"over5")</f>
        <v>over5</v>
      </c>
      <c r="J57" s="3" t="str">
        <f>IFERROR(__xludf.DUMMYFUNCTION("""COMPUTED_VALUE"""),"ownbusiness")</f>
        <v>ownbusiness</v>
      </c>
      <c r="K57" s="3" t="str">
        <f>IFERROR(__xludf.DUMMYFUNCTION("""COMPUTED_VALUE"""),"tertiary")</f>
        <v>tertiary</v>
      </c>
      <c r="L57" s="3"/>
      <c r="M57" s="3" t="str">
        <f>IFERROR(__xludf.DUMMYFUNCTION("""COMPUTED_VALUE"""),"agree")</f>
        <v>agree</v>
      </c>
      <c r="N57" s="3" t="str">
        <f>IFERROR(__xludf.DUMMYFUNCTION("""COMPUTED_VALUE"""),"agree")</f>
        <v>agree</v>
      </c>
      <c r="O57" s="3" t="str">
        <f>IFERROR(__xludf.DUMMYFUNCTION("""COMPUTED_VALUE"""),"disagree")</f>
        <v>disagree</v>
      </c>
      <c r="P57" s="3"/>
      <c r="Q57" s="3" t="str">
        <f>IFERROR(__xludf.DUMMYFUNCTION("""COMPUTED_VALUE"""),"agree")</f>
        <v>agree</v>
      </c>
      <c r="R57" s="3" t="str">
        <f>IFERROR(__xludf.DUMMYFUNCTION("""COMPUTED_VALUE"""),"agree")</f>
        <v>agree</v>
      </c>
      <c r="S57" s="3" t="str">
        <f>IFERROR(__xludf.DUMMYFUNCTION("""COMPUTED_VALUE"""),"disagree")</f>
        <v>disagree</v>
      </c>
      <c r="T57" s="3" t="str">
        <f>IFERROR(__xludf.DUMMYFUNCTION("""COMPUTED_VALUE"""),"agree")</f>
        <v>agree</v>
      </c>
      <c r="U57" s="3" t="str">
        <f>IFERROR(__xludf.DUMMYFUNCTION("""COMPUTED_VALUE"""),"agree")</f>
        <v>agree</v>
      </c>
      <c r="V57" s="3" t="str">
        <f>IFERROR(__xludf.DUMMYFUNCTION("""COMPUTED_VALUE"""),"agree")</f>
        <v>agree</v>
      </c>
      <c r="W57" s="3" t="str">
        <f>IFERROR(__xludf.DUMMYFUNCTION("""COMPUTED_VALUE"""),"disagree")</f>
        <v>disagree</v>
      </c>
      <c r="X57" s="3" t="str">
        <f>IFERROR(__xludf.DUMMYFUNCTION("""COMPUTED_VALUE"""),"Gold")</f>
        <v>Gold</v>
      </c>
      <c r="Y57" s="3" t="str">
        <f>IFERROR(__xludf.DUMMYFUNCTION("""COMPUTED_VALUE"""),"cash")</f>
        <v>cash</v>
      </c>
      <c r="Z57" s="3" t="str">
        <f>IFERROR(__xludf.DUMMYFUNCTION("""COMPUTED_VALUE"""),"once")</f>
        <v>once</v>
      </c>
      <c r="AA57" s="3">
        <f>IFERROR(__xludf.DUMMYFUNCTION("""COMPUTED_VALUE"""),100.0)</f>
        <v>100</v>
      </c>
      <c r="AB57" s="3" t="str">
        <f>IFERROR(__xludf.DUMMYFUNCTION("""COMPUTED_VALUE"""),"assisted")</f>
        <v>assisted</v>
      </c>
      <c r="AC57" s="3" t="str">
        <f>IFERROR(__xludf.DUMMYFUNCTION("""COMPUTED_VALUE"""),"I am not an employer")</f>
        <v>I am not an employer</v>
      </c>
      <c r="AD57" s="3"/>
      <c r="AE57" s="3"/>
      <c r="AF57" s="3" t="str">
        <f>IFERROR(__xludf.DUMMYFUNCTION("""COMPUTED_VALUE"""),"Yes")</f>
        <v>Yes</v>
      </c>
      <c r="AG57" s="3" t="str">
        <f>IFERROR(__xludf.DUMMYFUNCTION("""COMPUTED_VALUE"""),"Yes")</f>
        <v>Yes</v>
      </c>
      <c r="AH57" s="3"/>
      <c r="AI57" s="3">
        <f>IFERROR(__xludf.DUMMYFUNCTION("""COMPUTED_VALUE"""),0.0)</f>
        <v>0</v>
      </c>
      <c r="AJ57" s="3">
        <f>IFERROR(__xludf.DUMMYFUNCTION("""COMPUTED_VALUE"""),0.0)</f>
        <v>0</v>
      </c>
      <c r="AK57" s="3">
        <f>IFERROR(__xludf.DUMMYFUNCTION("""COMPUTED_VALUE"""),0.0)</f>
        <v>0</v>
      </c>
      <c r="AL57" s="3">
        <f>IFERROR(__xludf.DUMMYFUNCTION("""COMPUTED_VALUE"""),1.0)</f>
        <v>1</v>
      </c>
      <c r="AM57" s="3" t="str">
        <f>IFERROR(__xludf.DUMMYFUNCTION("""COMPUTED_VALUE"""),"Yes")</f>
        <v>Yes</v>
      </c>
      <c r="AN57" s="3">
        <f>IFERROR(__xludf.DUMMYFUNCTION("""COMPUTED_VALUE"""),7.39553284E8)</f>
        <v>739553284</v>
      </c>
      <c r="AO57" s="3"/>
      <c r="AP57" s="3">
        <f>IFERROR(__xludf.DUMMYFUNCTION("""COMPUTED_VALUE"""),4.8804228E8)</f>
        <v>488042280</v>
      </c>
      <c r="AQ57" s="3" t="str">
        <f>IFERROR(__xludf.DUMMYFUNCTION("""COMPUTED_VALUE"""),"c0a1aa60-433d-4830-90c4-270cf0a9318e")</f>
        <v>c0a1aa60-433d-4830-90c4-270cf0a9318e</v>
      </c>
      <c r="AR57" s="3">
        <f>IFERROR(__xludf.DUMMYFUNCTION("""COMPUTED_VALUE"""),45805.635358796295)</f>
        <v>45805.63536</v>
      </c>
      <c r="AS57" s="3"/>
      <c r="AT57" s="3"/>
      <c r="AU57" s="3" t="str">
        <f>IFERROR(__xludf.DUMMYFUNCTION("""COMPUTED_VALUE"""),"submitted_via_web")</f>
        <v>submitted_via_web</v>
      </c>
      <c r="AV57" s="3"/>
      <c r="AW57" s="3" t="str">
        <f>IFERROR(__xludf.DUMMYFUNCTION("""COMPUTED_VALUE"""),"vyQ2YQjU4ktbYYqmXjw6CP")</f>
        <v>vyQ2YQjU4ktbYYqmXjw6CP</v>
      </c>
      <c r="AX57" s="3"/>
      <c r="AY57" s="3">
        <f>IFERROR(__xludf.DUMMYFUNCTION("""COMPUTED_VALUE"""),56.0)</f>
        <v>56</v>
      </c>
    </row>
    <row r="58">
      <c r="A58" s="3" t="str">
        <f>IFERROR(__xludf.DUMMYFUNCTION("""COMPUTED_VALUE"""),"Yes")</f>
        <v>Yes</v>
      </c>
      <c r="B58" s="3"/>
      <c r="C58" s="3" t="str">
        <f>IFERROR(__xludf.DUMMYFUNCTION("""COMPUTED_VALUE"""),"mozambique")</f>
        <v>mozambique</v>
      </c>
      <c r="D58" s="3"/>
      <c r="E58" s="3" t="str">
        <f>IFERROR(__xludf.DUMMYFUNCTION("""COMPUTED_VALUE"""),"mozambique")</f>
        <v>mozambique</v>
      </c>
      <c r="F58" s="3"/>
      <c r="G58" s="3">
        <f>IFERROR(__xludf.DUMMYFUNCTION("""COMPUTED_VALUE"""),53.0)</f>
        <v>53</v>
      </c>
      <c r="H58" s="3" t="str">
        <f>IFERROR(__xludf.DUMMYFUNCTION("""COMPUTED_VALUE"""),"male")</f>
        <v>male</v>
      </c>
      <c r="I58" s="3"/>
      <c r="J58" s="3" t="str">
        <f>IFERROR(__xludf.DUMMYFUNCTION("""COMPUTED_VALUE"""),"formal")</f>
        <v>formal</v>
      </c>
      <c r="K58" s="3" t="str">
        <f>IFERROR(__xludf.DUMMYFUNCTION("""COMPUTED_VALUE"""),"tertiary")</f>
        <v>tertiary</v>
      </c>
      <c r="L58" s="3"/>
      <c r="M58" s="3" t="str">
        <f>IFERROR(__xludf.DUMMYFUNCTION("""COMPUTED_VALUE"""),"agree")</f>
        <v>agree</v>
      </c>
      <c r="N58" s="3" t="str">
        <f>IFERROR(__xludf.DUMMYFUNCTION("""COMPUTED_VALUE"""),"agree")</f>
        <v>agree</v>
      </c>
      <c r="O58" s="3" t="str">
        <f>IFERROR(__xludf.DUMMYFUNCTION("""COMPUTED_VALUE"""),"dontknow")</f>
        <v>dontknow</v>
      </c>
      <c r="P58" s="3"/>
      <c r="Q58" s="3" t="str">
        <f>IFERROR(__xludf.DUMMYFUNCTION("""COMPUTED_VALUE"""),"disagree")</f>
        <v>disagree</v>
      </c>
      <c r="R58" s="3" t="str">
        <f>IFERROR(__xludf.DUMMYFUNCTION("""COMPUTED_VALUE"""),"agree")</f>
        <v>agree</v>
      </c>
      <c r="S58" s="3" t="str">
        <f>IFERROR(__xludf.DUMMYFUNCTION("""COMPUTED_VALUE"""),"disagree")</f>
        <v>disagree</v>
      </c>
      <c r="T58" s="3" t="str">
        <f>IFERROR(__xludf.DUMMYFUNCTION("""COMPUTED_VALUE"""),"disagree")</f>
        <v>disagree</v>
      </c>
      <c r="U58" s="3" t="str">
        <f>IFERROR(__xludf.DUMMYFUNCTION("""COMPUTED_VALUE"""),"dontknow")</f>
        <v>dontknow</v>
      </c>
      <c r="V58" s="3" t="str">
        <f>IFERROR(__xludf.DUMMYFUNCTION("""COMPUTED_VALUE"""),"agree")</f>
        <v>agree</v>
      </c>
      <c r="W58" s="3" t="str">
        <f>IFERROR(__xludf.DUMMYFUNCTION("""COMPUTED_VALUE"""),"disagree")</f>
        <v>disagree</v>
      </c>
      <c r="X58" s="3" t="str">
        <f>IFERROR(__xludf.DUMMYFUNCTION("""COMPUTED_VALUE"""),"Silver")</f>
        <v>Silver</v>
      </c>
      <c r="Y58" s="3"/>
      <c r="Z58" s="3" t="str">
        <f>IFERROR(__xludf.DUMMYFUNCTION("""COMPUTED_VALUE"""),"quarterly")</f>
        <v>quarterly</v>
      </c>
      <c r="AA58" s="3">
        <f>IFERROR(__xludf.DUMMYFUNCTION("""COMPUTED_VALUE"""),10.0)</f>
        <v>10</v>
      </c>
      <c r="AB58" s="3" t="str">
        <f>IFERROR(__xludf.DUMMYFUNCTION("""COMPUTED_VALUE"""),"online")</f>
        <v>online</v>
      </c>
      <c r="AC58" s="3"/>
      <c r="AD58" s="3"/>
      <c r="AE58" s="3"/>
      <c r="AF58" s="3" t="str">
        <f>IFERROR(__xludf.DUMMYFUNCTION("""COMPUTED_VALUE"""),"Yes")</f>
        <v>Yes</v>
      </c>
      <c r="AG58" s="3" t="str">
        <f>IFERROR(__xludf.DUMMYFUNCTION("""COMPUTED_VALUE"""),"No")</f>
        <v>No</v>
      </c>
      <c r="AH58" s="3"/>
      <c r="AI58" s="3">
        <f>IFERROR(__xludf.DUMMYFUNCTION("""COMPUTED_VALUE"""),0.0)</f>
        <v>0</v>
      </c>
      <c r="AJ58" s="3">
        <f>IFERROR(__xludf.DUMMYFUNCTION("""COMPUTED_VALUE"""),0.0)</f>
        <v>0</v>
      </c>
      <c r="AK58" s="3">
        <f>IFERROR(__xludf.DUMMYFUNCTION("""COMPUTED_VALUE"""),0.0)</f>
        <v>0</v>
      </c>
      <c r="AL58" s="3">
        <f>IFERROR(__xludf.DUMMYFUNCTION("""COMPUTED_VALUE"""),1.0)</f>
        <v>1</v>
      </c>
      <c r="AM58" s="3"/>
      <c r="AN58" s="3"/>
      <c r="AO58" s="3"/>
      <c r="AP58" s="3">
        <f>IFERROR(__xludf.DUMMYFUNCTION("""COMPUTED_VALUE"""),4.88064602E8)</f>
        <v>488064602</v>
      </c>
      <c r="AQ58" s="3" t="str">
        <f>IFERROR(__xludf.DUMMYFUNCTION("""COMPUTED_VALUE"""),"26c50013-61d8-459c-baee-5f9f39d7eb93")</f>
        <v>26c50013-61d8-459c-baee-5f9f39d7eb93</v>
      </c>
      <c r="AR58" s="3">
        <f>IFERROR(__xludf.DUMMYFUNCTION("""COMPUTED_VALUE"""),45805.64787037037)</f>
        <v>45805.64787</v>
      </c>
      <c r="AS58" s="3"/>
      <c r="AT58" s="3"/>
      <c r="AU58" s="3" t="str">
        <f>IFERROR(__xludf.DUMMYFUNCTION("""COMPUTED_VALUE"""),"submitted_via_web")</f>
        <v>submitted_via_web</v>
      </c>
      <c r="AV58" s="3"/>
      <c r="AW58" s="3" t="str">
        <f>IFERROR(__xludf.DUMMYFUNCTION("""COMPUTED_VALUE"""),"vyQ2YQjU4ktbYYqmXjw6CP")</f>
        <v>vyQ2YQjU4ktbYYqmXjw6CP</v>
      </c>
      <c r="AX58" s="3"/>
      <c r="AY58" s="3">
        <f>IFERROR(__xludf.DUMMYFUNCTION("""COMPUTED_VALUE"""),57.0)</f>
        <v>57</v>
      </c>
    </row>
    <row r="59">
      <c r="A59" s="3" t="str">
        <f>IFERROR(__xludf.DUMMYFUNCTION("""COMPUTED_VALUE"""),"Yes")</f>
        <v>Yes</v>
      </c>
      <c r="B59" s="3"/>
      <c r="C59" s="3" t="str">
        <f>IFERROR(__xludf.DUMMYFUNCTION("""COMPUTED_VALUE"""),"zimbabwe")</f>
        <v>zimbabwe</v>
      </c>
      <c r="D59" s="3"/>
      <c r="E59" s="3" t="str">
        <f>IFERROR(__xludf.DUMMYFUNCTION("""COMPUTED_VALUE"""),"south_africa")</f>
        <v>south_africa</v>
      </c>
      <c r="F59" s="3" t="str">
        <f>IFERROR(__xludf.DUMMYFUNCTION("""COMPUTED_VALUE"""),"Ehlanzeni District")</f>
        <v>Ehlanzeni District</v>
      </c>
      <c r="G59" s="3">
        <f>IFERROR(__xludf.DUMMYFUNCTION("""COMPUTED_VALUE"""),45.0)</f>
        <v>45</v>
      </c>
      <c r="H59" s="3" t="str">
        <f>IFERROR(__xludf.DUMMYFUNCTION("""COMPUTED_VALUE"""),"male")</f>
        <v>male</v>
      </c>
      <c r="I59" s="3" t="str">
        <f>IFERROR(__xludf.DUMMYFUNCTION("""COMPUTED_VALUE"""),"over5")</f>
        <v>over5</v>
      </c>
      <c r="J59" s="3" t="str">
        <f>IFERROR(__xludf.DUMMYFUNCTION("""COMPUTED_VALUE"""),"formal")</f>
        <v>formal</v>
      </c>
      <c r="K59" s="3" t="str">
        <f>IFERROR(__xludf.DUMMYFUNCTION("""COMPUTED_VALUE"""),"tertiary")</f>
        <v>tertiary</v>
      </c>
      <c r="L59" s="3"/>
      <c r="M59" s="3" t="str">
        <f>IFERROR(__xludf.DUMMYFUNCTION("""COMPUTED_VALUE"""),"agree")</f>
        <v>agree</v>
      </c>
      <c r="N59" s="3" t="str">
        <f>IFERROR(__xludf.DUMMYFUNCTION("""COMPUTED_VALUE"""),"agree")</f>
        <v>agree</v>
      </c>
      <c r="O59" s="3" t="str">
        <f>IFERROR(__xludf.DUMMYFUNCTION("""COMPUTED_VALUE"""),"disagree")</f>
        <v>disagree</v>
      </c>
      <c r="P59" s="3"/>
      <c r="Q59" s="3" t="str">
        <f>IFERROR(__xludf.DUMMYFUNCTION("""COMPUTED_VALUE"""),"disagree")</f>
        <v>disagree</v>
      </c>
      <c r="R59" s="3" t="str">
        <f>IFERROR(__xludf.DUMMYFUNCTION("""COMPUTED_VALUE"""),"disagree")</f>
        <v>disagree</v>
      </c>
      <c r="S59" s="3" t="str">
        <f>IFERROR(__xludf.DUMMYFUNCTION("""COMPUTED_VALUE"""),"disagree")</f>
        <v>disagree</v>
      </c>
      <c r="T59" s="3" t="str">
        <f>IFERROR(__xludf.DUMMYFUNCTION("""COMPUTED_VALUE"""),"disagree")</f>
        <v>disagree</v>
      </c>
      <c r="U59" s="3" t="str">
        <f>IFERROR(__xludf.DUMMYFUNCTION("""COMPUTED_VALUE"""),"disagree")</f>
        <v>disagree</v>
      </c>
      <c r="V59" s="3" t="str">
        <f>IFERROR(__xludf.DUMMYFUNCTION("""COMPUTED_VALUE"""),"disagree")</f>
        <v>disagree</v>
      </c>
      <c r="W59" s="3" t="str">
        <f>IFERROR(__xludf.DUMMYFUNCTION("""COMPUTED_VALUE"""),"disagree")</f>
        <v>disagree</v>
      </c>
      <c r="X59" s="3" t="str">
        <f>IFERROR(__xludf.DUMMYFUNCTION("""COMPUTED_VALUE"""),"Lithium")</f>
        <v>Lithium</v>
      </c>
      <c r="Y59" s="3" t="str">
        <f>IFERROR(__xludf.DUMMYFUNCTION("""COMPUTED_VALUE"""),"insurance")</f>
        <v>insurance</v>
      </c>
      <c r="Z59" s="3" t="str">
        <f>IFERROR(__xludf.DUMMYFUNCTION("""COMPUTED_VALUE"""),"annual")</f>
        <v>annual</v>
      </c>
      <c r="AA59" s="3">
        <f>IFERROR(__xludf.DUMMYFUNCTION("""COMPUTED_VALUE"""),100.0)</f>
        <v>100</v>
      </c>
      <c r="AB59" s="3" t="str">
        <f>IFERROR(__xludf.DUMMYFUNCTION("""COMPUTED_VALUE"""),"employer")</f>
        <v>employer</v>
      </c>
      <c r="AC59" s="3" t="str">
        <f>IFERROR(__xludf.DUMMYFUNCTION("""COMPUTED_VALUE"""),"Yes")</f>
        <v>Yes</v>
      </c>
      <c r="AD59" s="3" t="str">
        <f>IFERROR(__xludf.DUMMYFUNCTION("""COMPUTED_VALUE"""),"Platinum")</f>
        <v>Platinum</v>
      </c>
      <c r="AE59" s="3" t="str">
        <f>IFERROR(__xludf.DUMMYFUNCTION("""COMPUTED_VALUE"""),"Yes")</f>
        <v>Yes</v>
      </c>
      <c r="AF59" s="3" t="str">
        <f>IFERROR(__xludf.DUMMYFUNCTION("""COMPUTED_VALUE"""),"Yes")</f>
        <v>Yes</v>
      </c>
      <c r="AG59" s="3" t="str">
        <f>IFERROR(__xludf.DUMMYFUNCTION("""COMPUTED_VALUE"""),"No")</f>
        <v>No</v>
      </c>
      <c r="AH59" s="3"/>
      <c r="AI59" s="3">
        <f>IFERROR(__xludf.DUMMYFUNCTION("""COMPUTED_VALUE"""),0.0)</f>
        <v>0</v>
      </c>
      <c r="AJ59" s="3">
        <f>IFERROR(__xludf.DUMMYFUNCTION("""COMPUTED_VALUE"""),0.0)</f>
        <v>0</v>
      </c>
      <c r="AK59" s="3">
        <f>IFERROR(__xludf.DUMMYFUNCTION("""COMPUTED_VALUE"""),1.0)</f>
        <v>1</v>
      </c>
      <c r="AL59" s="3">
        <f>IFERROR(__xludf.DUMMYFUNCTION("""COMPUTED_VALUE"""),0.0)</f>
        <v>0</v>
      </c>
      <c r="AM59" s="3" t="str">
        <f>IFERROR(__xludf.DUMMYFUNCTION("""COMPUTED_VALUE"""),"No")</f>
        <v>No</v>
      </c>
      <c r="AN59" s="3"/>
      <c r="AO59" s="3"/>
      <c r="AP59" s="3">
        <f>IFERROR(__xludf.DUMMYFUNCTION("""COMPUTED_VALUE"""),4.88106386E8)</f>
        <v>488106386</v>
      </c>
      <c r="AQ59" s="3" t="str">
        <f>IFERROR(__xludf.DUMMYFUNCTION("""COMPUTED_VALUE"""),"8c7b2d05-3e13-4c3b-b2cd-87d2a0d23a16")</f>
        <v>8c7b2d05-3e13-4c3b-b2cd-87d2a0d23a16</v>
      </c>
      <c r="AR59" s="3">
        <f>IFERROR(__xludf.DUMMYFUNCTION("""COMPUTED_VALUE"""),45805.670960648145)</f>
        <v>45805.67096</v>
      </c>
      <c r="AS59" s="3"/>
      <c r="AT59" s="3"/>
      <c r="AU59" s="3" t="str">
        <f>IFERROR(__xludf.DUMMYFUNCTION("""COMPUTED_VALUE"""),"submitted_via_web")</f>
        <v>submitted_via_web</v>
      </c>
      <c r="AV59" s="3"/>
      <c r="AW59" s="3" t="str">
        <f>IFERROR(__xludf.DUMMYFUNCTION("""COMPUTED_VALUE"""),"vyQ2YQjU4ktbYYqmXjw6CP")</f>
        <v>vyQ2YQjU4ktbYYqmXjw6CP</v>
      </c>
      <c r="AX59" s="3"/>
      <c r="AY59" s="3">
        <f>IFERROR(__xludf.DUMMYFUNCTION("""COMPUTED_VALUE"""),58.0)</f>
        <v>58</v>
      </c>
    </row>
    <row r="60">
      <c r="A60" s="3" t="str">
        <f>IFERROR(__xludf.DUMMYFUNCTION("""COMPUTED_VALUE"""),"Yes")</f>
        <v>Yes</v>
      </c>
      <c r="B60" s="3"/>
      <c r="C60" s="3" t="str">
        <f>IFERROR(__xludf.DUMMYFUNCTION("""COMPUTED_VALUE"""),"malawi")</f>
        <v>malawi</v>
      </c>
      <c r="D60" s="3"/>
      <c r="E60" s="3" t="str">
        <f>IFERROR(__xludf.DUMMYFUNCTION("""COMPUTED_VALUE"""),"south_africa")</f>
        <v>south_africa</v>
      </c>
      <c r="F60" s="3" t="str">
        <f>IFERROR(__xludf.DUMMYFUNCTION("""COMPUTED_VALUE"""),"City of Tshwane Metropolitan Municipality")</f>
        <v>City of Tshwane Metropolitan Municipality</v>
      </c>
      <c r="G60" s="3">
        <f>IFERROR(__xludf.DUMMYFUNCTION("""COMPUTED_VALUE"""),51.0)</f>
        <v>51</v>
      </c>
      <c r="H60" s="3" t="str">
        <f>IFERROR(__xludf.DUMMYFUNCTION("""COMPUTED_VALUE"""),"male")</f>
        <v>male</v>
      </c>
      <c r="I60" s="3" t="str">
        <f>IFERROR(__xludf.DUMMYFUNCTION("""COMPUTED_VALUE"""),"over5")</f>
        <v>over5</v>
      </c>
      <c r="J60" s="3" t="str">
        <f>IFERROR(__xludf.DUMMYFUNCTION("""COMPUTED_VALUE"""),"informal")</f>
        <v>informal</v>
      </c>
      <c r="K60" s="3" t="str">
        <f>IFERROR(__xludf.DUMMYFUNCTION("""COMPUTED_VALUE"""),"secondary")</f>
        <v>secondary</v>
      </c>
      <c r="L60" s="3"/>
      <c r="M60" s="3" t="str">
        <f>IFERROR(__xludf.DUMMYFUNCTION("""COMPUTED_VALUE"""),"agree")</f>
        <v>agree</v>
      </c>
      <c r="N60" s="3" t="str">
        <f>IFERROR(__xludf.DUMMYFUNCTION("""COMPUTED_VALUE"""),"agree")</f>
        <v>agree</v>
      </c>
      <c r="O60" s="3" t="str">
        <f>IFERROR(__xludf.DUMMYFUNCTION("""COMPUTED_VALUE"""),"agree")</f>
        <v>agree</v>
      </c>
      <c r="P60" s="3"/>
      <c r="Q60" s="3" t="str">
        <f>IFERROR(__xludf.DUMMYFUNCTION("""COMPUTED_VALUE"""),"agree")</f>
        <v>agree</v>
      </c>
      <c r="R60" s="3" t="str">
        <f>IFERROR(__xludf.DUMMYFUNCTION("""COMPUTED_VALUE"""),"agree")</f>
        <v>agree</v>
      </c>
      <c r="S60" s="3" t="str">
        <f>IFERROR(__xludf.DUMMYFUNCTION("""COMPUTED_VALUE"""),"agree")</f>
        <v>agree</v>
      </c>
      <c r="T60" s="3" t="str">
        <f>IFERROR(__xludf.DUMMYFUNCTION("""COMPUTED_VALUE"""),"agree")</f>
        <v>agree</v>
      </c>
      <c r="U60" s="3" t="str">
        <f>IFERROR(__xludf.DUMMYFUNCTION("""COMPUTED_VALUE"""),"agree")</f>
        <v>agree</v>
      </c>
      <c r="V60" s="3" t="str">
        <f>IFERROR(__xludf.DUMMYFUNCTION("""COMPUTED_VALUE"""),"agree")</f>
        <v>agree</v>
      </c>
      <c r="W60" s="3" t="str">
        <f>IFERROR(__xludf.DUMMYFUNCTION("""COMPUTED_VALUE"""),"agree")</f>
        <v>agree</v>
      </c>
      <c r="X60" s="3" t="str">
        <f>IFERROR(__xludf.DUMMYFUNCTION("""COMPUTED_VALUE"""),"Gold")</f>
        <v>Gold</v>
      </c>
      <c r="Y60" s="3" t="str">
        <f>IFERROR(__xludf.DUMMYFUNCTION("""COMPUTED_VALUE"""),"cash")</f>
        <v>cash</v>
      </c>
      <c r="Z60" s="3" t="str">
        <f>IFERROR(__xludf.DUMMYFUNCTION("""COMPUTED_VALUE"""),"monthly")</f>
        <v>monthly</v>
      </c>
      <c r="AA60" s="3">
        <f>IFERROR(__xludf.DUMMYFUNCTION("""COMPUTED_VALUE"""),20.0)</f>
        <v>20</v>
      </c>
      <c r="AB60" s="3" t="str">
        <f>IFERROR(__xludf.DUMMYFUNCTION("""COMPUTED_VALUE"""),"assisted")</f>
        <v>assisted</v>
      </c>
      <c r="AC60" s="3" t="str">
        <f>IFERROR(__xludf.DUMMYFUNCTION("""COMPUTED_VALUE"""),"Yes")</f>
        <v>Yes</v>
      </c>
      <c r="AD60" s="3"/>
      <c r="AE60" s="3"/>
      <c r="AF60" s="3"/>
      <c r="AG60" s="3"/>
      <c r="AH60" s="3"/>
      <c r="AI60" s="3"/>
      <c r="AJ60" s="3"/>
      <c r="AK60" s="3"/>
      <c r="AL60" s="3"/>
      <c r="AM60" s="3" t="str">
        <f>IFERROR(__xludf.DUMMYFUNCTION("""COMPUTED_VALUE"""),"Yes")</f>
        <v>Yes</v>
      </c>
      <c r="AN60" s="3">
        <f>IFERROR(__xludf.DUMMYFUNCTION("""COMPUTED_VALUE"""),6.4483844E8)</f>
        <v>644838440</v>
      </c>
      <c r="AO60" s="3"/>
      <c r="AP60" s="3">
        <f>IFERROR(__xludf.DUMMYFUNCTION("""COMPUTED_VALUE"""),4.88131078E8)</f>
        <v>488131078</v>
      </c>
      <c r="AQ60" s="3" t="str">
        <f>IFERROR(__xludf.DUMMYFUNCTION("""COMPUTED_VALUE"""),"7e8b3d0a-23b0-4bab-ae1a-11815075d383")</f>
        <v>7e8b3d0a-23b0-4bab-ae1a-11815075d383</v>
      </c>
      <c r="AR60" s="3">
        <f>IFERROR(__xludf.DUMMYFUNCTION("""COMPUTED_VALUE"""),45805.68454861111)</f>
        <v>45805.68455</v>
      </c>
      <c r="AS60" s="3"/>
      <c r="AT60" s="3"/>
      <c r="AU60" s="3" t="str">
        <f>IFERROR(__xludf.DUMMYFUNCTION("""COMPUTED_VALUE"""),"submitted_via_web")</f>
        <v>submitted_via_web</v>
      </c>
      <c r="AV60" s="3"/>
      <c r="AW60" s="3" t="str">
        <f>IFERROR(__xludf.DUMMYFUNCTION("""COMPUTED_VALUE"""),"vyQ2YQjU4ktbYYqmXjw6CP")</f>
        <v>vyQ2YQjU4ktbYYqmXjw6CP</v>
      </c>
      <c r="AX60" s="3"/>
      <c r="AY60" s="3">
        <f>IFERROR(__xludf.DUMMYFUNCTION("""COMPUTED_VALUE"""),59.0)</f>
        <v>59</v>
      </c>
    </row>
    <row r="61">
      <c r="A61" s="3" t="str">
        <f>IFERROR(__xludf.DUMMYFUNCTION("""COMPUTED_VALUE"""),"Yes")</f>
        <v>Yes</v>
      </c>
      <c r="B61" s="3"/>
      <c r="C61" s="3" t="str">
        <f>IFERROR(__xludf.DUMMYFUNCTION("""COMPUTED_VALUE"""),"malawi")</f>
        <v>malawi</v>
      </c>
      <c r="D61" s="3"/>
      <c r="E61" s="3" t="str">
        <f>IFERROR(__xludf.DUMMYFUNCTION("""COMPUTED_VALUE"""),"south_africa")</f>
        <v>south_africa</v>
      </c>
      <c r="F61" s="3" t="str">
        <f>IFERROR(__xludf.DUMMYFUNCTION("""COMPUTED_VALUE"""),"City of Tshwane Metropolitan Municipality")</f>
        <v>City of Tshwane Metropolitan Municipality</v>
      </c>
      <c r="G61" s="3"/>
      <c r="H61" s="3" t="str">
        <f>IFERROR(__xludf.DUMMYFUNCTION("""COMPUTED_VALUE"""),"female")</f>
        <v>female</v>
      </c>
      <c r="I61" s="3" t="str">
        <f>IFERROR(__xludf.DUMMYFUNCTION("""COMPUTED_VALUE"""),"1to5")</f>
        <v>1to5</v>
      </c>
      <c r="J61" s="3" t="str">
        <f>IFERROR(__xludf.DUMMYFUNCTION("""COMPUTED_VALUE"""),"unemployed")</f>
        <v>unemployed</v>
      </c>
      <c r="K61" s="3" t="str">
        <f>IFERROR(__xludf.DUMMYFUNCTION("""COMPUTED_VALUE"""),"secondary")</f>
        <v>secondary</v>
      </c>
      <c r="L61" s="3"/>
      <c r="M61" s="3" t="str">
        <f>IFERROR(__xludf.DUMMYFUNCTION("""COMPUTED_VALUE"""),"agree")</f>
        <v>agree</v>
      </c>
      <c r="N61" s="3" t="str">
        <f>IFERROR(__xludf.DUMMYFUNCTION("""COMPUTED_VALUE"""),"agree")</f>
        <v>agree</v>
      </c>
      <c r="O61" s="3" t="str">
        <f>IFERROR(__xludf.DUMMYFUNCTION("""COMPUTED_VALUE"""),"disagree")</f>
        <v>disagree</v>
      </c>
      <c r="P61" s="3"/>
      <c r="Q61" s="3" t="str">
        <f>IFERROR(__xludf.DUMMYFUNCTION("""COMPUTED_VALUE"""),"agree")</f>
        <v>agree</v>
      </c>
      <c r="R61" s="3" t="str">
        <f>IFERROR(__xludf.DUMMYFUNCTION("""COMPUTED_VALUE"""),"agree")</f>
        <v>agree</v>
      </c>
      <c r="S61" s="3" t="str">
        <f>IFERROR(__xludf.DUMMYFUNCTION("""COMPUTED_VALUE"""),"agree")</f>
        <v>agree</v>
      </c>
      <c r="T61" s="3" t="str">
        <f>IFERROR(__xludf.DUMMYFUNCTION("""COMPUTED_VALUE"""),"agree")</f>
        <v>agree</v>
      </c>
      <c r="U61" s="3" t="str">
        <f>IFERROR(__xludf.DUMMYFUNCTION("""COMPUTED_VALUE"""),"agree")</f>
        <v>agree</v>
      </c>
      <c r="V61" s="3" t="str">
        <f>IFERROR(__xludf.DUMMYFUNCTION("""COMPUTED_VALUE"""),"agree")</f>
        <v>agree</v>
      </c>
      <c r="W61" s="3" t="str">
        <f>IFERROR(__xludf.DUMMYFUNCTION("""COMPUTED_VALUE"""),"agree")</f>
        <v>agree</v>
      </c>
      <c r="X61" s="3" t="str">
        <f>IFERROR(__xludf.DUMMYFUNCTION("""COMPUTED_VALUE"""),"Lithium")</f>
        <v>Lithium</v>
      </c>
      <c r="Y61" s="3" t="str">
        <f>IFERROR(__xludf.DUMMYFUNCTION("""COMPUTED_VALUE"""),"prepaid")</f>
        <v>prepaid</v>
      </c>
      <c r="Z61" s="3" t="str">
        <f>IFERROR(__xludf.DUMMYFUNCTION("""COMPUTED_VALUE"""),"monthly")</f>
        <v>monthly</v>
      </c>
      <c r="AA61" s="3">
        <f>IFERROR(__xludf.DUMMYFUNCTION("""COMPUTED_VALUE"""),30.0)</f>
        <v>30</v>
      </c>
      <c r="AB61" s="3" t="str">
        <f>IFERROR(__xludf.DUMMYFUNCTION("""COMPUTED_VALUE"""),"employer")</f>
        <v>employer</v>
      </c>
      <c r="AC61" s="3" t="str">
        <f>IFERROR(__xludf.DUMMYFUNCTION("""COMPUTED_VALUE"""),"No")</f>
        <v>No</v>
      </c>
      <c r="AD61" s="3"/>
      <c r="AE61" s="3"/>
      <c r="AF61" s="3" t="str">
        <f>IFERROR(__xludf.DUMMYFUNCTION("""COMPUTED_VALUE"""),"Yes")</f>
        <v>Yes</v>
      </c>
      <c r="AG61" s="3" t="str">
        <f>IFERROR(__xludf.DUMMYFUNCTION("""COMPUTED_VALUE"""),"Yes")</f>
        <v>Yes</v>
      </c>
      <c r="AH61" s="3"/>
      <c r="AI61" s="3">
        <f>IFERROR(__xludf.DUMMYFUNCTION("""COMPUTED_VALUE"""),1.0)</f>
        <v>1</v>
      </c>
      <c r="AJ61" s="3">
        <f>IFERROR(__xludf.DUMMYFUNCTION("""COMPUTED_VALUE"""),1.0)</f>
        <v>1</v>
      </c>
      <c r="AK61" s="3">
        <f>IFERROR(__xludf.DUMMYFUNCTION("""COMPUTED_VALUE"""),1.0)</f>
        <v>1</v>
      </c>
      <c r="AL61" s="3">
        <f>IFERROR(__xludf.DUMMYFUNCTION("""COMPUTED_VALUE"""),0.0)</f>
        <v>0</v>
      </c>
      <c r="AM61" s="3" t="str">
        <f>IFERROR(__xludf.DUMMYFUNCTION("""COMPUTED_VALUE"""),"No")</f>
        <v>No</v>
      </c>
      <c r="AN61" s="3"/>
      <c r="AO61" s="3"/>
      <c r="AP61" s="3">
        <f>IFERROR(__xludf.DUMMYFUNCTION("""COMPUTED_VALUE"""),4.88133757E8)</f>
        <v>488133757</v>
      </c>
      <c r="AQ61" s="3" t="str">
        <f>IFERROR(__xludf.DUMMYFUNCTION("""COMPUTED_VALUE"""),"609ca7ac-80a3-4977-a12f-4da8ce84fc49")</f>
        <v>609ca7ac-80a3-4977-a12f-4da8ce84fc49</v>
      </c>
      <c r="AR61" s="3">
        <f>IFERROR(__xludf.DUMMYFUNCTION("""COMPUTED_VALUE"""),45805.68608796296)</f>
        <v>45805.68609</v>
      </c>
      <c r="AS61" s="3"/>
      <c r="AT61" s="3"/>
      <c r="AU61" s="3" t="str">
        <f>IFERROR(__xludf.DUMMYFUNCTION("""COMPUTED_VALUE"""),"submitted_via_web")</f>
        <v>submitted_via_web</v>
      </c>
      <c r="AV61" s="3"/>
      <c r="AW61" s="3" t="str">
        <f>IFERROR(__xludf.DUMMYFUNCTION("""COMPUTED_VALUE"""),"vyQ2YQjU4ktbYYqmXjw6CP")</f>
        <v>vyQ2YQjU4ktbYYqmXjw6CP</v>
      </c>
      <c r="AX61" s="3"/>
      <c r="AY61" s="3">
        <f>IFERROR(__xludf.DUMMYFUNCTION("""COMPUTED_VALUE"""),60.0)</f>
        <v>60</v>
      </c>
    </row>
    <row r="62">
      <c r="A62" s="3" t="str">
        <f>IFERROR(__xludf.DUMMYFUNCTION("""COMPUTED_VALUE"""),"Yes")</f>
        <v>Yes</v>
      </c>
      <c r="B62" s="3"/>
      <c r="C62" s="3" t="str">
        <f>IFERROR(__xludf.DUMMYFUNCTION("""COMPUTED_VALUE"""),"zimbabwe")</f>
        <v>zimbabwe</v>
      </c>
      <c r="D62" s="3"/>
      <c r="E62" s="3" t="str">
        <f>IFERROR(__xludf.DUMMYFUNCTION("""COMPUTED_VALUE"""),"zimbabwe")</f>
        <v>zimbabwe</v>
      </c>
      <c r="F62" s="3"/>
      <c r="G62" s="3">
        <f>IFERROR(__xludf.DUMMYFUNCTION("""COMPUTED_VALUE"""),45.0)</f>
        <v>45</v>
      </c>
      <c r="H62" s="3" t="str">
        <f>IFERROR(__xludf.DUMMYFUNCTION("""COMPUTED_VALUE"""),"male")</f>
        <v>male</v>
      </c>
      <c r="I62" s="3"/>
      <c r="J62" s="3" t="str">
        <f>IFERROR(__xludf.DUMMYFUNCTION("""COMPUTED_VALUE"""),"formal")</f>
        <v>formal</v>
      </c>
      <c r="K62" s="3" t="str">
        <f>IFERROR(__xludf.DUMMYFUNCTION("""COMPUTED_VALUE"""),"tertiary")</f>
        <v>tertiary</v>
      </c>
      <c r="L62" s="3"/>
      <c r="M62" s="3" t="str">
        <f>IFERROR(__xludf.DUMMYFUNCTION("""COMPUTED_VALUE"""),"agree")</f>
        <v>agree</v>
      </c>
      <c r="N62" s="3" t="str">
        <f>IFERROR(__xludf.DUMMYFUNCTION("""COMPUTED_VALUE"""),"agree")</f>
        <v>agree</v>
      </c>
      <c r="O62" s="3" t="str">
        <f>IFERROR(__xludf.DUMMYFUNCTION("""COMPUTED_VALUE"""),"agree")</f>
        <v>agree</v>
      </c>
      <c r="P62" s="3"/>
      <c r="Q62" s="3" t="str">
        <f>IFERROR(__xludf.DUMMYFUNCTION("""COMPUTED_VALUE"""),"agree")</f>
        <v>agree</v>
      </c>
      <c r="R62" s="3" t="str">
        <f>IFERROR(__xludf.DUMMYFUNCTION("""COMPUTED_VALUE"""),"agree")</f>
        <v>agree</v>
      </c>
      <c r="S62" s="3" t="str">
        <f>IFERROR(__xludf.DUMMYFUNCTION("""COMPUTED_VALUE"""),"agree")</f>
        <v>agree</v>
      </c>
      <c r="T62" s="3" t="str">
        <f>IFERROR(__xludf.DUMMYFUNCTION("""COMPUTED_VALUE"""),"disagree")</f>
        <v>disagree</v>
      </c>
      <c r="U62" s="3" t="str">
        <f>IFERROR(__xludf.DUMMYFUNCTION("""COMPUTED_VALUE"""),"agree")</f>
        <v>agree</v>
      </c>
      <c r="V62" s="3" t="str">
        <f>IFERROR(__xludf.DUMMYFUNCTION("""COMPUTED_VALUE"""),"agree")</f>
        <v>agree</v>
      </c>
      <c r="W62" s="3" t="str">
        <f>IFERROR(__xludf.DUMMYFUNCTION("""COMPUTED_VALUE"""),"agree")</f>
        <v>agree</v>
      </c>
      <c r="X62" s="3" t="str">
        <f>IFERROR(__xludf.DUMMYFUNCTION("""COMPUTED_VALUE"""),"Platinum")</f>
        <v>Platinum</v>
      </c>
      <c r="Y62" s="3" t="str">
        <f>IFERROR(__xludf.DUMMYFUNCTION("""COMPUTED_VALUE"""),"card")</f>
        <v>card</v>
      </c>
      <c r="Z62" s="3" t="str">
        <f>IFERROR(__xludf.DUMMYFUNCTION("""COMPUTED_VALUE"""),"monthly")</f>
        <v>monthly</v>
      </c>
      <c r="AA62" s="3">
        <f>IFERROR(__xludf.DUMMYFUNCTION("""COMPUTED_VALUE"""),100.0)</f>
        <v>100</v>
      </c>
      <c r="AB62" s="3" t="str">
        <f>IFERROR(__xludf.DUMMYFUNCTION("""COMPUTED_VALUE"""),"online")</f>
        <v>online</v>
      </c>
      <c r="AC62" s="3" t="str">
        <f>IFERROR(__xludf.DUMMYFUNCTION("""COMPUTED_VALUE"""),"I am not an employer")</f>
        <v>I am not an employer</v>
      </c>
      <c r="AD62" s="3"/>
      <c r="AE62" s="3"/>
      <c r="AF62" s="3" t="str">
        <f>IFERROR(__xludf.DUMMYFUNCTION("""COMPUTED_VALUE"""),"Yes")</f>
        <v>Yes</v>
      </c>
      <c r="AG62" s="3" t="str">
        <f>IFERROR(__xludf.DUMMYFUNCTION("""COMPUTED_VALUE"""),"No")</f>
        <v>No</v>
      </c>
      <c r="AH62" s="3"/>
      <c r="AI62" s="3">
        <f>IFERROR(__xludf.DUMMYFUNCTION("""COMPUTED_VALUE"""),0.0)</f>
        <v>0</v>
      </c>
      <c r="AJ62" s="3">
        <f>IFERROR(__xludf.DUMMYFUNCTION("""COMPUTED_VALUE"""),0.0)</f>
        <v>0</v>
      </c>
      <c r="AK62" s="3">
        <f>IFERROR(__xludf.DUMMYFUNCTION("""COMPUTED_VALUE"""),0.0)</f>
        <v>0</v>
      </c>
      <c r="AL62" s="3">
        <f>IFERROR(__xludf.DUMMYFUNCTION("""COMPUTED_VALUE"""),1.0)</f>
        <v>1</v>
      </c>
      <c r="AM62" s="3"/>
      <c r="AN62" s="3"/>
      <c r="AO62" s="3"/>
      <c r="AP62" s="3">
        <f>IFERROR(__xludf.DUMMYFUNCTION("""COMPUTED_VALUE"""),4.88135385E8)</f>
        <v>488135385</v>
      </c>
      <c r="AQ62" s="3" t="str">
        <f>IFERROR(__xludf.DUMMYFUNCTION("""COMPUTED_VALUE"""),"a8d17532-29bd-4766-ac32-6098b2e74e5f")</f>
        <v>a8d17532-29bd-4766-ac32-6098b2e74e5f</v>
      </c>
      <c r="AR62" s="3">
        <f>IFERROR(__xludf.DUMMYFUNCTION("""COMPUTED_VALUE"""),45805.68711805555)</f>
        <v>45805.68712</v>
      </c>
      <c r="AS62" s="3"/>
      <c r="AT62" s="3"/>
      <c r="AU62" s="3" t="str">
        <f>IFERROR(__xludf.DUMMYFUNCTION("""COMPUTED_VALUE"""),"submitted_via_web")</f>
        <v>submitted_via_web</v>
      </c>
      <c r="AV62" s="3"/>
      <c r="AW62" s="3" t="str">
        <f>IFERROR(__xludf.DUMMYFUNCTION("""COMPUTED_VALUE"""),"vyQ2YQjU4ktbYYqmXjw6CP")</f>
        <v>vyQ2YQjU4ktbYYqmXjw6CP</v>
      </c>
      <c r="AX62" s="3"/>
      <c r="AY62" s="3">
        <f>IFERROR(__xludf.DUMMYFUNCTION("""COMPUTED_VALUE"""),61.0)</f>
        <v>61</v>
      </c>
    </row>
    <row r="63">
      <c r="A63" s="3" t="str">
        <f>IFERROR(__xludf.DUMMYFUNCTION("""COMPUTED_VALUE"""),"Yes")</f>
        <v>Yes</v>
      </c>
      <c r="B63" s="3"/>
      <c r="C63" s="3" t="str">
        <f>IFERROR(__xludf.DUMMYFUNCTION("""COMPUTED_VALUE"""),"zimbabwe")</f>
        <v>zimbabwe</v>
      </c>
      <c r="D63" s="3"/>
      <c r="E63" s="3" t="str">
        <f>IFERROR(__xludf.DUMMYFUNCTION("""COMPUTED_VALUE"""),"south_africa")</f>
        <v>south_africa</v>
      </c>
      <c r="F63" s="3" t="str">
        <f>IFERROR(__xludf.DUMMYFUNCTION("""COMPUTED_VALUE"""),"City of Tshwane Metropolitan Municipality")</f>
        <v>City of Tshwane Metropolitan Municipality</v>
      </c>
      <c r="G63" s="3">
        <f>IFERROR(__xludf.DUMMYFUNCTION("""COMPUTED_VALUE"""),47.0)</f>
        <v>47</v>
      </c>
      <c r="H63" s="3" t="str">
        <f>IFERROR(__xludf.DUMMYFUNCTION("""COMPUTED_VALUE"""),"female")</f>
        <v>female</v>
      </c>
      <c r="I63" s="3" t="str">
        <f>IFERROR(__xludf.DUMMYFUNCTION("""COMPUTED_VALUE"""),"over5")</f>
        <v>over5</v>
      </c>
      <c r="J63" s="3" t="str">
        <f>IFERROR(__xludf.DUMMYFUNCTION("""COMPUTED_VALUE"""),"formal")</f>
        <v>formal</v>
      </c>
      <c r="K63" s="3" t="str">
        <f>IFERROR(__xludf.DUMMYFUNCTION("""COMPUTED_VALUE"""),"secondary")</f>
        <v>secondary</v>
      </c>
      <c r="L63" s="3"/>
      <c r="M63" s="3" t="str">
        <f>IFERROR(__xludf.DUMMYFUNCTION("""COMPUTED_VALUE"""),"agree")</f>
        <v>agree</v>
      </c>
      <c r="N63" s="3" t="str">
        <f>IFERROR(__xludf.DUMMYFUNCTION("""COMPUTED_VALUE"""),"agree")</f>
        <v>agree</v>
      </c>
      <c r="O63" s="3" t="str">
        <f>IFERROR(__xludf.DUMMYFUNCTION("""COMPUTED_VALUE"""),"disagree")</f>
        <v>disagree</v>
      </c>
      <c r="P63" s="3"/>
      <c r="Q63" s="3" t="str">
        <f>IFERROR(__xludf.DUMMYFUNCTION("""COMPUTED_VALUE"""),"disagree")</f>
        <v>disagree</v>
      </c>
      <c r="R63" s="3" t="str">
        <f>IFERROR(__xludf.DUMMYFUNCTION("""COMPUTED_VALUE"""),"agree")</f>
        <v>agree</v>
      </c>
      <c r="S63" s="3" t="str">
        <f>IFERROR(__xludf.DUMMYFUNCTION("""COMPUTED_VALUE"""),"disagree")</f>
        <v>disagree</v>
      </c>
      <c r="T63" s="3" t="str">
        <f>IFERROR(__xludf.DUMMYFUNCTION("""COMPUTED_VALUE"""),"disagree")</f>
        <v>disagree</v>
      </c>
      <c r="U63" s="3" t="str">
        <f>IFERROR(__xludf.DUMMYFUNCTION("""COMPUTED_VALUE"""),"disagree")</f>
        <v>disagree</v>
      </c>
      <c r="V63" s="3" t="str">
        <f>IFERROR(__xludf.DUMMYFUNCTION("""COMPUTED_VALUE"""),"disagree")</f>
        <v>disagree</v>
      </c>
      <c r="W63" s="3" t="str">
        <f>IFERROR(__xludf.DUMMYFUNCTION("""COMPUTED_VALUE"""),"disagree")</f>
        <v>disagree</v>
      </c>
      <c r="X63" s="3" t="str">
        <f>IFERROR(__xludf.DUMMYFUNCTION("""COMPUTED_VALUE"""),"Gold")</f>
        <v>Gold</v>
      </c>
      <c r="Y63" s="3" t="str">
        <f>IFERROR(__xludf.DUMMYFUNCTION("""COMPUTED_VALUE"""),"cash")</f>
        <v>cash</v>
      </c>
      <c r="Z63" s="3" t="str">
        <f>IFERROR(__xludf.DUMMYFUNCTION("""COMPUTED_VALUE"""),"monthly")</f>
        <v>monthly</v>
      </c>
      <c r="AA63" s="3">
        <f>IFERROR(__xludf.DUMMYFUNCTION("""COMPUTED_VALUE"""),10.0)</f>
        <v>10</v>
      </c>
      <c r="AB63" s="3" t="str">
        <f>IFERROR(__xludf.DUMMYFUNCTION("""COMPUTED_VALUE"""),"assisted")</f>
        <v>assisted</v>
      </c>
      <c r="AC63" s="3" t="str">
        <f>IFERROR(__xludf.DUMMYFUNCTION("""COMPUTED_VALUE"""),"I am not an employer")</f>
        <v>I am not an employer</v>
      </c>
      <c r="AD63" s="3"/>
      <c r="AE63" s="3"/>
      <c r="AF63" s="3" t="str">
        <f>IFERROR(__xludf.DUMMYFUNCTION("""COMPUTED_VALUE"""),"Yes")</f>
        <v>Yes</v>
      </c>
      <c r="AG63" s="3" t="str">
        <f>IFERROR(__xludf.DUMMYFUNCTION("""COMPUTED_VALUE"""),"Yes")</f>
        <v>Yes</v>
      </c>
      <c r="AH63" s="3">
        <f>IFERROR(__xludf.DUMMYFUNCTION("""COMPUTED_VALUE"""),100.0)</f>
        <v>100</v>
      </c>
      <c r="AI63" s="3">
        <f>IFERROR(__xludf.DUMMYFUNCTION("""COMPUTED_VALUE"""),0.0)</f>
        <v>0</v>
      </c>
      <c r="AJ63" s="3">
        <f>IFERROR(__xludf.DUMMYFUNCTION("""COMPUTED_VALUE"""),0.0)</f>
        <v>0</v>
      </c>
      <c r="AK63" s="3">
        <f>IFERROR(__xludf.DUMMYFUNCTION("""COMPUTED_VALUE"""),0.0)</f>
        <v>0</v>
      </c>
      <c r="AL63" s="3">
        <f>IFERROR(__xludf.DUMMYFUNCTION("""COMPUTED_VALUE"""),1.0)</f>
        <v>1</v>
      </c>
      <c r="AM63" s="3" t="str">
        <f>IFERROR(__xludf.DUMMYFUNCTION("""COMPUTED_VALUE"""),"Yes")</f>
        <v>Yes</v>
      </c>
      <c r="AN63" s="3">
        <f>IFERROR(__xludf.DUMMYFUNCTION("""COMPUTED_VALUE"""),6.10832654E8)</f>
        <v>610832654</v>
      </c>
      <c r="AO63" s="3"/>
      <c r="AP63" s="3">
        <f>IFERROR(__xludf.DUMMYFUNCTION("""COMPUTED_VALUE"""),4.88197952E8)</f>
        <v>488197952</v>
      </c>
      <c r="AQ63" s="3" t="str">
        <f>IFERROR(__xludf.DUMMYFUNCTION("""COMPUTED_VALUE"""),"62252190-e17b-4590-82e9-4e1b94073277")</f>
        <v>62252190-e17b-4590-82e9-4e1b94073277</v>
      </c>
      <c r="AR63" s="3">
        <f>IFERROR(__xludf.DUMMYFUNCTION("""COMPUTED_VALUE"""),45805.72736111111)</f>
        <v>45805.72736</v>
      </c>
      <c r="AS63" s="3"/>
      <c r="AT63" s="3"/>
      <c r="AU63" s="3" t="str">
        <f>IFERROR(__xludf.DUMMYFUNCTION("""COMPUTED_VALUE"""),"submitted_via_web")</f>
        <v>submitted_via_web</v>
      </c>
      <c r="AV63" s="3"/>
      <c r="AW63" s="3" t="str">
        <f>IFERROR(__xludf.DUMMYFUNCTION("""COMPUTED_VALUE"""),"vyQ2YQjU4ktbYYqmXjw6CP")</f>
        <v>vyQ2YQjU4ktbYYqmXjw6CP</v>
      </c>
      <c r="AX63" s="3"/>
      <c r="AY63" s="3">
        <f>IFERROR(__xludf.DUMMYFUNCTION("""COMPUTED_VALUE"""),62.0)</f>
        <v>62</v>
      </c>
    </row>
    <row r="64">
      <c r="A64" s="3" t="str">
        <f>IFERROR(__xludf.DUMMYFUNCTION("""COMPUTED_VALUE"""),"Yes")</f>
        <v>Yes</v>
      </c>
      <c r="B64" s="3"/>
      <c r="C64" s="3" t="str">
        <f>IFERROR(__xludf.DUMMYFUNCTION("""COMPUTED_VALUE"""),"south_africa")</f>
        <v>south_africa</v>
      </c>
      <c r="D64" s="3"/>
      <c r="E64" s="3" t="str">
        <f>IFERROR(__xludf.DUMMYFUNCTION("""COMPUTED_VALUE"""),"south_africa")</f>
        <v>south_africa</v>
      </c>
      <c r="F64" s="3" t="str">
        <f>IFERROR(__xludf.DUMMYFUNCTION("""COMPUTED_VALUE"""),"City of Johannesburg Metropolitan Municipality")</f>
        <v>City of Johannesburg Metropolitan Municipality</v>
      </c>
      <c r="G64" s="3">
        <f>IFERROR(__xludf.DUMMYFUNCTION("""COMPUTED_VALUE"""),32.0)</f>
        <v>32</v>
      </c>
      <c r="H64" s="3" t="str">
        <f>IFERROR(__xludf.DUMMYFUNCTION("""COMPUTED_VALUE"""),"male")</f>
        <v>male</v>
      </c>
      <c r="I64" s="3" t="str">
        <f>IFERROR(__xludf.DUMMYFUNCTION("""COMPUTED_VALUE"""),"citizen")</f>
        <v>citizen</v>
      </c>
      <c r="J64" s="3" t="str">
        <f>IFERROR(__xludf.DUMMYFUNCTION("""COMPUTED_VALUE"""),"formal")</f>
        <v>formal</v>
      </c>
      <c r="K64" s="3" t="str">
        <f>IFERROR(__xludf.DUMMYFUNCTION("""COMPUTED_VALUE"""),"tertiary")</f>
        <v>tertiary</v>
      </c>
      <c r="L64" s="3"/>
      <c r="M64" s="3" t="str">
        <f>IFERROR(__xludf.DUMMYFUNCTION("""COMPUTED_VALUE"""),"agree")</f>
        <v>agree</v>
      </c>
      <c r="N64" s="3" t="str">
        <f>IFERROR(__xludf.DUMMYFUNCTION("""COMPUTED_VALUE"""),"agree")</f>
        <v>agree</v>
      </c>
      <c r="O64" s="3" t="str">
        <f>IFERROR(__xludf.DUMMYFUNCTION("""COMPUTED_VALUE"""),"disagree")</f>
        <v>disagree</v>
      </c>
      <c r="P64" s="3"/>
      <c r="Q64" s="3" t="str">
        <f>IFERROR(__xludf.DUMMYFUNCTION("""COMPUTED_VALUE"""),"agree")</f>
        <v>agree</v>
      </c>
      <c r="R64" s="3" t="str">
        <f>IFERROR(__xludf.DUMMYFUNCTION("""COMPUTED_VALUE"""),"agree")</f>
        <v>agree</v>
      </c>
      <c r="S64" s="3" t="str">
        <f>IFERROR(__xludf.DUMMYFUNCTION("""COMPUTED_VALUE"""),"disagree")</f>
        <v>disagree</v>
      </c>
      <c r="T64" s="3" t="str">
        <f>IFERROR(__xludf.DUMMYFUNCTION("""COMPUTED_VALUE"""),"disagree")</f>
        <v>disagree</v>
      </c>
      <c r="U64" s="3" t="str">
        <f>IFERROR(__xludf.DUMMYFUNCTION("""COMPUTED_VALUE"""),"agree")</f>
        <v>agree</v>
      </c>
      <c r="V64" s="3" t="str">
        <f>IFERROR(__xludf.DUMMYFUNCTION("""COMPUTED_VALUE"""),"agree")</f>
        <v>agree</v>
      </c>
      <c r="W64" s="3" t="str">
        <f>IFERROR(__xludf.DUMMYFUNCTION("""COMPUTED_VALUE"""),"disagree")</f>
        <v>disagree</v>
      </c>
      <c r="X64" s="3" t="str">
        <f>IFERROR(__xludf.DUMMYFUNCTION("""COMPUTED_VALUE"""),"Gold")</f>
        <v>Gold</v>
      </c>
      <c r="Y64" s="3" t="str">
        <f>IFERROR(__xludf.DUMMYFUNCTION("""COMPUTED_VALUE"""),"cash")</f>
        <v>cash</v>
      </c>
      <c r="Z64" s="3" t="str">
        <f>IFERROR(__xludf.DUMMYFUNCTION("""COMPUTED_VALUE"""),"monthly")</f>
        <v>monthly</v>
      </c>
      <c r="AA64" s="3">
        <f>IFERROR(__xludf.DUMMYFUNCTION("""COMPUTED_VALUE"""),10.0)</f>
        <v>10</v>
      </c>
      <c r="AB64" s="3" t="str">
        <f>IFERROR(__xludf.DUMMYFUNCTION("""COMPUTED_VALUE"""),"assisted")</f>
        <v>assisted</v>
      </c>
      <c r="AC64" s="3" t="str">
        <f>IFERROR(__xludf.DUMMYFUNCTION("""COMPUTED_VALUE"""),"I am not an employer")</f>
        <v>I am not an employer</v>
      </c>
      <c r="AD64" s="3"/>
      <c r="AE64" s="3"/>
      <c r="AF64" s="3" t="str">
        <f>IFERROR(__xludf.DUMMYFUNCTION("""COMPUTED_VALUE"""),"Yes")</f>
        <v>Yes</v>
      </c>
      <c r="AG64" s="3" t="str">
        <f>IFERROR(__xludf.DUMMYFUNCTION("""COMPUTED_VALUE"""),"No")</f>
        <v>No</v>
      </c>
      <c r="AH64" s="3"/>
      <c r="AI64" s="3">
        <f>IFERROR(__xludf.DUMMYFUNCTION("""COMPUTED_VALUE"""),1.0)</f>
        <v>1</v>
      </c>
      <c r="AJ64" s="3">
        <f>IFERROR(__xludf.DUMMYFUNCTION("""COMPUTED_VALUE"""),1.0)</f>
        <v>1</v>
      </c>
      <c r="AK64" s="3">
        <f>IFERROR(__xludf.DUMMYFUNCTION("""COMPUTED_VALUE"""),1.0)</f>
        <v>1</v>
      </c>
      <c r="AL64" s="3">
        <f>IFERROR(__xludf.DUMMYFUNCTION("""COMPUTED_VALUE"""),0.0)</f>
        <v>0</v>
      </c>
      <c r="AM64" s="3" t="str">
        <f>IFERROR(__xludf.DUMMYFUNCTION("""COMPUTED_VALUE"""),"No")</f>
        <v>No</v>
      </c>
      <c r="AN64" s="3"/>
      <c r="AO64" s="3"/>
      <c r="AP64" s="3">
        <f>IFERROR(__xludf.DUMMYFUNCTION("""COMPUTED_VALUE"""),4.88202438E8)</f>
        <v>488202438</v>
      </c>
      <c r="AQ64" s="3" t="str">
        <f>IFERROR(__xludf.DUMMYFUNCTION("""COMPUTED_VALUE"""),"e13c09b4-bf34-447e-8a27-105627b541c0")</f>
        <v>e13c09b4-bf34-447e-8a27-105627b541c0</v>
      </c>
      <c r="AR64" s="3">
        <f>IFERROR(__xludf.DUMMYFUNCTION("""COMPUTED_VALUE"""),45805.731203703705)</f>
        <v>45805.7312</v>
      </c>
      <c r="AS64" s="3"/>
      <c r="AT64" s="3"/>
      <c r="AU64" s="3" t="str">
        <f>IFERROR(__xludf.DUMMYFUNCTION("""COMPUTED_VALUE"""),"submitted_via_web")</f>
        <v>submitted_via_web</v>
      </c>
      <c r="AV64" s="3"/>
      <c r="AW64" s="3" t="str">
        <f>IFERROR(__xludf.DUMMYFUNCTION("""COMPUTED_VALUE"""),"vyQ2YQjU4ktbYYqmXjw6CP")</f>
        <v>vyQ2YQjU4ktbYYqmXjw6CP</v>
      </c>
      <c r="AX64" s="3"/>
      <c r="AY64" s="3">
        <f>IFERROR(__xludf.DUMMYFUNCTION("""COMPUTED_VALUE"""),63.0)</f>
        <v>63</v>
      </c>
    </row>
    <row r="65">
      <c r="A65" s="3" t="str">
        <f>IFERROR(__xludf.DUMMYFUNCTION("""COMPUTED_VALUE"""),"Yes")</f>
        <v>Yes</v>
      </c>
      <c r="B65" s="3"/>
      <c r="C65" s="3" t="str">
        <f>IFERROR(__xludf.DUMMYFUNCTION("""COMPUTED_VALUE"""),"malawi")</f>
        <v>malawi</v>
      </c>
      <c r="D65" s="3"/>
      <c r="E65" s="3" t="str">
        <f>IFERROR(__xludf.DUMMYFUNCTION("""COMPUTED_VALUE"""),"south_africa")</f>
        <v>south_africa</v>
      </c>
      <c r="F65" s="3" t="str">
        <f>IFERROR(__xludf.DUMMYFUNCTION("""COMPUTED_VALUE"""),"City of Tshwane Metropolitan Municipality")</f>
        <v>City of Tshwane Metropolitan Municipality</v>
      </c>
      <c r="G65" s="3">
        <f>IFERROR(__xludf.DUMMYFUNCTION("""COMPUTED_VALUE"""),27.0)</f>
        <v>27</v>
      </c>
      <c r="H65" s="3" t="str">
        <f>IFERROR(__xludf.DUMMYFUNCTION("""COMPUTED_VALUE"""),"female")</f>
        <v>female</v>
      </c>
      <c r="I65" s="3" t="str">
        <f>IFERROR(__xludf.DUMMYFUNCTION("""COMPUTED_VALUE"""),"over5")</f>
        <v>over5</v>
      </c>
      <c r="J65" s="3" t="str">
        <f>IFERROR(__xludf.DUMMYFUNCTION("""COMPUTED_VALUE"""),"informal")</f>
        <v>informal</v>
      </c>
      <c r="K65" s="3" t="str">
        <f>IFERROR(__xludf.DUMMYFUNCTION("""COMPUTED_VALUE"""),"secondary")</f>
        <v>secondary</v>
      </c>
      <c r="L65" s="3"/>
      <c r="M65" s="3" t="str">
        <f>IFERROR(__xludf.DUMMYFUNCTION("""COMPUTED_VALUE"""),"agree")</f>
        <v>agree</v>
      </c>
      <c r="N65" s="3" t="str">
        <f>IFERROR(__xludf.DUMMYFUNCTION("""COMPUTED_VALUE"""),"agree")</f>
        <v>agree</v>
      </c>
      <c r="O65" s="3" t="str">
        <f>IFERROR(__xludf.DUMMYFUNCTION("""COMPUTED_VALUE"""),"agree")</f>
        <v>agree</v>
      </c>
      <c r="P65" s="3"/>
      <c r="Q65" s="3" t="str">
        <f>IFERROR(__xludf.DUMMYFUNCTION("""COMPUTED_VALUE"""),"agree")</f>
        <v>agree</v>
      </c>
      <c r="R65" s="3" t="str">
        <f>IFERROR(__xludf.DUMMYFUNCTION("""COMPUTED_VALUE"""),"agree")</f>
        <v>agree</v>
      </c>
      <c r="S65" s="3" t="str">
        <f>IFERROR(__xludf.DUMMYFUNCTION("""COMPUTED_VALUE"""),"agree")</f>
        <v>agree</v>
      </c>
      <c r="T65" s="3" t="str">
        <f>IFERROR(__xludf.DUMMYFUNCTION("""COMPUTED_VALUE"""),"agree")</f>
        <v>agree</v>
      </c>
      <c r="U65" s="3" t="str">
        <f>IFERROR(__xludf.DUMMYFUNCTION("""COMPUTED_VALUE"""),"agree")</f>
        <v>agree</v>
      </c>
      <c r="V65" s="3" t="str">
        <f>IFERROR(__xludf.DUMMYFUNCTION("""COMPUTED_VALUE"""),"agree")</f>
        <v>agree</v>
      </c>
      <c r="W65" s="3" t="str">
        <f>IFERROR(__xludf.DUMMYFUNCTION("""COMPUTED_VALUE"""),"agree")</f>
        <v>agree</v>
      </c>
      <c r="X65" s="3" t="str">
        <f>IFERROR(__xludf.DUMMYFUNCTION("""COMPUTED_VALUE"""),"Silver")</f>
        <v>Silver</v>
      </c>
      <c r="Y65" s="3" t="str">
        <f>IFERROR(__xludf.DUMMYFUNCTION("""COMPUTED_VALUE"""),"cash")</f>
        <v>cash</v>
      </c>
      <c r="Z65" s="3" t="str">
        <f>IFERROR(__xludf.DUMMYFUNCTION("""COMPUTED_VALUE"""),"monthly")</f>
        <v>monthly</v>
      </c>
      <c r="AA65" s="3">
        <f>IFERROR(__xludf.DUMMYFUNCTION("""COMPUTED_VALUE"""),10.0)</f>
        <v>10</v>
      </c>
      <c r="AB65" s="3" t="str">
        <f>IFERROR(__xludf.DUMMYFUNCTION("""COMPUTED_VALUE"""),"assisted")</f>
        <v>assisted</v>
      </c>
      <c r="AC65" s="3" t="str">
        <f>IFERROR(__xludf.DUMMYFUNCTION("""COMPUTED_VALUE"""),"Yes")</f>
        <v>Yes</v>
      </c>
      <c r="AD65" s="3" t="str">
        <f>IFERROR(__xludf.DUMMYFUNCTION("""COMPUTED_VALUE"""),"Gold")</f>
        <v>Gold</v>
      </c>
      <c r="AE65" s="3" t="str">
        <f>IFERROR(__xludf.DUMMYFUNCTION("""COMPUTED_VALUE"""),"Yes")</f>
        <v>Yes</v>
      </c>
      <c r="AF65" s="3" t="str">
        <f>IFERROR(__xludf.DUMMYFUNCTION("""COMPUTED_VALUE"""),"Yes")</f>
        <v>Yes</v>
      </c>
      <c r="AG65" s="3" t="str">
        <f>IFERROR(__xludf.DUMMYFUNCTION("""COMPUTED_VALUE"""),"Yes")</f>
        <v>Yes</v>
      </c>
      <c r="AH65" s="3">
        <f>IFERROR(__xludf.DUMMYFUNCTION("""COMPUTED_VALUE"""),350.0)</f>
        <v>350</v>
      </c>
      <c r="AI65" s="3">
        <f>IFERROR(__xludf.DUMMYFUNCTION("""COMPUTED_VALUE"""),0.0)</f>
        <v>0</v>
      </c>
      <c r="AJ65" s="3">
        <f>IFERROR(__xludf.DUMMYFUNCTION("""COMPUTED_VALUE"""),1.0)</f>
        <v>1</v>
      </c>
      <c r="AK65" s="3">
        <f>IFERROR(__xludf.DUMMYFUNCTION("""COMPUTED_VALUE"""),0.0)</f>
        <v>0</v>
      </c>
      <c r="AL65" s="3">
        <f>IFERROR(__xludf.DUMMYFUNCTION("""COMPUTED_VALUE"""),0.0)</f>
        <v>0</v>
      </c>
      <c r="AM65" s="3" t="str">
        <f>IFERROR(__xludf.DUMMYFUNCTION("""COMPUTED_VALUE"""),"Yes")</f>
        <v>Yes</v>
      </c>
      <c r="AN65" s="3">
        <f>IFERROR(__xludf.DUMMYFUNCTION("""COMPUTED_VALUE"""),6.59857007E8)</f>
        <v>659857007</v>
      </c>
      <c r="AO65" s="3"/>
      <c r="AP65" s="3">
        <f>IFERROR(__xludf.DUMMYFUNCTION("""COMPUTED_VALUE"""),4.88227278E8)</f>
        <v>488227278</v>
      </c>
      <c r="AQ65" s="3" t="str">
        <f>IFERROR(__xludf.DUMMYFUNCTION("""COMPUTED_VALUE"""),"dff01ac4-237e-4b32-97cb-4953febfce76")</f>
        <v>dff01ac4-237e-4b32-97cb-4953febfce76</v>
      </c>
      <c r="AR65" s="3">
        <f>IFERROR(__xludf.DUMMYFUNCTION("""COMPUTED_VALUE"""),45805.75212962963)</f>
        <v>45805.75213</v>
      </c>
      <c r="AS65" s="3"/>
      <c r="AT65" s="3"/>
      <c r="AU65" s="3" t="str">
        <f>IFERROR(__xludf.DUMMYFUNCTION("""COMPUTED_VALUE"""),"submitted_via_web")</f>
        <v>submitted_via_web</v>
      </c>
      <c r="AV65" s="3"/>
      <c r="AW65" s="3" t="str">
        <f>IFERROR(__xludf.DUMMYFUNCTION("""COMPUTED_VALUE"""),"vyQ2YQjU4ktbYYqmXjw6CP")</f>
        <v>vyQ2YQjU4ktbYYqmXjw6CP</v>
      </c>
      <c r="AX65" s="3"/>
      <c r="AY65" s="3">
        <f>IFERROR(__xludf.DUMMYFUNCTION("""COMPUTED_VALUE"""),64.0)</f>
        <v>64</v>
      </c>
    </row>
    <row r="66">
      <c r="A66" s="3" t="str">
        <f>IFERROR(__xludf.DUMMYFUNCTION("""COMPUTED_VALUE"""),"Yes")</f>
        <v>Yes</v>
      </c>
      <c r="B66" s="3"/>
      <c r="C66" s="3" t="str">
        <f>IFERROR(__xludf.DUMMYFUNCTION("""COMPUTED_VALUE"""),"lesotho")</f>
        <v>lesotho</v>
      </c>
      <c r="D66" s="3"/>
      <c r="E66" s="3" t="str">
        <f>IFERROR(__xludf.DUMMYFUNCTION("""COMPUTED_VALUE"""),"lesotho")</f>
        <v>lesotho</v>
      </c>
      <c r="F66" s="3"/>
      <c r="G66" s="3">
        <f>IFERROR(__xludf.DUMMYFUNCTION("""COMPUTED_VALUE"""),52.0)</f>
        <v>52</v>
      </c>
      <c r="H66" s="3" t="str">
        <f>IFERROR(__xludf.DUMMYFUNCTION("""COMPUTED_VALUE"""),"female")</f>
        <v>female</v>
      </c>
      <c r="I66" s="3"/>
      <c r="J66" s="3" t="str">
        <f>IFERROR(__xludf.DUMMYFUNCTION("""COMPUTED_VALUE"""),"formal")</f>
        <v>formal</v>
      </c>
      <c r="K66" s="3" t="str">
        <f>IFERROR(__xludf.DUMMYFUNCTION("""COMPUTED_VALUE"""),"tertiary")</f>
        <v>tertiary</v>
      </c>
      <c r="L66" s="3"/>
      <c r="M66" s="3" t="str">
        <f>IFERROR(__xludf.DUMMYFUNCTION("""COMPUTED_VALUE"""),"agree")</f>
        <v>agree</v>
      </c>
      <c r="N66" s="3" t="str">
        <f>IFERROR(__xludf.DUMMYFUNCTION("""COMPUTED_VALUE"""),"agree")</f>
        <v>agree</v>
      </c>
      <c r="O66" s="3" t="str">
        <f>IFERROR(__xludf.DUMMYFUNCTION("""COMPUTED_VALUE"""),"agree")</f>
        <v>agree</v>
      </c>
      <c r="P66" s="3"/>
      <c r="Q66" s="3" t="str">
        <f>IFERROR(__xludf.DUMMYFUNCTION("""COMPUTED_VALUE"""),"disagree")</f>
        <v>disagree</v>
      </c>
      <c r="R66" s="3" t="str">
        <f>IFERROR(__xludf.DUMMYFUNCTION("""COMPUTED_VALUE"""),"agree")</f>
        <v>agree</v>
      </c>
      <c r="S66" s="3" t="str">
        <f>IFERROR(__xludf.DUMMYFUNCTION("""COMPUTED_VALUE"""),"disagree")</f>
        <v>disagree</v>
      </c>
      <c r="T66" s="3" t="str">
        <f>IFERROR(__xludf.DUMMYFUNCTION("""COMPUTED_VALUE"""),"disagree")</f>
        <v>disagree</v>
      </c>
      <c r="U66" s="3" t="str">
        <f>IFERROR(__xludf.DUMMYFUNCTION("""COMPUTED_VALUE"""),"agree")</f>
        <v>agree</v>
      </c>
      <c r="V66" s="3" t="str">
        <f>IFERROR(__xludf.DUMMYFUNCTION("""COMPUTED_VALUE"""),"agree")</f>
        <v>agree</v>
      </c>
      <c r="W66" s="3" t="str">
        <f>IFERROR(__xludf.DUMMYFUNCTION("""COMPUTED_VALUE"""),"disagree")</f>
        <v>disagree</v>
      </c>
      <c r="X66" s="3" t="str">
        <f>IFERROR(__xludf.DUMMYFUNCTION("""COMPUTED_VALUE"""),"Platinum")</f>
        <v>Platinum</v>
      </c>
      <c r="Y66" s="3" t="str">
        <f>IFERROR(__xludf.DUMMYFUNCTION("""COMPUTED_VALUE"""),"insurance")</f>
        <v>insurance</v>
      </c>
      <c r="Z66" s="3" t="str">
        <f>IFERROR(__xludf.DUMMYFUNCTION("""COMPUTED_VALUE"""),"monthly")</f>
        <v>monthly</v>
      </c>
      <c r="AA66" s="3">
        <f>IFERROR(__xludf.DUMMYFUNCTION("""COMPUTED_VALUE"""),100.0)</f>
        <v>100</v>
      </c>
      <c r="AB66" s="3" t="str">
        <f>IFERROR(__xludf.DUMMYFUNCTION("""COMPUTED_VALUE"""),"employer")</f>
        <v>employer</v>
      </c>
      <c r="AC66" s="3" t="str">
        <f>IFERROR(__xludf.DUMMYFUNCTION("""COMPUTED_VALUE"""),"Yes")</f>
        <v>Yes</v>
      </c>
      <c r="AD66" s="3" t="str">
        <f>IFERROR(__xludf.DUMMYFUNCTION("""COMPUTED_VALUE"""),"Platinum")</f>
        <v>Platinum</v>
      </c>
      <c r="AE66" s="3" t="str">
        <f>IFERROR(__xludf.DUMMYFUNCTION("""COMPUTED_VALUE"""),"Yes")</f>
        <v>Yes</v>
      </c>
      <c r="AF66" s="3" t="str">
        <f>IFERROR(__xludf.DUMMYFUNCTION("""COMPUTED_VALUE"""),"Yes")</f>
        <v>Yes</v>
      </c>
      <c r="AG66" s="3" t="str">
        <f>IFERROR(__xludf.DUMMYFUNCTION("""COMPUTED_VALUE"""),"Yes")</f>
        <v>Yes</v>
      </c>
      <c r="AH66" s="3"/>
      <c r="AI66" s="3">
        <f>IFERROR(__xludf.DUMMYFUNCTION("""COMPUTED_VALUE"""),1.0)</f>
        <v>1</v>
      </c>
      <c r="AJ66" s="3">
        <f>IFERROR(__xludf.DUMMYFUNCTION("""COMPUTED_VALUE"""),1.0)</f>
        <v>1</v>
      </c>
      <c r="AK66" s="3">
        <f>IFERROR(__xludf.DUMMYFUNCTION("""COMPUTED_VALUE"""),1.0)</f>
        <v>1</v>
      </c>
      <c r="AL66" s="3">
        <f>IFERROR(__xludf.DUMMYFUNCTION("""COMPUTED_VALUE"""),0.0)</f>
        <v>0</v>
      </c>
      <c r="AM66" s="3"/>
      <c r="AN66" s="3"/>
      <c r="AO66" s="3"/>
      <c r="AP66" s="3">
        <f>IFERROR(__xludf.DUMMYFUNCTION("""COMPUTED_VALUE"""),4.8823866E8)</f>
        <v>488238660</v>
      </c>
      <c r="AQ66" s="3" t="str">
        <f>IFERROR(__xludf.DUMMYFUNCTION("""COMPUTED_VALUE"""),"2f84bc2f-b15d-427f-8dd0-996654eda408")</f>
        <v>2f84bc2f-b15d-427f-8dd0-996654eda408</v>
      </c>
      <c r="AR66" s="3">
        <f>IFERROR(__xludf.DUMMYFUNCTION("""COMPUTED_VALUE"""),45805.76369212963)</f>
        <v>45805.76369</v>
      </c>
      <c r="AS66" s="3"/>
      <c r="AT66" s="3"/>
      <c r="AU66" s="3" t="str">
        <f>IFERROR(__xludf.DUMMYFUNCTION("""COMPUTED_VALUE"""),"submitted_via_web")</f>
        <v>submitted_via_web</v>
      </c>
      <c r="AV66" s="3"/>
      <c r="AW66" s="3" t="str">
        <f>IFERROR(__xludf.DUMMYFUNCTION("""COMPUTED_VALUE"""),"vyQ2YQjU4ktbYYqmXjw6CP")</f>
        <v>vyQ2YQjU4ktbYYqmXjw6CP</v>
      </c>
      <c r="AX66" s="3"/>
      <c r="AY66" s="3">
        <f>IFERROR(__xludf.DUMMYFUNCTION("""COMPUTED_VALUE"""),65.0)</f>
        <v>65</v>
      </c>
    </row>
    <row r="67">
      <c r="A67" s="3" t="str">
        <f>IFERROR(__xludf.DUMMYFUNCTION("""COMPUTED_VALUE"""),"Yes")</f>
        <v>Yes</v>
      </c>
      <c r="B67" s="3"/>
      <c r="C67" s="3" t="str">
        <f>IFERROR(__xludf.DUMMYFUNCTION("""COMPUTED_VALUE"""),"lesotho")</f>
        <v>lesotho</v>
      </c>
      <c r="D67" s="3"/>
      <c r="E67" s="3" t="str">
        <f>IFERROR(__xludf.DUMMYFUNCTION("""COMPUTED_VALUE"""),"lesotho")</f>
        <v>lesotho</v>
      </c>
      <c r="F67" s="3"/>
      <c r="G67" s="3">
        <f>IFERROR(__xludf.DUMMYFUNCTION("""COMPUTED_VALUE"""),44.0)</f>
        <v>44</v>
      </c>
      <c r="H67" s="3" t="str">
        <f>IFERROR(__xludf.DUMMYFUNCTION("""COMPUTED_VALUE"""),"female")</f>
        <v>female</v>
      </c>
      <c r="I67" s="3"/>
      <c r="J67" s="3" t="str">
        <f>IFERROR(__xludf.DUMMYFUNCTION("""COMPUTED_VALUE"""),"formal")</f>
        <v>formal</v>
      </c>
      <c r="K67" s="3" t="str">
        <f>IFERROR(__xludf.DUMMYFUNCTION("""COMPUTED_VALUE"""),"tertiary")</f>
        <v>tertiary</v>
      </c>
      <c r="L67" s="3"/>
      <c r="M67" s="3" t="str">
        <f>IFERROR(__xludf.DUMMYFUNCTION("""COMPUTED_VALUE"""),"agree")</f>
        <v>agree</v>
      </c>
      <c r="N67" s="3" t="str">
        <f>IFERROR(__xludf.DUMMYFUNCTION("""COMPUTED_VALUE"""),"agree")</f>
        <v>agree</v>
      </c>
      <c r="O67" s="3" t="str">
        <f>IFERROR(__xludf.DUMMYFUNCTION("""COMPUTED_VALUE"""),"agree")</f>
        <v>agree</v>
      </c>
      <c r="P67" s="3"/>
      <c r="Q67" s="3" t="str">
        <f>IFERROR(__xludf.DUMMYFUNCTION("""COMPUTED_VALUE"""),"disagree")</f>
        <v>disagree</v>
      </c>
      <c r="R67" s="3" t="str">
        <f>IFERROR(__xludf.DUMMYFUNCTION("""COMPUTED_VALUE"""),"agree")</f>
        <v>agree</v>
      </c>
      <c r="S67" s="3" t="str">
        <f>IFERROR(__xludf.DUMMYFUNCTION("""COMPUTED_VALUE"""),"agree")</f>
        <v>agree</v>
      </c>
      <c r="T67" s="3" t="str">
        <f>IFERROR(__xludf.DUMMYFUNCTION("""COMPUTED_VALUE"""),"dontknow")</f>
        <v>dontknow</v>
      </c>
      <c r="U67" s="3" t="str">
        <f>IFERROR(__xludf.DUMMYFUNCTION("""COMPUTED_VALUE"""),"disagree")</f>
        <v>disagree</v>
      </c>
      <c r="V67" s="3" t="str">
        <f>IFERROR(__xludf.DUMMYFUNCTION("""COMPUTED_VALUE"""),"agree")</f>
        <v>agree</v>
      </c>
      <c r="W67" s="3" t="str">
        <f>IFERROR(__xludf.DUMMYFUNCTION("""COMPUTED_VALUE"""),"dontknow")</f>
        <v>dontknow</v>
      </c>
      <c r="X67" s="3" t="str">
        <f>IFERROR(__xludf.DUMMYFUNCTION("""COMPUTED_VALUE"""),"Silver")</f>
        <v>Silver</v>
      </c>
      <c r="Y67" s="3" t="str">
        <f>IFERROR(__xludf.DUMMYFUNCTION("""COMPUTED_VALUE"""),"card")</f>
        <v>card</v>
      </c>
      <c r="Z67" s="3" t="str">
        <f>IFERROR(__xludf.DUMMYFUNCTION("""COMPUTED_VALUE"""),"monthly")</f>
        <v>monthly</v>
      </c>
      <c r="AA67" s="3">
        <f>IFERROR(__xludf.DUMMYFUNCTION("""COMPUTED_VALUE"""),100.0)</f>
        <v>100</v>
      </c>
      <c r="AB67" s="3" t="str">
        <f>IFERROR(__xludf.DUMMYFUNCTION("""COMPUTED_VALUE"""),"online")</f>
        <v>online</v>
      </c>
      <c r="AC67" s="3" t="str">
        <f>IFERROR(__xludf.DUMMYFUNCTION("""COMPUTED_VALUE"""),"I am not an employer")</f>
        <v>I am not an employer</v>
      </c>
      <c r="AD67" s="3"/>
      <c r="AE67" s="3"/>
      <c r="AF67" s="3" t="str">
        <f>IFERROR(__xludf.DUMMYFUNCTION("""COMPUTED_VALUE"""),"Yes")</f>
        <v>Yes</v>
      </c>
      <c r="AG67" s="3" t="str">
        <f>IFERROR(__xludf.DUMMYFUNCTION("""COMPUTED_VALUE"""),"Yes")</f>
        <v>Yes</v>
      </c>
      <c r="AH67" s="3"/>
      <c r="AI67" s="3">
        <f>IFERROR(__xludf.DUMMYFUNCTION("""COMPUTED_VALUE"""),0.0)</f>
        <v>0</v>
      </c>
      <c r="AJ67" s="3">
        <f>IFERROR(__xludf.DUMMYFUNCTION("""COMPUTED_VALUE"""),0.0)</f>
        <v>0</v>
      </c>
      <c r="AK67" s="3">
        <f>IFERROR(__xludf.DUMMYFUNCTION("""COMPUTED_VALUE"""),1.0)</f>
        <v>1</v>
      </c>
      <c r="AL67" s="3">
        <f>IFERROR(__xludf.DUMMYFUNCTION("""COMPUTED_VALUE"""),0.0)</f>
        <v>0</v>
      </c>
      <c r="AM67" s="3"/>
      <c r="AN67" s="3"/>
      <c r="AO67" s="3"/>
      <c r="AP67" s="3">
        <f>IFERROR(__xludf.DUMMYFUNCTION("""COMPUTED_VALUE"""),4.88239373E8)</f>
        <v>488239373</v>
      </c>
      <c r="AQ67" s="3" t="str">
        <f>IFERROR(__xludf.DUMMYFUNCTION("""COMPUTED_VALUE"""),"4ef1a7c8-4311-4ef9-9e49-92931e6a3304")</f>
        <v>4ef1a7c8-4311-4ef9-9e49-92931e6a3304</v>
      </c>
      <c r="AR67" s="3">
        <f>IFERROR(__xludf.DUMMYFUNCTION("""COMPUTED_VALUE"""),45805.76443287037)</f>
        <v>45805.76443</v>
      </c>
      <c r="AS67" s="3"/>
      <c r="AT67" s="3"/>
      <c r="AU67" s="3" t="str">
        <f>IFERROR(__xludf.DUMMYFUNCTION("""COMPUTED_VALUE"""),"submitted_via_web")</f>
        <v>submitted_via_web</v>
      </c>
      <c r="AV67" s="3"/>
      <c r="AW67" s="3" t="str">
        <f>IFERROR(__xludf.DUMMYFUNCTION("""COMPUTED_VALUE"""),"vyQ2YQjU4ktbYYqmXjw6CP")</f>
        <v>vyQ2YQjU4ktbYYqmXjw6CP</v>
      </c>
      <c r="AX67" s="3"/>
      <c r="AY67" s="3">
        <f>IFERROR(__xludf.DUMMYFUNCTION("""COMPUTED_VALUE"""),66.0)</f>
        <v>66</v>
      </c>
    </row>
    <row r="68">
      <c r="A68" s="3" t="str">
        <f>IFERROR(__xludf.DUMMYFUNCTION("""COMPUTED_VALUE"""),"Yes")</f>
        <v>Yes</v>
      </c>
      <c r="B68" s="3"/>
      <c r="C68" s="3" t="str">
        <f>IFERROR(__xludf.DUMMYFUNCTION("""COMPUTED_VALUE"""),"lesotho")</f>
        <v>lesotho</v>
      </c>
      <c r="D68" s="3"/>
      <c r="E68" s="3" t="str">
        <f>IFERROR(__xludf.DUMMYFUNCTION("""COMPUTED_VALUE"""),"lesotho")</f>
        <v>lesotho</v>
      </c>
      <c r="F68" s="3"/>
      <c r="G68" s="3">
        <f>IFERROR(__xludf.DUMMYFUNCTION("""COMPUTED_VALUE"""),41.0)</f>
        <v>41</v>
      </c>
      <c r="H68" s="3" t="str">
        <f>IFERROR(__xludf.DUMMYFUNCTION("""COMPUTED_VALUE"""),"male")</f>
        <v>male</v>
      </c>
      <c r="I68" s="3"/>
      <c r="J68" s="3" t="str">
        <f>IFERROR(__xludf.DUMMYFUNCTION("""COMPUTED_VALUE"""),"formal")</f>
        <v>formal</v>
      </c>
      <c r="K68" s="3" t="str">
        <f>IFERROR(__xludf.DUMMYFUNCTION("""COMPUTED_VALUE"""),"tertiary")</f>
        <v>tertiary</v>
      </c>
      <c r="L68" s="3"/>
      <c r="M68" s="3" t="str">
        <f>IFERROR(__xludf.DUMMYFUNCTION("""COMPUTED_VALUE"""),"agree")</f>
        <v>agree</v>
      </c>
      <c r="N68" s="3" t="str">
        <f>IFERROR(__xludf.DUMMYFUNCTION("""COMPUTED_VALUE"""),"agree")</f>
        <v>agree</v>
      </c>
      <c r="O68" s="3" t="str">
        <f>IFERROR(__xludf.DUMMYFUNCTION("""COMPUTED_VALUE"""),"agree")</f>
        <v>agree</v>
      </c>
      <c r="P68" s="3"/>
      <c r="Q68" s="3" t="str">
        <f>IFERROR(__xludf.DUMMYFUNCTION("""COMPUTED_VALUE"""),"agree")</f>
        <v>agree</v>
      </c>
      <c r="R68" s="3" t="str">
        <f>IFERROR(__xludf.DUMMYFUNCTION("""COMPUTED_VALUE"""),"agree")</f>
        <v>agree</v>
      </c>
      <c r="S68" s="3" t="str">
        <f>IFERROR(__xludf.DUMMYFUNCTION("""COMPUTED_VALUE"""),"agree")</f>
        <v>agree</v>
      </c>
      <c r="T68" s="3" t="str">
        <f>IFERROR(__xludf.DUMMYFUNCTION("""COMPUTED_VALUE"""),"agree")</f>
        <v>agree</v>
      </c>
      <c r="U68" s="3" t="str">
        <f>IFERROR(__xludf.DUMMYFUNCTION("""COMPUTED_VALUE"""),"agree")</f>
        <v>agree</v>
      </c>
      <c r="V68" s="3" t="str">
        <f>IFERROR(__xludf.DUMMYFUNCTION("""COMPUTED_VALUE"""),"agree")</f>
        <v>agree</v>
      </c>
      <c r="W68" s="3" t="str">
        <f>IFERROR(__xludf.DUMMYFUNCTION("""COMPUTED_VALUE"""),"agree")</f>
        <v>agree</v>
      </c>
      <c r="X68" s="3" t="str">
        <f>IFERROR(__xludf.DUMMYFUNCTION("""COMPUTED_VALUE"""),"Gold")</f>
        <v>Gold</v>
      </c>
      <c r="Y68" s="3" t="str">
        <f>IFERROR(__xludf.DUMMYFUNCTION("""COMPUTED_VALUE"""),"insurance")</f>
        <v>insurance</v>
      </c>
      <c r="Z68" s="3" t="str">
        <f>IFERROR(__xludf.DUMMYFUNCTION("""COMPUTED_VALUE"""),"annual")</f>
        <v>annual</v>
      </c>
      <c r="AA68" s="3">
        <f>IFERROR(__xludf.DUMMYFUNCTION("""COMPUTED_VALUE"""),100.0)</f>
        <v>100</v>
      </c>
      <c r="AB68" s="3" t="str">
        <f>IFERROR(__xludf.DUMMYFUNCTION("""COMPUTED_VALUE"""),"online")</f>
        <v>online</v>
      </c>
      <c r="AC68" s="3" t="str">
        <f>IFERROR(__xludf.DUMMYFUNCTION("""COMPUTED_VALUE"""),"Yes")</f>
        <v>Yes</v>
      </c>
      <c r="AD68" s="3" t="str">
        <f>IFERROR(__xludf.DUMMYFUNCTION("""COMPUTED_VALUE"""),"Gold")</f>
        <v>Gold</v>
      </c>
      <c r="AE68" s="3" t="str">
        <f>IFERROR(__xludf.DUMMYFUNCTION("""COMPUTED_VALUE"""),"Yes")</f>
        <v>Yes</v>
      </c>
      <c r="AF68" s="3" t="str">
        <f>IFERROR(__xludf.DUMMYFUNCTION("""COMPUTED_VALUE"""),"Yes")</f>
        <v>Yes</v>
      </c>
      <c r="AG68" s="3" t="str">
        <f>IFERROR(__xludf.DUMMYFUNCTION("""COMPUTED_VALUE"""),"Yes")</f>
        <v>Yes</v>
      </c>
      <c r="AH68" s="3">
        <f>IFERROR(__xludf.DUMMYFUNCTION("""COMPUTED_VALUE"""),200.0)</f>
        <v>200</v>
      </c>
      <c r="AI68" s="3">
        <f>IFERROR(__xludf.DUMMYFUNCTION("""COMPUTED_VALUE"""),1.0)</f>
        <v>1</v>
      </c>
      <c r="AJ68" s="3">
        <f>IFERROR(__xludf.DUMMYFUNCTION("""COMPUTED_VALUE"""),0.0)</f>
        <v>0</v>
      </c>
      <c r="AK68" s="3">
        <f>IFERROR(__xludf.DUMMYFUNCTION("""COMPUTED_VALUE"""),0.0)</f>
        <v>0</v>
      </c>
      <c r="AL68" s="3">
        <f>IFERROR(__xludf.DUMMYFUNCTION("""COMPUTED_VALUE"""),0.0)</f>
        <v>0</v>
      </c>
      <c r="AM68" s="3"/>
      <c r="AN68" s="3"/>
      <c r="AO68" s="3"/>
      <c r="AP68" s="3">
        <f>IFERROR(__xludf.DUMMYFUNCTION("""COMPUTED_VALUE"""),4.88239828E8)</f>
        <v>488239828</v>
      </c>
      <c r="AQ68" s="3" t="str">
        <f>IFERROR(__xludf.DUMMYFUNCTION("""COMPUTED_VALUE"""),"52490df8-cc2e-4a53-920e-ae5cdbd5bdae")</f>
        <v>52490df8-cc2e-4a53-920e-ae5cdbd5bdae</v>
      </c>
      <c r="AR68" s="3">
        <f>IFERROR(__xludf.DUMMYFUNCTION("""COMPUTED_VALUE"""),45805.76497685185)</f>
        <v>45805.76498</v>
      </c>
      <c r="AS68" s="3"/>
      <c r="AT68" s="3"/>
      <c r="AU68" s="3" t="str">
        <f>IFERROR(__xludf.DUMMYFUNCTION("""COMPUTED_VALUE"""),"submitted_via_web")</f>
        <v>submitted_via_web</v>
      </c>
      <c r="AV68" s="3"/>
      <c r="AW68" s="3" t="str">
        <f>IFERROR(__xludf.DUMMYFUNCTION("""COMPUTED_VALUE"""),"vyQ2YQjU4ktbYYqmXjw6CP")</f>
        <v>vyQ2YQjU4ktbYYqmXjw6CP</v>
      </c>
      <c r="AX68" s="3"/>
      <c r="AY68" s="3">
        <f>IFERROR(__xludf.DUMMYFUNCTION("""COMPUTED_VALUE"""),67.0)</f>
        <v>67</v>
      </c>
    </row>
    <row r="69">
      <c r="A69" s="3" t="str">
        <f>IFERROR(__xludf.DUMMYFUNCTION("""COMPUTED_VALUE"""),"Yes")</f>
        <v>Yes</v>
      </c>
      <c r="B69" s="3"/>
      <c r="C69" s="3" t="str">
        <f>IFERROR(__xludf.DUMMYFUNCTION("""COMPUTED_VALUE"""),"zimbabwe")</f>
        <v>zimbabwe</v>
      </c>
      <c r="D69" s="3"/>
      <c r="E69" s="3" t="str">
        <f>IFERROR(__xludf.DUMMYFUNCTION("""COMPUTED_VALUE"""),"lesotho")</f>
        <v>lesotho</v>
      </c>
      <c r="F69" s="3"/>
      <c r="G69" s="3">
        <f>IFERROR(__xludf.DUMMYFUNCTION("""COMPUTED_VALUE"""),47.0)</f>
        <v>47</v>
      </c>
      <c r="H69" s="3" t="str">
        <f>IFERROR(__xludf.DUMMYFUNCTION("""COMPUTED_VALUE"""),"male")</f>
        <v>male</v>
      </c>
      <c r="I69" s="3"/>
      <c r="J69" s="3" t="str">
        <f>IFERROR(__xludf.DUMMYFUNCTION("""COMPUTED_VALUE"""),"formal")</f>
        <v>formal</v>
      </c>
      <c r="K69" s="3" t="str">
        <f>IFERROR(__xludf.DUMMYFUNCTION("""COMPUTED_VALUE"""),"tertiary")</f>
        <v>tertiary</v>
      </c>
      <c r="L69" s="3"/>
      <c r="M69" s="3" t="str">
        <f>IFERROR(__xludf.DUMMYFUNCTION("""COMPUTED_VALUE"""),"agree")</f>
        <v>agree</v>
      </c>
      <c r="N69" s="3" t="str">
        <f>IFERROR(__xludf.DUMMYFUNCTION("""COMPUTED_VALUE"""),"agree")</f>
        <v>agree</v>
      </c>
      <c r="O69" s="3" t="str">
        <f>IFERROR(__xludf.DUMMYFUNCTION("""COMPUTED_VALUE"""),"disagree")</f>
        <v>disagree</v>
      </c>
      <c r="P69" s="3"/>
      <c r="Q69" s="3" t="str">
        <f>IFERROR(__xludf.DUMMYFUNCTION("""COMPUTED_VALUE"""),"disagree")</f>
        <v>disagree</v>
      </c>
      <c r="R69" s="3" t="str">
        <f>IFERROR(__xludf.DUMMYFUNCTION("""COMPUTED_VALUE"""),"agree")</f>
        <v>agree</v>
      </c>
      <c r="S69" s="3" t="str">
        <f>IFERROR(__xludf.DUMMYFUNCTION("""COMPUTED_VALUE"""),"disagree")</f>
        <v>disagree</v>
      </c>
      <c r="T69" s="3" t="str">
        <f>IFERROR(__xludf.DUMMYFUNCTION("""COMPUTED_VALUE"""),"disagree")</f>
        <v>disagree</v>
      </c>
      <c r="U69" s="3" t="str">
        <f>IFERROR(__xludf.DUMMYFUNCTION("""COMPUTED_VALUE"""),"agree")</f>
        <v>agree</v>
      </c>
      <c r="V69" s="3" t="str">
        <f>IFERROR(__xludf.DUMMYFUNCTION("""COMPUTED_VALUE"""),"agree")</f>
        <v>agree</v>
      </c>
      <c r="W69" s="3" t="str">
        <f>IFERROR(__xludf.DUMMYFUNCTION("""COMPUTED_VALUE"""),"disagree")</f>
        <v>disagree</v>
      </c>
      <c r="X69" s="3" t="str">
        <f>IFERROR(__xludf.DUMMYFUNCTION("""COMPUTED_VALUE"""),"Lithium")</f>
        <v>Lithium</v>
      </c>
      <c r="Y69" s="3" t="str">
        <f>IFERROR(__xludf.DUMMYFUNCTION("""COMPUTED_VALUE"""),"card")</f>
        <v>card</v>
      </c>
      <c r="Z69" s="3" t="str">
        <f>IFERROR(__xludf.DUMMYFUNCTION("""COMPUTED_VALUE"""),"monthly")</f>
        <v>monthly</v>
      </c>
      <c r="AA69" s="3">
        <f>IFERROR(__xludf.DUMMYFUNCTION("""COMPUTED_VALUE"""),100.0)</f>
        <v>100</v>
      </c>
      <c r="AB69" s="3" t="str">
        <f>IFERROR(__xludf.DUMMYFUNCTION("""COMPUTED_VALUE"""),"online")</f>
        <v>online</v>
      </c>
      <c r="AC69" s="3" t="str">
        <f>IFERROR(__xludf.DUMMYFUNCTION("""COMPUTED_VALUE"""),"I am not an employer")</f>
        <v>I am not an employer</v>
      </c>
      <c r="AD69" s="3"/>
      <c r="AE69" s="3"/>
      <c r="AF69" s="3" t="str">
        <f>IFERROR(__xludf.DUMMYFUNCTION("""COMPUTED_VALUE"""),"Yes")</f>
        <v>Yes</v>
      </c>
      <c r="AG69" s="3" t="str">
        <f>IFERROR(__xludf.DUMMYFUNCTION("""COMPUTED_VALUE"""),"No")</f>
        <v>No</v>
      </c>
      <c r="AH69" s="3"/>
      <c r="AI69" s="3">
        <f>IFERROR(__xludf.DUMMYFUNCTION("""COMPUTED_VALUE"""),0.0)</f>
        <v>0</v>
      </c>
      <c r="AJ69" s="3">
        <f>IFERROR(__xludf.DUMMYFUNCTION("""COMPUTED_VALUE"""),0.0)</f>
        <v>0</v>
      </c>
      <c r="AK69" s="3">
        <f>IFERROR(__xludf.DUMMYFUNCTION("""COMPUTED_VALUE"""),0.0)</f>
        <v>0</v>
      </c>
      <c r="AL69" s="3">
        <f>IFERROR(__xludf.DUMMYFUNCTION("""COMPUTED_VALUE"""),1.0)</f>
        <v>1</v>
      </c>
      <c r="AM69" s="3"/>
      <c r="AN69" s="3"/>
      <c r="AO69" s="3"/>
      <c r="AP69" s="3">
        <f>IFERROR(__xludf.DUMMYFUNCTION("""COMPUTED_VALUE"""),4.8824426E8)</f>
        <v>488244260</v>
      </c>
      <c r="AQ69" s="3" t="str">
        <f>IFERROR(__xludf.DUMMYFUNCTION("""COMPUTED_VALUE"""),"4b26eed0-d54c-420d-ab2d-44457b4fdda0")</f>
        <v>4b26eed0-d54c-420d-ab2d-44457b4fdda0</v>
      </c>
      <c r="AR69" s="3">
        <f>IFERROR(__xludf.DUMMYFUNCTION("""COMPUTED_VALUE"""),45805.76894675926)</f>
        <v>45805.76895</v>
      </c>
      <c r="AS69" s="3"/>
      <c r="AT69" s="3"/>
      <c r="AU69" s="3" t="str">
        <f>IFERROR(__xludf.DUMMYFUNCTION("""COMPUTED_VALUE"""),"submitted_via_web")</f>
        <v>submitted_via_web</v>
      </c>
      <c r="AV69" s="3"/>
      <c r="AW69" s="3" t="str">
        <f>IFERROR(__xludf.DUMMYFUNCTION("""COMPUTED_VALUE"""),"vyQ2YQjU4ktbYYqmXjw6CP")</f>
        <v>vyQ2YQjU4ktbYYqmXjw6CP</v>
      </c>
      <c r="AX69" s="3"/>
      <c r="AY69" s="3">
        <f>IFERROR(__xludf.DUMMYFUNCTION("""COMPUTED_VALUE"""),68.0)</f>
        <v>68</v>
      </c>
    </row>
    <row r="70">
      <c r="A70" s="3" t="str">
        <f>IFERROR(__xludf.DUMMYFUNCTION("""COMPUTED_VALUE"""),"Yes")</f>
        <v>Yes</v>
      </c>
      <c r="B70" s="3"/>
      <c r="C70" s="3" t="str">
        <f>IFERROR(__xludf.DUMMYFUNCTION("""COMPUTED_VALUE"""),"lesotho")</f>
        <v>lesotho</v>
      </c>
      <c r="D70" s="3"/>
      <c r="E70" s="3" t="str">
        <f>IFERROR(__xludf.DUMMYFUNCTION("""COMPUTED_VALUE"""),"lesotho")</f>
        <v>lesotho</v>
      </c>
      <c r="F70" s="3"/>
      <c r="G70" s="3">
        <f>IFERROR(__xludf.DUMMYFUNCTION("""COMPUTED_VALUE"""),39.0)</f>
        <v>39</v>
      </c>
      <c r="H70" s="3" t="str">
        <f>IFERROR(__xludf.DUMMYFUNCTION("""COMPUTED_VALUE"""),"female")</f>
        <v>female</v>
      </c>
      <c r="I70" s="3"/>
      <c r="J70" s="3" t="str">
        <f>IFERROR(__xludf.DUMMYFUNCTION("""COMPUTED_VALUE"""),"formal")</f>
        <v>formal</v>
      </c>
      <c r="K70" s="3" t="str">
        <f>IFERROR(__xludf.DUMMYFUNCTION("""COMPUTED_VALUE"""),"tertiary")</f>
        <v>tertiary</v>
      </c>
      <c r="L70" s="3"/>
      <c r="M70" s="3" t="str">
        <f>IFERROR(__xludf.DUMMYFUNCTION("""COMPUTED_VALUE"""),"agree")</f>
        <v>agree</v>
      </c>
      <c r="N70" s="3" t="str">
        <f>IFERROR(__xludf.DUMMYFUNCTION("""COMPUTED_VALUE"""),"agree")</f>
        <v>agree</v>
      </c>
      <c r="O70" s="3" t="str">
        <f>IFERROR(__xludf.DUMMYFUNCTION("""COMPUTED_VALUE"""),"disagree")</f>
        <v>disagree</v>
      </c>
      <c r="P70" s="3"/>
      <c r="Q70" s="3" t="str">
        <f>IFERROR(__xludf.DUMMYFUNCTION("""COMPUTED_VALUE"""),"agree")</f>
        <v>agree</v>
      </c>
      <c r="R70" s="3" t="str">
        <f>IFERROR(__xludf.DUMMYFUNCTION("""COMPUTED_VALUE"""),"agree")</f>
        <v>agree</v>
      </c>
      <c r="S70" s="3" t="str">
        <f>IFERROR(__xludf.DUMMYFUNCTION("""COMPUTED_VALUE"""),"disagree")</f>
        <v>disagree</v>
      </c>
      <c r="T70" s="3" t="str">
        <f>IFERROR(__xludf.DUMMYFUNCTION("""COMPUTED_VALUE"""),"disagree")</f>
        <v>disagree</v>
      </c>
      <c r="U70" s="3" t="str">
        <f>IFERROR(__xludf.DUMMYFUNCTION("""COMPUTED_VALUE"""),"disagree")</f>
        <v>disagree</v>
      </c>
      <c r="V70" s="3" t="str">
        <f>IFERROR(__xludf.DUMMYFUNCTION("""COMPUTED_VALUE"""),"agree")</f>
        <v>agree</v>
      </c>
      <c r="W70" s="3" t="str">
        <f>IFERROR(__xludf.DUMMYFUNCTION("""COMPUTED_VALUE"""),"disagree")</f>
        <v>disagree</v>
      </c>
      <c r="X70" s="3" t="str">
        <f>IFERROR(__xludf.DUMMYFUNCTION("""COMPUTED_VALUE"""),"Platinum")</f>
        <v>Platinum</v>
      </c>
      <c r="Y70" s="3" t="str">
        <f>IFERROR(__xludf.DUMMYFUNCTION("""COMPUTED_VALUE"""),"insurance")</f>
        <v>insurance</v>
      </c>
      <c r="Z70" s="3" t="str">
        <f>IFERROR(__xludf.DUMMYFUNCTION("""COMPUTED_VALUE"""),"monthly")</f>
        <v>monthly</v>
      </c>
      <c r="AA70" s="3">
        <f>IFERROR(__xludf.DUMMYFUNCTION("""COMPUTED_VALUE"""),100.0)</f>
        <v>100</v>
      </c>
      <c r="AB70" s="3" t="str">
        <f>IFERROR(__xludf.DUMMYFUNCTION("""COMPUTED_VALUE"""),"online")</f>
        <v>online</v>
      </c>
      <c r="AC70" s="3" t="str">
        <f>IFERROR(__xludf.DUMMYFUNCTION("""COMPUTED_VALUE"""),"I am not an employer")</f>
        <v>I am not an employer</v>
      </c>
      <c r="AD70" s="3"/>
      <c r="AE70" s="3"/>
      <c r="AF70" s="3" t="str">
        <f>IFERROR(__xludf.DUMMYFUNCTION("""COMPUTED_VALUE"""),"Yes")</f>
        <v>Yes</v>
      </c>
      <c r="AG70" s="3" t="str">
        <f>IFERROR(__xludf.DUMMYFUNCTION("""COMPUTED_VALUE"""),"No")</f>
        <v>No</v>
      </c>
      <c r="AH70" s="3"/>
      <c r="AI70" s="3">
        <f>IFERROR(__xludf.DUMMYFUNCTION("""COMPUTED_VALUE"""),1.0)</f>
        <v>1</v>
      </c>
      <c r="AJ70" s="3">
        <f>IFERROR(__xludf.DUMMYFUNCTION("""COMPUTED_VALUE"""),0.0)</f>
        <v>0</v>
      </c>
      <c r="AK70" s="3">
        <f>IFERROR(__xludf.DUMMYFUNCTION("""COMPUTED_VALUE"""),0.0)</f>
        <v>0</v>
      </c>
      <c r="AL70" s="3">
        <f>IFERROR(__xludf.DUMMYFUNCTION("""COMPUTED_VALUE"""),0.0)</f>
        <v>0</v>
      </c>
      <c r="AM70" s="3"/>
      <c r="AN70" s="3"/>
      <c r="AO70" s="3"/>
      <c r="AP70" s="3">
        <f>IFERROR(__xludf.DUMMYFUNCTION("""COMPUTED_VALUE"""),4.88245531E8)</f>
        <v>488245531</v>
      </c>
      <c r="AQ70" s="3" t="str">
        <f>IFERROR(__xludf.DUMMYFUNCTION("""COMPUTED_VALUE"""),"be35b3c4-e0b2-4601-bef4-0d94b5b40170")</f>
        <v>be35b3c4-e0b2-4601-bef4-0d94b5b40170</v>
      </c>
      <c r="AR70" s="3">
        <f>IFERROR(__xludf.DUMMYFUNCTION("""COMPUTED_VALUE"""),45805.770474537036)</f>
        <v>45805.77047</v>
      </c>
      <c r="AS70" s="3"/>
      <c r="AT70" s="3"/>
      <c r="AU70" s="3" t="str">
        <f>IFERROR(__xludf.DUMMYFUNCTION("""COMPUTED_VALUE"""),"submitted_via_web")</f>
        <v>submitted_via_web</v>
      </c>
      <c r="AV70" s="3"/>
      <c r="AW70" s="3" t="str">
        <f>IFERROR(__xludf.DUMMYFUNCTION("""COMPUTED_VALUE"""),"vyQ2YQjU4ktbYYqmXjw6CP")</f>
        <v>vyQ2YQjU4ktbYYqmXjw6CP</v>
      </c>
      <c r="AX70" s="3"/>
      <c r="AY70" s="3">
        <f>IFERROR(__xludf.DUMMYFUNCTION("""COMPUTED_VALUE"""),69.0)</f>
        <v>69</v>
      </c>
    </row>
    <row r="71">
      <c r="A71" s="3" t="str">
        <f>IFERROR(__xludf.DUMMYFUNCTION("""COMPUTED_VALUE"""),"Yes")</f>
        <v>Yes</v>
      </c>
      <c r="B71" s="3"/>
      <c r="C71" s="3" t="str">
        <f>IFERROR(__xludf.DUMMYFUNCTION("""COMPUTED_VALUE"""),"zimbabwe")</f>
        <v>zimbabwe</v>
      </c>
      <c r="D71" s="3"/>
      <c r="E71" s="3" t="str">
        <f>IFERROR(__xludf.DUMMYFUNCTION("""COMPUTED_VALUE"""),"south_africa")</f>
        <v>south_africa</v>
      </c>
      <c r="F71" s="3" t="str">
        <f>IFERROR(__xludf.DUMMYFUNCTION("""COMPUTED_VALUE"""),"West Rand District")</f>
        <v>West Rand District</v>
      </c>
      <c r="G71" s="3"/>
      <c r="H71" s="3" t="str">
        <f>IFERROR(__xludf.DUMMYFUNCTION("""COMPUTED_VALUE"""),"male")</f>
        <v>male</v>
      </c>
      <c r="I71" s="3" t="str">
        <f>IFERROR(__xludf.DUMMYFUNCTION("""COMPUTED_VALUE"""),"over5")</f>
        <v>over5</v>
      </c>
      <c r="J71" s="3" t="str">
        <f>IFERROR(__xludf.DUMMYFUNCTION("""COMPUTED_VALUE"""),"formal")</f>
        <v>formal</v>
      </c>
      <c r="K71" s="3" t="str">
        <f>IFERROR(__xludf.DUMMYFUNCTION("""COMPUTED_VALUE"""),"tertiary")</f>
        <v>tertiary</v>
      </c>
      <c r="L71" s="3"/>
      <c r="M71" s="3" t="str">
        <f>IFERROR(__xludf.DUMMYFUNCTION("""COMPUTED_VALUE"""),"agree")</f>
        <v>agree</v>
      </c>
      <c r="N71" s="3" t="str">
        <f>IFERROR(__xludf.DUMMYFUNCTION("""COMPUTED_VALUE"""),"agree")</f>
        <v>agree</v>
      </c>
      <c r="O71" s="3" t="str">
        <f>IFERROR(__xludf.DUMMYFUNCTION("""COMPUTED_VALUE"""),"agree")</f>
        <v>agree</v>
      </c>
      <c r="P71" s="3"/>
      <c r="Q71" s="3" t="str">
        <f>IFERROR(__xludf.DUMMYFUNCTION("""COMPUTED_VALUE"""),"disagree")</f>
        <v>disagree</v>
      </c>
      <c r="R71" s="3" t="str">
        <f>IFERROR(__xludf.DUMMYFUNCTION("""COMPUTED_VALUE"""),"agree")</f>
        <v>agree</v>
      </c>
      <c r="S71" s="3" t="str">
        <f>IFERROR(__xludf.DUMMYFUNCTION("""COMPUTED_VALUE"""),"disagree")</f>
        <v>disagree</v>
      </c>
      <c r="T71" s="3" t="str">
        <f>IFERROR(__xludf.DUMMYFUNCTION("""COMPUTED_VALUE"""),"disagree")</f>
        <v>disagree</v>
      </c>
      <c r="U71" s="3" t="str">
        <f>IFERROR(__xludf.DUMMYFUNCTION("""COMPUTED_VALUE"""),"dontknow")</f>
        <v>dontknow</v>
      </c>
      <c r="V71" s="3" t="str">
        <f>IFERROR(__xludf.DUMMYFUNCTION("""COMPUTED_VALUE"""),"disagree")</f>
        <v>disagree</v>
      </c>
      <c r="W71" s="3" t="str">
        <f>IFERROR(__xludf.DUMMYFUNCTION("""COMPUTED_VALUE"""),"disagree")</f>
        <v>disagree</v>
      </c>
      <c r="X71" s="3" t="str">
        <f>IFERROR(__xludf.DUMMYFUNCTION("""COMPUTED_VALUE"""),"Lithium")</f>
        <v>Lithium</v>
      </c>
      <c r="Y71" s="3" t="str">
        <f>IFERROR(__xludf.DUMMYFUNCTION("""COMPUTED_VALUE"""),"insurance")</f>
        <v>insurance</v>
      </c>
      <c r="Z71" s="3" t="str">
        <f>IFERROR(__xludf.DUMMYFUNCTION("""COMPUTED_VALUE"""),"monthly")</f>
        <v>monthly</v>
      </c>
      <c r="AA71" s="3">
        <f>IFERROR(__xludf.DUMMYFUNCTION("""COMPUTED_VALUE"""),100.0)</f>
        <v>100</v>
      </c>
      <c r="AB71" s="3" t="str">
        <f>IFERROR(__xludf.DUMMYFUNCTION("""COMPUTED_VALUE"""),"online")</f>
        <v>online</v>
      </c>
      <c r="AC71" s="3" t="str">
        <f>IFERROR(__xludf.DUMMYFUNCTION("""COMPUTED_VALUE"""),"Yes")</f>
        <v>Yes</v>
      </c>
      <c r="AD71" s="3" t="str">
        <f>IFERROR(__xludf.DUMMYFUNCTION("""COMPUTED_VALUE"""),"Lithium")</f>
        <v>Lithium</v>
      </c>
      <c r="AE71" s="3" t="str">
        <f>IFERROR(__xludf.DUMMYFUNCTION("""COMPUTED_VALUE"""),"Yes")</f>
        <v>Yes</v>
      </c>
      <c r="AF71" s="3" t="str">
        <f>IFERROR(__xludf.DUMMYFUNCTION("""COMPUTED_VALUE"""),"Yes")</f>
        <v>Yes</v>
      </c>
      <c r="AG71" s="3" t="str">
        <f>IFERROR(__xludf.DUMMYFUNCTION("""COMPUTED_VALUE"""),"Yes")</f>
        <v>Yes</v>
      </c>
      <c r="AH71" s="3">
        <f>IFERROR(__xludf.DUMMYFUNCTION("""COMPUTED_VALUE"""),20.0)</f>
        <v>20</v>
      </c>
      <c r="AI71" s="3">
        <f>IFERROR(__xludf.DUMMYFUNCTION("""COMPUTED_VALUE"""),0.0)</f>
        <v>0</v>
      </c>
      <c r="AJ71" s="3">
        <f>IFERROR(__xludf.DUMMYFUNCTION("""COMPUTED_VALUE"""),0.0)</f>
        <v>0</v>
      </c>
      <c r="AK71" s="3">
        <f>IFERROR(__xludf.DUMMYFUNCTION("""COMPUTED_VALUE"""),1.0)</f>
        <v>1</v>
      </c>
      <c r="AL71" s="3">
        <f>IFERROR(__xludf.DUMMYFUNCTION("""COMPUTED_VALUE"""),0.0)</f>
        <v>0</v>
      </c>
      <c r="AM71" s="3" t="str">
        <f>IFERROR(__xludf.DUMMYFUNCTION("""COMPUTED_VALUE"""),"Yes")</f>
        <v>Yes</v>
      </c>
      <c r="AN71" s="3">
        <f>IFERROR(__xludf.DUMMYFUNCTION("""COMPUTED_VALUE"""),7.24419895E8)</f>
        <v>724419895</v>
      </c>
      <c r="AO71" s="3"/>
      <c r="AP71" s="3">
        <f>IFERROR(__xludf.DUMMYFUNCTION("""COMPUTED_VALUE"""),4.88246175E8)</f>
        <v>488246175</v>
      </c>
      <c r="AQ71" s="3" t="str">
        <f>IFERROR(__xludf.DUMMYFUNCTION("""COMPUTED_VALUE"""),"99d0a8c6-d17f-4774-ade1-e0df6f5783fc")</f>
        <v>99d0a8c6-d17f-4774-ade1-e0df6f5783fc</v>
      </c>
      <c r="AR71" s="3">
        <f>IFERROR(__xludf.DUMMYFUNCTION("""COMPUTED_VALUE"""),45805.771319444444)</f>
        <v>45805.77132</v>
      </c>
      <c r="AS71" s="3"/>
      <c r="AT71" s="3"/>
      <c r="AU71" s="3" t="str">
        <f>IFERROR(__xludf.DUMMYFUNCTION("""COMPUTED_VALUE"""),"submitted_via_web")</f>
        <v>submitted_via_web</v>
      </c>
      <c r="AV71" s="3"/>
      <c r="AW71" s="3" t="str">
        <f>IFERROR(__xludf.DUMMYFUNCTION("""COMPUTED_VALUE"""),"vyQ2YQjU4ktbYYqmXjw6CP")</f>
        <v>vyQ2YQjU4ktbYYqmXjw6CP</v>
      </c>
      <c r="AX71" s="3"/>
      <c r="AY71" s="3">
        <f>IFERROR(__xludf.DUMMYFUNCTION("""COMPUTED_VALUE"""),70.0)</f>
        <v>70</v>
      </c>
    </row>
    <row r="72">
      <c r="A72" s="3" t="str">
        <f>IFERROR(__xludf.DUMMYFUNCTION("""COMPUTED_VALUE"""),"Yes")</f>
        <v>Yes</v>
      </c>
      <c r="B72" s="3"/>
      <c r="C72" s="3" t="str">
        <f>IFERROR(__xludf.DUMMYFUNCTION("""COMPUTED_VALUE"""),"lesotho")</f>
        <v>lesotho</v>
      </c>
      <c r="D72" s="3"/>
      <c r="E72" s="3" t="str">
        <f>IFERROR(__xludf.DUMMYFUNCTION("""COMPUTED_VALUE"""),"lesotho")</f>
        <v>lesotho</v>
      </c>
      <c r="F72" s="3"/>
      <c r="G72" s="3">
        <f>IFERROR(__xludf.DUMMYFUNCTION("""COMPUTED_VALUE"""),51.0)</f>
        <v>51</v>
      </c>
      <c r="H72" s="3" t="str">
        <f>IFERROR(__xludf.DUMMYFUNCTION("""COMPUTED_VALUE"""),"female")</f>
        <v>female</v>
      </c>
      <c r="I72" s="3"/>
      <c r="J72" s="3" t="str">
        <f>IFERROR(__xludf.DUMMYFUNCTION("""COMPUTED_VALUE"""),"unemployed")</f>
        <v>unemployed</v>
      </c>
      <c r="K72" s="3" t="str">
        <f>IFERROR(__xludf.DUMMYFUNCTION("""COMPUTED_VALUE"""),"tertiary")</f>
        <v>tertiary</v>
      </c>
      <c r="L72" s="3"/>
      <c r="M72" s="3" t="str">
        <f>IFERROR(__xludf.DUMMYFUNCTION("""COMPUTED_VALUE"""),"agree")</f>
        <v>agree</v>
      </c>
      <c r="N72" s="3" t="str">
        <f>IFERROR(__xludf.DUMMYFUNCTION("""COMPUTED_VALUE"""),"agree")</f>
        <v>agree</v>
      </c>
      <c r="O72" s="3" t="str">
        <f>IFERROR(__xludf.DUMMYFUNCTION("""COMPUTED_VALUE"""),"agree")</f>
        <v>agree</v>
      </c>
      <c r="P72" s="3"/>
      <c r="Q72" s="3" t="str">
        <f>IFERROR(__xludf.DUMMYFUNCTION("""COMPUTED_VALUE"""),"disagree")</f>
        <v>disagree</v>
      </c>
      <c r="R72" s="3" t="str">
        <f>IFERROR(__xludf.DUMMYFUNCTION("""COMPUTED_VALUE"""),"agree")</f>
        <v>agree</v>
      </c>
      <c r="S72" s="3" t="str">
        <f>IFERROR(__xludf.DUMMYFUNCTION("""COMPUTED_VALUE"""),"disagree")</f>
        <v>disagree</v>
      </c>
      <c r="T72" s="3" t="str">
        <f>IFERROR(__xludf.DUMMYFUNCTION("""COMPUTED_VALUE"""),"disagree")</f>
        <v>disagree</v>
      </c>
      <c r="U72" s="3" t="str">
        <f>IFERROR(__xludf.DUMMYFUNCTION("""COMPUTED_VALUE"""),"dontknow")</f>
        <v>dontknow</v>
      </c>
      <c r="V72" s="3" t="str">
        <f>IFERROR(__xludf.DUMMYFUNCTION("""COMPUTED_VALUE"""),"agree")</f>
        <v>agree</v>
      </c>
      <c r="W72" s="3" t="str">
        <f>IFERROR(__xludf.DUMMYFUNCTION("""COMPUTED_VALUE"""),"disagree")</f>
        <v>disagree</v>
      </c>
      <c r="X72" s="3" t="str">
        <f>IFERROR(__xludf.DUMMYFUNCTION("""COMPUTED_VALUE"""),"Silver")</f>
        <v>Silver</v>
      </c>
      <c r="Y72" s="3" t="str">
        <f>IFERROR(__xludf.DUMMYFUNCTION("""COMPUTED_VALUE"""),"insurance")</f>
        <v>insurance</v>
      </c>
      <c r="Z72" s="3" t="str">
        <f>IFERROR(__xludf.DUMMYFUNCTION("""COMPUTED_VALUE"""),"once")</f>
        <v>once</v>
      </c>
      <c r="AA72" s="3">
        <f>IFERROR(__xludf.DUMMYFUNCTION("""COMPUTED_VALUE"""),100.0)</f>
        <v>100</v>
      </c>
      <c r="AB72" s="3" t="str">
        <f>IFERROR(__xludf.DUMMYFUNCTION("""COMPUTED_VALUE"""),"assisted")</f>
        <v>assisted</v>
      </c>
      <c r="AC72" s="3" t="str">
        <f>IFERROR(__xludf.DUMMYFUNCTION("""COMPUTED_VALUE"""),"I am not an employer")</f>
        <v>I am not an employer</v>
      </c>
      <c r="AD72" s="3"/>
      <c r="AE72" s="3"/>
      <c r="AF72" s="3" t="str">
        <f>IFERROR(__xludf.DUMMYFUNCTION("""COMPUTED_VALUE"""),"Yes")</f>
        <v>Yes</v>
      </c>
      <c r="AG72" s="3" t="str">
        <f>IFERROR(__xludf.DUMMYFUNCTION("""COMPUTED_VALUE"""),"No")</f>
        <v>No</v>
      </c>
      <c r="AH72" s="3"/>
      <c r="AI72" s="3">
        <f>IFERROR(__xludf.DUMMYFUNCTION("""COMPUTED_VALUE"""),1.0)</f>
        <v>1</v>
      </c>
      <c r="AJ72" s="3">
        <f>IFERROR(__xludf.DUMMYFUNCTION("""COMPUTED_VALUE"""),0.0)</f>
        <v>0</v>
      </c>
      <c r="AK72" s="3">
        <f>IFERROR(__xludf.DUMMYFUNCTION("""COMPUTED_VALUE"""),0.0)</f>
        <v>0</v>
      </c>
      <c r="AL72" s="3">
        <f>IFERROR(__xludf.DUMMYFUNCTION("""COMPUTED_VALUE"""),0.0)</f>
        <v>0</v>
      </c>
      <c r="AM72" s="3"/>
      <c r="AN72" s="3"/>
      <c r="AO72" s="3"/>
      <c r="AP72" s="3">
        <f>IFERROR(__xludf.DUMMYFUNCTION("""COMPUTED_VALUE"""),4.882564E8)</f>
        <v>488256400</v>
      </c>
      <c r="AQ72" s="3" t="str">
        <f>IFERROR(__xludf.DUMMYFUNCTION("""COMPUTED_VALUE"""),"990f3f9c-93bf-45f0-ace0-cf543497cd33")</f>
        <v>990f3f9c-93bf-45f0-ace0-cf543497cd33</v>
      </c>
      <c r="AR72" s="3">
        <f>IFERROR(__xludf.DUMMYFUNCTION("""COMPUTED_VALUE"""),45805.78273148148)</f>
        <v>45805.78273</v>
      </c>
      <c r="AS72" s="3"/>
      <c r="AT72" s="3"/>
      <c r="AU72" s="3" t="str">
        <f>IFERROR(__xludf.DUMMYFUNCTION("""COMPUTED_VALUE"""),"submitted_via_web")</f>
        <v>submitted_via_web</v>
      </c>
      <c r="AV72" s="3"/>
      <c r="AW72" s="3" t="str">
        <f>IFERROR(__xludf.DUMMYFUNCTION("""COMPUTED_VALUE"""),"vyQ2YQjU4ktbYYqmXjw6CP")</f>
        <v>vyQ2YQjU4ktbYYqmXjw6CP</v>
      </c>
      <c r="AX72" s="3"/>
      <c r="AY72" s="3">
        <f>IFERROR(__xludf.DUMMYFUNCTION("""COMPUTED_VALUE"""),71.0)</f>
        <v>71</v>
      </c>
    </row>
    <row r="73">
      <c r="A73" s="3" t="str">
        <f>IFERROR(__xludf.DUMMYFUNCTION("""COMPUTED_VALUE"""),"Yes")</f>
        <v>Yes</v>
      </c>
      <c r="B73" s="3"/>
      <c r="C73" s="3" t="str">
        <f>IFERROR(__xludf.DUMMYFUNCTION("""COMPUTED_VALUE"""),"south_africa")</f>
        <v>south_africa</v>
      </c>
      <c r="D73" s="3"/>
      <c r="E73" s="3" t="str">
        <f>IFERROR(__xludf.DUMMYFUNCTION("""COMPUTED_VALUE"""),"south_africa")</f>
        <v>south_africa</v>
      </c>
      <c r="F73" s="3" t="str">
        <f>IFERROR(__xludf.DUMMYFUNCTION("""COMPUTED_VALUE"""),"City of Johannesburg Metropolitan Municipality")</f>
        <v>City of Johannesburg Metropolitan Municipality</v>
      </c>
      <c r="G73" s="3">
        <f>IFERROR(__xludf.DUMMYFUNCTION("""COMPUTED_VALUE"""),60.0)</f>
        <v>60</v>
      </c>
      <c r="H73" s="3" t="str">
        <f>IFERROR(__xludf.DUMMYFUNCTION("""COMPUTED_VALUE"""),"female")</f>
        <v>female</v>
      </c>
      <c r="I73" s="3" t="str">
        <f>IFERROR(__xludf.DUMMYFUNCTION("""COMPUTED_VALUE"""),"citizen")</f>
        <v>citizen</v>
      </c>
      <c r="J73" s="3" t="str">
        <f>IFERROR(__xludf.DUMMYFUNCTION("""COMPUTED_VALUE"""),"ownbusiness")</f>
        <v>ownbusiness</v>
      </c>
      <c r="K73" s="3" t="str">
        <f>IFERROR(__xludf.DUMMYFUNCTION("""COMPUTED_VALUE"""),"tertiary")</f>
        <v>tertiary</v>
      </c>
      <c r="L73" s="3"/>
      <c r="M73" s="3" t="str">
        <f>IFERROR(__xludf.DUMMYFUNCTION("""COMPUTED_VALUE"""),"agree")</f>
        <v>agree</v>
      </c>
      <c r="N73" s="3" t="str">
        <f>IFERROR(__xludf.DUMMYFUNCTION("""COMPUTED_VALUE"""),"agree")</f>
        <v>agree</v>
      </c>
      <c r="O73" s="3" t="str">
        <f>IFERROR(__xludf.DUMMYFUNCTION("""COMPUTED_VALUE"""),"disagree")</f>
        <v>disagree</v>
      </c>
      <c r="P73" s="3"/>
      <c r="Q73" s="3" t="str">
        <f>IFERROR(__xludf.DUMMYFUNCTION("""COMPUTED_VALUE"""),"agree")</f>
        <v>agree</v>
      </c>
      <c r="R73" s="3" t="str">
        <f>IFERROR(__xludf.DUMMYFUNCTION("""COMPUTED_VALUE"""),"agree")</f>
        <v>agree</v>
      </c>
      <c r="S73" s="3" t="str">
        <f>IFERROR(__xludf.DUMMYFUNCTION("""COMPUTED_VALUE"""),"agree")</f>
        <v>agree</v>
      </c>
      <c r="T73" s="3" t="str">
        <f>IFERROR(__xludf.DUMMYFUNCTION("""COMPUTED_VALUE"""),"agree")</f>
        <v>agree</v>
      </c>
      <c r="U73" s="3" t="str">
        <f>IFERROR(__xludf.DUMMYFUNCTION("""COMPUTED_VALUE"""),"agree")</f>
        <v>agree</v>
      </c>
      <c r="V73" s="3" t="str">
        <f>IFERROR(__xludf.DUMMYFUNCTION("""COMPUTED_VALUE"""),"agree")</f>
        <v>agree</v>
      </c>
      <c r="W73" s="3" t="str">
        <f>IFERROR(__xludf.DUMMYFUNCTION("""COMPUTED_VALUE"""),"disagree")</f>
        <v>disagree</v>
      </c>
      <c r="X73" s="3" t="str">
        <f>IFERROR(__xludf.DUMMYFUNCTION("""COMPUTED_VALUE"""),"Platinum")</f>
        <v>Platinum</v>
      </c>
      <c r="Y73" s="3" t="str">
        <f>IFERROR(__xludf.DUMMYFUNCTION("""COMPUTED_VALUE"""),"prepaid")</f>
        <v>prepaid</v>
      </c>
      <c r="Z73" s="3" t="str">
        <f>IFERROR(__xludf.DUMMYFUNCTION("""COMPUTED_VALUE"""),"monthly")</f>
        <v>monthly</v>
      </c>
      <c r="AA73" s="3">
        <f>IFERROR(__xludf.DUMMYFUNCTION("""COMPUTED_VALUE"""),100.0)</f>
        <v>100</v>
      </c>
      <c r="AB73" s="3" t="str">
        <f>IFERROR(__xludf.DUMMYFUNCTION("""COMPUTED_VALUE"""),"online")</f>
        <v>online</v>
      </c>
      <c r="AC73" s="3" t="str">
        <f>IFERROR(__xludf.DUMMYFUNCTION("""COMPUTED_VALUE"""),"Yes")</f>
        <v>Yes</v>
      </c>
      <c r="AD73" s="3" t="str">
        <f>IFERROR(__xludf.DUMMYFUNCTION("""COMPUTED_VALUE"""),"Platinum")</f>
        <v>Platinum</v>
      </c>
      <c r="AE73" s="3" t="str">
        <f>IFERROR(__xludf.DUMMYFUNCTION("""COMPUTED_VALUE"""),"Yes")</f>
        <v>Yes</v>
      </c>
      <c r="AF73" s="3" t="str">
        <f>IFERROR(__xludf.DUMMYFUNCTION("""COMPUTED_VALUE"""),"Yes")</f>
        <v>Yes</v>
      </c>
      <c r="AG73" s="3" t="str">
        <f>IFERROR(__xludf.DUMMYFUNCTION("""COMPUTED_VALUE"""),"No")</f>
        <v>No</v>
      </c>
      <c r="AH73" s="3"/>
      <c r="AI73" s="3">
        <f>IFERROR(__xludf.DUMMYFUNCTION("""COMPUTED_VALUE"""),0.0)</f>
        <v>0</v>
      </c>
      <c r="AJ73" s="3">
        <f>IFERROR(__xludf.DUMMYFUNCTION("""COMPUTED_VALUE"""),0.0)</f>
        <v>0</v>
      </c>
      <c r="AK73" s="3">
        <f>IFERROR(__xludf.DUMMYFUNCTION("""COMPUTED_VALUE"""),0.0)</f>
        <v>0</v>
      </c>
      <c r="AL73" s="3">
        <f>IFERROR(__xludf.DUMMYFUNCTION("""COMPUTED_VALUE"""),1.0)</f>
        <v>1</v>
      </c>
      <c r="AM73" s="3" t="str">
        <f>IFERROR(__xludf.DUMMYFUNCTION("""COMPUTED_VALUE"""),"No")</f>
        <v>No</v>
      </c>
      <c r="AN73" s="3"/>
      <c r="AO73" s="3"/>
      <c r="AP73" s="3">
        <f>IFERROR(__xludf.DUMMYFUNCTION("""COMPUTED_VALUE"""),4.88303256E8)</f>
        <v>488303256</v>
      </c>
      <c r="AQ73" s="3" t="str">
        <f>IFERROR(__xludf.DUMMYFUNCTION("""COMPUTED_VALUE"""),"6afa3e30-7f39-497a-8fdf-3890a50e1d7d")</f>
        <v>6afa3e30-7f39-497a-8fdf-3890a50e1d7d</v>
      </c>
      <c r="AR73" s="3">
        <f>IFERROR(__xludf.DUMMYFUNCTION("""COMPUTED_VALUE"""),45805.84951388889)</f>
        <v>45805.84951</v>
      </c>
      <c r="AS73" s="3"/>
      <c r="AT73" s="3"/>
      <c r="AU73" s="3" t="str">
        <f>IFERROR(__xludf.DUMMYFUNCTION("""COMPUTED_VALUE"""),"submitted_via_web")</f>
        <v>submitted_via_web</v>
      </c>
      <c r="AV73" s="3"/>
      <c r="AW73" s="3" t="str">
        <f>IFERROR(__xludf.DUMMYFUNCTION("""COMPUTED_VALUE"""),"vyQ2YQjU4ktbYYqmXjw6CP")</f>
        <v>vyQ2YQjU4ktbYYqmXjw6CP</v>
      </c>
      <c r="AX73" s="3"/>
      <c r="AY73" s="3">
        <f>IFERROR(__xludf.DUMMYFUNCTION("""COMPUTED_VALUE"""),72.0)</f>
        <v>72</v>
      </c>
    </row>
    <row r="74">
      <c r="A74" s="3" t="str">
        <f>IFERROR(__xludf.DUMMYFUNCTION("""COMPUTED_VALUE"""),"Yes")</f>
        <v>Yes</v>
      </c>
      <c r="B74" s="3"/>
      <c r="C74" s="3" t="str">
        <f>IFERROR(__xludf.DUMMYFUNCTION("""COMPUTED_VALUE"""),"zimbabwe")</f>
        <v>zimbabwe</v>
      </c>
      <c r="D74" s="3"/>
      <c r="E74" s="3" t="str">
        <f>IFERROR(__xludf.DUMMYFUNCTION("""COMPUTED_VALUE"""),"south_africa")</f>
        <v>south_africa</v>
      </c>
      <c r="F74" s="3" t="str">
        <f>IFERROR(__xludf.DUMMYFUNCTION("""COMPUTED_VALUE"""),"City of Tshwane Metropolitan Municipality")</f>
        <v>City of Tshwane Metropolitan Municipality</v>
      </c>
      <c r="G74" s="3">
        <f>IFERROR(__xludf.DUMMYFUNCTION("""COMPUTED_VALUE"""),47.0)</f>
        <v>47</v>
      </c>
      <c r="H74" s="3" t="str">
        <f>IFERROR(__xludf.DUMMYFUNCTION("""COMPUTED_VALUE"""),"male")</f>
        <v>male</v>
      </c>
      <c r="I74" s="3" t="str">
        <f>IFERROR(__xludf.DUMMYFUNCTION("""COMPUTED_VALUE"""),"over5")</f>
        <v>over5</v>
      </c>
      <c r="J74" s="3" t="str">
        <f>IFERROR(__xludf.DUMMYFUNCTION("""COMPUTED_VALUE"""),"formal")</f>
        <v>formal</v>
      </c>
      <c r="K74" s="3" t="str">
        <f>IFERROR(__xludf.DUMMYFUNCTION("""COMPUTED_VALUE"""),"tertiary")</f>
        <v>tertiary</v>
      </c>
      <c r="L74" s="3"/>
      <c r="M74" s="3" t="str">
        <f>IFERROR(__xludf.DUMMYFUNCTION("""COMPUTED_VALUE"""),"agree")</f>
        <v>agree</v>
      </c>
      <c r="N74" s="3" t="str">
        <f>IFERROR(__xludf.DUMMYFUNCTION("""COMPUTED_VALUE"""),"agree")</f>
        <v>agree</v>
      </c>
      <c r="O74" s="3" t="str">
        <f>IFERROR(__xludf.DUMMYFUNCTION("""COMPUTED_VALUE"""),"agree")</f>
        <v>agree</v>
      </c>
      <c r="P74" s="3"/>
      <c r="Q74" s="3" t="str">
        <f>IFERROR(__xludf.DUMMYFUNCTION("""COMPUTED_VALUE"""),"dontknow")</f>
        <v>dontknow</v>
      </c>
      <c r="R74" s="3" t="str">
        <f>IFERROR(__xludf.DUMMYFUNCTION("""COMPUTED_VALUE"""),"agree")</f>
        <v>agree</v>
      </c>
      <c r="S74" s="3" t="str">
        <f>IFERROR(__xludf.DUMMYFUNCTION("""COMPUTED_VALUE"""),"disagree")</f>
        <v>disagree</v>
      </c>
      <c r="T74" s="3" t="str">
        <f>IFERROR(__xludf.DUMMYFUNCTION("""COMPUTED_VALUE"""),"disagree")</f>
        <v>disagree</v>
      </c>
      <c r="U74" s="3" t="str">
        <f>IFERROR(__xludf.DUMMYFUNCTION("""COMPUTED_VALUE"""),"agree")</f>
        <v>agree</v>
      </c>
      <c r="V74" s="3" t="str">
        <f>IFERROR(__xludf.DUMMYFUNCTION("""COMPUTED_VALUE"""),"agree")</f>
        <v>agree</v>
      </c>
      <c r="W74" s="3" t="str">
        <f>IFERROR(__xludf.DUMMYFUNCTION("""COMPUTED_VALUE"""),"disagree")</f>
        <v>disagree</v>
      </c>
      <c r="X74" s="3" t="str">
        <f>IFERROR(__xludf.DUMMYFUNCTION("""COMPUTED_VALUE"""),"Platinum")</f>
        <v>Platinum</v>
      </c>
      <c r="Y74" s="3" t="str">
        <f>IFERROR(__xludf.DUMMYFUNCTION("""COMPUTED_VALUE"""),"insurance")</f>
        <v>insurance</v>
      </c>
      <c r="Z74" s="3" t="str">
        <f>IFERROR(__xludf.DUMMYFUNCTION("""COMPUTED_VALUE"""),"monthly")</f>
        <v>monthly</v>
      </c>
      <c r="AA74" s="3">
        <f>IFERROR(__xludf.DUMMYFUNCTION("""COMPUTED_VALUE"""),50.0)</f>
        <v>50</v>
      </c>
      <c r="AB74" s="3" t="str">
        <f>IFERROR(__xludf.DUMMYFUNCTION("""COMPUTED_VALUE"""),"online")</f>
        <v>online</v>
      </c>
      <c r="AC74" s="3" t="str">
        <f>IFERROR(__xludf.DUMMYFUNCTION("""COMPUTED_VALUE"""),"I am not an employer")</f>
        <v>I am not an employer</v>
      </c>
      <c r="AD74" s="3"/>
      <c r="AE74" s="3"/>
      <c r="AF74" s="3" t="str">
        <f>IFERROR(__xludf.DUMMYFUNCTION("""COMPUTED_VALUE"""),"Yes")</f>
        <v>Yes</v>
      </c>
      <c r="AG74" s="3" t="str">
        <f>IFERROR(__xludf.DUMMYFUNCTION("""COMPUTED_VALUE"""),"No")</f>
        <v>No</v>
      </c>
      <c r="AH74" s="3"/>
      <c r="AI74" s="3">
        <f>IFERROR(__xludf.DUMMYFUNCTION("""COMPUTED_VALUE"""),0.0)</f>
        <v>0</v>
      </c>
      <c r="AJ74" s="3">
        <f>IFERROR(__xludf.DUMMYFUNCTION("""COMPUTED_VALUE"""),0.0)</f>
        <v>0</v>
      </c>
      <c r="AK74" s="3">
        <f>IFERROR(__xludf.DUMMYFUNCTION("""COMPUTED_VALUE"""),0.0)</f>
        <v>0</v>
      </c>
      <c r="AL74" s="3">
        <f>IFERROR(__xludf.DUMMYFUNCTION("""COMPUTED_VALUE"""),1.0)</f>
        <v>1</v>
      </c>
      <c r="AM74" s="3" t="str">
        <f>IFERROR(__xludf.DUMMYFUNCTION("""COMPUTED_VALUE"""),"Yes")</f>
        <v>Yes</v>
      </c>
      <c r="AN74" s="3">
        <f>IFERROR(__xludf.DUMMYFUNCTION("""COMPUTED_VALUE"""),8.10323079E8)</f>
        <v>810323079</v>
      </c>
      <c r="AO74" s="3"/>
      <c r="AP74" s="3">
        <f>IFERROR(__xludf.DUMMYFUNCTION("""COMPUTED_VALUE"""),4.88304149E8)</f>
        <v>488304149</v>
      </c>
      <c r="AQ74" s="3" t="str">
        <f>IFERROR(__xludf.DUMMYFUNCTION("""COMPUTED_VALUE"""),"4b5e11e3-8a6d-4b9a-b544-1f68081303b8")</f>
        <v>4b5e11e3-8a6d-4b9a-b544-1f68081303b8</v>
      </c>
      <c r="AR74" s="3">
        <f>IFERROR(__xludf.DUMMYFUNCTION("""COMPUTED_VALUE"""),45805.851111111115)</f>
        <v>45805.85111</v>
      </c>
      <c r="AS74" s="3"/>
      <c r="AT74" s="3"/>
      <c r="AU74" s="3" t="str">
        <f>IFERROR(__xludf.DUMMYFUNCTION("""COMPUTED_VALUE"""),"submitted_via_web")</f>
        <v>submitted_via_web</v>
      </c>
      <c r="AV74" s="3"/>
      <c r="AW74" s="3" t="str">
        <f>IFERROR(__xludf.DUMMYFUNCTION("""COMPUTED_VALUE"""),"vyQ2YQjU4ktbYYqmXjw6CP")</f>
        <v>vyQ2YQjU4ktbYYqmXjw6CP</v>
      </c>
      <c r="AX74" s="3"/>
      <c r="AY74" s="3">
        <f>IFERROR(__xludf.DUMMYFUNCTION("""COMPUTED_VALUE"""),73.0)</f>
        <v>73</v>
      </c>
    </row>
    <row r="75">
      <c r="A75" s="3" t="str">
        <f>IFERROR(__xludf.DUMMYFUNCTION("""COMPUTED_VALUE"""),"Yes")</f>
        <v>Yes</v>
      </c>
      <c r="B75" s="3"/>
      <c r="C75" s="3" t="str">
        <f>IFERROR(__xludf.DUMMYFUNCTION("""COMPUTED_VALUE"""),"gambia")</f>
        <v>gambia</v>
      </c>
      <c r="D75" s="3"/>
      <c r="E75" s="3" t="str">
        <f>IFERROR(__xludf.DUMMYFUNCTION("""COMPUTED_VALUE"""),"south_africa")</f>
        <v>south_africa</v>
      </c>
      <c r="F75" s="3" t="str">
        <f>IFERROR(__xludf.DUMMYFUNCTION("""COMPUTED_VALUE"""),"City of Johannesburg Metropolitan Municipality")</f>
        <v>City of Johannesburg Metropolitan Municipality</v>
      </c>
      <c r="G75" s="3">
        <f>IFERROR(__xludf.DUMMYFUNCTION("""COMPUTED_VALUE"""),31.0)</f>
        <v>31</v>
      </c>
      <c r="H75" s="3" t="str">
        <f>IFERROR(__xludf.DUMMYFUNCTION("""COMPUTED_VALUE"""),"male")</f>
        <v>male</v>
      </c>
      <c r="I75" s="3" t="str">
        <f>IFERROR(__xludf.DUMMYFUNCTION("""COMPUTED_VALUE"""),"1to5")</f>
        <v>1to5</v>
      </c>
      <c r="J75" s="3" t="str">
        <f>IFERROR(__xludf.DUMMYFUNCTION("""COMPUTED_VALUE"""),"formal")</f>
        <v>formal</v>
      </c>
      <c r="K75" s="3" t="str">
        <f>IFERROR(__xludf.DUMMYFUNCTION("""COMPUTED_VALUE"""),"tertiary")</f>
        <v>tertiary</v>
      </c>
      <c r="L75" s="3"/>
      <c r="M75" s="3" t="str">
        <f>IFERROR(__xludf.DUMMYFUNCTION("""COMPUTED_VALUE"""),"agree")</f>
        <v>agree</v>
      </c>
      <c r="N75" s="3" t="str">
        <f>IFERROR(__xludf.DUMMYFUNCTION("""COMPUTED_VALUE"""),"agree")</f>
        <v>agree</v>
      </c>
      <c r="O75" s="3" t="str">
        <f>IFERROR(__xludf.DUMMYFUNCTION("""COMPUTED_VALUE"""),"agree")</f>
        <v>agree</v>
      </c>
      <c r="P75" s="3"/>
      <c r="Q75" s="3" t="str">
        <f>IFERROR(__xludf.DUMMYFUNCTION("""COMPUTED_VALUE"""),"disagree")</f>
        <v>disagree</v>
      </c>
      <c r="R75" s="3" t="str">
        <f>IFERROR(__xludf.DUMMYFUNCTION("""COMPUTED_VALUE"""),"agree")</f>
        <v>agree</v>
      </c>
      <c r="S75" s="3" t="str">
        <f>IFERROR(__xludf.DUMMYFUNCTION("""COMPUTED_VALUE"""),"disagree")</f>
        <v>disagree</v>
      </c>
      <c r="T75" s="3" t="str">
        <f>IFERROR(__xludf.DUMMYFUNCTION("""COMPUTED_VALUE"""),"disagree")</f>
        <v>disagree</v>
      </c>
      <c r="U75" s="3" t="str">
        <f>IFERROR(__xludf.DUMMYFUNCTION("""COMPUTED_VALUE"""),"disagree")</f>
        <v>disagree</v>
      </c>
      <c r="V75" s="3" t="str">
        <f>IFERROR(__xludf.DUMMYFUNCTION("""COMPUTED_VALUE"""),"disagree")</f>
        <v>disagree</v>
      </c>
      <c r="W75" s="3" t="str">
        <f>IFERROR(__xludf.DUMMYFUNCTION("""COMPUTED_VALUE"""),"disagree")</f>
        <v>disagree</v>
      </c>
      <c r="X75" s="3" t="str">
        <f>IFERROR(__xludf.DUMMYFUNCTION("""COMPUTED_VALUE"""),"Gold")</f>
        <v>Gold</v>
      </c>
      <c r="Y75" s="3" t="str">
        <f>IFERROR(__xludf.DUMMYFUNCTION("""COMPUTED_VALUE"""),"card")</f>
        <v>card</v>
      </c>
      <c r="Z75" s="3" t="str">
        <f>IFERROR(__xludf.DUMMYFUNCTION("""COMPUTED_VALUE"""),"annual")</f>
        <v>annual</v>
      </c>
      <c r="AA75" s="3">
        <f>IFERROR(__xludf.DUMMYFUNCTION("""COMPUTED_VALUE"""),100.0)</f>
        <v>100</v>
      </c>
      <c r="AB75" s="3" t="str">
        <f>IFERROR(__xludf.DUMMYFUNCTION("""COMPUTED_VALUE"""),"employer")</f>
        <v>employer</v>
      </c>
      <c r="AC75" s="3" t="str">
        <f>IFERROR(__xludf.DUMMYFUNCTION("""COMPUTED_VALUE"""),"I am not an employer")</f>
        <v>I am not an employer</v>
      </c>
      <c r="AD75" s="3"/>
      <c r="AE75" s="3"/>
      <c r="AF75" s="3" t="str">
        <f>IFERROR(__xludf.DUMMYFUNCTION("""COMPUTED_VALUE"""),"Yes")</f>
        <v>Yes</v>
      </c>
      <c r="AG75" s="3" t="str">
        <f>IFERROR(__xludf.DUMMYFUNCTION("""COMPUTED_VALUE"""),"No")</f>
        <v>No</v>
      </c>
      <c r="AH75" s="3"/>
      <c r="AI75" s="3">
        <f>IFERROR(__xludf.DUMMYFUNCTION("""COMPUTED_VALUE"""),0.0)</f>
        <v>0</v>
      </c>
      <c r="AJ75" s="3">
        <f>IFERROR(__xludf.DUMMYFUNCTION("""COMPUTED_VALUE"""),0.0)</f>
        <v>0</v>
      </c>
      <c r="AK75" s="3">
        <f>IFERROR(__xludf.DUMMYFUNCTION("""COMPUTED_VALUE"""),0.0)</f>
        <v>0</v>
      </c>
      <c r="AL75" s="3">
        <f>IFERROR(__xludf.DUMMYFUNCTION("""COMPUTED_VALUE"""),1.0)</f>
        <v>1</v>
      </c>
      <c r="AM75" s="3" t="str">
        <f>IFERROR(__xludf.DUMMYFUNCTION("""COMPUTED_VALUE"""),"No")</f>
        <v>No</v>
      </c>
      <c r="AN75" s="3"/>
      <c r="AO75" s="3"/>
      <c r="AP75" s="3">
        <f>IFERROR(__xludf.DUMMYFUNCTION("""COMPUTED_VALUE"""),4.88356383E8)</f>
        <v>488356383</v>
      </c>
      <c r="AQ75" s="3" t="str">
        <f>IFERROR(__xludf.DUMMYFUNCTION("""COMPUTED_VALUE"""),"89615771-9441-4249-814f-b55f3350eab0")</f>
        <v>89615771-9441-4249-814f-b55f3350eab0</v>
      </c>
      <c r="AR75" s="3">
        <f>IFERROR(__xludf.DUMMYFUNCTION("""COMPUTED_VALUE"""),45805.996932870374)</f>
        <v>45805.99693</v>
      </c>
      <c r="AS75" s="3"/>
      <c r="AT75" s="3"/>
      <c r="AU75" s="3" t="str">
        <f>IFERROR(__xludf.DUMMYFUNCTION("""COMPUTED_VALUE"""),"submitted_via_web")</f>
        <v>submitted_via_web</v>
      </c>
      <c r="AV75" s="3"/>
      <c r="AW75" s="3" t="str">
        <f>IFERROR(__xludf.DUMMYFUNCTION("""COMPUTED_VALUE"""),"vyQ2YQjU4ktbYYqmXjw6CP")</f>
        <v>vyQ2YQjU4ktbYYqmXjw6CP</v>
      </c>
      <c r="AX75" s="3"/>
      <c r="AY75" s="3">
        <f>IFERROR(__xludf.DUMMYFUNCTION("""COMPUTED_VALUE"""),74.0)</f>
        <v>74</v>
      </c>
    </row>
    <row r="76">
      <c r="A76" s="3" t="str">
        <f>IFERROR(__xludf.DUMMYFUNCTION("""COMPUTED_VALUE"""),"Yes")</f>
        <v>Yes</v>
      </c>
      <c r="B76" s="3"/>
      <c r="C76" s="3" t="str">
        <f>IFERROR(__xludf.DUMMYFUNCTION("""COMPUTED_VALUE"""),"mozambique")</f>
        <v>mozambique</v>
      </c>
      <c r="D76" s="3"/>
      <c r="E76" s="3" t="str">
        <f>IFERROR(__xludf.DUMMYFUNCTION("""COMPUTED_VALUE"""),"mozambique")</f>
        <v>mozambique</v>
      </c>
      <c r="F76" s="3"/>
      <c r="G76" s="3">
        <f>IFERROR(__xludf.DUMMYFUNCTION("""COMPUTED_VALUE"""),30.0)</f>
        <v>30</v>
      </c>
      <c r="H76" s="3" t="str">
        <f>IFERROR(__xludf.DUMMYFUNCTION("""COMPUTED_VALUE"""),"male")</f>
        <v>male</v>
      </c>
      <c r="I76" s="3"/>
      <c r="J76" s="3" t="str">
        <f>IFERROR(__xludf.DUMMYFUNCTION("""COMPUTED_VALUE"""),"ownbusiness")</f>
        <v>ownbusiness</v>
      </c>
      <c r="K76" s="3" t="str">
        <f>IFERROR(__xludf.DUMMYFUNCTION("""COMPUTED_VALUE"""),"tertiary")</f>
        <v>tertiary</v>
      </c>
      <c r="L76" s="3"/>
      <c r="M76" s="3" t="str">
        <f>IFERROR(__xludf.DUMMYFUNCTION("""COMPUTED_VALUE"""),"agree")</f>
        <v>agree</v>
      </c>
      <c r="N76" s="3" t="str">
        <f>IFERROR(__xludf.DUMMYFUNCTION("""COMPUTED_VALUE"""),"agree")</f>
        <v>agree</v>
      </c>
      <c r="O76" s="3" t="str">
        <f>IFERROR(__xludf.DUMMYFUNCTION("""COMPUTED_VALUE"""),"agree")</f>
        <v>agree</v>
      </c>
      <c r="P76" s="3"/>
      <c r="Q76" s="3" t="str">
        <f>IFERROR(__xludf.DUMMYFUNCTION("""COMPUTED_VALUE"""),"agree")</f>
        <v>agree</v>
      </c>
      <c r="R76" s="3" t="str">
        <f>IFERROR(__xludf.DUMMYFUNCTION("""COMPUTED_VALUE"""),"agree")</f>
        <v>agree</v>
      </c>
      <c r="S76" s="3" t="str">
        <f>IFERROR(__xludf.DUMMYFUNCTION("""COMPUTED_VALUE"""),"agree")</f>
        <v>agree</v>
      </c>
      <c r="T76" s="3" t="str">
        <f>IFERROR(__xludf.DUMMYFUNCTION("""COMPUTED_VALUE"""),"agree")</f>
        <v>agree</v>
      </c>
      <c r="U76" s="3" t="str">
        <f>IFERROR(__xludf.DUMMYFUNCTION("""COMPUTED_VALUE"""),"agree")</f>
        <v>agree</v>
      </c>
      <c r="V76" s="3" t="str">
        <f>IFERROR(__xludf.DUMMYFUNCTION("""COMPUTED_VALUE"""),"agree")</f>
        <v>agree</v>
      </c>
      <c r="W76" s="3" t="str">
        <f>IFERROR(__xludf.DUMMYFUNCTION("""COMPUTED_VALUE"""),"disagree")</f>
        <v>disagree</v>
      </c>
      <c r="X76" s="3" t="str">
        <f>IFERROR(__xludf.DUMMYFUNCTION("""COMPUTED_VALUE"""),"Lithium")</f>
        <v>Lithium</v>
      </c>
      <c r="Y76" s="3" t="str">
        <f>IFERROR(__xludf.DUMMYFUNCTION("""COMPUTED_VALUE"""),"cash")</f>
        <v>cash</v>
      </c>
      <c r="Z76" s="3" t="str">
        <f>IFERROR(__xludf.DUMMYFUNCTION("""COMPUTED_VALUE"""),"annual")</f>
        <v>annual</v>
      </c>
      <c r="AA76" s="3">
        <f>IFERROR(__xludf.DUMMYFUNCTION("""COMPUTED_VALUE"""),100.0)</f>
        <v>100</v>
      </c>
      <c r="AB76" s="3" t="str">
        <f>IFERROR(__xludf.DUMMYFUNCTION("""COMPUTED_VALUE"""),"employer")</f>
        <v>employer</v>
      </c>
      <c r="AC76" s="3" t="str">
        <f>IFERROR(__xludf.DUMMYFUNCTION("""COMPUTED_VALUE"""),"Yes")</f>
        <v>Yes</v>
      </c>
      <c r="AD76" s="3" t="str">
        <f>IFERROR(__xludf.DUMMYFUNCTION("""COMPUTED_VALUE"""),"Lithium")</f>
        <v>Lithium</v>
      </c>
      <c r="AE76" s="3" t="str">
        <f>IFERROR(__xludf.DUMMYFUNCTION("""COMPUTED_VALUE"""),"Yes")</f>
        <v>Yes</v>
      </c>
      <c r="AF76" s="3" t="str">
        <f>IFERROR(__xludf.DUMMYFUNCTION("""COMPUTED_VALUE"""),"Yes")</f>
        <v>Yes</v>
      </c>
      <c r="AG76" s="3" t="str">
        <f>IFERROR(__xludf.DUMMYFUNCTION("""COMPUTED_VALUE"""),"Yes")</f>
        <v>Yes</v>
      </c>
      <c r="AH76" s="3">
        <f>IFERROR(__xludf.DUMMYFUNCTION("""COMPUTED_VALUE"""),20.0)</f>
        <v>20</v>
      </c>
      <c r="AI76" s="3">
        <f>IFERROR(__xludf.DUMMYFUNCTION("""COMPUTED_VALUE"""),1.0)</f>
        <v>1</v>
      </c>
      <c r="AJ76" s="3">
        <f>IFERROR(__xludf.DUMMYFUNCTION("""COMPUTED_VALUE"""),1.0)</f>
        <v>1</v>
      </c>
      <c r="AK76" s="3">
        <f>IFERROR(__xludf.DUMMYFUNCTION("""COMPUTED_VALUE"""),1.0)</f>
        <v>1</v>
      </c>
      <c r="AL76" s="3">
        <f>IFERROR(__xludf.DUMMYFUNCTION("""COMPUTED_VALUE"""),0.0)</f>
        <v>0</v>
      </c>
      <c r="AM76" s="3"/>
      <c r="AN76" s="3"/>
      <c r="AO76" s="3"/>
      <c r="AP76" s="3">
        <f>IFERROR(__xludf.DUMMYFUNCTION("""COMPUTED_VALUE"""),4.88401783E8)</f>
        <v>488401783</v>
      </c>
      <c r="AQ76" s="3" t="str">
        <f>IFERROR(__xludf.DUMMYFUNCTION("""COMPUTED_VALUE"""),"034851f6-41d8-4919-9a85-500f1c174771")</f>
        <v>034851f6-41d8-4919-9a85-500f1c174771</v>
      </c>
      <c r="AR76" s="3">
        <f>IFERROR(__xludf.DUMMYFUNCTION("""COMPUTED_VALUE"""),45806.188263888886)</f>
        <v>45806.18826</v>
      </c>
      <c r="AS76" s="3"/>
      <c r="AT76" s="3"/>
      <c r="AU76" s="3" t="str">
        <f>IFERROR(__xludf.DUMMYFUNCTION("""COMPUTED_VALUE"""),"submitted_via_web")</f>
        <v>submitted_via_web</v>
      </c>
      <c r="AV76" s="3"/>
      <c r="AW76" s="3" t="str">
        <f>IFERROR(__xludf.DUMMYFUNCTION("""COMPUTED_VALUE"""),"vgUJxCcLkhbxcmcrDMVzkY")</f>
        <v>vgUJxCcLkhbxcmcrDMVzkY</v>
      </c>
      <c r="AX76" s="3"/>
      <c r="AY76" s="3">
        <f>IFERROR(__xludf.DUMMYFUNCTION("""COMPUTED_VALUE"""),75.0)</f>
        <v>75</v>
      </c>
    </row>
    <row r="77">
      <c r="A77" s="3" t="str">
        <f>IFERROR(__xludf.DUMMYFUNCTION("""COMPUTED_VALUE"""),"Yes")</f>
        <v>Yes</v>
      </c>
      <c r="B77" s="3"/>
      <c r="C77" s="3" t="str">
        <f>IFERROR(__xludf.DUMMYFUNCTION("""COMPUTED_VALUE"""),"lesotho")</f>
        <v>lesotho</v>
      </c>
      <c r="D77" s="3"/>
      <c r="E77" s="3" t="str">
        <f>IFERROR(__xludf.DUMMYFUNCTION("""COMPUTED_VALUE"""),"lesotho")</f>
        <v>lesotho</v>
      </c>
      <c r="F77" s="3"/>
      <c r="G77" s="3">
        <f>IFERROR(__xludf.DUMMYFUNCTION("""COMPUTED_VALUE"""),42.0)</f>
        <v>42</v>
      </c>
      <c r="H77" s="3" t="str">
        <f>IFERROR(__xludf.DUMMYFUNCTION("""COMPUTED_VALUE"""),"male")</f>
        <v>male</v>
      </c>
      <c r="I77" s="3"/>
      <c r="J77" s="3" t="str">
        <f>IFERROR(__xludf.DUMMYFUNCTION("""COMPUTED_VALUE"""),"formal")</f>
        <v>formal</v>
      </c>
      <c r="K77" s="3" t="str">
        <f>IFERROR(__xludf.DUMMYFUNCTION("""COMPUTED_VALUE"""),"tertiary")</f>
        <v>tertiary</v>
      </c>
      <c r="L77" s="3"/>
      <c r="M77" s="3" t="str">
        <f>IFERROR(__xludf.DUMMYFUNCTION("""COMPUTED_VALUE"""),"agree")</f>
        <v>agree</v>
      </c>
      <c r="N77" s="3" t="str">
        <f>IFERROR(__xludf.DUMMYFUNCTION("""COMPUTED_VALUE"""),"agree")</f>
        <v>agree</v>
      </c>
      <c r="O77" s="3" t="str">
        <f>IFERROR(__xludf.DUMMYFUNCTION("""COMPUTED_VALUE"""),"disagree")</f>
        <v>disagree</v>
      </c>
      <c r="P77" s="3"/>
      <c r="Q77" s="3" t="str">
        <f>IFERROR(__xludf.DUMMYFUNCTION("""COMPUTED_VALUE"""),"disagree")</f>
        <v>disagree</v>
      </c>
      <c r="R77" s="3" t="str">
        <f>IFERROR(__xludf.DUMMYFUNCTION("""COMPUTED_VALUE"""),"disagree")</f>
        <v>disagree</v>
      </c>
      <c r="S77" s="3" t="str">
        <f>IFERROR(__xludf.DUMMYFUNCTION("""COMPUTED_VALUE"""),"disagree")</f>
        <v>disagree</v>
      </c>
      <c r="T77" s="3" t="str">
        <f>IFERROR(__xludf.DUMMYFUNCTION("""COMPUTED_VALUE"""),"disagree")</f>
        <v>disagree</v>
      </c>
      <c r="U77" s="3" t="str">
        <f>IFERROR(__xludf.DUMMYFUNCTION("""COMPUTED_VALUE"""),"agree")</f>
        <v>agree</v>
      </c>
      <c r="V77" s="3" t="str">
        <f>IFERROR(__xludf.DUMMYFUNCTION("""COMPUTED_VALUE"""),"disagree")</f>
        <v>disagree</v>
      </c>
      <c r="W77" s="3" t="str">
        <f>IFERROR(__xludf.DUMMYFUNCTION("""COMPUTED_VALUE"""),"disagree")</f>
        <v>disagree</v>
      </c>
      <c r="X77" s="3" t="str">
        <f>IFERROR(__xludf.DUMMYFUNCTION("""COMPUTED_VALUE"""),"Gold")</f>
        <v>Gold</v>
      </c>
      <c r="Y77" s="3" t="str">
        <f>IFERROR(__xludf.DUMMYFUNCTION("""COMPUTED_VALUE"""),"insurance")</f>
        <v>insurance</v>
      </c>
      <c r="Z77" s="3" t="str">
        <f>IFERROR(__xludf.DUMMYFUNCTION("""COMPUTED_VALUE"""),"quarterly")</f>
        <v>quarterly</v>
      </c>
      <c r="AA77" s="3">
        <f>IFERROR(__xludf.DUMMYFUNCTION("""COMPUTED_VALUE"""),50.0)</f>
        <v>50</v>
      </c>
      <c r="AB77" s="3" t="str">
        <f>IFERROR(__xludf.DUMMYFUNCTION("""COMPUTED_VALUE"""),"online")</f>
        <v>online</v>
      </c>
      <c r="AC77" s="3" t="str">
        <f>IFERROR(__xludf.DUMMYFUNCTION("""COMPUTED_VALUE"""),"Yes")</f>
        <v>Yes</v>
      </c>
      <c r="AD77" s="3" t="str">
        <f>IFERROR(__xludf.DUMMYFUNCTION("""COMPUTED_VALUE"""),"Silver")</f>
        <v>Silver</v>
      </c>
      <c r="AE77" s="3" t="str">
        <f>IFERROR(__xludf.DUMMYFUNCTION("""COMPUTED_VALUE"""),"Yes")</f>
        <v>Yes</v>
      </c>
      <c r="AF77" s="3" t="str">
        <f>IFERROR(__xludf.DUMMYFUNCTION("""COMPUTED_VALUE"""),"Yes")</f>
        <v>Yes</v>
      </c>
      <c r="AG77" s="3" t="str">
        <f>IFERROR(__xludf.DUMMYFUNCTION("""COMPUTED_VALUE"""),"Yes")</f>
        <v>Yes</v>
      </c>
      <c r="AH77" s="3">
        <f>IFERROR(__xludf.DUMMYFUNCTION("""COMPUTED_VALUE"""),100.0)</f>
        <v>100</v>
      </c>
      <c r="AI77" s="3">
        <f>IFERROR(__xludf.DUMMYFUNCTION("""COMPUTED_VALUE"""),0.0)</f>
        <v>0</v>
      </c>
      <c r="AJ77" s="3">
        <f>IFERROR(__xludf.DUMMYFUNCTION("""COMPUTED_VALUE"""),0.0)</f>
        <v>0</v>
      </c>
      <c r="AK77" s="3">
        <f>IFERROR(__xludf.DUMMYFUNCTION("""COMPUTED_VALUE"""),0.0)</f>
        <v>0</v>
      </c>
      <c r="AL77" s="3">
        <f>IFERROR(__xludf.DUMMYFUNCTION("""COMPUTED_VALUE"""),1.0)</f>
        <v>1</v>
      </c>
      <c r="AM77" s="3"/>
      <c r="AN77" s="3"/>
      <c r="AO77" s="3"/>
      <c r="AP77" s="3">
        <f>IFERROR(__xludf.DUMMYFUNCTION("""COMPUTED_VALUE"""),4.88438457E8)</f>
        <v>488438457</v>
      </c>
      <c r="AQ77" s="3" t="str">
        <f>IFERROR(__xludf.DUMMYFUNCTION("""COMPUTED_VALUE"""),"65aa088a-8c2d-4fd4-920b-ac301d8ef7f6")</f>
        <v>65aa088a-8c2d-4fd4-920b-ac301d8ef7f6</v>
      </c>
      <c r="AR77" s="3">
        <f>IFERROR(__xludf.DUMMYFUNCTION("""COMPUTED_VALUE"""),45806.26267361111)</f>
        <v>45806.26267</v>
      </c>
      <c r="AS77" s="3"/>
      <c r="AT77" s="3"/>
      <c r="AU77" s="3" t="str">
        <f>IFERROR(__xludf.DUMMYFUNCTION("""COMPUTED_VALUE"""),"submitted_via_web")</f>
        <v>submitted_via_web</v>
      </c>
      <c r="AV77" s="3"/>
      <c r="AW77" s="3" t="str">
        <f>IFERROR(__xludf.DUMMYFUNCTION("""COMPUTED_VALUE"""),"vgUJxCcLkhbxcmcrDMVzkY")</f>
        <v>vgUJxCcLkhbxcmcrDMVzkY</v>
      </c>
      <c r="AX77" s="3"/>
      <c r="AY77" s="3">
        <f>IFERROR(__xludf.DUMMYFUNCTION("""COMPUTED_VALUE"""),76.0)</f>
        <v>76</v>
      </c>
    </row>
    <row r="78">
      <c r="A78" s="3" t="str">
        <f>IFERROR(__xludf.DUMMYFUNCTION("""COMPUTED_VALUE"""),"Yes")</f>
        <v>Yes</v>
      </c>
      <c r="B78" s="3"/>
      <c r="C78" s="3" t="str">
        <f>IFERROR(__xludf.DUMMYFUNCTION("""COMPUTED_VALUE"""),"lesotho")</f>
        <v>lesotho</v>
      </c>
      <c r="D78" s="3"/>
      <c r="E78" s="3" t="str">
        <f>IFERROR(__xludf.DUMMYFUNCTION("""COMPUTED_VALUE"""),"lesotho")</f>
        <v>lesotho</v>
      </c>
      <c r="F78" s="3"/>
      <c r="G78" s="3">
        <f>IFERROR(__xludf.DUMMYFUNCTION("""COMPUTED_VALUE"""),40.0)</f>
        <v>40</v>
      </c>
      <c r="H78" s="3" t="str">
        <f>IFERROR(__xludf.DUMMYFUNCTION("""COMPUTED_VALUE"""),"female")</f>
        <v>female</v>
      </c>
      <c r="I78" s="3"/>
      <c r="J78" s="3" t="str">
        <f>IFERROR(__xludf.DUMMYFUNCTION("""COMPUTED_VALUE"""),"formal")</f>
        <v>formal</v>
      </c>
      <c r="K78" s="3" t="str">
        <f>IFERROR(__xludf.DUMMYFUNCTION("""COMPUTED_VALUE"""),"tertiary")</f>
        <v>tertiary</v>
      </c>
      <c r="L78" s="3"/>
      <c r="M78" s="3" t="str">
        <f>IFERROR(__xludf.DUMMYFUNCTION("""COMPUTED_VALUE"""),"agree")</f>
        <v>agree</v>
      </c>
      <c r="N78" s="3" t="str">
        <f>IFERROR(__xludf.DUMMYFUNCTION("""COMPUTED_VALUE"""),"agree")</f>
        <v>agree</v>
      </c>
      <c r="O78" s="3" t="str">
        <f>IFERROR(__xludf.DUMMYFUNCTION("""COMPUTED_VALUE"""),"agree")</f>
        <v>agree</v>
      </c>
      <c r="P78" s="3"/>
      <c r="Q78" s="3" t="str">
        <f>IFERROR(__xludf.DUMMYFUNCTION("""COMPUTED_VALUE"""),"dontknow")</f>
        <v>dontknow</v>
      </c>
      <c r="R78" s="3" t="str">
        <f>IFERROR(__xludf.DUMMYFUNCTION("""COMPUTED_VALUE"""),"agree")</f>
        <v>agree</v>
      </c>
      <c r="S78" s="3" t="str">
        <f>IFERROR(__xludf.DUMMYFUNCTION("""COMPUTED_VALUE"""),"disagree")</f>
        <v>disagree</v>
      </c>
      <c r="T78" s="3" t="str">
        <f>IFERROR(__xludf.DUMMYFUNCTION("""COMPUTED_VALUE"""),"dontknow")</f>
        <v>dontknow</v>
      </c>
      <c r="U78" s="3" t="str">
        <f>IFERROR(__xludf.DUMMYFUNCTION("""COMPUTED_VALUE"""),"agree")</f>
        <v>agree</v>
      </c>
      <c r="V78" s="3" t="str">
        <f>IFERROR(__xludf.DUMMYFUNCTION("""COMPUTED_VALUE"""),"agree")</f>
        <v>agree</v>
      </c>
      <c r="W78" s="3" t="str">
        <f>IFERROR(__xludf.DUMMYFUNCTION("""COMPUTED_VALUE"""),"dontknow")</f>
        <v>dontknow</v>
      </c>
      <c r="X78" s="3" t="str">
        <f>IFERROR(__xludf.DUMMYFUNCTION("""COMPUTED_VALUE"""),"Gold")</f>
        <v>Gold</v>
      </c>
      <c r="Y78" s="3" t="str">
        <f>IFERROR(__xludf.DUMMYFUNCTION("""COMPUTED_VALUE"""),"insurance")</f>
        <v>insurance</v>
      </c>
      <c r="Z78" s="3" t="str">
        <f>IFERROR(__xludf.DUMMYFUNCTION("""COMPUTED_VALUE"""),"biannual")</f>
        <v>biannual</v>
      </c>
      <c r="AA78" s="3">
        <f>IFERROR(__xludf.DUMMYFUNCTION("""COMPUTED_VALUE"""),100.0)</f>
        <v>100</v>
      </c>
      <c r="AB78" s="3" t="str">
        <f>IFERROR(__xludf.DUMMYFUNCTION("""COMPUTED_VALUE"""),"assisted")</f>
        <v>assisted</v>
      </c>
      <c r="AC78" s="3" t="str">
        <f>IFERROR(__xludf.DUMMYFUNCTION("""COMPUTED_VALUE"""),"I am not an employer")</f>
        <v>I am not an employer</v>
      </c>
      <c r="AD78" s="3"/>
      <c r="AE78" s="3"/>
      <c r="AF78" s="3" t="str">
        <f>IFERROR(__xludf.DUMMYFUNCTION("""COMPUTED_VALUE"""),"Yes")</f>
        <v>Yes</v>
      </c>
      <c r="AG78" s="3" t="str">
        <f>IFERROR(__xludf.DUMMYFUNCTION("""COMPUTED_VALUE"""),"No")</f>
        <v>No</v>
      </c>
      <c r="AH78" s="3"/>
      <c r="AI78" s="3">
        <f>IFERROR(__xludf.DUMMYFUNCTION("""COMPUTED_VALUE"""),0.0)</f>
        <v>0</v>
      </c>
      <c r="AJ78" s="3">
        <f>IFERROR(__xludf.DUMMYFUNCTION("""COMPUTED_VALUE"""),0.0)</f>
        <v>0</v>
      </c>
      <c r="AK78" s="3">
        <f>IFERROR(__xludf.DUMMYFUNCTION("""COMPUTED_VALUE"""),0.0)</f>
        <v>0</v>
      </c>
      <c r="AL78" s="3">
        <f>IFERROR(__xludf.DUMMYFUNCTION("""COMPUTED_VALUE"""),1.0)</f>
        <v>1</v>
      </c>
      <c r="AM78" s="3"/>
      <c r="AN78" s="3"/>
      <c r="AO78" s="3"/>
      <c r="AP78" s="3">
        <f>IFERROR(__xludf.DUMMYFUNCTION("""COMPUTED_VALUE"""),4.88457611E8)</f>
        <v>488457611</v>
      </c>
      <c r="AQ78" s="3" t="str">
        <f>IFERROR(__xludf.DUMMYFUNCTION("""COMPUTED_VALUE"""),"cc70281f-7b07-4d31-8218-791239294e6d")</f>
        <v>cc70281f-7b07-4d31-8218-791239294e6d</v>
      </c>
      <c r="AR78" s="3">
        <f>IFERROR(__xludf.DUMMYFUNCTION("""COMPUTED_VALUE"""),45806.2902662037)</f>
        <v>45806.29027</v>
      </c>
      <c r="AS78" s="3"/>
      <c r="AT78" s="3"/>
      <c r="AU78" s="3" t="str">
        <f>IFERROR(__xludf.DUMMYFUNCTION("""COMPUTED_VALUE"""),"submitted_via_web")</f>
        <v>submitted_via_web</v>
      </c>
      <c r="AV78" s="3"/>
      <c r="AW78" s="3" t="str">
        <f>IFERROR(__xludf.DUMMYFUNCTION("""COMPUTED_VALUE"""),"vgUJxCcLkhbxcmcrDMVzkY")</f>
        <v>vgUJxCcLkhbxcmcrDMVzkY</v>
      </c>
      <c r="AX78" s="3"/>
      <c r="AY78" s="3">
        <f>IFERROR(__xludf.DUMMYFUNCTION("""COMPUTED_VALUE"""),77.0)</f>
        <v>77</v>
      </c>
    </row>
    <row r="79">
      <c r="A79" s="3" t="str">
        <f>IFERROR(__xludf.DUMMYFUNCTION("""COMPUTED_VALUE"""),"Yes")</f>
        <v>Yes</v>
      </c>
      <c r="B79" s="3"/>
      <c r="C79" s="3" t="str">
        <f>IFERROR(__xludf.DUMMYFUNCTION("""COMPUTED_VALUE"""),"malawi")</f>
        <v>malawi</v>
      </c>
      <c r="D79" s="3"/>
      <c r="E79" s="3" t="str">
        <f>IFERROR(__xludf.DUMMYFUNCTION("""COMPUTED_VALUE"""),"malawi")</f>
        <v>malawi</v>
      </c>
      <c r="F79" s="3"/>
      <c r="G79" s="3">
        <f>IFERROR(__xludf.DUMMYFUNCTION("""COMPUTED_VALUE"""),20.0)</f>
        <v>20</v>
      </c>
      <c r="H79" s="3" t="str">
        <f>IFERROR(__xludf.DUMMYFUNCTION("""COMPUTED_VALUE"""),"female")</f>
        <v>female</v>
      </c>
      <c r="I79" s="3"/>
      <c r="J79" s="3" t="str">
        <f>IFERROR(__xludf.DUMMYFUNCTION("""COMPUTED_VALUE"""),"unemployed")</f>
        <v>unemployed</v>
      </c>
      <c r="K79" s="3" t="str">
        <f>IFERROR(__xludf.DUMMYFUNCTION("""COMPUTED_VALUE"""),"secondary")</f>
        <v>secondary</v>
      </c>
      <c r="L79" s="3"/>
      <c r="M79" s="3" t="str">
        <f>IFERROR(__xludf.DUMMYFUNCTION("""COMPUTED_VALUE"""),"agree")</f>
        <v>agree</v>
      </c>
      <c r="N79" s="3" t="str">
        <f>IFERROR(__xludf.DUMMYFUNCTION("""COMPUTED_VALUE"""),"agree")</f>
        <v>agree</v>
      </c>
      <c r="O79" s="3" t="str">
        <f>IFERROR(__xludf.DUMMYFUNCTION("""COMPUTED_VALUE"""),"agree")</f>
        <v>agree</v>
      </c>
      <c r="P79" s="3"/>
      <c r="Q79" s="3" t="str">
        <f>IFERROR(__xludf.DUMMYFUNCTION("""COMPUTED_VALUE"""),"agree")</f>
        <v>agree</v>
      </c>
      <c r="R79" s="3" t="str">
        <f>IFERROR(__xludf.DUMMYFUNCTION("""COMPUTED_VALUE"""),"agree")</f>
        <v>agree</v>
      </c>
      <c r="S79" s="3" t="str">
        <f>IFERROR(__xludf.DUMMYFUNCTION("""COMPUTED_VALUE"""),"agree")</f>
        <v>agree</v>
      </c>
      <c r="T79" s="3" t="str">
        <f>IFERROR(__xludf.DUMMYFUNCTION("""COMPUTED_VALUE"""),"agree")</f>
        <v>agree</v>
      </c>
      <c r="U79" s="3" t="str">
        <f>IFERROR(__xludf.DUMMYFUNCTION("""COMPUTED_VALUE"""),"agree")</f>
        <v>agree</v>
      </c>
      <c r="V79" s="3" t="str">
        <f>IFERROR(__xludf.DUMMYFUNCTION("""COMPUTED_VALUE"""),"agree")</f>
        <v>agree</v>
      </c>
      <c r="W79" s="3" t="str">
        <f>IFERROR(__xludf.DUMMYFUNCTION("""COMPUTED_VALUE"""),"agree")</f>
        <v>agree</v>
      </c>
      <c r="X79" s="3" t="str">
        <f>IFERROR(__xludf.DUMMYFUNCTION("""COMPUTED_VALUE"""),"Gold")</f>
        <v>Gold</v>
      </c>
      <c r="Y79" s="3" t="str">
        <f>IFERROR(__xludf.DUMMYFUNCTION("""COMPUTED_VALUE"""),"cash")</f>
        <v>cash</v>
      </c>
      <c r="Z79" s="3" t="str">
        <f>IFERROR(__xludf.DUMMYFUNCTION("""COMPUTED_VALUE"""),"once")</f>
        <v>once</v>
      </c>
      <c r="AA79" s="3">
        <f>IFERROR(__xludf.DUMMYFUNCTION("""COMPUTED_VALUE"""),100.0)</f>
        <v>100</v>
      </c>
      <c r="AB79" s="3" t="str">
        <f>IFERROR(__xludf.DUMMYFUNCTION("""COMPUTED_VALUE"""),"employer")</f>
        <v>employer</v>
      </c>
      <c r="AC79" s="3" t="str">
        <f>IFERROR(__xludf.DUMMYFUNCTION("""COMPUTED_VALUE"""),"Yes")</f>
        <v>Yes</v>
      </c>
      <c r="AD79" s="3" t="str">
        <f>IFERROR(__xludf.DUMMYFUNCTION("""COMPUTED_VALUE"""),"Gold")</f>
        <v>Gold</v>
      </c>
      <c r="AE79" s="3" t="str">
        <f>IFERROR(__xludf.DUMMYFUNCTION("""COMPUTED_VALUE"""),"Yes")</f>
        <v>Yes</v>
      </c>
      <c r="AF79" s="3" t="str">
        <f>IFERROR(__xludf.DUMMYFUNCTION("""COMPUTED_VALUE"""),"Yes")</f>
        <v>Yes</v>
      </c>
      <c r="AG79" s="3" t="str">
        <f>IFERROR(__xludf.DUMMYFUNCTION("""COMPUTED_VALUE"""),"Yes")</f>
        <v>Yes</v>
      </c>
      <c r="AH79" s="3">
        <f>IFERROR(__xludf.DUMMYFUNCTION("""COMPUTED_VALUE"""),100.0)</f>
        <v>100</v>
      </c>
      <c r="AI79" s="3">
        <f>IFERROR(__xludf.DUMMYFUNCTION("""COMPUTED_VALUE"""),0.0)</f>
        <v>0</v>
      </c>
      <c r="AJ79" s="3">
        <f>IFERROR(__xludf.DUMMYFUNCTION("""COMPUTED_VALUE"""),0.0)</f>
        <v>0</v>
      </c>
      <c r="AK79" s="3">
        <f>IFERROR(__xludf.DUMMYFUNCTION("""COMPUTED_VALUE"""),1.0)</f>
        <v>1</v>
      </c>
      <c r="AL79" s="3">
        <f>IFERROR(__xludf.DUMMYFUNCTION("""COMPUTED_VALUE"""),0.0)</f>
        <v>0</v>
      </c>
      <c r="AM79" s="3"/>
      <c r="AN79" s="3"/>
      <c r="AO79" s="3"/>
      <c r="AP79" s="3">
        <f>IFERROR(__xludf.DUMMYFUNCTION("""COMPUTED_VALUE"""),4.88499875E8)</f>
        <v>488499875</v>
      </c>
      <c r="AQ79" s="3" t="str">
        <f>IFERROR(__xludf.DUMMYFUNCTION("""COMPUTED_VALUE"""),"8664a68b-8baf-4e8c-88e2-171f2d2883c0")</f>
        <v>8664a68b-8baf-4e8c-88e2-171f2d2883c0</v>
      </c>
      <c r="AR79" s="3">
        <f>IFERROR(__xludf.DUMMYFUNCTION("""COMPUTED_VALUE"""),45806.34857638889)</f>
        <v>45806.34858</v>
      </c>
      <c r="AS79" s="3"/>
      <c r="AT79" s="3"/>
      <c r="AU79" s="3" t="str">
        <f>IFERROR(__xludf.DUMMYFUNCTION("""COMPUTED_VALUE"""),"submitted_via_web")</f>
        <v>submitted_via_web</v>
      </c>
      <c r="AV79" s="3"/>
      <c r="AW79" s="3" t="str">
        <f>IFERROR(__xludf.DUMMYFUNCTION("""COMPUTED_VALUE"""),"vgUJxCcLkhbxcmcrDMVzkY")</f>
        <v>vgUJxCcLkhbxcmcrDMVzkY</v>
      </c>
      <c r="AX79" s="3"/>
      <c r="AY79" s="3">
        <f>IFERROR(__xludf.DUMMYFUNCTION("""COMPUTED_VALUE"""),78.0)</f>
        <v>78</v>
      </c>
    </row>
    <row r="80">
      <c r="A80" s="3" t="str">
        <f>IFERROR(__xludf.DUMMYFUNCTION("""COMPUTED_VALUE"""),"Yes")</f>
        <v>Yes</v>
      </c>
      <c r="B80" s="3"/>
      <c r="C80" s="3" t="str">
        <f>IFERROR(__xludf.DUMMYFUNCTION("""COMPUTED_VALUE"""),"zimbabwe")</f>
        <v>zimbabwe</v>
      </c>
      <c r="D80" s="3"/>
      <c r="E80" s="3" t="str">
        <f>IFERROR(__xludf.DUMMYFUNCTION("""COMPUTED_VALUE"""),"south_africa")</f>
        <v>south_africa</v>
      </c>
      <c r="F80" s="3" t="str">
        <f>IFERROR(__xludf.DUMMYFUNCTION("""COMPUTED_VALUE"""),"City of Tshwane Metropolitan Municipality")</f>
        <v>City of Tshwane Metropolitan Municipality</v>
      </c>
      <c r="G80" s="3">
        <f>IFERROR(__xludf.DUMMYFUNCTION("""COMPUTED_VALUE"""),35.0)</f>
        <v>35</v>
      </c>
      <c r="H80" s="3" t="str">
        <f>IFERROR(__xludf.DUMMYFUNCTION("""COMPUTED_VALUE"""),"female")</f>
        <v>female</v>
      </c>
      <c r="I80" s="3" t="str">
        <f>IFERROR(__xludf.DUMMYFUNCTION("""COMPUTED_VALUE"""),"over5")</f>
        <v>over5</v>
      </c>
      <c r="J80" s="3" t="str">
        <f>IFERROR(__xludf.DUMMYFUNCTION("""COMPUTED_VALUE"""),"ownbusiness")</f>
        <v>ownbusiness</v>
      </c>
      <c r="K80" s="3" t="str">
        <f>IFERROR(__xludf.DUMMYFUNCTION("""COMPUTED_VALUE"""),"tertiary")</f>
        <v>tertiary</v>
      </c>
      <c r="L80" s="3"/>
      <c r="M80" s="3" t="str">
        <f>IFERROR(__xludf.DUMMYFUNCTION("""COMPUTED_VALUE"""),"agree")</f>
        <v>agree</v>
      </c>
      <c r="N80" s="3" t="str">
        <f>IFERROR(__xludf.DUMMYFUNCTION("""COMPUTED_VALUE"""),"agree")</f>
        <v>agree</v>
      </c>
      <c r="O80" s="3" t="str">
        <f>IFERROR(__xludf.DUMMYFUNCTION("""COMPUTED_VALUE"""),"agree")</f>
        <v>agree</v>
      </c>
      <c r="P80" s="3"/>
      <c r="Q80" s="3" t="str">
        <f>IFERROR(__xludf.DUMMYFUNCTION("""COMPUTED_VALUE"""),"disagree")</f>
        <v>disagree</v>
      </c>
      <c r="R80" s="3" t="str">
        <f>IFERROR(__xludf.DUMMYFUNCTION("""COMPUTED_VALUE"""),"agree")</f>
        <v>agree</v>
      </c>
      <c r="S80" s="3" t="str">
        <f>IFERROR(__xludf.DUMMYFUNCTION("""COMPUTED_VALUE"""),"agree")</f>
        <v>agree</v>
      </c>
      <c r="T80" s="3" t="str">
        <f>IFERROR(__xludf.DUMMYFUNCTION("""COMPUTED_VALUE"""),"disagree")</f>
        <v>disagree</v>
      </c>
      <c r="U80" s="3" t="str">
        <f>IFERROR(__xludf.DUMMYFUNCTION("""COMPUTED_VALUE"""),"agree")</f>
        <v>agree</v>
      </c>
      <c r="V80" s="3" t="str">
        <f>IFERROR(__xludf.DUMMYFUNCTION("""COMPUTED_VALUE"""),"agree")</f>
        <v>agree</v>
      </c>
      <c r="W80" s="3" t="str">
        <f>IFERROR(__xludf.DUMMYFUNCTION("""COMPUTED_VALUE"""),"agree")</f>
        <v>agree</v>
      </c>
      <c r="X80" s="3" t="str">
        <f>IFERROR(__xludf.DUMMYFUNCTION("""COMPUTED_VALUE"""),"Platinum")</f>
        <v>Platinum</v>
      </c>
      <c r="Y80" s="3" t="str">
        <f>IFERROR(__xludf.DUMMYFUNCTION("""COMPUTED_VALUE"""),"insurance")</f>
        <v>insurance</v>
      </c>
      <c r="Z80" s="3" t="str">
        <f>IFERROR(__xludf.DUMMYFUNCTION("""COMPUTED_VALUE"""),"monthly")</f>
        <v>monthly</v>
      </c>
      <c r="AA80" s="3">
        <f>IFERROR(__xludf.DUMMYFUNCTION("""COMPUTED_VALUE"""),10.0)</f>
        <v>10</v>
      </c>
      <c r="AB80" s="3" t="str">
        <f>IFERROR(__xludf.DUMMYFUNCTION("""COMPUTED_VALUE"""),"online")</f>
        <v>online</v>
      </c>
      <c r="AC80" s="3" t="str">
        <f>IFERROR(__xludf.DUMMYFUNCTION("""COMPUTED_VALUE"""),"Yes")</f>
        <v>Yes</v>
      </c>
      <c r="AD80" s="3" t="str">
        <f>IFERROR(__xludf.DUMMYFUNCTION("""COMPUTED_VALUE"""),"Silver")</f>
        <v>Silver</v>
      </c>
      <c r="AE80" s="3" t="str">
        <f>IFERROR(__xludf.DUMMYFUNCTION("""COMPUTED_VALUE"""),"No")</f>
        <v>No</v>
      </c>
      <c r="AF80" s="3" t="str">
        <f>IFERROR(__xludf.DUMMYFUNCTION("""COMPUTED_VALUE"""),"Yes")</f>
        <v>Yes</v>
      </c>
      <c r="AG80" s="3" t="str">
        <f>IFERROR(__xludf.DUMMYFUNCTION("""COMPUTED_VALUE"""),"No")</f>
        <v>No</v>
      </c>
      <c r="AH80" s="3"/>
      <c r="AI80" s="3">
        <f>IFERROR(__xludf.DUMMYFUNCTION("""COMPUTED_VALUE"""),0.0)</f>
        <v>0</v>
      </c>
      <c r="AJ80" s="3">
        <f>IFERROR(__xludf.DUMMYFUNCTION("""COMPUTED_VALUE"""),1.0)</f>
        <v>1</v>
      </c>
      <c r="AK80" s="3">
        <f>IFERROR(__xludf.DUMMYFUNCTION("""COMPUTED_VALUE"""),1.0)</f>
        <v>1</v>
      </c>
      <c r="AL80" s="3">
        <f>IFERROR(__xludf.DUMMYFUNCTION("""COMPUTED_VALUE"""),0.0)</f>
        <v>0</v>
      </c>
      <c r="AM80" s="3" t="str">
        <f>IFERROR(__xludf.DUMMYFUNCTION("""COMPUTED_VALUE"""),"No")</f>
        <v>No</v>
      </c>
      <c r="AN80" s="3"/>
      <c r="AO80" s="3"/>
      <c r="AP80" s="3">
        <f>IFERROR(__xludf.DUMMYFUNCTION("""COMPUTED_VALUE"""),4.88506903E8)</f>
        <v>488506903</v>
      </c>
      <c r="AQ80" s="3" t="str">
        <f>IFERROR(__xludf.DUMMYFUNCTION("""COMPUTED_VALUE"""),"16009178-a498-49ef-85ab-d8390604c0b9")</f>
        <v>16009178-a498-49ef-85ab-d8390604c0b9</v>
      </c>
      <c r="AR80" s="3">
        <f>IFERROR(__xludf.DUMMYFUNCTION("""COMPUTED_VALUE"""),45806.35741898148)</f>
        <v>45806.35742</v>
      </c>
      <c r="AS80" s="3"/>
      <c r="AT80" s="3"/>
      <c r="AU80" s="3" t="str">
        <f>IFERROR(__xludf.DUMMYFUNCTION("""COMPUTED_VALUE"""),"submitted_via_web")</f>
        <v>submitted_via_web</v>
      </c>
      <c r="AV80" s="3"/>
      <c r="AW80" s="3" t="str">
        <f>IFERROR(__xludf.DUMMYFUNCTION("""COMPUTED_VALUE"""),"vgUJxCcLkhbxcmcrDMVzkY")</f>
        <v>vgUJxCcLkhbxcmcrDMVzkY</v>
      </c>
      <c r="AX80" s="3"/>
      <c r="AY80" s="3">
        <f>IFERROR(__xludf.DUMMYFUNCTION("""COMPUTED_VALUE"""),79.0)</f>
        <v>79</v>
      </c>
    </row>
    <row r="81">
      <c r="A81" s="3" t="str">
        <f>IFERROR(__xludf.DUMMYFUNCTION("""COMPUTED_VALUE"""),"Yes")</f>
        <v>Yes</v>
      </c>
      <c r="B81" s="3"/>
      <c r="C81" s="3" t="str">
        <f>IFERROR(__xludf.DUMMYFUNCTION("""COMPUTED_VALUE"""),"zimbabwe")</f>
        <v>zimbabwe</v>
      </c>
      <c r="D81" s="3"/>
      <c r="E81" s="3" t="str">
        <f>IFERROR(__xludf.DUMMYFUNCTION("""COMPUTED_VALUE"""),"south_africa")</f>
        <v>south_africa</v>
      </c>
      <c r="F81" s="3" t="str">
        <f>IFERROR(__xludf.DUMMYFUNCTION("""COMPUTED_VALUE"""),"City of Johannesburg Metropolitan Municipality")</f>
        <v>City of Johannesburg Metropolitan Municipality</v>
      </c>
      <c r="G81" s="3">
        <f>IFERROR(__xludf.DUMMYFUNCTION("""COMPUTED_VALUE"""),40.0)</f>
        <v>40</v>
      </c>
      <c r="H81" s="3" t="str">
        <f>IFERROR(__xludf.DUMMYFUNCTION("""COMPUTED_VALUE"""),"male")</f>
        <v>male</v>
      </c>
      <c r="I81" s="3" t="str">
        <f>IFERROR(__xludf.DUMMYFUNCTION("""COMPUTED_VALUE"""),"over5")</f>
        <v>over5</v>
      </c>
      <c r="J81" s="3" t="str">
        <f>IFERROR(__xludf.DUMMYFUNCTION("""COMPUTED_VALUE"""),"ownbusiness")</f>
        <v>ownbusiness</v>
      </c>
      <c r="K81" s="3"/>
      <c r="L81" s="3"/>
      <c r="M81" s="3" t="str">
        <f>IFERROR(__xludf.DUMMYFUNCTION("""COMPUTED_VALUE"""),"agree")</f>
        <v>agree</v>
      </c>
      <c r="N81" s="3" t="str">
        <f>IFERROR(__xludf.DUMMYFUNCTION("""COMPUTED_VALUE"""),"agree")</f>
        <v>agree</v>
      </c>
      <c r="O81" s="3" t="str">
        <f>IFERROR(__xludf.DUMMYFUNCTION("""COMPUTED_VALUE"""),"agree")</f>
        <v>agree</v>
      </c>
      <c r="P81" s="3"/>
      <c r="Q81" s="3" t="str">
        <f>IFERROR(__xludf.DUMMYFUNCTION("""COMPUTED_VALUE"""),"agree")</f>
        <v>agree</v>
      </c>
      <c r="R81" s="3" t="str">
        <f>IFERROR(__xludf.DUMMYFUNCTION("""COMPUTED_VALUE"""),"agree")</f>
        <v>agree</v>
      </c>
      <c r="S81" s="3" t="str">
        <f>IFERROR(__xludf.DUMMYFUNCTION("""COMPUTED_VALUE"""),"agree")</f>
        <v>agree</v>
      </c>
      <c r="T81" s="3" t="str">
        <f>IFERROR(__xludf.DUMMYFUNCTION("""COMPUTED_VALUE"""),"agree")</f>
        <v>agree</v>
      </c>
      <c r="U81" s="3" t="str">
        <f>IFERROR(__xludf.DUMMYFUNCTION("""COMPUTED_VALUE"""),"agree")</f>
        <v>agree</v>
      </c>
      <c r="V81" s="3" t="str">
        <f>IFERROR(__xludf.DUMMYFUNCTION("""COMPUTED_VALUE"""),"agree")</f>
        <v>agree</v>
      </c>
      <c r="W81" s="3" t="str">
        <f>IFERROR(__xludf.DUMMYFUNCTION("""COMPUTED_VALUE"""),"agree")</f>
        <v>agree</v>
      </c>
      <c r="X81" s="3" t="str">
        <f>IFERROR(__xludf.DUMMYFUNCTION("""COMPUTED_VALUE"""),"Lithium")</f>
        <v>Lithium</v>
      </c>
      <c r="Y81" s="3" t="str">
        <f>IFERROR(__xludf.DUMMYFUNCTION("""COMPUTED_VALUE"""),"card")</f>
        <v>card</v>
      </c>
      <c r="Z81" s="3" t="str">
        <f>IFERROR(__xludf.DUMMYFUNCTION("""COMPUTED_VALUE"""),"monthly")</f>
        <v>monthly</v>
      </c>
      <c r="AA81" s="3">
        <f>IFERROR(__xludf.DUMMYFUNCTION("""COMPUTED_VALUE"""),100.0)</f>
        <v>100</v>
      </c>
      <c r="AB81" s="3" t="str">
        <f>IFERROR(__xludf.DUMMYFUNCTION("""COMPUTED_VALUE"""),"online")</f>
        <v>online</v>
      </c>
      <c r="AC81" s="3" t="str">
        <f>IFERROR(__xludf.DUMMYFUNCTION("""COMPUTED_VALUE"""),"No")</f>
        <v>No</v>
      </c>
      <c r="AD81" s="3"/>
      <c r="AE81" s="3"/>
      <c r="AF81" s="3" t="str">
        <f>IFERROR(__xludf.DUMMYFUNCTION("""COMPUTED_VALUE"""),"Yes")</f>
        <v>Yes</v>
      </c>
      <c r="AG81" s="3" t="str">
        <f>IFERROR(__xludf.DUMMYFUNCTION("""COMPUTED_VALUE"""),"No")</f>
        <v>No</v>
      </c>
      <c r="AH81" s="3"/>
      <c r="AI81" s="3">
        <f>IFERROR(__xludf.DUMMYFUNCTION("""COMPUTED_VALUE"""),1.0)</f>
        <v>1</v>
      </c>
      <c r="AJ81" s="3">
        <f>IFERROR(__xludf.DUMMYFUNCTION("""COMPUTED_VALUE"""),1.0)</f>
        <v>1</v>
      </c>
      <c r="AK81" s="3">
        <f>IFERROR(__xludf.DUMMYFUNCTION("""COMPUTED_VALUE"""),1.0)</f>
        <v>1</v>
      </c>
      <c r="AL81" s="3">
        <f>IFERROR(__xludf.DUMMYFUNCTION("""COMPUTED_VALUE"""),1.0)</f>
        <v>1</v>
      </c>
      <c r="AM81" s="3" t="str">
        <f>IFERROR(__xludf.DUMMYFUNCTION("""COMPUTED_VALUE"""),"No")</f>
        <v>No</v>
      </c>
      <c r="AN81" s="3"/>
      <c r="AO81" s="3"/>
      <c r="AP81" s="3">
        <f>IFERROR(__xludf.DUMMYFUNCTION("""COMPUTED_VALUE"""),4.88569497E8)</f>
        <v>488569497</v>
      </c>
      <c r="AQ81" s="3" t="str">
        <f>IFERROR(__xludf.DUMMYFUNCTION("""COMPUTED_VALUE"""),"1bac36ef-e04b-4b73-b0a5-3d60a84f15ce")</f>
        <v>1bac36ef-e04b-4b73-b0a5-3d60a84f15ce</v>
      </c>
      <c r="AR81" s="3">
        <f>IFERROR(__xludf.DUMMYFUNCTION("""COMPUTED_VALUE"""),45806.42548611111)</f>
        <v>45806.42549</v>
      </c>
      <c r="AS81" s="3"/>
      <c r="AT81" s="3"/>
      <c r="AU81" s="3" t="str">
        <f>IFERROR(__xludf.DUMMYFUNCTION("""COMPUTED_VALUE"""),"submitted_via_web")</f>
        <v>submitted_via_web</v>
      </c>
      <c r="AV81" s="3"/>
      <c r="AW81" s="3" t="str">
        <f>IFERROR(__xludf.DUMMYFUNCTION("""COMPUTED_VALUE"""),"vgUJxCcLkhbxcmcrDMVzkY")</f>
        <v>vgUJxCcLkhbxcmcrDMVzkY</v>
      </c>
      <c r="AX81" s="3"/>
      <c r="AY81" s="3">
        <f>IFERROR(__xludf.DUMMYFUNCTION("""COMPUTED_VALUE"""),80.0)</f>
        <v>80</v>
      </c>
    </row>
    <row r="82">
      <c r="A82" s="3" t="str">
        <f>IFERROR(__xludf.DUMMYFUNCTION("""COMPUTED_VALUE"""),"Yes")</f>
        <v>Yes</v>
      </c>
      <c r="B82" s="3"/>
      <c r="C82" s="3" t="str">
        <f>IFERROR(__xludf.DUMMYFUNCTION("""COMPUTED_VALUE"""),"south_africa")</f>
        <v>south_africa</v>
      </c>
      <c r="D82" s="3"/>
      <c r="E82" s="3" t="str">
        <f>IFERROR(__xludf.DUMMYFUNCTION("""COMPUTED_VALUE"""),"south_africa")</f>
        <v>south_africa</v>
      </c>
      <c r="F82" s="3" t="str">
        <f>IFERROR(__xludf.DUMMYFUNCTION("""COMPUTED_VALUE"""),"Nkangala District")</f>
        <v>Nkangala District</v>
      </c>
      <c r="G82" s="3">
        <f>IFERROR(__xludf.DUMMYFUNCTION("""COMPUTED_VALUE"""),39.0)</f>
        <v>39</v>
      </c>
      <c r="H82" s="3" t="str">
        <f>IFERROR(__xludf.DUMMYFUNCTION("""COMPUTED_VALUE"""),"male")</f>
        <v>male</v>
      </c>
      <c r="I82" s="3" t="str">
        <f>IFERROR(__xludf.DUMMYFUNCTION("""COMPUTED_VALUE"""),"citizen")</f>
        <v>citizen</v>
      </c>
      <c r="J82" s="3" t="str">
        <f>IFERROR(__xludf.DUMMYFUNCTION("""COMPUTED_VALUE"""),"formal")</f>
        <v>formal</v>
      </c>
      <c r="K82" s="3" t="str">
        <f>IFERROR(__xludf.DUMMYFUNCTION("""COMPUTED_VALUE"""),"tertiary")</f>
        <v>tertiary</v>
      </c>
      <c r="L82" s="3"/>
      <c r="M82" s="3" t="str">
        <f>IFERROR(__xludf.DUMMYFUNCTION("""COMPUTED_VALUE"""),"agree")</f>
        <v>agree</v>
      </c>
      <c r="N82" s="3" t="str">
        <f>IFERROR(__xludf.DUMMYFUNCTION("""COMPUTED_VALUE"""),"agree")</f>
        <v>agree</v>
      </c>
      <c r="O82" s="3" t="str">
        <f>IFERROR(__xludf.DUMMYFUNCTION("""COMPUTED_VALUE"""),"disagree")</f>
        <v>disagree</v>
      </c>
      <c r="P82" s="3"/>
      <c r="Q82" s="3" t="str">
        <f>IFERROR(__xludf.DUMMYFUNCTION("""COMPUTED_VALUE"""),"disagree")</f>
        <v>disagree</v>
      </c>
      <c r="R82" s="3" t="str">
        <f>IFERROR(__xludf.DUMMYFUNCTION("""COMPUTED_VALUE"""),"agree")</f>
        <v>agree</v>
      </c>
      <c r="S82" s="3" t="str">
        <f>IFERROR(__xludf.DUMMYFUNCTION("""COMPUTED_VALUE"""),"disagree")</f>
        <v>disagree</v>
      </c>
      <c r="T82" s="3" t="str">
        <f>IFERROR(__xludf.DUMMYFUNCTION("""COMPUTED_VALUE"""),"disagree")</f>
        <v>disagree</v>
      </c>
      <c r="U82" s="3" t="str">
        <f>IFERROR(__xludf.DUMMYFUNCTION("""COMPUTED_VALUE"""),"agree")</f>
        <v>agree</v>
      </c>
      <c r="V82" s="3" t="str">
        <f>IFERROR(__xludf.DUMMYFUNCTION("""COMPUTED_VALUE"""),"agree")</f>
        <v>agree</v>
      </c>
      <c r="W82" s="3" t="str">
        <f>IFERROR(__xludf.DUMMYFUNCTION("""COMPUTED_VALUE"""),"dontknow")</f>
        <v>dontknow</v>
      </c>
      <c r="X82" s="3" t="str">
        <f>IFERROR(__xludf.DUMMYFUNCTION("""COMPUTED_VALUE"""),"Silver")</f>
        <v>Silver</v>
      </c>
      <c r="Y82" s="3" t="str">
        <f>IFERROR(__xludf.DUMMYFUNCTION("""COMPUTED_VALUE"""),"insurance")</f>
        <v>insurance</v>
      </c>
      <c r="Z82" s="3" t="str">
        <f>IFERROR(__xludf.DUMMYFUNCTION("""COMPUTED_VALUE"""),"quarterly")</f>
        <v>quarterly</v>
      </c>
      <c r="AA82" s="3">
        <f>IFERROR(__xludf.DUMMYFUNCTION("""COMPUTED_VALUE"""),100.0)</f>
        <v>100</v>
      </c>
      <c r="AB82" s="3" t="str">
        <f>IFERROR(__xludf.DUMMYFUNCTION("""COMPUTED_VALUE"""),"assisted")</f>
        <v>assisted</v>
      </c>
      <c r="AC82" s="3" t="str">
        <f>IFERROR(__xludf.DUMMYFUNCTION("""COMPUTED_VALUE"""),"I am not an employer")</f>
        <v>I am not an employer</v>
      </c>
      <c r="AD82" s="3"/>
      <c r="AE82" s="3"/>
      <c r="AF82" s="3" t="str">
        <f>IFERROR(__xludf.DUMMYFUNCTION("""COMPUTED_VALUE"""),"Yes")</f>
        <v>Yes</v>
      </c>
      <c r="AG82" s="3" t="str">
        <f>IFERROR(__xludf.DUMMYFUNCTION("""COMPUTED_VALUE"""),"Yes")</f>
        <v>Yes</v>
      </c>
      <c r="AH82" s="3">
        <f>IFERROR(__xludf.DUMMYFUNCTION("""COMPUTED_VALUE"""),100.0)</f>
        <v>100</v>
      </c>
      <c r="AI82" s="3">
        <f>IFERROR(__xludf.DUMMYFUNCTION("""COMPUTED_VALUE"""),1.0)</f>
        <v>1</v>
      </c>
      <c r="AJ82" s="3">
        <f>IFERROR(__xludf.DUMMYFUNCTION("""COMPUTED_VALUE"""),1.0)</f>
        <v>1</v>
      </c>
      <c r="AK82" s="3">
        <f>IFERROR(__xludf.DUMMYFUNCTION("""COMPUTED_VALUE"""),1.0)</f>
        <v>1</v>
      </c>
      <c r="AL82" s="3">
        <f>IFERROR(__xludf.DUMMYFUNCTION("""COMPUTED_VALUE"""),0.0)</f>
        <v>0</v>
      </c>
      <c r="AM82" s="3" t="str">
        <f>IFERROR(__xludf.DUMMYFUNCTION("""COMPUTED_VALUE"""),"No")</f>
        <v>No</v>
      </c>
      <c r="AN82" s="3"/>
      <c r="AO82" s="3"/>
      <c r="AP82" s="3">
        <f>IFERROR(__xludf.DUMMYFUNCTION("""COMPUTED_VALUE"""),4.88676978E8)</f>
        <v>488676978</v>
      </c>
      <c r="AQ82" s="3" t="str">
        <f>IFERROR(__xludf.DUMMYFUNCTION("""COMPUTED_VALUE"""),"62f1544a-7e8f-402f-99ba-fefa5120fa64")</f>
        <v>62f1544a-7e8f-402f-99ba-fefa5120fa64</v>
      </c>
      <c r="AR82" s="3">
        <f>IFERROR(__xludf.DUMMYFUNCTION("""COMPUTED_VALUE"""),45806.5278125)</f>
        <v>45806.52781</v>
      </c>
      <c r="AS82" s="3"/>
      <c r="AT82" s="3"/>
      <c r="AU82" s="3" t="str">
        <f>IFERROR(__xludf.DUMMYFUNCTION("""COMPUTED_VALUE"""),"submitted_via_web")</f>
        <v>submitted_via_web</v>
      </c>
      <c r="AV82" s="3"/>
      <c r="AW82" s="3" t="str">
        <f>IFERROR(__xludf.DUMMYFUNCTION("""COMPUTED_VALUE"""),"vgUJxCcLkhbxcmcrDMVzkY")</f>
        <v>vgUJxCcLkhbxcmcrDMVzkY</v>
      </c>
      <c r="AX82" s="3"/>
      <c r="AY82" s="3">
        <f>IFERROR(__xludf.DUMMYFUNCTION("""COMPUTED_VALUE"""),81.0)</f>
        <v>81</v>
      </c>
    </row>
    <row r="83">
      <c r="A83" s="3" t="str">
        <f>IFERROR(__xludf.DUMMYFUNCTION("""COMPUTED_VALUE"""),"Yes")</f>
        <v>Yes</v>
      </c>
      <c r="B83" s="3"/>
      <c r="C83" s="3" t="str">
        <f>IFERROR(__xludf.DUMMYFUNCTION("""COMPUTED_VALUE"""),"zimbabwe")</f>
        <v>zimbabwe</v>
      </c>
      <c r="D83" s="3"/>
      <c r="E83" s="3" t="str">
        <f>IFERROR(__xludf.DUMMYFUNCTION("""COMPUTED_VALUE"""),"south_africa")</f>
        <v>south_africa</v>
      </c>
      <c r="F83" s="3" t="str">
        <f>IFERROR(__xludf.DUMMYFUNCTION("""COMPUTED_VALUE"""),"City of Johannesburg Metropolitan Municipality")</f>
        <v>City of Johannesburg Metropolitan Municipality</v>
      </c>
      <c r="G83" s="3">
        <f>IFERROR(__xludf.DUMMYFUNCTION("""COMPUTED_VALUE"""),34.0)</f>
        <v>34</v>
      </c>
      <c r="H83" s="3" t="str">
        <f>IFERROR(__xludf.DUMMYFUNCTION("""COMPUTED_VALUE"""),"female")</f>
        <v>female</v>
      </c>
      <c r="I83" s="3" t="str">
        <f>IFERROR(__xludf.DUMMYFUNCTION("""COMPUTED_VALUE"""),"over5")</f>
        <v>over5</v>
      </c>
      <c r="J83" s="3" t="str">
        <f>IFERROR(__xludf.DUMMYFUNCTION("""COMPUTED_VALUE"""),"ownbusiness")</f>
        <v>ownbusiness</v>
      </c>
      <c r="K83" s="3" t="str">
        <f>IFERROR(__xludf.DUMMYFUNCTION("""COMPUTED_VALUE"""),"tertiary")</f>
        <v>tertiary</v>
      </c>
      <c r="L83" s="3"/>
      <c r="M83" s="3" t="str">
        <f>IFERROR(__xludf.DUMMYFUNCTION("""COMPUTED_VALUE"""),"agree")</f>
        <v>agree</v>
      </c>
      <c r="N83" s="3" t="str">
        <f>IFERROR(__xludf.DUMMYFUNCTION("""COMPUTED_VALUE"""),"agree")</f>
        <v>agree</v>
      </c>
      <c r="O83" s="3" t="str">
        <f>IFERROR(__xludf.DUMMYFUNCTION("""COMPUTED_VALUE"""),"agree")</f>
        <v>agree</v>
      </c>
      <c r="P83" s="3"/>
      <c r="Q83" s="3" t="str">
        <f>IFERROR(__xludf.DUMMYFUNCTION("""COMPUTED_VALUE"""),"dontknow")</f>
        <v>dontknow</v>
      </c>
      <c r="R83" s="3" t="str">
        <f>IFERROR(__xludf.DUMMYFUNCTION("""COMPUTED_VALUE"""),"agree")</f>
        <v>agree</v>
      </c>
      <c r="S83" s="3" t="str">
        <f>IFERROR(__xludf.DUMMYFUNCTION("""COMPUTED_VALUE"""),"disagree")</f>
        <v>disagree</v>
      </c>
      <c r="T83" s="3" t="str">
        <f>IFERROR(__xludf.DUMMYFUNCTION("""COMPUTED_VALUE"""),"disagree")</f>
        <v>disagree</v>
      </c>
      <c r="U83" s="3" t="str">
        <f>IFERROR(__xludf.DUMMYFUNCTION("""COMPUTED_VALUE"""),"agree")</f>
        <v>agree</v>
      </c>
      <c r="V83" s="3" t="str">
        <f>IFERROR(__xludf.DUMMYFUNCTION("""COMPUTED_VALUE"""),"agree")</f>
        <v>agree</v>
      </c>
      <c r="W83" s="3" t="str">
        <f>IFERROR(__xludf.DUMMYFUNCTION("""COMPUTED_VALUE"""),"agree")</f>
        <v>agree</v>
      </c>
      <c r="X83" s="3" t="str">
        <f>IFERROR(__xludf.DUMMYFUNCTION("""COMPUTED_VALUE"""),"Platinum")</f>
        <v>Platinum</v>
      </c>
      <c r="Y83" s="3" t="str">
        <f>IFERROR(__xludf.DUMMYFUNCTION("""COMPUTED_VALUE"""),"insurance")</f>
        <v>insurance</v>
      </c>
      <c r="Z83" s="3" t="str">
        <f>IFERROR(__xludf.DUMMYFUNCTION("""COMPUTED_VALUE"""),"quarterly")</f>
        <v>quarterly</v>
      </c>
      <c r="AA83" s="3">
        <f>IFERROR(__xludf.DUMMYFUNCTION("""COMPUTED_VALUE"""),50.0)</f>
        <v>50</v>
      </c>
      <c r="AB83" s="3" t="str">
        <f>IFERROR(__xludf.DUMMYFUNCTION("""COMPUTED_VALUE"""),"online")</f>
        <v>online</v>
      </c>
      <c r="AC83" s="3" t="str">
        <f>IFERROR(__xludf.DUMMYFUNCTION("""COMPUTED_VALUE"""),"I am not an employer")</f>
        <v>I am not an employer</v>
      </c>
      <c r="AD83" s="3"/>
      <c r="AE83" s="3"/>
      <c r="AF83" s="3" t="str">
        <f>IFERROR(__xludf.DUMMYFUNCTION("""COMPUTED_VALUE"""),"Yes")</f>
        <v>Yes</v>
      </c>
      <c r="AG83" s="3" t="str">
        <f>IFERROR(__xludf.DUMMYFUNCTION("""COMPUTED_VALUE"""),"No")</f>
        <v>No</v>
      </c>
      <c r="AH83" s="3"/>
      <c r="AI83" s="3">
        <f>IFERROR(__xludf.DUMMYFUNCTION("""COMPUTED_VALUE"""),0.0)</f>
        <v>0</v>
      </c>
      <c r="AJ83" s="3">
        <f>IFERROR(__xludf.DUMMYFUNCTION("""COMPUTED_VALUE"""),0.0)</f>
        <v>0</v>
      </c>
      <c r="AK83" s="3">
        <f>IFERROR(__xludf.DUMMYFUNCTION("""COMPUTED_VALUE"""),1.0)</f>
        <v>1</v>
      </c>
      <c r="AL83" s="3">
        <f>IFERROR(__xludf.DUMMYFUNCTION("""COMPUTED_VALUE"""),0.0)</f>
        <v>0</v>
      </c>
      <c r="AM83" s="3" t="str">
        <f>IFERROR(__xludf.DUMMYFUNCTION("""COMPUTED_VALUE"""),"No")</f>
        <v>No</v>
      </c>
      <c r="AN83" s="3"/>
      <c r="AO83" s="3"/>
      <c r="AP83" s="3">
        <f>IFERROR(__xludf.DUMMYFUNCTION("""COMPUTED_VALUE"""),4.88690503E8)</f>
        <v>488690503</v>
      </c>
      <c r="AQ83" s="3" t="str">
        <f>IFERROR(__xludf.DUMMYFUNCTION("""COMPUTED_VALUE"""),"84d0d60d-1f1d-4145-a92c-5347073e066b")</f>
        <v>84d0d60d-1f1d-4145-a92c-5347073e066b</v>
      </c>
      <c r="AR83" s="3">
        <f>IFERROR(__xludf.DUMMYFUNCTION("""COMPUTED_VALUE"""),45806.5390625)</f>
        <v>45806.53906</v>
      </c>
      <c r="AS83" s="3"/>
      <c r="AT83" s="3"/>
      <c r="AU83" s="3" t="str">
        <f>IFERROR(__xludf.DUMMYFUNCTION("""COMPUTED_VALUE"""),"submitted_via_web")</f>
        <v>submitted_via_web</v>
      </c>
      <c r="AV83" s="3"/>
      <c r="AW83" s="3" t="str">
        <f>IFERROR(__xludf.DUMMYFUNCTION("""COMPUTED_VALUE"""),"vgUJxCcLkhbxcmcrDMVzkY")</f>
        <v>vgUJxCcLkhbxcmcrDMVzkY</v>
      </c>
      <c r="AX83" s="3"/>
      <c r="AY83" s="3">
        <f>IFERROR(__xludf.DUMMYFUNCTION("""COMPUTED_VALUE"""),82.0)</f>
        <v>82</v>
      </c>
    </row>
    <row r="84">
      <c r="A84" s="3" t="str">
        <f>IFERROR(__xludf.DUMMYFUNCTION("""COMPUTED_VALUE"""),"Yes")</f>
        <v>Yes</v>
      </c>
      <c r="B84" s="3"/>
      <c r="C84" s="3" t="str">
        <f>IFERROR(__xludf.DUMMYFUNCTION("""COMPUTED_VALUE"""),"zimbabwe")</f>
        <v>zimbabwe</v>
      </c>
      <c r="D84" s="3"/>
      <c r="E84" s="3" t="str">
        <f>IFERROR(__xludf.DUMMYFUNCTION("""COMPUTED_VALUE"""),"south_africa")</f>
        <v>south_africa</v>
      </c>
      <c r="F84" s="3" t="str">
        <f>IFERROR(__xludf.DUMMYFUNCTION("""COMPUTED_VALUE"""),"City of Tshwane Metropolitan Municipality")</f>
        <v>City of Tshwane Metropolitan Municipality</v>
      </c>
      <c r="G84" s="3">
        <f>IFERROR(__xludf.DUMMYFUNCTION("""COMPUTED_VALUE"""),22.0)</f>
        <v>22</v>
      </c>
      <c r="H84" s="3" t="str">
        <f>IFERROR(__xludf.DUMMYFUNCTION("""COMPUTED_VALUE"""),"female")</f>
        <v>female</v>
      </c>
      <c r="I84" s="3" t="str">
        <f>IFERROR(__xludf.DUMMYFUNCTION("""COMPUTED_VALUE"""),"over5")</f>
        <v>over5</v>
      </c>
      <c r="J84" s="3" t="str">
        <f>IFERROR(__xludf.DUMMYFUNCTION("""COMPUTED_VALUE"""),"formal")</f>
        <v>formal</v>
      </c>
      <c r="K84" s="3" t="str">
        <f>IFERROR(__xludf.DUMMYFUNCTION("""COMPUTED_VALUE"""),"tertiary")</f>
        <v>tertiary</v>
      </c>
      <c r="L84" s="3"/>
      <c r="M84" s="3" t="str">
        <f>IFERROR(__xludf.DUMMYFUNCTION("""COMPUTED_VALUE"""),"agree")</f>
        <v>agree</v>
      </c>
      <c r="N84" s="3" t="str">
        <f>IFERROR(__xludf.DUMMYFUNCTION("""COMPUTED_VALUE"""),"agree")</f>
        <v>agree</v>
      </c>
      <c r="O84" s="3" t="str">
        <f>IFERROR(__xludf.DUMMYFUNCTION("""COMPUTED_VALUE"""),"agree")</f>
        <v>agree</v>
      </c>
      <c r="P84" s="3"/>
      <c r="Q84" s="3" t="str">
        <f>IFERROR(__xludf.DUMMYFUNCTION("""COMPUTED_VALUE"""),"disagree")</f>
        <v>disagree</v>
      </c>
      <c r="R84" s="3" t="str">
        <f>IFERROR(__xludf.DUMMYFUNCTION("""COMPUTED_VALUE"""),"agree")</f>
        <v>agree</v>
      </c>
      <c r="S84" s="3" t="str">
        <f>IFERROR(__xludf.DUMMYFUNCTION("""COMPUTED_VALUE"""),"agree")</f>
        <v>agree</v>
      </c>
      <c r="T84" s="3" t="str">
        <f>IFERROR(__xludf.DUMMYFUNCTION("""COMPUTED_VALUE"""),"disagree")</f>
        <v>disagree</v>
      </c>
      <c r="U84" s="3" t="str">
        <f>IFERROR(__xludf.DUMMYFUNCTION("""COMPUTED_VALUE"""),"disagree")</f>
        <v>disagree</v>
      </c>
      <c r="V84" s="3" t="str">
        <f>IFERROR(__xludf.DUMMYFUNCTION("""COMPUTED_VALUE"""),"agree")</f>
        <v>agree</v>
      </c>
      <c r="W84" s="3" t="str">
        <f>IFERROR(__xludf.DUMMYFUNCTION("""COMPUTED_VALUE"""),"disagree")</f>
        <v>disagree</v>
      </c>
      <c r="X84" s="3" t="str">
        <f>IFERROR(__xludf.DUMMYFUNCTION("""COMPUTED_VALUE"""),"Silver")</f>
        <v>Silver</v>
      </c>
      <c r="Y84" s="3" t="str">
        <f>IFERROR(__xludf.DUMMYFUNCTION("""COMPUTED_VALUE"""),"card")</f>
        <v>card</v>
      </c>
      <c r="Z84" s="3" t="str">
        <f>IFERROR(__xludf.DUMMYFUNCTION("""COMPUTED_VALUE"""),"monthly")</f>
        <v>monthly</v>
      </c>
      <c r="AA84" s="3">
        <f>IFERROR(__xludf.DUMMYFUNCTION("""COMPUTED_VALUE"""),100.0)</f>
        <v>100</v>
      </c>
      <c r="AB84" s="3" t="str">
        <f>IFERROR(__xludf.DUMMYFUNCTION("""COMPUTED_VALUE"""),"employer")</f>
        <v>employer</v>
      </c>
      <c r="AC84" s="3" t="str">
        <f>IFERROR(__xludf.DUMMYFUNCTION("""COMPUTED_VALUE"""),"I am not an employer")</f>
        <v>I am not an employer</v>
      </c>
      <c r="AD84" s="3"/>
      <c r="AE84" s="3"/>
      <c r="AF84" s="3" t="str">
        <f>IFERROR(__xludf.DUMMYFUNCTION("""COMPUTED_VALUE"""),"No")</f>
        <v>No</v>
      </c>
      <c r="AG84" s="3" t="str">
        <f>IFERROR(__xludf.DUMMYFUNCTION("""COMPUTED_VALUE"""),"No")</f>
        <v>No</v>
      </c>
      <c r="AH84" s="3"/>
      <c r="AI84" s="3">
        <f>IFERROR(__xludf.DUMMYFUNCTION("""COMPUTED_VALUE"""),0.0)</f>
        <v>0</v>
      </c>
      <c r="AJ84" s="3">
        <f>IFERROR(__xludf.DUMMYFUNCTION("""COMPUTED_VALUE"""),0.0)</f>
        <v>0</v>
      </c>
      <c r="AK84" s="3">
        <f>IFERROR(__xludf.DUMMYFUNCTION("""COMPUTED_VALUE"""),0.0)</f>
        <v>0</v>
      </c>
      <c r="AL84" s="3">
        <f>IFERROR(__xludf.DUMMYFUNCTION("""COMPUTED_VALUE"""),1.0)</f>
        <v>1</v>
      </c>
      <c r="AM84" s="3" t="str">
        <f>IFERROR(__xludf.DUMMYFUNCTION("""COMPUTED_VALUE"""),"No")</f>
        <v>No</v>
      </c>
      <c r="AN84" s="3"/>
      <c r="AO84" s="3"/>
      <c r="AP84" s="3">
        <f>IFERROR(__xludf.DUMMYFUNCTION("""COMPUTED_VALUE"""),4.88720274E8)</f>
        <v>488720274</v>
      </c>
      <c r="AQ84" s="3" t="str">
        <f>IFERROR(__xludf.DUMMYFUNCTION("""COMPUTED_VALUE"""),"01baba4b-72df-4331-85c2-482617d49fa1")</f>
        <v>01baba4b-72df-4331-85c2-482617d49fa1</v>
      </c>
      <c r="AR84" s="3">
        <f>IFERROR(__xludf.DUMMYFUNCTION("""COMPUTED_VALUE"""),45806.56145833333)</f>
        <v>45806.56146</v>
      </c>
      <c r="AS84" s="3"/>
      <c r="AT84" s="3"/>
      <c r="AU84" s="3" t="str">
        <f>IFERROR(__xludf.DUMMYFUNCTION("""COMPUTED_VALUE"""),"submitted_via_web")</f>
        <v>submitted_via_web</v>
      </c>
      <c r="AV84" s="3"/>
      <c r="AW84" s="3" t="str">
        <f>IFERROR(__xludf.DUMMYFUNCTION("""COMPUTED_VALUE"""),"vgUJxCcLkhbxcmcrDMVzkY")</f>
        <v>vgUJxCcLkhbxcmcrDMVzkY</v>
      </c>
      <c r="AX84" s="3"/>
      <c r="AY84" s="3">
        <f>IFERROR(__xludf.DUMMYFUNCTION("""COMPUTED_VALUE"""),83.0)</f>
        <v>83</v>
      </c>
    </row>
    <row r="85">
      <c r="A85" s="3" t="str">
        <f>IFERROR(__xludf.DUMMYFUNCTION("""COMPUTED_VALUE"""),"Yes")</f>
        <v>Yes</v>
      </c>
      <c r="B85" s="3"/>
      <c r="C85" s="3" t="str">
        <f>IFERROR(__xludf.DUMMYFUNCTION("""COMPUTED_VALUE"""),"south_africa")</f>
        <v>south_africa</v>
      </c>
      <c r="D85" s="3"/>
      <c r="E85" s="3" t="str">
        <f>IFERROR(__xludf.DUMMYFUNCTION("""COMPUTED_VALUE"""),"south_africa")</f>
        <v>south_africa</v>
      </c>
      <c r="F85" s="3" t="str">
        <f>IFERROR(__xludf.DUMMYFUNCTION("""COMPUTED_VALUE"""),"City of Tshwane Metropolitan Municipality")</f>
        <v>City of Tshwane Metropolitan Municipality</v>
      </c>
      <c r="G85" s="3">
        <f>IFERROR(__xludf.DUMMYFUNCTION("""COMPUTED_VALUE"""),41.0)</f>
        <v>41</v>
      </c>
      <c r="H85" s="3" t="str">
        <f>IFERROR(__xludf.DUMMYFUNCTION("""COMPUTED_VALUE"""),"female")</f>
        <v>female</v>
      </c>
      <c r="I85" s="3" t="str">
        <f>IFERROR(__xludf.DUMMYFUNCTION("""COMPUTED_VALUE"""),"citizen")</f>
        <v>citizen</v>
      </c>
      <c r="J85" s="3" t="str">
        <f>IFERROR(__xludf.DUMMYFUNCTION("""COMPUTED_VALUE"""),"formal")</f>
        <v>formal</v>
      </c>
      <c r="K85" s="3" t="str">
        <f>IFERROR(__xludf.DUMMYFUNCTION("""COMPUTED_VALUE"""),"tertiary")</f>
        <v>tertiary</v>
      </c>
      <c r="L85" s="3"/>
      <c r="M85" s="3" t="str">
        <f>IFERROR(__xludf.DUMMYFUNCTION("""COMPUTED_VALUE"""),"agree")</f>
        <v>agree</v>
      </c>
      <c r="N85" s="3" t="str">
        <f>IFERROR(__xludf.DUMMYFUNCTION("""COMPUTED_VALUE"""),"agree")</f>
        <v>agree</v>
      </c>
      <c r="O85" s="3" t="str">
        <f>IFERROR(__xludf.DUMMYFUNCTION("""COMPUTED_VALUE"""),"disagree")</f>
        <v>disagree</v>
      </c>
      <c r="P85" s="3"/>
      <c r="Q85" s="3" t="str">
        <f>IFERROR(__xludf.DUMMYFUNCTION("""COMPUTED_VALUE"""),"agree")</f>
        <v>agree</v>
      </c>
      <c r="R85" s="3" t="str">
        <f>IFERROR(__xludf.DUMMYFUNCTION("""COMPUTED_VALUE"""),"agree")</f>
        <v>agree</v>
      </c>
      <c r="S85" s="3" t="str">
        <f>IFERROR(__xludf.DUMMYFUNCTION("""COMPUTED_VALUE"""),"agree")</f>
        <v>agree</v>
      </c>
      <c r="T85" s="3" t="str">
        <f>IFERROR(__xludf.DUMMYFUNCTION("""COMPUTED_VALUE"""),"agree")</f>
        <v>agree</v>
      </c>
      <c r="U85" s="3" t="str">
        <f>IFERROR(__xludf.DUMMYFUNCTION("""COMPUTED_VALUE"""),"disagree")</f>
        <v>disagree</v>
      </c>
      <c r="V85" s="3" t="str">
        <f>IFERROR(__xludf.DUMMYFUNCTION("""COMPUTED_VALUE"""),"agree")</f>
        <v>agree</v>
      </c>
      <c r="W85" s="3" t="str">
        <f>IFERROR(__xludf.DUMMYFUNCTION("""COMPUTED_VALUE"""),"agree")</f>
        <v>agree</v>
      </c>
      <c r="X85" s="3" t="str">
        <f>IFERROR(__xludf.DUMMYFUNCTION("""COMPUTED_VALUE"""),"Platinum")</f>
        <v>Platinum</v>
      </c>
      <c r="Y85" s="3" t="str">
        <f>IFERROR(__xludf.DUMMYFUNCTION("""COMPUTED_VALUE"""),"card")</f>
        <v>card</v>
      </c>
      <c r="Z85" s="3" t="str">
        <f>IFERROR(__xludf.DUMMYFUNCTION("""COMPUTED_VALUE"""),"monthly")</f>
        <v>monthly</v>
      </c>
      <c r="AA85" s="3">
        <f>IFERROR(__xludf.DUMMYFUNCTION("""COMPUTED_VALUE"""),100.0)</f>
        <v>100</v>
      </c>
      <c r="AB85" s="3" t="str">
        <f>IFERROR(__xludf.DUMMYFUNCTION("""COMPUTED_VALUE"""),"online")</f>
        <v>online</v>
      </c>
      <c r="AC85" s="3" t="str">
        <f>IFERROR(__xludf.DUMMYFUNCTION("""COMPUTED_VALUE"""),"I am not an employer")</f>
        <v>I am not an employer</v>
      </c>
      <c r="AD85" s="3"/>
      <c r="AE85" s="3"/>
      <c r="AF85" s="3" t="str">
        <f>IFERROR(__xludf.DUMMYFUNCTION("""COMPUTED_VALUE"""),"Yes")</f>
        <v>Yes</v>
      </c>
      <c r="AG85" s="3" t="str">
        <f>IFERROR(__xludf.DUMMYFUNCTION("""COMPUTED_VALUE"""),"Yes")</f>
        <v>Yes</v>
      </c>
      <c r="AH85" s="3">
        <f>IFERROR(__xludf.DUMMYFUNCTION("""COMPUTED_VALUE"""),50.0)</f>
        <v>50</v>
      </c>
      <c r="AI85" s="3">
        <f>IFERROR(__xludf.DUMMYFUNCTION("""COMPUTED_VALUE"""),0.0)</f>
        <v>0</v>
      </c>
      <c r="AJ85" s="3">
        <f>IFERROR(__xludf.DUMMYFUNCTION("""COMPUTED_VALUE"""),0.0)</f>
        <v>0</v>
      </c>
      <c r="AK85" s="3">
        <f>IFERROR(__xludf.DUMMYFUNCTION("""COMPUTED_VALUE"""),0.0)</f>
        <v>0</v>
      </c>
      <c r="AL85" s="3">
        <f>IFERROR(__xludf.DUMMYFUNCTION("""COMPUTED_VALUE"""),1.0)</f>
        <v>1</v>
      </c>
      <c r="AM85" s="3" t="str">
        <f>IFERROR(__xludf.DUMMYFUNCTION("""COMPUTED_VALUE"""),"No")</f>
        <v>No</v>
      </c>
      <c r="AN85" s="3"/>
      <c r="AO85" s="3"/>
      <c r="AP85" s="3">
        <f>IFERROR(__xludf.DUMMYFUNCTION("""COMPUTED_VALUE"""),4.88730589E8)</f>
        <v>488730589</v>
      </c>
      <c r="AQ85" s="3" t="str">
        <f>IFERROR(__xludf.DUMMYFUNCTION("""COMPUTED_VALUE"""),"bad0ebcd-f73e-47a8-a2ed-e805bcad53f2")</f>
        <v>bad0ebcd-f73e-47a8-a2ed-e805bcad53f2</v>
      </c>
      <c r="AR85" s="3">
        <f>IFERROR(__xludf.DUMMYFUNCTION("""COMPUTED_VALUE"""),45806.56793981481)</f>
        <v>45806.56794</v>
      </c>
      <c r="AS85" s="3"/>
      <c r="AT85" s="3"/>
      <c r="AU85" s="3" t="str">
        <f>IFERROR(__xludf.DUMMYFUNCTION("""COMPUTED_VALUE"""),"submitted_via_web")</f>
        <v>submitted_via_web</v>
      </c>
      <c r="AV85" s="3"/>
      <c r="AW85" s="3" t="str">
        <f>IFERROR(__xludf.DUMMYFUNCTION("""COMPUTED_VALUE"""),"vL333fTXttq2bepEBmPumB")</f>
        <v>vL333fTXttq2bepEBmPumB</v>
      </c>
      <c r="AX85" s="3"/>
      <c r="AY85" s="3">
        <f>IFERROR(__xludf.DUMMYFUNCTION("""COMPUTED_VALUE"""),84.0)</f>
        <v>84</v>
      </c>
    </row>
    <row r="86">
      <c r="A86" s="3" t="str">
        <f>IFERROR(__xludf.DUMMYFUNCTION("""COMPUTED_VALUE"""),"Yes")</f>
        <v>Yes</v>
      </c>
      <c r="B86" s="3"/>
      <c r="C86" s="3" t="str">
        <f>IFERROR(__xludf.DUMMYFUNCTION("""COMPUTED_VALUE"""),"angola")</f>
        <v>angola</v>
      </c>
      <c r="D86" s="3"/>
      <c r="E86" s="3" t="str">
        <f>IFERROR(__xludf.DUMMYFUNCTION("""COMPUTED_VALUE"""),"angola")</f>
        <v>angola</v>
      </c>
      <c r="F86" s="3"/>
      <c r="G86" s="3">
        <f>IFERROR(__xludf.DUMMYFUNCTION("""COMPUTED_VALUE"""),42.0)</f>
        <v>42</v>
      </c>
      <c r="H86" s="3" t="str">
        <f>IFERROR(__xludf.DUMMYFUNCTION("""COMPUTED_VALUE"""),"female")</f>
        <v>female</v>
      </c>
      <c r="I86" s="3"/>
      <c r="J86" s="3" t="str">
        <f>IFERROR(__xludf.DUMMYFUNCTION("""COMPUTED_VALUE"""),"formal")</f>
        <v>formal</v>
      </c>
      <c r="K86" s="3" t="str">
        <f>IFERROR(__xludf.DUMMYFUNCTION("""COMPUTED_VALUE"""),"tertiary")</f>
        <v>tertiary</v>
      </c>
      <c r="L86" s="3"/>
      <c r="M86" s="3" t="str">
        <f>IFERROR(__xludf.DUMMYFUNCTION("""COMPUTED_VALUE"""),"agree")</f>
        <v>agree</v>
      </c>
      <c r="N86" s="3" t="str">
        <f>IFERROR(__xludf.DUMMYFUNCTION("""COMPUTED_VALUE"""),"agree")</f>
        <v>agree</v>
      </c>
      <c r="O86" s="3" t="str">
        <f>IFERROR(__xludf.DUMMYFUNCTION("""COMPUTED_VALUE"""),"agree")</f>
        <v>agree</v>
      </c>
      <c r="P86" s="3"/>
      <c r="Q86" s="3" t="str">
        <f>IFERROR(__xludf.DUMMYFUNCTION("""COMPUTED_VALUE"""),"disagree")</f>
        <v>disagree</v>
      </c>
      <c r="R86" s="3" t="str">
        <f>IFERROR(__xludf.DUMMYFUNCTION("""COMPUTED_VALUE"""),"agree")</f>
        <v>agree</v>
      </c>
      <c r="S86" s="3" t="str">
        <f>IFERROR(__xludf.DUMMYFUNCTION("""COMPUTED_VALUE"""),"disagree")</f>
        <v>disagree</v>
      </c>
      <c r="T86" s="3" t="str">
        <f>IFERROR(__xludf.DUMMYFUNCTION("""COMPUTED_VALUE"""),"agree")</f>
        <v>agree</v>
      </c>
      <c r="U86" s="3" t="str">
        <f>IFERROR(__xludf.DUMMYFUNCTION("""COMPUTED_VALUE"""),"dontknow")</f>
        <v>dontknow</v>
      </c>
      <c r="V86" s="3" t="str">
        <f>IFERROR(__xludf.DUMMYFUNCTION("""COMPUTED_VALUE"""),"agree")</f>
        <v>agree</v>
      </c>
      <c r="W86" s="3" t="str">
        <f>IFERROR(__xludf.DUMMYFUNCTION("""COMPUTED_VALUE"""),"disagree")</f>
        <v>disagree</v>
      </c>
      <c r="X86" s="3" t="str">
        <f>IFERROR(__xludf.DUMMYFUNCTION("""COMPUTED_VALUE"""),"Gold")</f>
        <v>Gold</v>
      </c>
      <c r="Y86" s="3" t="str">
        <f>IFERROR(__xludf.DUMMYFUNCTION("""COMPUTED_VALUE"""),"insurance")</f>
        <v>insurance</v>
      </c>
      <c r="Z86" s="3" t="str">
        <f>IFERROR(__xludf.DUMMYFUNCTION("""COMPUTED_VALUE"""),"annual")</f>
        <v>annual</v>
      </c>
      <c r="AA86" s="3">
        <f>IFERROR(__xludf.DUMMYFUNCTION("""COMPUTED_VALUE"""),100.0)</f>
        <v>100</v>
      </c>
      <c r="AB86" s="3" t="str">
        <f>IFERROR(__xludf.DUMMYFUNCTION("""COMPUTED_VALUE"""),"online")</f>
        <v>online</v>
      </c>
      <c r="AC86" s="3" t="str">
        <f>IFERROR(__xludf.DUMMYFUNCTION("""COMPUTED_VALUE"""),"I am not an employer")</f>
        <v>I am not an employer</v>
      </c>
      <c r="AD86" s="3"/>
      <c r="AE86" s="3"/>
      <c r="AF86" s="3" t="str">
        <f>IFERROR(__xludf.DUMMYFUNCTION("""COMPUTED_VALUE"""),"Yes")</f>
        <v>Yes</v>
      </c>
      <c r="AG86" s="3" t="str">
        <f>IFERROR(__xludf.DUMMYFUNCTION("""COMPUTED_VALUE"""),"No")</f>
        <v>No</v>
      </c>
      <c r="AH86" s="3"/>
      <c r="AI86" s="3">
        <f>IFERROR(__xludf.DUMMYFUNCTION("""COMPUTED_VALUE"""),0.0)</f>
        <v>0</v>
      </c>
      <c r="AJ86" s="3">
        <f>IFERROR(__xludf.DUMMYFUNCTION("""COMPUTED_VALUE"""),0.0)</f>
        <v>0</v>
      </c>
      <c r="AK86" s="3">
        <f>IFERROR(__xludf.DUMMYFUNCTION("""COMPUTED_VALUE"""),1.0)</f>
        <v>1</v>
      </c>
      <c r="AL86" s="3">
        <f>IFERROR(__xludf.DUMMYFUNCTION("""COMPUTED_VALUE"""),0.0)</f>
        <v>0</v>
      </c>
      <c r="AM86" s="3"/>
      <c r="AN86" s="3"/>
      <c r="AO86" s="3"/>
      <c r="AP86" s="3">
        <f>IFERROR(__xludf.DUMMYFUNCTION("""COMPUTED_VALUE"""),4.88786593E8)</f>
        <v>488786593</v>
      </c>
      <c r="AQ86" s="3" t="str">
        <f>IFERROR(__xludf.DUMMYFUNCTION("""COMPUTED_VALUE"""),"b2b9d054-614b-41f9-9d0a-89a30a9ce489")</f>
        <v>b2b9d054-614b-41f9-9d0a-89a30a9ce489</v>
      </c>
      <c r="AR86" s="3">
        <f>IFERROR(__xludf.DUMMYFUNCTION("""COMPUTED_VALUE"""),45806.60795138889)</f>
        <v>45806.60795</v>
      </c>
      <c r="AS86" s="3"/>
      <c r="AT86" s="3"/>
      <c r="AU86" s="3" t="str">
        <f>IFERROR(__xludf.DUMMYFUNCTION("""COMPUTED_VALUE"""),"submitted_via_web")</f>
        <v>submitted_via_web</v>
      </c>
      <c r="AV86" s="3"/>
      <c r="AW86" s="3" t="str">
        <f>IFERROR(__xludf.DUMMYFUNCTION("""COMPUTED_VALUE"""),"vgUJxCcLkhbxcmcrDMVzkY")</f>
        <v>vgUJxCcLkhbxcmcrDMVzkY</v>
      </c>
      <c r="AX86" s="3"/>
      <c r="AY86" s="3">
        <f>IFERROR(__xludf.DUMMYFUNCTION("""COMPUTED_VALUE"""),85.0)</f>
        <v>85</v>
      </c>
    </row>
    <row r="87">
      <c r="A87" s="3" t="str">
        <f>IFERROR(__xludf.DUMMYFUNCTION("""COMPUTED_VALUE"""),"Yes")</f>
        <v>Yes</v>
      </c>
      <c r="B87" s="3"/>
      <c r="C87" s="3" t="str">
        <f>IFERROR(__xludf.DUMMYFUNCTION("""COMPUTED_VALUE"""),"south_africa")</f>
        <v>south_africa</v>
      </c>
      <c r="D87" s="3"/>
      <c r="E87" s="3" t="str">
        <f>IFERROR(__xludf.DUMMYFUNCTION("""COMPUTED_VALUE"""),"south_africa")</f>
        <v>south_africa</v>
      </c>
      <c r="F87" s="3" t="str">
        <f>IFERROR(__xludf.DUMMYFUNCTION("""COMPUTED_VALUE"""),"City of Tshwane Metropolitan Municipality")</f>
        <v>City of Tshwane Metropolitan Municipality</v>
      </c>
      <c r="G87" s="3">
        <f>IFERROR(__xludf.DUMMYFUNCTION("""COMPUTED_VALUE"""),46.0)</f>
        <v>46</v>
      </c>
      <c r="H87" s="3" t="str">
        <f>IFERROR(__xludf.DUMMYFUNCTION("""COMPUTED_VALUE"""),"female")</f>
        <v>female</v>
      </c>
      <c r="I87" s="3" t="str">
        <f>IFERROR(__xludf.DUMMYFUNCTION("""COMPUTED_VALUE"""),"citizen")</f>
        <v>citizen</v>
      </c>
      <c r="J87" s="3" t="str">
        <f>IFERROR(__xludf.DUMMYFUNCTION("""COMPUTED_VALUE"""),"ownbusiness")</f>
        <v>ownbusiness</v>
      </c>
      <c r="K87" s="3" t="str">
        <f>IFERROR(__xludf.DUMMYFUNCTION("""COMPUTED_VALUE"""),"tertiary")</f>
        <v>tertiary</v>
      </c>
      <c r="L87" s="3"/>
      <c r="M87" s="3" t="str">
        <f>IFERROR(__xludf.DUMMYFUNCTION("""COMPUTED_VALUE"""),"agree")</f>
        <v>agree</v>
      </c>
      <c r="N87" s="3" t="str">
        <f>IFERROR(__xludf.DUMMYFUNCTION("""COMPUTED_VALUE"""),"agree")</f>
        <v>agree</v>
      </c>
      <c r="O87" s="3" t="str">
        <f>IFERROR(__xludf.DUMMYFUNCTION("""COMPUTED_VALUE"""),"agree")</f>
        <v>agree</v>
      </c>
      <c r="P87" s="3"/>
      <c r="Q87" s="3" t="str">
        <f>IFERROR(__xludf.DUMMYFUNCTION("""COMPUTED_VALUE"""),"disagree")</f>
        <v>disagree</v>
      </c>
      <c r="R87" s="3" t="str">
        <f>IFERROR(__xludf.DUMMYFUNCTION("""COMPUTED_VALUE"""),"agree")</f>
        <v>agree</v>
      </c>
      <c r="S87" s="3" t="str">
        <f>IFERROR(__xludf.DUMMYFUNCTION("""COMPUTED_VALUE"""),"disagree")</f>
        <v>disagree</v>
      </c>
      <c r="T87" s="3" t="str">
        <f>IFERROR(__xludf.DUMMYFUNCTION("""COMPUTED_VALUE"""),"agree")</f>
        <v>agree</v>
      </c>
      <c r="U87" s="3" t="str">
        <f>IFERROR(__xludf.DUMMYFUNCTION("""COMPUTED_VALUE"""),"agree")</f>
        <v>agree</v>
      </c>
      <c r="V87" s="3" t="str">
        <f>IFERROR(__xludf.DUMMYFUNCTION("""COMPUTED_VALUE"""),"agree")</f>
        <v>agree</v>
      </c>
      <c r="W87" s="3" t="str">
        <f>IFERROR(__xludf.DUMMYFUNCTION("""COMPUTED_VALUE"""),"agree")</f>
        <v>agree</v>
      </c>
      <c r="X87" s="3" t="str">
        <f>IFERROR(__xludf.DUMMYFUNCTION("""COMPUTED_VALUE"""),"Silver")</f>
        <v>Silver</v>
      </c>
      <c r="Y87" s="3" t="str">
        <f>IFERROR(__xludf.DUMMYFUNCTION("""COMPUTED_VALUE"""),"insurance")</f>
        <v>insurance</v>
      </c>
      <c r="Z87" s="3" t="str">
        <f>IFERROR(__xludf.DUMMYFUNCTION("""COMPUTED_VALUE"""),"annual")</f>
        <v>annual</v>
      </c>
      <c r="AA87" s="3">
        <f>IFERROR(__xludf.DUMMYFUNCTION("""COMPUTED_VALUE"""),100.0)</f>
        <v>100</v>
      </c>
      <c r="AB87" s="3" t="str">
        <f>IFERROR(__xludf.DUMMYFUNCTION("""COMPUTED_VALUE"""),"online")</f>
        <v>online</v>
      </c>
      <c r="AC87" s="3" t="str">
        <f>IFERROR(__xludf.DUMMYFUNCTION("""COMPUTED_VALUE"""),"No")</f>
        <v>No</v>
      </c>
      <c r="AD87" s="3"/>
      <c r="AE87" s="3"/>
      <c r="AF87" s="3" t="str">
        <f>IFERROR(__xludf.DUMMYFUNCTION("""COMPUTED_VALUE"""),"Yes")</f>
        <v>Yes</v>
      </c>
      <c r="AG87" s="3" t="str">
        <f>IFERROR(__xludf.DUMMYFUNCTION("""COMPUTED_VALUE"""),"No")</f>
        <v>No</v>
      </c>
      <c r="AH87" s="3"/>
      <c r="AI87" s="3">
        <f>IFERROR(__xludf.DUMMYFUNCTION("""COMPUTED_VALUE"""),0.0)</f>
        <v>0</v>
      </c>
      <c r="AJ87" s="3">
        <f>IFERROR(__xludf.DUMMYFUNCTION("""COMPUTED_VALUE"""),0.0)</f>
        <v>0</v>
      </c>
      <c r="AK87" s="3">
        <f>IFERROR(__xludf.DUMMYFUNCTION("""COMPUTED_VALUE"""),0.0)</f>
        <v>0</v>
      </c>
      <c r="AL87" s="3">
        <f>IFERROR(__xludf.DUMMYFUNCTION("""COMPUTED_VALUE"""),1.0)</f>
        <v>1</v>
      </c>
      <c r="AM87" s="3" t="str">
        <f>IFERROR(__xludf.DUMMYFUNCTION("""COMPUTED_VALUE"""),"Yes")</f>
        <v>Yes</v>
      </c>
      <c r="AN87" s="3" t="str">
        <f>IFERROR(__xludf.DUMMYFUNCTION("""COMPUTED_VALUE"""),"marisa@tushiyah.co.za")</f>
        <v>marisa@tushiyah.co.za</v>
      </c>
      <c r="AO87" s="3"/>
      <c r="AP87" s="3">
        <f>IFERROR(__xludf.DUMMYFUNCTION("""COMPUTED_VALUE"""),4.8882061E8)</f>
        <v>488820610</v>
      </c>
      <c r="AQ87" s="3" t="str">
        <f>IFERROR(__xludf.DUMMYFUNCTION("""COMPUTED_VALUE"""),"60309360-5002-4123-b3dd-d368d6b334d1")</f>
        <v>60309360-5002-4123-b3dd-d368d6b334d1</v>
      </c>
      <c r="AR87" s="3">
        <f>IFERROR(__xludf.DUMMYFUNCTION("""COMPUTED_VALUE"""),45806.62994212963)</f>
        <v>45806.62994</v>
      </c>
      <c r="AS87" s="3"/>
      <c r="AT87" s="3"/>
      <c r="AU87" s="3" t="str">
        <f>IFERROR(__xludf.DUMMYFUNCTION("""COMPUTED_VALUE"""),"submitted_via_web")</f>
        <v>submitted_via_web</v>
      </c>
      <c r="AV87" s="3"/>
      <c r="AW87" s="3" t="str">
        <f>IFERROR(__xludf.DUMMYFUNCTION("""COMPUTED_VALUE"""),"vgUJxCcLkhbxcmcrDMVzkY")</f>
        <v>vgUJxCcLkhbxcmcrDMVzkY</v>
      </c>
      <c r="AX87" s="3"/>
      <c r="AY87" s="3">
        <f>IFERROR(__xludf.DUMMYFUNCTION("""COMPUTED_VALUE"""),86.0)</f>
        <v>86</v>
      </c>
    </row>
    <row r="88">
      <c r="A88" s="3" t="str">
        <f>IFERROR(__xludf.DUMMYFUNCTION("""COMPUTED_VALUE"""),"Yes")</f>
        <v>Yes</v>
      </c>
      <c r="B88" s="3"/>
      <c r="C88" s="3" t="str">
        <f>IFERROR(__xludf.DUMMYFUNCTION("""COMPUTED_VALUE"""),"south_africa")</f>
        <v>south_africa</v>
      </c>
      <c r="D88" s="3"/>
      <c r="E88" s="3" t="str">
        <f>IFERROR(__xludf.DUMMYFUNCTION("""COMPUTED_VALUE"""),"south_africa")</f>
        <v>south_africa</v>
      </c>
      <c r="F88" s="3" t="str">
        <f>IFERROR(__xludf.DUMMYFUNCTION("""COMPUTED_VALUE"""),"City of Tshwane Metropolitan Municipality")</f>
        <v>City of Tshwane Metropolitan Municipality</v>
      </c>
      <c r="G88" s="3">
        <f>IFERROR(__xludf.DUMMYFUNCTION("""COMPUTED_VALUE"""),33.0)</f>
        <v>33</v>
      </c>
      <c r="H88" s="3" t="str">
        <f>IFERROR(__xludf.DUMMYFUNCTION("""COMPUTED_VALUE"""),"female")</f>
        <v>female</v>
      </c>
      <c r="I88" s="3" t="str">
        <f>IFERROR(__xludf.DUMMYFUNCTION("""COMPUTED_VALUE"""),"citizen")</f>
        <v>citizen</v>
      </c>
      <c r="J88" s="3" t="str">
        <f>IFERROR(__xludf.DUMMYFUNCTION("""COMPUTED_VALUE"""),"formal")</f>
        <v>formal</v>
      </c>
      <c r="K88" s="3" t="str">
        <f>IFERROR(__xludf.DUMMYFUNCTION("""COMPUTED_VALUE"""),"tertiary")</f>
        <v>tertiary</v>
      </c>
      <c r="L88" s="3"/>
      <c r="M88" s="3" t="str">
        <f>IFERROR(__xludf.DUMMYFUNCTION("""COMPUTED_VALUE"""),"agree")</f>
        <v>agree</v>
      </c>
      <c r="N88" s="3" t="str">
        <f>IFERROR(__xludf.DUMMYFUNCTION("""COMPUTED_VALUE"""),"agree")</f>
        <v>agree</v>
      </c>
      <c r="O88" s="3" t="str">
        <f>IFERROR(__xludf.DUMMYFUNCTION("""COMPUTED_VALUE"""),"disagree")</f>
        <v>disagree</v>
      </c>
      <c r="P88" s="3"/>
      <c r="Q88" s="3" t="str">
        <f>IFERROR(__xludf.DUMMYFUNCTION("""COMPUTED_VALUE"""),"disagree")</f>
        <v>disagree</v>
      </c>
      <c r="R88" s="3" t="str">
        <f>IFERROR(__xludf.DUMMYFUNCTION("""COMPUTED_VALUE"""),"agree")</f>
        <v>agree</v>
      </c>
      <c r="S88" s="3" t="str">
        <f>IFERROR(__xludf.DUMMYFUNCTION("""COMPUTED_VALUE"""),"agree")</f>
        <v>agree</v>
      </c>
      <c r="T88" s="3" t="str">
        <f>IFERROR(__xludf.DUMMYFUNCTION("""COMPUTED_VALUE"""),"agree")</f>
        <v>agree</v>
      </c>
      <c r="U88" s="3" t="str">
        <f>IFERROR(__xludf.DUMMYFUNCTION("""COMPUTED_VALUE"""),"dontknow")</f>
        <v>dontknow</v>
      </c>
      <c r="V88" s="3" t="str">
        <f>IFERROR(__xludf.DUMMYFUNCTION("""COMPUTED_VALUE"""),"agree")</f>
        <v>agree</v>
      </c>
      <c r="W88" s="3" t="str">
        <f>IFERROR(__xludf.DUMMYFUNCTION("""COMPUTED_VALUE"""),"disagree")</f>
        <v>disagree</v>
      </c>
      <c r="X88" s="3" t="str">
        <f>IFERROR(__xludf.DUMMYFUNCTION("""COMPUTED_VALUE"""),"Silver")</f>
        <v>Silver</v>
      </c>
      <c r="Y88" s="3" t="str">
        <f>IFERROR(__xludf.DUMMYFUNCTION("""COMPUTED_VALUE"""),"card")</f>
        <v>card</v>
      </c>
      <c r="Z88" s="3" t="str">
        <f>IFERROR(__xludf.DUMMYFUNCTION("""COMPUTED_VALUE"""),"annual")</f>
        <v>annual</v>
      </c>
      <c r="AA88" s="3">
        <f>IFERROR(__xludf.DUMMYFUNCTION("""COMPUTED_VALUE"""),100.0)</f>
        <v>100</v>
      </c>
      <c r="AB88" s="3" t="str">
        <f>IFERROR(__xludf.DUMMYFUNCTION("""COMPUTED_VALUE"""),"assisted")</f>
        <v>assisted</v>
      </c>
      <c r="AC88" s="3" t="str">
        <f>IFERROR(__xludf.DUMMYFUNCTION("""COMPUTED_VALUE"""),"I am not an employer")</f>
        <v>I am not an employer</v>
      </c>
      <c r="AD88" s="3"/>
      <c r="AE88" s="3"/>
      <c r="AF88" s="3" t="str">
        <f>IFERROR(__xludf.DUMMYFUNCTION("""COMPUTED_VALUE"""),"Yes")</f>
        <v>Yes</v>
      </c>
      <c r="AG88" s="3" t="str">
        <f>IFERROR(__xludf.DUMMYFUNCTION("""COMPUTED_VALUE"""),"No")</f>
        <v>No</v>
      </c>
      <c r="AH88" s="3"/>
      <c r="AI88" s="3">
        <f>IFERROR(__xludf.DUMMYFUNCTION("""COMPUTED_VALUE"""),0.0)</f>
        <v>0</v>
      </c>
      <c r="AJ88" s="3">
        <f>IFERROR(__xludf.DUMMYFUNCTION("""COMPUTED_VALUE"""),0.0)</f>
        <v>0</v>
      </c>
      <c r="AK88" s="3">
        <f>IFERROR(__xludf.DUMMYFUNCTION("""COMPUTED_VALUE"""),1.0)</f>
        <v>1</v>
      </c>
      <c r="AL88" s="3">
        <f>IFERROR(__xludf.DUMMYFUNCTION("""COMPUTED_VALUE"""),0.0)</f>
        <v>0</v>
      </c>
      <c r="AM88" s="3" t="str">
        <f>IFERROR(__xludf.DUMMYFUNCTION("""COMPUTED_VALUE"""),"Yes")</f>
        <v>Yes</v>
      </c>
      <c r="AN88" s="3" t="str">
        <f>IFERROR(__xludf.DUMMYFUNCTION("""COMPUTED_VALUE"""),"079 573 0884")</f>
        <v>079 573 0884</v>
      </c>
      <c r="AO88" s="3"/>
      <c r="AP88" s="3">
        <f>IFERROR(__xludf.DUMMYFUNCTION("""COMPUTED_VALUE"""),4.88832371E8)</f>
        <v>488832371</v>
      </c>
      <c r="AQ88" s="3" t="str">
        <f>IFERROR(__xludf.DUMMYFUNCTION("""COMPUTED_VALUE"""),"42c5e19d-7db8-4bb2-8a6d-f1ee5d7691f5")</f>
        <v>42c5e19d-7db8-4bb2-8a6d-f1ee5d7691f5</v>
      </c>
      <c r="AR88" s="3">
        <f>IFERROR(__xludf.DUMMYFUNCTION("""COMPUTED_VALUE"""),45806.637349537035)</f>
        <v>45806.63735</v>
      </c>
      <c r="AS88" s="3"/>
      <c r="AT88" s="3"/>
      <c r="AU88" s="3" t="str">
        <f>IFERROR(__xludf.DUMMYFUNCTION("""COMPUTED_VALUE"""),"submitted_via_web")</f>
        <v>submitted_via_web</v>
      </c>
      <c r="AV88" s="3"/>
      <c r="AW88" s="3" t="str">
        <f>IFERROR(__xludf.DUMMYFUNCTION("""COMPUTED_VALUE"""),"vgUJxCcLkhbxcmcrDMVzkY")</f>
        <v>vgUJxCcLkhbxcmcrDMVzkY</v>
      </c>
      <c r="AX88" s="3"/>
      <c r="AY88" s="3">
        <f>IFERROR(__xludf.DUMMYFUNCTION("""COMPUTED_VALUE"""),87.0)</f>
        <v>87</v>
      </c>
    </row>
    <row r="89">
      <c r="A89" s="3" t="str">
        <f>IFERROR(__xludf.DUMMYFUNCTION("""COMPUTED_VALUE"""),"Yes")</f>
        <v>Yes</v>
      </c>
      <c r="B89" s="3"/>
      <c r="C89" s="3" t="str">
        <f>IFERROR(__xludf.DUMMYFUNCTION("""COMPUTED_VALUE"""),"zimbabwe")</f>
        <v>zimbabwe</v>
      </c>
      <c r="D89" s="3"/>
      <c r="E89" s="3" t="str">
        <f>IFERROR(__xludf.DUMMYFUNCTION("""COMPUTED_VALUE"""),"south_africa")</f>
        <v>south_africa</v>
      </c>
      <c r="F89" s="3" t="str">
        <f>IFERROR(__xludf.DUMMYFUNCTION("""COMPUTED_VALUE"""),"City of Ekurhuleni Metropolitan Municipality")</f>
        <v>City of Ekurhuleni Metropolitan Municipality</v>
      </c>
      <c r="G89" s="3">
        <f>IFERROR(__xludf.DUMMYFUNCTION("""COMPUTED_VALUE"""),43.0)</f>
        <v>43</v>
      </c>
      <c r="H89" s="3" t="str">
        <f>IFERROR(__xludf.DUMMYFUNCTION("""COMPUTED_VALUE"""),"female")</f>
        <v>female</v>
      </c>
      <c r="I89" s="3" t="str">
        <f>IFERROR(__xludf.DUMMYFUNCTION("""COMPUTED_VALUE"""),"over5")</f>
        <v>over5</v>
      </c>
      <c r="J89" s="3" t="str">
        <f>IFERROR(__xludf.DUMMYFUNCTION("""COMPUTED_VALUE"""),"formal")</f>
        <v>formal</v>
      </c>
      <c r="K89" s="3" t="str">
        <f>IFERROR(__xludf.DUMMYFUNCTION("""COMPUTED_VALUE"""),"tertiary")</f>
        <v>tertiary</v>
      </c>
      <c r="L89" s="3"/>
      <c r="M89" s="3" t="str">
        <f>IFERROR(__xludf.DUMMYFUNCTION("""COMPUTED_VALUE"""),"agree")</f>
        <v>agree</v>
      </c>
      <c r="N89" s="3" t="str">
        <f>IFERROR(__xludf.DUMMYFUNCTION("""COMPUTED_VALUE"""),"agree")</f>
        <v>agree</v>
      </c>
      <c r="O89" s="3" t="str">
        <f>IFERROR(__xludf.DUMMYFUNCTION("""COMPUTED_VALUE"""),"dontknow")</f>
        <v>dontknow</v>
      </c>
      <c r="P89" s="3"/>
      <c r="Q89" s="3" t="str">
        <f>IFERROR(__xludf.DUMMYFUNCTION("""COMPUTED_VALUE"""),"disagree")</f>
        <v>disagree</v>
      </c>
      <c r="R89" s="3" t="str">
        <f>IFERROR(__xludf.DUMMYFUNCTION("""COMPUTED_VALUE"""),"agree")</f>
        <v>agree</v>
      </c>
      <c r="S89" s="3" t="str">
        <f>IFERROR(__xludf.DUMMYFUNCTION("""COMPUTED_VALUE"""),"disagree")</f>
        <v>disagree</v>
      </c>
      <c r="T89" s="3" t="str">
        <f>IFERROR(__xludf.DUMMYFUNCTION("""COMPUTED_VALUE"""),"disagree")</f>
        <v>disagree</v>
      </c>
      <c r="U89" s="3" t="str">
        <f>IFERROR(__xludf.DUMMYFUNCTION("""COMPUTED_VALUE"""),"disagree")</f>
        <v>disagree</v>
      </c>
      <c r="V89" s="3" t="str">
        <f>IFERROR(__xludf.DUMMYFUNCTION("""COMPUTED_VALUE"""),"disagree")</f>
        <v>disagree</v>
      </c>
      <c r="W89" s="3" t="str">
        <f>IFERROR(__xludf.DUMMYFUNCTION("""COMPUTED_VALUE"""),"agree")</f>
        <v>agree</v>
      </c>
      <c r="X89" s="3" t="str">
        <f>IFERROR(__xludf.DUMMYFUNCTION("""COMPUTED_VALUE"""),"Platinum")</f>
        <v>Platinum</v>
      </c>
      <c r="Y89" s="3" t="str">
        <f>IFERROR(__xludf.DUMMYFUNCTION("""COMPUTED_VALUE"""),"card")</f>
        <v>card</v>
      </c>
      <c r="Z89" s="3" t="str">
        <f>IFERROR(__xludf.DUMMYFUNCTION("""COMPUTED_VALUE"""),"quarterly")</f>
        <v>quarterly</v>
      </c>
      <c r="AA89" s="3">
        <f>IFERROR(__xludf.DUMMYFUNCTION("""COMPUTED_VALUE"""),50.0)</f>
        <v>50</v>
      </c>
      <c r="AB89" s="3" t="str">
        <f>IFERROR(__xludf.DUMMYFUNCTION("""COMPUTED_VALUE"""),"assisted")</f>
        <v>assisted</v>
      </c>
      <c r="AC89" s="3" t="str">
        <f>IFERROR(__xludf.DUMMYFUNCTION("""COMPUTED_VALUE"""),"I am not an employer")</f>
        <v>I am not an employer</v>
      </c>
      <c r="AD89" s="3"/>
      <c r="AE89" s="3"/>
      <c r="AF89" s="3" t="str">
        <f>IFERROR(__xludf.DUMMYFUNCTION("""COMPUTED_VALUE"""),"No")</f>
        <v>No</v>
      </c>
      <c r="AG89" s="3" t="str">
        <f>IFERROR(__xludf.DUMMYFUNCTION("""COMPUTED_VALUE"""),"No")</f>
        <v>No</v>
      </c>
      <c r="AH89" s="3"/>
      <c r="AI89" s="3">
        <f>IFERROR(__xludf.DUMMYFUNCTION("""COMPUTED_VALUE"""),0.0)</f>
        <v>0</v>
      </c>
      <c r="AJ89" s="3">
        <f>IFERROR(__xludf.DUMMYFUNCTION("""COMPUTED_VALUE"""),0.0)</f>
        <v>0</v>
      </c>
      <c r="AK89" s="3">
        <f>IFERROR(__xludf.DUMMYFUNCTION("""COMPUTED_VALUE"""),0.0)</f>
        <v>0</v>
      </c>
      <c r="AL89" s="3">
        <f>IFERROR(__xludf.DUMMYFUNCTION("""COMPUTED_VALUE"""),1.0)</f>
        <v>1</v>
      </c>
      <c r="AM89" s="3" t="str">
        <f>IFERROR(__xludf.DUMMYFUNCTION("""COMPUTED_VALUE"""),"No")</f>
        <v>No</v>
      </c>
      <c r="AN89" s="3"/>
      <c r="AO89" s="3"/>
      <c r="AP89" s="3">
        <f>IFERROR(__xludf.DUMMYFUNCTION("""COMPUTED_VALUE"""),4.88847644E8)</f>
        <v>488847644</v>
      </c>
      <c r="AQ89" s="3" t="str">
        <f>IFERROR(__xludf.DUMMYFUNCTION("""COMPUTED_VALUE"""),"6bf7c0f8-c41c-434c-89ae-963bc507af6e")</f>
        <v>6bf7c0f8-c41c-434c-89ae-963bc507af6e</v>
      </c>
      <c r="AR89" s="3">
        <f>IFERROR(__xludf.DUMMYFUNCTION("""COMPUTED_VALUE"""),45806.64840277778)</f>
        <v>45806.6484</v>
      </c>
      <c r="AS89" s="3"/>
      <c r="AT89" s="3"/>
      <c r="AU89" s="3" t="str">
        <f>IFERROR(__xludf.DUMMYFUNCTION("""COMPUTED_VALUE"""),"submitted_via_web")</f>
        <v>submitted_via_web</v>
      </c>
      <c r="AV89" s="3"/>
      <c r="AW89" s="3" t="str">
        <f>IFERROR(__xludf.DUMMYFUNCTION("""COMPUTED_VALUE"""),"vgUJxCcLkhbxcmcrDMVzkY")</f>
        <v>vgUJxCcLkhbxcmcrDMVzkY</v>
      </c>
      <c r="AX89" s="3"/>
      <c r="AY89" s="3">
        <f>IFERROR(__xludf.DUMMYFUNCTION("""COMPUTED_VALUE"""),88.0)</f>
        <v>88</v>
      </c>
    </row>
    <row r="90">
      <c r="A90" s="3" t="str">
        <f>IFERROR(__xludf.DUMMYFUNCTION("""COMPUTED_VALUE"""),"Yes")</f>
        <v>Yes</v>
      </c>
      <c r="B90" s="3"/>
      <c r="C90" s="3" t="str">
        <f>IFERROR(__xludf.DUMMYFUNCTION("""COMPUTED_VALUE"""),"zimbabwe")</f>
        <v>zimbabwe</v>
      </c>
      <c r="D90" s="3"/>
      <c r="E90" s="3" t="str">
        <f>IFERROR(__xludf.DUMMYFUNCTION("""COMPUTED_VALUE"""),"zimbabwe")</f>
        <v>zimbabwe</v>
      </c>
      <c r="F90" s="3"/>
      <c r="G90" s="3">
        <f>IFERROR(__xludf.DUMMYFUNCTION("""COMPUTED_VALUE"""),35.0)</f>
        <v>35</v>
      </c>
      <c r="H90" s="3" t="str">
        <f>IFERROR(__xludf.DUMMYFUNCTION("""COMPUTED_VALUE"""),"female")</f>
        <v>female</v>
      </c>
      <c r="I90" s="3"/>
      <c r="J90" s="3" t="str">
        <f>IFERROR(__xludf.DUMMYFUNCTION("""COMPUTED_VALUE"""),"unemployed")</f>
        <v>unemployed</v>
      </c>
      <c r="K90" s="3" t="str">
        <f>IFERROR(__xludf.DUMMYFUNCTION("""COMPUTED_VALUE"""),"tertiary")</f>
        <v>tertiary</v>
      </c>
      <c r="L90" s="3"/>
      <c r="M90" s="3" t="str">
        <f>IFERROR(__xludf.DUMMYFUNCTION("""COMPUTED_VALUE"""),"agree")</f>
        <v>agree</v>
      </c>
      <c r="N90" s="3" t="str">
        <f>IFERROR(__xludf.DUMMYFUNCTION("""COMPUTED_VALUE"""),"agree")</f>
        <v>agree</v>
      </c>
      <c r="O90" s="3" t="str">
        <f>IFERROR(__xludf.DUMMYFUNCTION("""COMPUTED_VALUE"""),"disagree")</f>
        <v>disagree</v>
      </c>
      <c r="P90" s="3"/>
      <c r="Q90" s="3" t="str">
        <f>IFERROR(__xludf.DUMMYFUNCTION("""COMPUTED_VALUE"""),"disagree")</f>
        <v>disagree</v>
      </c>
      <c r="R90" s="3" t="str">
        <f>IFERROR(__xludf.DUMMYFUNCTION("""COMPUTED_VALUE"""),"agree")</f>
        <v>agree</v>
      </c>
      <c r="S90" s="3" t="str">
        <f>IFERROR(__xludf.DUMMYFUNCTION("""COMPUTED_VALUE"""),"disagree")</f>
        <v>disagree</v>
      </c>
      <c r="T90" s="3" t="str">
        <f>IFERROR(__xludf.DUMMYFUNCTION("""COMPUTED_VALUE"""),"agree")</f>
        <v>agree</v>
      </c>
      <c r="U90" s="3" t="str">
        <f>IFERROR(__xludf.DUMMYFUNCTION("""COMPUTED_VALUE"""),"agree")</f>
        <v>agree</v>
      </c>
      <c r="V90" s="3" t="str">
        <f>IFERROR(__xludf.DUMMYFUNCTION("""COMPUTED_VALUE"""),"agree")</f>
        <v>agree</v>
      </c>
      <c r="W90" s="3" t="str">
        <f>IFERROR(__xludf.DUMMYFUNCTION("""COMPUTED_VALUE"""),"disagree")</f>
        <v>disagree</v>
      </c>
      <c r="X90" s="3" t="str">
        <f>IFERROR(__xludf.DUMMYFUNCTION("""COMPUTED_VALUE"""),"Platinum")</f>
        <v>Platinum</v>
      </c>
      <c r="Y90" s="3" t="str">
        <f>IFERROR(__xludf.DUMMYFUNCTION("""COMPUTED_VALUE"""),"cash")</f>
        <v>cash</v>
      </c>
      <c r="Z90" s="3" t="str">
        <f>IFERROR(__xludf.DUMMYFUNCTION("""COMPUTED_VALUE"""),"quarterly")</f>
        <v>quarterly</v>
      </c>
      <c r="AA90" s="3">
        <f>IFERROR(__xludf.DUMMYFUNCTION("""COMPUTED_VALUE"""),100.0)</f>
        <v>100</v>
      </c>
      <c r="AB90" s="3" t="str">
        <f>IFERROR(__xludf.DUMMYFUNCTION("""COMPUTED_VALUE"""),"online")</f>
        <v>online</v>
      </c>
      <c r="AC90" s="3" t="str">
        <f>IFERROR(__xludf.DUMMYFUNCTION("""COMPUTED_VALUE"""),"Yes")</f>
        <v>Yes</v>
      </c>
      <c r="AD90" s="3" t="str">
        <f>IFERROR(__xludf.DUMMYFUNCTION("""COMPUTED_VALUE"""),"Gold")</f>
        <v>Gold</v>
      </c>
      <c r="AE90" s="3" t="str">
        <f>IFERROR(__xludf.DUMMYFUNCTION("""COMPUTED_VALUE"""),"Yes")</f>
        <v>Yes</v>
      </c>
      <c r="AF90" s="3" t="str">
        <f>IFERROR(__xludf.DUMMYFUNCTION("""COMPUTED_VALUE"""),"Yes")</f>
        <v>Yes</v>
      </c>
      <c r="AG90" s="3" t="str">
        <f>IFERROR(__xludf.DUMMYFUNCTION("""COMPUTED_VALUE"""),"Yes")</f>
        <v>Yes</v>
      </c>
      <c r="AH90" s="3">
        <f>IFERROR(__xludf.DUMMYFUNCTION("""COMPUTED_VALUE"""),15.0)</f>
        <v>15</v>
      </c>
      <c r="AI90" s="3">
        <f>IFERROR(__xludf.DUMMYFUNCTION("""COMPUTED_VALUE"""),0.0)</f>
        <v>0</v>
      </c>
      <c r="AJ90" s="3">
        <f>IFERROR(__xludf.DUMMYFUNCTION("""COMPUTED_VALUE"""),0.0)</f>
        <v>0</v>
      </c>
      <c r="AK90" s="3">
        <f>IFERROR(__xludf.DUMMYFUNCTION("""COMPUTED_VALUE"""),0.0)</f>
        <v>0</v>
      </c>
      <c r="AL90" s="3">
        <f>IFERROR(__xludf.DUMMYFUNCTION("""COMPUTED_VALUE"""),1.0)</f>
        <v>1</v>
      </c>
      <c r="AM90" s="3"/>
      <c r="AN90" s="3"/>
      <c r="AO90" s="3"/>
      <c r="AP90" s="3">
        <f>IFERROR(__xludf.DUMMYFUNCTION("""COMPUTED_VALUE"""),4.88871967E8)</f>
        <v>488871967</v>
      </c>
      <c r="AQ90" s="3" t="str">
        <f>IFERROR(__xludf.DUMMYFUNCTION("""COMPUTED_VALUE"""),"98f1f00c-d9b5-42cd-9125-cede07f23881")</f>
        <v>98f1f00c-d9b5-42cd-9125-cede07f23881</v>
      </c>
      <c r="AR90" s="3">
        <f>IFERROR(__xludf.DUMMYFUNCTION("""COMPUTED_VALUE"""),45806.665289351855)</f>
        <v>45806.66529</v>
      </c>
      <c r="AS90" s="3"/>
      <c r="AT90" s="3"/>
      <c r="AU90" s="3" t="str">
        <f>IFERROR(__xludf.DUMMYFUNCTION("""COMPUTED_VALUE"""),"submitted_via_web")</f>
        <v>submitted_via_web</v>
      </c>
      <c r="AV90" s="3"/>
      <c r="AW90" s="3" t="str">
        <f>IFERROR(__xludf.DUMMYFUNCTION("""COMPUTED_VALUE"""),"vgUJxCcLkhbxcmcrDMVzkY")</f>
        <v>vgUJxCcLkhbxcmcrDMVzkY</v>
      </c>
      <c r="AX90" s="3"/>
      <c r="AY90" s="3">
        <f>IFERROR(__xludf.DUMMYFUNCTION("""COMPUTED_VALUE"""),89.0)</f>
        <v>89</v>
      </c>
    </row>
    <row r="91">
      <c r="A91" s="3" t="str">
        <f>IFERROR(__xludf.DUMMYFUNCTION("""COMPUTED_VALUE"""),"Yes")</f>
        <v>Yes</v>
      </c>
      <c r="B91" s="3"/>
      <c r="C91" s="3" t="str">
        <f>IFERROR(__xludf.DUMMYFUNCTION("""COMPUTED_VALUE"""),"zimbabwe")</f>
        <v>zimbabwe</v>
      </c>
      <c r="D91" s="3"/>
      <c r="E91" s="3" t="str">
        <f>IFERROR(__xludf.DUMMYFUNCTION("""COMPUTED_VALUE"""),"south_africa")</f>
        <v>south_africa</v>
      </c>
      <c r="F91" s="3" t="str">
        <f>IFERROR(__xludf.DUMMYFUNCTION("""COMPUTED_VALUE"""),"City of Tshwane Metropolitan Municipality")</f>
        <v>City of Tshwane Metropolitan Municipality</v>
      </c>
      <c r="G91" s="3">
        <f>IFERROR(__xludf.DUMMYFUNCTION("""COMPUTED_VALUE"""),59.0)</f>
        <v>59</v>
      </c>
      <c r="H91" s="3" t="str">
        <f>IFERROR(__xludf.DUMMYFUNCTION("""COMPUTED_VALUE"""),"male")</f>
        <v>male</v>
      </c>
      <c r="I91" s="3" t="str">
        <f>IFERROR(__xludf.DUMMYFUNCTION("""COMPUTED_VALUE"""),"over5")</f>
        <v>over5</v>
      </c>
      <c r="J91" s="3" t="str">
        <f>IFERROR(__xludf.DUMMYFUNCTION("""COMPUTED_VALUE"""),"ownbusiness")</f>
        <v>ownbusiness</v>
      </c>
      <c r="K91" s="3" t="str">
        <f>IFERROR(__xludf.DUMMYFUNCTION("""COMPUTED_VALUE"""),"tertiary")</f>
        <v>tertiary</v>
      </c>
      <c r="L91" s="3"/>
      <c r="M91" s="3" t="str">
        <f>IFERROR(__xludf.DUMMYFUNCTION("""COMPUTED_VALUE"""),"agree")</f>
        <v>agree</v>
      </c>
      <c r="N91" s="3" t="str">
        <f>IFERROR(__xludf.DUMMYFUNCTION("""COMPUTED_VALUE"""),"agree")</f>
        <v>agree</v>
      </c>
      <c r="O91" s="3" t="str">
        <f>IFERROR(__xludf.DUMMYFUNCTION("""COMPUTED_VALUE"""),"agree")</f>
        <v>agree</v>
      </c>
      <c r="P91" s="3"/>
      <c r="Q91" s="3" t="str">
        <f>IFERROR(__xludf.DUMMYFUNCTION("""COMPUTED_VALUE"""),"disagree")</f>
        <v>disagree</v>
      </c>
      <c r="R91" s="3" t="str">
        <f>IFERROR(__xludf.DUMMYFUNCTION("""COMPUTED_VALUE"""),"disagree")</f>
        <v>disagree</v>
      </c>
      <c r="S91" s="3" t="str">
        <f>IFERROR(__xludf.DUMMYFUNCTION("""COMPUTED_VALUE"""),"disagree")</f>
        <v>disagree</v>
      </c>
      <c r="T91" s="3" t="str">
        <f>IFERROR(__xludf.DUMMYFUNCTION("""COMPUTED_VALUE"""),"disagree")</f>
        <v>disagree</v>
      </c>
      <c r="U91" s="3" t="str">
        <f>IFERROR(__xludf.DUMMYFUNCTION("""COMPUTED_VALUE"""),"agree")</f>
        <v>agree</v>
      </c>
      <c r="V91" s="3" t="str">
        <f>IFERROR(__xludf.DUMMYFUNCTION("""COMPUTED_VALUE"""),"agree")</f>
        <v>agree</v>
      </c>
      <c r="W91" s="3" t="str">
        <f>IFERROR(__xludf.DUMMYFUNCTION("""COMPUTED_VALUE"""),"disagree")</f>
        <v>disagree</v>
      </c>
      <c r="X91" s="3" t="str">
        <f>IFERROR(__xludf.DUMMYFUNCTION("""COMPUTED_VALUE"""),"Silver")</f>
        <v>Silver</v>
      </c>
      <c r="Y91" s="3" t="str">
        <f>IFERROR(__xludf.DUMMYFUNCTION("""COMPUTED_VALUE"""),"insurance")</f>
        <v>insurance</v>
      </c>
      <c r="Z91" s="3" t="str">
        <f>IFERROR(__xludf.DUMMYFUNCTION("""COMPUTED_VALUE"""),"monthly")</f>
        <v>monthly</v>
      </c>
      <c r="AA91" s="3">
        <f>IFERROR(__xludf.DUMMYFUNCTION("""COMPUTED_VALUE"""),100.0)</f>
        <v>100</v>
      </c>
      <c r="AB91" s="3" t="str">
        <f>IFERROR(__xludf.DUMMYFUNCTION("""COMPUTED_VALUE"""),"online")</f>
        <v>online</v>
      </c>
      <c r="AC91" s="3" t="str">
        <f>IFERROR(__xludf.DUMMYFUNCTION("""COMPUTED_VALUE"""),"Yes")</f>
        <v>Yes</v>
      </c>
      <c r="AD91" s="3" t="str">
        <f>IFERROR(__xludf.DUMMYFUNCTION("""COMPUTED_VALUE"""),"Silver")</f>
        <v>Silver</v>
      </c>
      <c r="AE91" s="3" t="str">
        <f>IFERROR(__xludf.DUMMYFUNCTION("""COMPUTED_VALUE"""),"Yes")</f>
        <v>Yes</v>
      </c>
      <c r="AF91" s="3" t="str">
        <f>IFERROR(__xludf.DUMMYFUNCTION("""COMPUTED_VALUE"""),"Yes")</f>
        <v>Yes</v>
      </c>
      <c r="AG91" s="3" t="str">
        <f>IFERROR(__xludf.DUMMYFUNCTION("""COMPUTED_VALUE"""),"Yes")</f>
        <v>Yes</v>
      </c>
      <c r="AH91" s="3">
        <f>IFERROR(__xludf.DUMMYFUNCTION("""COMPUTED_VALUE"""),100.0)</f>
        <v>100</v>
      </c>
      <c r="AI91" s="3">
        <f>IFERROR(__xludf.DUMMYFUNCTION("""COMPUTED_VALUE"""),0.0)</f>
        <v>0</v>
      </c>
      <c r="AJ91" s="3">
        <f>IFERROR(__xludf.DUMMYFUNCTION("""COMPUTED_VALUE"""),0.0)</f>
        <v>0</v>
      </c>
      <c r="AK91" s="3">
        <f>IFERROR(__xludf.DUMMYFUNCTION("""COMPUTED_VALUE"""),0.0)</f>
        <v>0</v>
      </c>
      <c r="AL91" s="3">
        <f>IFERROR(__xludf.DUMMYFUNCTION("""COMPUTED_VALUE"""),1.0)</f>
        <v>1</v>
      </c>
      <c r="AM91" s="3" t="str">
        <f>IFERROR(__xludf.DUMMYFUNCTION("""COMPUTED_VALUE"""),"Yes")</f>
        <v>Yes</v>
      </c>
      <c r="AN91" s="3" t="str">
        <f>IFERROR(__xludf.DUMMYFUNCTION("""COMPUTED_VALUE"""),"+27727644928")</f>
        <v>+27727644928</v>
      </c>
      <c r="AO91" s="3"/>
      <c r="AP91" s="3">
        <f>IFERROR(__xludf.DUMMYFUNCTION("""COMPUTED_VALUE"""),4.88885171E8)</f>
        <v>488885171</v>
      </c>
      <c r="AQ91" s="3" t="str">
        <f>IFERROR(__xludf.DUMMYFUNCTION("""COMPUTED_VALUE"""),"2eb8c1a0-5ec3-4dfe-a21e-c41515d33ab7")</f>
        <v>2eb8c1a0-5ec3-4dfe-a21e-c41515d33ab7</v>
      </c>
      <c r="AR91" s="3">
        <f>IFERROR(__xludf.DUMMYFUNCTION("""COMPUTED_VALUE"""),45806.67402777778)</f>
        <v>45806.67403</v>
      </c>
      <c r="AS91" s="3"/>
      <c r="AT91" s="3"/>
      <c r="AU91" s="3" t="str">
        <f>IFERROR(__xludf.DUMMYFUNCTION("""COMPUTED_VALUE"""),"submitted_via_web")</f>
        <v>submitted_via_web</v>
      </c>
      <c r="AV91" s="3"/>
      <c r="AW91" s="3" t="str">
        <f>IFERROR(__xludf.DUMMYFUNCTION("""COMPUTED_VALUE"""),"vgUJxCcLkhbxcmcrDMVzkY")</f>
        <v>vgUJxCcLkhbxcmcrDMVzkY</v>
      </c>
      <c r="AX91" s="3"/>
      <c r="AY91" s="3">
        <f>IFERROR(__xludf.DUMMYFUNCTION("""COMPUTED_VALUE"""),90.0)</f>
        <v>90</v>
      </c>
    </row>
    <row r="92">
      <c r="A92" s="3" t="str">
        <f>IFERROR(__xludf.DUMMYFUNCTION("""COMPUTED_VALUE"""),"Yes")</f>
        <v>Yes</v>
      </c>
      <c r="B92" s="3"/>
      <c r="C92" s="3" t="str">
        <f>IFERROR(__xludf.DUMMYFUNCTION("""COMPUTED_VALUE"""),"south_africa")</f>
        <v>south_africa</v>
      </c>
      <c r="D92" s="3"/>
      <c r="E92" s="3" t="str">
        <f>IFERROR(__xludf.DUMMYFUNCTION("""COMPUTED_VALUE"""),"south_africa")</f>
        <v>south_africa</v>
      </c>
      <c r="F92" s="3" t="str">
        <f>IFERROR(__xludf.DUMMYFUNCTION("""COMPUTED_VALUE"""),"eThekwini Metropolitan Municipality")</f>
        <v>eThekwini Metropolitan Municipality</v>
      </c>
      <c r="G92" s="3">
        <f>IFERROR(__xludf.DUMMYFUNCTION("""COMPUTED_VALUE"""),34.0)</f>
        <v>34</v>
      </c>
      <c r="H92" s="3" t="str">
        <f>IFERROR(__xludf.DUMMYFUNCTION("""COMPUTED_VALUE"""),"female")</f>
        <v>female</v>
      </c>
      <c r="I92" s="3" t="str">
        <f>IFERROR(__xludf.DUMMYFUNCTION("""COMPUTED_VALUE"""),"citizen")</f>
        <v>citizen</v>
      </c>
      <c r="J92" s="3" t="str">
        <f>IFERROR(__xludf.DUMMYFUNCTION("""COMPUTED_VALUE"""),"formal")</f>
        <v>formal</v>
      </c>
      <c r="K92" s="3" t="str">
        <f>IFERROR(__xludf.DUMMYFUNCTION("""COMPUTED_VALUE"""),"tertiary")</f>
        <v>tertiary</v>
      </c>
      <c r="L92" s="3"/>
      <c r="M92" s="3" t="str">
        <f>IFERROR(__xludf.DUMMYFUNCTION("""COMPUTED_VALUE"""),"agree")</f>
        <v>agree</v>
      </c>
      <c r="N92" s="3"/>
      <c r="O92" s="3" t="str">
        <f>IFERROR(__xludf.DUMMYFUNCTION("""COMPUTED_VALUE"""),"agree")</f>
        <v>agree</v>
      </c>
      <c r="P92" s="3"/>
      <c r="Q92" s="3" t="str">
        <f>IFERROR(__xludf.DUMMYFUNCTION("""COMPUTED_VALUE"""),"agree")</f>
        <v>agree</v>
      </c>
      <c r="R92" s="3" t="str">
        <f>IFERROR(__xludf.DUMMYFUNCTION("""COMPUTED_VALUE"""),"agree")</f>
        <v>agree</v>
      </c>
      <c r="S92" s="3" t="str">
        <f>IFERROR(__xludf.DUMMYFUNCTION("""COMPUTED_VALUE"""),"disagree")</f>
        <v>disagree</v>
      </c>
      <c r="T92" s="3" t="str">
        <f>IFERROR(__xludf.DUMMYFUNCTION("""COMPUTED_VALUE"""),"disagree")</f>
        <v>disagree</v>
      </c>
      <c r="U92" s="3" t="str">
        <f>IFERROR(__xludf.DUMMYFUNCTION("""COMPUTED_VALUE"""),"agree")</f>
        <v>agree</v>
      </c>
      <c r="V92" s="3" t="str">
        <f>IFERROR(__xludf.DUMMYFUNCTION("""COMPUTED_VALUE"""),"disagree")</f>
        <v>disagree</v>
      </c>
      <c r="W92" s="3" t="str">
        <f>IFERROR(__xludf.DUMMYFUNCTION("""COMPUTED_VALUE"""),"disagree")</f>
        <v>disagree</v>
      </c>
      <c r="X92" s="3" t="str">
        <f>IFERROR(__xludf.DUMMYFUNCTION("""COMPUTED_VALUE"""),"Silver")</f>
        <v>Silver</v>
      </c>
      <c r="Y92" s="3" t="str">
        <f>IFERROR(__xludf.DUMMYFUNCTION("""COMPUTED_VALUE"""),"insurance")</f>
        <v>insurance</v>
      </c>
      <c r="Z92" s="3" t="str">
        <f>IFERROR(__xludf.DUMMYFUNCTION("""COMPUTED_VALUE"""),"once")</f>
        <v>once</v>
      </c>
      <c r="AA92" s="3">
        <f>IFERROR(__xludf.DUMMYFUNCTION("""COMPUTED_VALUE"""),100.0)</f>
        <v>100</v>
      </c>
      <c r="AB92" s="3" t="str">
        <f>IFERROR(__xludf.DUMMYFUNCTION("""COMPUTED_VALUE"""),"assisted")</f>
        <v>assisted</v>
      </c>
      <c r="AC92" s="3"/>
      <c r="AD92" s="3"/>
      <c r="AE92" s="3"/>
      <c r="AF92" s="3" t="str">
        <f>IFERROR(__xludf.DUMMYFUNCTION("""COMPUTED_VALUE"""),"Yes")</f>
        <v>Yes</v>
      </c>
      <c r="AG92" s="3" t="str">
        <f>IFERROR(__xludf.DUMMYFUNCTION("""COMPUTED_VALUE"""),"Yes")</f>
        <v>Yes</v>
      </c>
      <c r="AH92" s="3">
        <f>IFERROR(__xludf.DUMMYFUNCTION("""COMPUTED_VALUE"""),50.0)</f>
        <v>50</v>
      </c>
      <c r="AI92" s="3">
        <f>IFERROR(__xludf.DUMMYFUNCTION("""COMPUTED_VALUE"""),0.0)</f>
        <v>0</v>
      </c>
      <c r="AJ92" s="3">
        <f>IFERROR(__xludf.DUMMYFUNCTION("""COMPUTED_VALUE"""),0.0)</f>
        <v>0</v>
      </c>
      <c r="AK92" s="3">
        <f>IFERROR(__xludf.DUMMYFUNCTION("""COMPUTED_VALUE"""),0.0)</f>
        <v>0</v>
      </c>
      <c r="AL92" s="3">
        <f>IFERROR(__xludf.DUMMYFUNCTION("""COMPUTED_VALUE"""),1.0)</f>
        <v>1</v>
      </c>
      <c r="AM92" s="3" t="str">
        <f>IFERROR(__xludf.DUMMYFUNCTION("""COMPUTED_VALUE"""),"Yes")</f>
        <v>Yes</v>
      </c>
      <c r="AN92" s="3">
        <f>IFERROR(__xludf.DUMMYFUNCTION("""COMPUTED_VALUE"""),7.31367408E8)</f>
        <v>731367408</v>
      </c>
      <c r="AO92" s="3"/>
      <c r="AP92" s="3">
        <f>IFERROR(__xludf.DUMMYFUNCTION("""COMPUTED_VALUE"""),4.88933913E8)</f>
        <v>488933913</v>
      </c>
      <c r="AQ92" s="3" t="str">
        <f>IFERROR(__xludf.DUMMYFUNCTION("""COMPUTED_VALUE"""),"64208b60-0df1-4550-a450-9e35dc8cfafb")</f>
        <v>64208b60-0df1-4550-a450-9e35dc8cfafb</v>
      </c>
      <c r="AR92" s="3">
        <f>IFERROR(__xludf.DUMMYFUNCTION("""COMPUTED_VALUE"""),45806.70991898148)</f>
        <v>45806.70992</v>
      </c>
      <c r="AS92" s="3"/>
      <c r="AT92" s="3"/>
      <c r="AU92" s="3" t="str">
        <f>IFERROR(__xludf.DUMMYFUNCTION("""COMPUTED_VALUE"""),"submitted_via_web")</f>
        <v>submitted_via_web</v>
      </c>
      <c r="AV92" s="3"/>
      <c r="AW92" s="3" t="str">
        <f>IFERROR(__xludf.DUMMYFUNCTION("""COMPUTED_VALUE"""),"vgUJxCcLkhbxcmcrDMVzkY")</f>
        <v>vgUJxCcLkhbxcmcrDMVzkY</v>
      </c>
      <c r="AX92" s="3"/>
      <c r="AY92" s="3">
        <f>IFERROR(__xludf.DUMMYFUNCTION("""COMPUTED_VALUE"""),91.0)</f>
        <v>91</v>
      </c>
    </row>
    <row r="93">
      <c r="A93" s="3" t="str">
        <f>IFERROR(__xludf.DUMMYFUNCTION("""COMPUTED_VALUE"""),"Yes")</f>
        <v>Yes</v>
      </c>
      <c r="B93" s="3"/>
      <c r="C93" s="3" t="str">
        <f>IFERROR(__xludf.DUMMYFUNCTION("""COMPUTED_VALUE"""),"nigeria")</f>
        <v>nigeria</v>
      </c>
      <c r="D93" s="3"/>
      <c r="E93" s="3" t="str">
        <f>IFERROR(__xludf.DUMMYFUNCTION("""COMPUTED_VALUE"""),"south_africa")</f>
        <v>south_africa</v>
      </c>
      <c r="F93" s="3" t="str">
        <f>IFERROR(__xludf.DUMMYFUNCTION("""COMPUTED_VALUE"""),"City of Johannesburg Metropolitan Municipality")</f>
        <v>City of Johannesburg Metropolitan Municipality</v>
      </c>
      <c r="G93" s="3">
        <f>IFERROR(__xludf.DUMMYFUNCTION("""COMPUTED_VALUE"""),50.0)</f>
        <v>50</v>
      </c>
      <c r="H93" s="3" t="str">
        <f>IFERROR(__xludf.DUMMYFUNCTION("""COMPUTED_VALUE"""),"male")</f>
        <v>male</v>
      </c>
      <c r="I93" s="3" t="str">
        <f>IFERROR(__xludf.DUMMYFUNCTION("""COMPUTED_VALUE"""),"over5")</f>
        <v>over5</v>
      </c>
      <c r="J93" s="3" t="str">
        <f>IFERROR(__xludf.DUMMYFUNCTION("""COMPUTED_VALUE"""),"formal")</f>
        <v>formal</v>
      </c>
      <c r="K93" s="3" t="str">
        <f>IFERROR(__xludf.DUMMYFUNCTION("""COMPUTED_VALUE"""),"tertiary")</f>
        <v>tertiary</v>
      </c>
      <c r="L93" s="3"/>
      <c r="M93" s="3" t="str">
        <f>IFERROR(__xludf.DUMMYFUNCTION("""COMPUTED_VALUE"""),"agree")</f>
        <v>agree</v>
      </c>
      <c r="N93" s="3" t="str">
        <f>IFERROR(__xludf.DUMMYFUNCTION("""COMPUTED_VALUE"""),"agree")</f>
        <v>agree</v>
      </c>
      <c r="O93" s="3" t="str">
        <f>IFERROR(__xludf.DUMMYFUNCTION("""COMPUTED_VALUE"""),"agree")</f>
        <v>agree</v>
      </c>
      <c r="P93" s="3"/>
      <c r="Q93" s="3" t="str">
        <f>IFERROR(__xludf.DUMMYFUNCTION("""COMPUTED_VALUE"""),"disagree")</f>
        <v>disagree</v>
      </c>
      <c r="R93" s="3" t="str">
        <f>IFERROR(__xludf.DUMMYFUNCTION("""COMPUTED_VALUE"""),"agree")</f>
        <v>agree</v>
      </c>
      <c r="S93" s="3" t="str">
        <f>IFERROR(__xludf.DUMMYFUNCTION("""COMPUTED_VALUE"""),"disagree")</f>
        <v>disagree</v>
      </c>
      <c r="T93" s="3" t="str">
        <f>IFERROR(__xludf.DUMMYFUNCTION("""COMPUTED_VALUE"""),"disagree")</f>
        <v>disagree</v>
      </c>
      <c r="U93" s="3" t="str">
        <f>IFERROR(__xludf.DUMMYFUNCTION("""COMPUTED_VALUE"""),"disagree")</f>
        <v>disagree</v>
      </c>
      <c r="V93" s="3" t="str">
        <f>IFERROR(__xludf.DUMMYFUNCTION("""COMPUTED_VALUE"""),"agree")</f>
        <v>agree</v>
      </c>
      <c r="W93" s="3" t="str">
        <f>IFERROR(__xludf.DUMMYFUNCTION("""COMPUTED_VALUE"""),"disagree")</f>
        <v>disagree</v>
      </c>
      <c r="X93" s="3" t="str">
        <f>IFERROR(__xludf.DUMMYFUNCTION("""COMPUTED_VALUE"""),"Platinum")</f>
        <v>Platinum</v>
      </c>
      <c r="Y93" s="3" t="str">
        <f>IFERROR(__xludf.DUMMYFUNCTION("""COMPUTED_VALUE"""),"insurance")</f>
        <v>insurance</v>
      </c>
      <c r="Z93" s="3" t="str">
        <f>IFERROR(__xludf.DUMMYFUNCTION("""COMPUTED_VALUE"""),"monthly")</f>
        <v>monthly</v>
      </c>
      <c r="AA93" s="3">
        <f>IFERROR(__xludf.DUMMYFUNCTION("""COMPUTED_VALUE"""),100.0)</f>
        <v>100</v>
      </c>
      <c r="AB93" s="3" t="str">
        <f>IFERROR(__xludf.DUMMYFUNCTION("""COMPUTED_VALUE"""),"assisted")</f>
        <v>assisted</v>
      </c>
      <c r="AC93" s="3"/>
      <c r="AD93" s="3"/>
      <c r="AE93" s="3"/>
      <c r="AF93" s="3" t="str">
        <f>IFERROR(__xludf.DUMMYFUNCTION("""COMPUTED_VALUE"""),"Yes")</f>
        <v>Yes</v>
      </c>
      <c r="AG93" s="3" t="str">
        <f>IFERROR(__xludf.DUMMYFUNCTION("""COMPUTED_VALUE"""),"No")</f>
        <v>No</v>
      </c>
      <c r="AH93" s="3"/>
      <c r="AI93" s="3">
        <f>IFERROR(__xludf.DUMMYFUNCTION("""COMPUTED_VALUE"""),0.0)</f>
        <v>0</v>
      </c>
      <c r="AJ93" s="3">
        <f>IFERROR(__xludf.DUMMYFUNCTION("""COMPUTED_VALUE"""),0.0)</f>
        <v>0</v>
      </c>
      <c r="AK93" s="3">
        <f>IFERROR(__xludf.DUMMYFUNCTION("""COMPUTED_VALUE"""),0.0)</f>
        <v>0</v>
      </c>
      <c r="AL93" s="3">
        <f>IFERROR(__xludf.DUMMYFUNCTION("""COMPUTED_VALUE"""),1.0)</f>
        <v>1</v>
      </c>
      <c r="AM93" s="3" t="str">
        <f>IFERROR(__xludf.DUMMYFUNCTION("""COMPUTED_VALUE"""),"No")</f>
        <v>No</v>
      </c>
      <c r="AN93" s="3"/>
      <c r="AO93" s="3"/>
      <c r="AP93" s="3">
        <f>IFERROR(__xludf.DUMMYFUNCTION("""COMPUTED_VALUE"""),4.88978682E8)</f>
        <v>488978682</v>
      </c>
      <c r="AQ93" s="3" t="str">
        <f>IFERROR(__xludf.DUMMYFUNCTION("""COMPUTED_VALUE"""),"55749278-375a-4111-a75d-d2a1f2b42de0")</f>
        <v>55749278-375a-4111-a75d-d2a1f2b42de0</v>
      </c>
      <c r="AR93" s="3">
        <f>IFERROR(__xludf.DUMMYFUNCTION("""COMPUTED_VALUE"""),45806.750023148146)</f>
        <v>45806.75002</v>
      </c>
      <c r="AS93" s="3"/>
      <c r="AT93" s="3"/>
      <c r="AU93" s="3" t="str">
        <f>IFERROR(__xludf.DUMMYFUNCTION("""COMPUTED_VALUE"""),"submitted_via_web")</f>
        <v>submitted_via_web</v>
      </c>
      <c r="AV93" s="3"/>
      <c r="AW93" s="3" t="str">
        <f>IFERROR(__xludf.DUMMYFUNCTION("""COMPUTED_VALUE"""),"vgUJxCcLkhbxcmcrDMVzkY")</f>
        <v>vgUJxCcLkhbxcmcrDMVzkY</v>
      </c>
      <c r="AX93" s="3"/>
      <c r="AY93" s="3">
        <f>IFERROR(__xludf.DUMMYFUNCTION("""COMPUTED_VALUE"""),92.0)</f>
        <v>92</v>
      </c>
    </row>
    <row r="94">
      <c r="A94" s="3" t="str">
        <f>IFERROR(__xludf.DUMMYFUNCTION("""COMPUTED_VALUE"""),"Yes")</f>
        <v>Yes</v>
      </c>
      <c r="B94" s="3"/>
      <c r="C94" s="3" t="str">
        <f>IFERROR(__xludf.DUMMYFUNCTION("""COMPUTED_VALUE"""),"south_africa")</f>
        <v>south_africa</v>
      </c>
      <c r="D94" s="3"/>
      <c r="E94" s="3" t="str">
        <f>IFERROR(__xludf.DUMMYFUNCTION("""COMPUTED_VALUE"""),"south_africa")</f>
        <v>south_africa</v>
      </c>
      <c r="F94" s="3" t="str">
        <f>IFERROR(__xludf.DUMMYFUNCTION("""COMPUTED_VALUE"""),"Bojanala Platinum District")</f>
        <v>Bojanala Platinum District</v>
      </c>
      <c r="G94" s="3">
        <f>IFERROR(__xludf.DUMMYFUNCTION("""COMPUTED_VALUE"""),39.0)</f>
        <v>39</v>
      </c>
      <c r="H94" s="3" t="str">
        <f>IFERROR(__xludf.DUMMYFUNCTION("""COMPUTED_VALUE"""),"female")</f>
        <v>female</v>
      </c>
      <c r="I94" s="3" t="str">
        <f>IFERROR(__xludf.DUMMYFUNCTION("""COMPUTED_VALUE"""),"citizen")</f>
        <v>citizen</v>
      </c>
      <c r="J94" s="3" t="str">
        <f>IFERROR(__xludf.DUMMYFUNCTION("""COMPUTED_VALUE"""),"formal")</f>
        <v>formal</v>
      </c>
      <c r="K94" s="3" t="str">
        <f>IFERROR(__xludf.DUMMYFUNCTION("""COMPUTED_VALUE"""),"tertiary")</f>
        <v>tertiary</v>
      </c>
      <c r="L94" s="3"/>
      <c r="M94" s="3" t="str">
        <f>IFERROR(__xludf.DUMMYFUNCTION("""COMPUTED_VALUE"""),"agree")</f>
        <v>agree</v>
      </c>
      <c r="N94" s="3" t="str">
        <f>IFERROR(__xludf.DUMMYFUNCTION("""COMPUTED_VALUE"""),"agree")</f>
        <v>agree</v>
      </c>
      <c r="O94" s="3" t="str">
        <f>IFERROR(__xludf.DUMMYFUNCTION("""COMPUTED_VALUE"""),"agree")</f>
        <v>agree</v>
      </c>
      <c r="P94" s="3"/>
      <c r="Q94" s="3" t="str">
        <f>IFERROR(__xludf.DUMMYFUNCTION("""COMPUTED_VALUE"""),"disagree")</f>
        <v>disagree</v>
      </c>
      <c r="R94" s="3" t="str">
        <f>IFERROR(__xludf.DUMMYFUNCTION("""COMPUTED_VALUE"""),"agree")</f>
        <v>agree</v>
      </c>
      <c r="S94" s="3" t="str">
        <f>IFERROR(__xludf.DUMMYFUNCTION("""COMPUTED_VALUE"""),"agree")</f>
        <v>agree</v>
      </c>
      <c r="T94" s="3" t="str">
        <f>IFERROR(__xludf.DUMMYFUNCTION("""COMPUTED_VALUE"""),"agree")</f>
        <v>agree</v>
      </c>
      <c r="U94" s="3" t="str">
        <f>IFERROR(__xludf.DUMMYFUNCTION("""COMPUTED_VALUE"""),"agree")</f>
        <v>agree</v>
      </c>
      <c r="V94" s="3" t="str">
        <f>IFERROR(__xludf.DUMMYFUNCTION("""COMPUTED_VALUE"""),"agree")</f>
        <v>agree</v>
      </c>
      <c r="W94" s="3" t="str">
        <f>IFERROR(__xludf.DUMMYFUNCTION("""COMPUTED_VALUE"""),"agree")</f>
        <v>agree</v>
      </c>
      <c r="X94" s="3" t="str">
        <f>IFERROR(__xludf.DUMMYFUNCTION("""COMPUTED_VALUE"""),"Platinum")</f>
        <v>Platinum</v>
      </c>
      <c r="Y94" s="3" t="str">
        <f>IFERROR(__xludf.DUMMYFUNCTION("""COMPUTED_VALUE"""),"insurance")</f>
        <v>insurance</v>
      </c>
      <c r="Z94" s="3" t="str">
        <f>IFERROR(__xludf.DUMMYFUNCTION("""COMPUTED_VALUE"""),"monthly")</f>
        <v>monthly</v>
      </c>
      <c r="AA94" s="3">
        <f>IFERROR(__xludf.DUMMYFUNCTION("""COMPUTED_VALUE"""),100.0)</f>
        <v>100</v>
      </c>
      <c r="AB94" s="3" t="str">
        <f>IFERROR(__xludf.DUMMYFUNCTION("""COMPUTED_VALUE"""),"online")</f>
        <v>online</v>
      </c>
      <c r="AC94" s="3" t="str">
        <f>IFERROR(__xludf.DUMMYFUNCTION("""COMPUTED_VALUE"""),"Yes")</f>
        <v>Yes</v>
      </c>
      <c r="AD94" s="3" t="str">
        <f>IFERROR(__xludf.DUMMYFUNCTION("""COMPUTED_VALUE"""),"Gold")</f>
        <v>Gold</v>
      </c>
      <c r="AE94" s="3" t="str">
        <f>IFERROR(__xludf.DUMMYFUNCTION("""COMPUTED_VALUE"""),"Yes")</f>
        <v>Yes</v>
      </c>
      <c r="AF94" s="3"/>
      <c r="AG94" s="3" t="str">
        <f>IFERROR(__xludf.DUMMYFUNCTION("""COMPUTED_VALUE"""),"Yes")</f>
        <v>Yes</v>
      </c>
      <c r="AH94" s="3">
        <f>IFERROR(__xludf.DUMMYFUNCTION("""COMPUTED_VALUE"""),100.0)</f>
        <v>100</v>
      </c>
      <c r="AI94" s="3">
        <f>IFERROR(__xludf.DUMMYFUNCTION("""COMPUTED_VALUE"""),0.0)</f>
        <v>0</v>
      </c>
      <c r="AJ94" s="3">
        <f>IFERROR(__xludf.DUMMYFUNCTION("""COMPUTED_VALUE"""),1.0)</f>
        <v>1</v>
      </c>
      <c r="AK94" s="3">
        <f>IFERROR(__xludf.DUMMYFUNCTION("""COMPUTED_VALUE"""),1.0)</f>
        <v>1</v>
      </c>
      <c r="AL94" s="3">
        <f>IFERROR(__xludf.DUMMYFUNCTION("""COMPUTED_VALUE"""),0.0)</f>
        <v>0</v>
      </c>
      <c r="AM94" s="3" t="str">
        <f>IFERROR(__xludf.DUMMYFUNCTION("""COMPUTED_VALUE"""),"No")</f>
        <v>No</v>
      </c>
      <c r="AN94" s="3"/>
      <c r="AO94" s="3"/>
      <c r="AP94" s="3">
        <f>IFERROR(__xludf.DUMMYFUNCTION("""COMPUTED_VALUE"""),4.88978973E8)</f>
        <v>488978973</v>
      </c>
      <c r="AQ94" s="3" t="str">
        <f>IFERROR(__xludf.DUMMYFUNCTION("""COMPUTED_VALUE"""),"c44be830-c8ef-4b25-8da0-a9be018775cf")</f>
        <v>c44be830-c8ef-4b25-8da0-a9be018775cf</v>
      </c>
      <c r="AR94" s="3">
        <f>IFERROR(__xludf.DUMMYFUNCTION("""COMPUTED_VALUE"""),45806.750439814816)</f>
        <v>45806.75044</v>
      </c>
      <c r="AS94" s="3"/>
      <c r="AT94" s="3"/>
      <c r="AU94" s="3" t="str">
        <f>IFERROR(__xludf.DUMMYFUNCTION("""COMPUTED_VALUE"""),"submitted_via_web")</f>
        <v>submitted_via_web</v>
      </c>
      <c r="AV94" s="3"/>
      <c r="AW94" s="3" t="str">
        <f>IFERROR(__xludf.DUMMYFUNCTION("""COMPUTED_VALUE"""),"vgUJxCcLkhbxcmcrDMVzkY")</f>
        <v>vgUJxCcLkhbxcmcrDMVzkY</v>
      </c>
      <c r="AX94" s="3"/>
      <c r="AY94" s="3">
        <f>IFERROR(__xludf.DUMMYFUNCTION("""COMPUTED_VALUE"""),93.0)</f>
        <v>93</v>
      </c>
    </row>
    <row r="95">
      <c r="A95" s="3" t="str">
        <f>IFERROR(__xludf.DUMMYFUNCTION("""COMPUTED_VALUE"""),"Yes")</f>
        <v>Yes</v>
      </c>
      <c r="B95" s="3"/>
      <c r="C95" s="3" t="str">
        <f>IFERROR(__xludf.DUMMYFUNCTION("""COMPUTED_VALUE"""),"south_africa")</f>
        <v>south_africa</v>
      </c>
      <c r="D95" s="3"/>
      <c r="E95" s="3" t="str">
        <f>IFERROR(__xludf.DUMMYFUNCTION("""COMPUTED_VALUE"""),"south_africa")</f>
        <v>south_africa</v>
      </c>
      <c r="F95" s="3" t="str">
        <f>IFERROR(__xludf.DUMMYFUNCTION("""COMPUTED_VALUE"""),"City of Tshwane Metropolitan Municipality")</f>
        <v>City of Tshwane Metropolitan Municipality</v>
      </c>
      <c r="G95" s="3">
        <f>IFERROR(__xludf.DUMMYFUNCTION("""COMPUTED_VALUE"""),45.0)</f>
        <v>45</v>
      </c>
      <c r="H95" s="3" t="str">
        <f>IFERROR(__xludf.DUMMYFUNCTION("""COMPUTED_VALUE"""),"female")</f>
        <v>female</v>
      </c>
      <c r="I95" s="3" t="str">
        <f>IFERROR(__xludf.DUMMYFUNCTION("""COMPUTED_VALUE"""),"citizen")</f>
        <v>citizen</v>
      </c>
      <c r="J95" s="3" t="str">
        <f>IFERROR(__xludf.DUMMYFUNCTION("""COMPUTED_VALUE"""),"unemployed")</f>
        <v>unemployed</v>
      </c>
      <c r="K95" s="3" t="str">
        <f>IFERROR(__xludf.DUMMYFUNCTION("""COMPUTED_VALUE"""),"tertiary")</f>
        <v>tertiary</v>
      </c>
      <c r="L95" s="3"/>
      <c r="M95" s="3" t="str">
        <f>IFERROR(__xludf.DUMMYFUNCTION("""COMPUTED_VALUE"""),"agree")</f>
        <v>agree</v>
      </c>
      <c r="N95" s="3" t="str">
        <f>IFERROR(__xludf.DUMMYFUNCTION("""COMPUTED_VALUE"""),"agree")</f>
        <v>agree</v>
      </c>
      <c r="O95" s="3" t="str">
        <f>IFERROR(__xludf.DUMMYFUNCTION("""COMPUTED_VALUE"""),"disagree")</f>
        <v>disagree</v>
      </c>
      <c r="P95" s="3"/>
      <c r="Q95" s="3" t="str">
        <f>IFERROR(__xludf.DUMMYFUNCTION("""COMPUTED_VALUE"""),"disagree")</f>
        <v>disagree</v>
      </c>
      <c r="R95" s="3" t="str">
        <f>IFERROR(__xludf.DUMMYFUNCTION("""COMPUTED_VALUE"""),"agree")</f>
        <v>agree</v>
      </c>
      <c r="S95" s="3" t="str">
        <f>IFERROR(__xludf.DUMMYFUNCTION("""COMPUTED_VALUE"""),"disagree")</f>
        <v>disagree</v>
      </c>
      <c r="T95" s="3" t="str">
        <f>IFERROR(__xludf.DUMMYFUNCTION("""COMPUTED_VALUE"""),"disagree")</f>
        <v>disagree</v>
      </c>
      <c r="U95" s="3" t="str">
        <f>IFERROR(__xludf.DUMMYFUNCTION("""COMPUTED_VALUE"""),"dontknow")</f>
        <v>dontknow</v>
      </c>
      <c r="V95" s="3" t="str">
        <f>IFERROR(__xludf.DUMMYFUNCTION("""COMPUTED_VALUE"""),"agree")</f>
        <v>agree</v>
      </c>
      <c r="W95" s="3" t="str">
        <f>IFERROR(__xludf.DUMMYFUNCTION("""COMPUTED_VALUE"""),"disagree")</f>
        <v>disagree</v>
      </c>
      <c r="X95" s="3" t="str">
        <f>IFERROR(__xludf.DUMMYFUNCTION("""COMPUTED_VALUE"""),"Platinum")</f>
        <v>Platinum</v>
      </c>
      <c r="Y95" s="3" t="str">
        <f>IFERROR(__xludf.DUMMYFUNCTION("""COMPUTED_VALUE"""),"insurance")</f>
        <v>insurance</v>
      </c>
      <c r="Z95" s="3" t="str">
        <f>IFERROR(__xludf.DUMMYFUNCTION("""COMPUTED_VALUE"""),"annual")</f>
        <v>annual</v>
      </c>
      <c r="AA95" s="3">
        <f>IFERROR(__xludf.DUMMYFUNCTION("""COMPUTED_VALUE"""),100.0)</f>
        <v>100</v>
      </c>
      <c r="AB95" s="3" t="str">
        <f>IFERROR(__xludf.DUMMYFUNCTION("""COMPUTED_VALUE"""),"online")</f>
        <v>online</v>
      </c>
      <c r="AC95" s="3" t="str">
        <f>IFERROR(__xludf.DUMMYFUNCTION("""COMPUTED_VALUE"""),"Yes")</f>
        <v>Yes</v>
      </c>
      <c r="AD95" s="3" t="str">
        <f>IFERROR(__xludf.DUMMYFUNCTION("""COMPUTED_VALUE"""),"Silver")</f>
        <v>Silver</v>
      </c>
      <c r="AE95" s="3"/>
      <c r="AF95" s="3" t="str">
        <f>IFERROR(__xludf.DUMMYFUNCTION("""COMPUTED_VALUE"""),"Yes")</f>
        <v>Yes</v>
      </c>
      <c r="AG95" s="3" t="str">
        <f>IFERROR(__xludf.DUMMYFUNCTION("""COMPUTED_VALUE"""),"Yes")</f>
        <v>Yes</v>
      </c>
      <c r="AH95" s="3">
        <f>IFERROR(__xludf.DUMMYFUNCTION("""COMPUTED_VALUE"""),50.0)</f>
        <v>50</v>
      </c>
      <c r="AI95" s="3">
        <f>IFERROR(__xludf.DUMMYFUNCTION("""COMPUTED_VALUE"""),1.0)</f>
        <v>1</v>
      </c>
      <c r="AJ95" s="3">
        <f>IFERROR(__xludf.DUMMYFUNCTION("""COMPUTED_VALUE"""),1.0)</f>
        <v>1</v>
      </c>
      <c r="AK95" s="3">
        <f>IFERROR(__xludf.DUMMYFUNCTION("""COMPUTED_VALUE"""),1.0)</f>
        <v>1</v>
      </c>
      <c r="AL95" s="3">
        <f>IFERROR(__xludf.DUMMYFUNCTION("""COMPUTED_VALUE"""),0.0)</f>
        <v>0</v>
      </c>
      <c r="AM95" s="3" t="str">
        <f>IFERROR(__xludf.DUMMYFUNCTION("""COMPUTED_VALUE"""),"Yes")</f>
        <v>Yes</v>
      </c>
      <c r="AN95" s="3">
        <f>IFERROR(__xludf.DUMMYFUNCTION("""COMPUTED_VALUE"""),8.37723525E8)</f>
        <v>837723525</v>
      </c>
      <c r="AO95" s="3"/>
      <c r="AP95" s="3">
        <f>IFERROR(__xludf.DUMMYFUNCTION("""COMPUTED_VALUE"""),4.89006974E8)</f>
        <v>489006974</v>
      </c>
      <c r="AQ95" s="3" t="str">
        <f>IFERROR(__xludf.DUMMYFUNCTION("""COMPUTED_VALUE"""),"20856335-6630-41f5-96dd-501d670187a5")</f>
        <v>20856335-6630-41f5-96dd-501d670187a5</v>
      </c>
      <c r="AR95" s="3">
        <f>IFERROR(__xludf.DUMMYFUNCTION("""COMPUTED_VALUE"""),45806.78528935185)</f>
        <v>45806.78529</v>
      </c>
      <c r="AS95" s="3"/>
      <c r="AT95" s="3"/>
      <c r="AU95" s="3" t="str">
        <f>IFERROR(__xludf.DUMMYFUNCTION("""COMPUTED_VALUE"""),"submitted_via_web")</f>
        <v>submitted_via_web</v>
      </c>
      <c r="AV95" s="3"/>
      <c r="AW95" s="3" t="str">
        <f>IFERROR(__xludf.DUMMYFUNCTION("""COMPUTED_VALUE"""),"vgUJxCcLkhbxcmcrDMVzkY")</f>
        <v>vgUJxCcLkhbxcmcrDMVzkY</v>
      </c>
      <c r="AX95" s="3"/>
      <c r="AY95" s="3">
        <f>IFERROR(__xludf.DUMMYFUNCTION("""COMPUTED_VALUE"""),94.0)</f>
        <v>94</v>
      </c>
    </row>
    <row r="96">
      <c r="A96" s="3" t="str">
        <f>IFERROR(__xludf.DUMMYFUNCTION("""COMPUTED_VALUE"""),"Yes")</f>
        <v>Yes</v>
      </c>
      <c r="B96" s="3"/>
      <c r="C96" s="3" t="str">
        <f>IFERROR(__xludf.DUMMYFUNCTION("""COMPUTED_VALUE"""),"south_africa")</f>
        <v>south_africa</v>
      </c>
      <c r="D96" s="3"/>
      <c r="E96" s="3" t="str">
        <f>IFERROR(__xludf.DUMMYFUNCTION("""COMPUTED_VALUE"""),"south_africa")</f>
        <v>south_africa</v>
      </c>
      <c r="F96" s="3" t="str">
        <f>IFERROR(__xludf.DUMMYFUNCTION("""COMPUTED_VALUE"""),"City of Ekurhuleni Metropolitan Municipality")</f>
        <v>City of Ekurhuleni Metropolitan Municipality</v>
      </c>
      <c r="G96" s="3">
        <f>IFERROR(__xludf.DUMMYFUNCTION("""COMPUTED_VALUE"""),43.0)</f>
        <v>43</v>
      </c>
      <c r="H96" s="3" t="str">
        <f>IFERROR(__xludf.DUMMYFUNCTION("""COMPUTED_VALUE"""),"female")</f>
        <v>female</v>
      </c>
      <c r="I96" s="3" t="str">
        <f>IFERROR(__xludf.DUMMYFUNCTION("""COMPUTED_VALUE"""),"citizen")</f>
        <v>citizen</v>
      </c>
      <c r="J96" s="3" t="str">
        <f>IFERROR(__xludf.DUMMYFUNCTION("""COMPUTED_VALUE"""),"formal")</f>
        <v>formal</v>
      </c>
      <c r="K96" s="3" t="str">
        <f>IFERROR(__xludf.DUMMYFUNCTION("""COMPUTED_VALUE"""),"tertiary")</f>
        <v>tertiary</v>
      </c>
      <c r="L96" s="3"/>
      <c r="M96" s="3" t="str">
        <f>IFERROR(__xludf.DUMMYFUNCTION("""COMPUTED_VALUE"""),"agree")</f>
        <v>agree</v>
      </c>
      <c r="N96" s="3" t="str">
        <f>IFERROR(__xludf.DUMMYFUNCTION("""COMPUTED_VALUE"""),"agree")</f>
        <v>agree</v>
      </c>
      <c r="O96" s="3" t="str">
        <f>IFERROR(__xludf.DUMMYFUNCTION("""COMPUTED_VALUE"""),"disagree")</f>
        <v>disagree</v>
      </c>
      <c r="P96" s="3"/>
      <c r="Q96" s="3" t="str">
        <f>IFERROR(__xludf.DUMMYFUNCTION("""COMPUTED_VALUE"""),"agree")</f>
        <v>agree</v>
      </c>
      <c r="R96" s="3" t="str">
        <f>IFERROR(__xludf.DUMMYFUNCTION("""COMPUTED_VALUE"""),"agree")</f>
        <v>agree</v>
      </c>
      <c r="S96" s="3" t="str">
        <f>IFERROR(__xludf.DUMMYFUNCTION("""COMPUTED_VALUE"""),"agree")</f>
        <v>agree</v>
      </c>
      <c r="T96" s="3" t="str">
        <f>IFERROR(__xludf.DUMMYFUNCTION("""COMPUTED_VALUE"""),"disagree")</f>
        <v>disagree</v>
      </c>
      <c r="U96" s="3" t="str">
        <f>IFERROR(__xludf.DUMMYFUNCTION("""COMPUTED_VALUE"""),"agree")</f>
        <v>agree</v>
      </c>
      <c r="V96" s="3" t="str">
        <f>IFERROR(__xludf.DUMMYFUNCTION("""COMPUTED_VALUE"""),"agree")</f>
        <v>agree</v>
      </c>
      <c r="W96" s="3" t="str">
        <f>IFERROR(__xludf.DUMMYFUNCTION("""COMPUTED_VALUE"""),"disagree")</f>
        <v>disagree</v>
      </c>
      <c r="X96" s="3" t="str">
        <f>IFERROR(__xludf.DUMMYFUNCTION("""COMPUTED_VALUE"""),"Silver")</f>
        <v>Silver</v>
      </c>
      <c r="Y96" s="3" t="str">
        <f>IFERROR(__xludf.DUMMYFUNCTION("""COMPUTED_VALUE"""),"insurance")</f>
        <v>insurance</v>
      </c>
      <c r="Z96" s="3" t="str">
        <f>IFERROR(__xludf.DUMMYFUNCTION("""COMPUTED_VALUE"""),"monthly")</f>
        <v>monthly</v>
      </c>
      <c r="AA96" s="3">
        <f>IFERROR(__xludf.DUMMYFUNCTION("""COMPUTED_VALUE"""),30.0)</f>
        <v>30</v>
      </c>
      <c r="AB96" s="3" t="str">
        <f>IFERROR(__xludf.DUMMYFUNCTION("""COMPUTED_VALUE"""),"employer")</f>
        <v>employer</v>
      </c>
      <c r="AC96" s="3" t="str">
        <f>IFERROR(__xludf.DUMMYFUNCTION("""COMPUTED_VALUE"""),"I am not an employer")</f>
        <v>I am not an employer</v>
      </c>
      <c r="AD96" s="3"/>
      <c r="AE96" s="3"/>
      <c r="AF96" s="3" t="str">
        <f>IFERROR(__xludf.DUMMYFUNCTION("""COMPUTED_VALUE"""),"No")</f>
        <v>No</v>
      </c>
      <c r="AG96" s="3" t="str">
        <f>IFERROR(__xludf.DUMMYFUNCTION("""COMPUTED_VALUE"""),"No")</f>
        <v>No</v>
      </c>
      <c r="AH96" s="3"/>
      <c r="AI96" s="3">
        <f>IFERROR(__xludf.DUMMYFUNCTION("""COMPUTED_VALUE"""),0.0)</f>
        <v>0</v>
      </c>
      <c r="AJ96" s="3">
        <f>IFERROR(__xludf.DUMMYFUNCTION("""COMPUTED_VALUE"""),0.0)</f>
        <v>0</v>
      </c>
      <c r="AK96" s="3">
        <f>IFERROR(__xludf.DUMMYFUNCTION("""COMPUTED_VALUE"""),1.0)</f>
        <v>1</v>
      </c>
      <c r="AL96" s="3">
        <f>IFERROR(__xludf.DUMMYFUNCTION("""COMPUTED_VALUE"""),0.0)</f>
        <v>0</v>
      </c>
      <c r="AM96" s="3" t="str">
        <f>IFERROR(__xludf.DUMMYFUNCTION("""COMPUTED_VALUE"""),"No")</f>
        <v>No</v>
      </c>
      <c r="AN96" s="3"/>
      <c r="AO96" s="3"/>
      <c r="AP96" s="3">
        <f>IFERROR(__xludf.DUMMYFUNCTION("""COMPUTED_VALUE"""),4.89015378E8)</f>
        <v>489015378</v>
      </c>
      <c r="AQ96" s="3" t="str">
        <f>IFERROR(__xludf.DUMMYFUNCTION("""COMPUTED_VALUE"""),"93c699b6-9cd9-4736-a1b4-940c73cb7b4d")</f>
        <v>93c699b6-9cd9-4736-a1b4-940c73cb7b4d</v>
      </c>
      <c r="AR96" s="3">
        <f>IFERROR(__xludf.DUMMYFUNCTION("""COMPUTED_VALUE"""),45806.797951388886)</f>
        <v>45806.79795</v>
      </c>
      <c r="AS96" s="3"/>
      <c r="AT96" s="3"/>
      <c r="AU96" s="3" t="str">
        <f>IFERROR(__xludf.DUMMYFUNCTION("""COMPUTED_VALUE"""),"submitted_via_web")</f>
        <v>submitted_via_web</v>
      </c>
      <c r="AV96" s="3"/>
      <c r="AW96" s="3" t="str">
        <f>IFERROR(__xludf.DUMMYFUNCTION("""COMPUTED_VALUE"""),"vgUJxCcLkhbxcmcrDMVzkY")</f>
        <v>vgUJxCcLkhbxcmcrDMVzkY</v>
      </c>
      <c r="AX96" s="3"/>
      <c r="AY96" s="3">
        <f>IFERROR(__xludf.DUMMYFUNCTION("""COMPUTED_VALUE"""),95.0)</f>
        <v>95</v>
      </c>
    </row>
    <row r="97">
      <c r="A97" s="3" t="str">
        <f>IFERROR(__xludf.DUMMYFUNCTION("""COMPUTED_VALUE"""),"Yes")</f>
        <v>Yes</v>
      </c>
      <c r="B97" s="3"/>
      <c r="C97" s="3" t="str">
        <f>IFERROR(__xludf.DUMMYFUNCTION("""COMPUTED_VALUE"""),"lesotho")</f>
        <v>lesotho</v>
      </c>
      <c r="D97" s="3"/>
      <c r="E97" s="3" t="str">
        <f>IFERROR(__xludf.DUMMYFUNCTION("""COMPUTED_VALUE"""),"south_africa")</f>
        <v>south_africa</v>
      </c>
      <c r="F97" s="3" t="str">
        <f>IFERROR(__xludf.DUMMYFUNCTION("""COMPUTED_VALUE"""),"City of Johannesburg Metropolitan Municipality")</f>
        <v>City of Johannesburg Metropolitan Municipality</v>
      </c>
      <c r="G97" s="3">
        <f>IFERROR(__xludf.DUMMYFUNCTION("""COMPUTED_VALUE"""),38.0)</f>
        <v>38</v>
      </c>
      <c r="H97" s="3" t="str">
        <f>IFERROR(__xludf.DUMMYFUNCTION("""COMPUTED_VALUE"""),"female")</f>
        <v>female</v>
      </c>
      <c r="I97" s="3" t="str">
        <f>IFERROR(__xludf.DUMMYFUNCTION("""COMPUTED_VALUE"""),"over5")</f>
        <v>over5</v>
      </c>
      <c r="J97" s="3" t="str">
        <f>IFERROR(__xludf.DUMMYFUNCTION("""COMPUTED_VALUE"""),"informal")</f>
        <v>informal</v>
      </c>
      <c r="K97" s="3" t="str">
        <f>IFERROR(__xludf.DUMMYFUNCTION("""COMPUTED_VALUE"""),"secondary")</f>
        <v>secondary</v>
      </c>
      <c r="L97" s="3"/>
      <c r="M97" s="3" t="str">
        <f>IFERROR(__xludf.DUMMYFUNCTION("""COMPUTED_VALUE"""),"agree")</f>
        <v>agree</v>
      </c>
      <c r="N97" s="3" t="str">
        <f>IFERROR(__xludf.DUMMYFUNCTION("""COMPUTED_VALUE"""),"agree")</f>
        <v>agree</v>
      </c>
      <c r="O97" s="3" t="str">
        <f>IFERROR(__xludf.DUMMYFUNCTION("""COMPUTED_VALUE"""),"agree")</f>
        <v>agree</v>
      </c>
      <c r="P97" s="3"/>
      <c r="Q97" s="3" t="str">
        <f>IFERROR(__xludf.DUMMYFUNCTION("""COMPUTED_VALUE"""),"agree")</f>
        <v>agree</v>
      </c>
      <c r="R97" s="3" t="str">
        <f>IFERROR(__xludf.DUMMYFUNCTION("""COMPUTED_VALUE"""),"agree")</f>
        <v>agree</v>
      </c>
      <c r="S97" s="3" t="str">
        <f>IFERROR(__xludf.DUMMYFUNCTION("""COMPUTED_VALUE"""),"agree")</f>
        <v>agree</v>
      </c>
      <c r="T97" s="3" t="str">
        <f>IFERROR(__xludf.DUMMYFUNCTION("""COMPUTED_VALUE"""),"disagree")</f>
        <v>disagree</v>
      </c>
      <c r="U97" s="3" t="str">
        <f>IFERROR(__xludf.DUMMYFUNCTION("""COMPUTED_VALUE"""),"disagree")</f>
        <v>disagree</v>
      </c>
      <c r="V97" s="3" t="str">
        <f>IFERROR(__xludf.DUMMYFUNCTION("""COMPUTED_VALUE"""),"disagree")</f>
        <v>disagree</v>
      </c>
      <c r="W97" s="3" t="str">
        <f>IFERROR(__xludf.DUMMYFUNCTION("""COMPUTED_VALUE"""),"disagree")</f>
        <v>disagree</v>
      </c>
      <c r="X97" s="3" t="str">
        <f>IFERROR(__xludf.DUMMYFUNCTION("""COMPUTED_VALUE"""),"Gold")</f>
        <v>Gold</v>
      </c>
      <c r="Y97" s="3" t="str">
        <f>IFERROR(__xludf.DUMMYFUNCTION("""COMPUTED_VALUE"""),"card")</f>
        <v>card</v>
      </c>
      <c r="Z97" s="3" t="str">
        <f>IFERROR(__xludf.DUMMYFUNCTION("""COMPUTED_VALUE"""),"once")</f>
        <v>once</v>
      </c>
      <c r="AA97" s="3">
        <f>IFERROR(__xludf.DUMMYFUNCTION("""COMPUTED_VALUE"""),10.0)</f>
        <v>10</v>
      </c>
      <c r="AB97" s="3" t="str">
        <f>IFERROR(__xludf.DUMMYFUNCTION("""COMPUTED_VALUE"""),"online")</f>
        <v>online</v>
      </c>
      <c r="AC97" s="3" t="str">
        <f>IFERROR(__xludf.DUMMYFUNCTION("""COMPUTED_VALUE"""),"I am not an employer")</f>
        <v>I am not an employer</v>
      </c>
      <c r="AD97" s="3"/>
      <c r="AE97" s="3"/>
      <c r="AF97" s="3" t="str">
        <f>IFERROR(__xludf.DUMMYFUNCTION("""COMPUTED_VALUE"""),"Yes")</f>
        <v>Yes</v>
      </c>
      <c r="AG97" s="3" t="str">
        <f>IFERROR(__xludf.DUMMYFUNCTION("""COMPUTED_VALUE"""),"No")</f>
        <v>No</v>
      </c>
      <c r="AH97" s="3"/>
      <c r="AI97" s="3">
        <f>IFERROR(__xludf.DUMMYFUNCTION("""COMPUTED_VALUE"""),0.0)</f>
        <v>0</v>
      </c>
      <c r="AJ97" s="3">
        <f>IFERROR(__xludf.DUMMYFUNCTION("""COMPUTED_VALUE"""),0.0)</f>
        <v>0</v>
      </c>
      <c r="AK97" s="3">
        <f>IFERROR(__xludf.DUMMYFUNCTION("""COMPUTED_VALUE"""),0.0)</f>
        <v>0</v>
      </c>
      <c r="AL97" s="3">
        <f>IFERROR(__xludf.DUMMYFUNCTION("""COMPUTED_VALUE"""),1.0)</f>
        <v>1</v>
      </c>
      <c r="AM97" s="3" t="str">
        <f>IFERROR(__xludf.DUMMYFUNCTION("""COMPUTED_VALUE"""),"No")</f>
        <v>No</v>
      </c>
      <c r="AN97" s="3"/>
      <c r="AO97" s="3"/>
      <c r="AP97" s="3">
        <f>IFERROR(__xludf.DUMMYFUNCTION("""COMPUTED_VALUE"""),4.89056347E8)</f>
        <v>489056347</v>
      </c>
      <c r="AQ97" s="3" t="str">
        <f>IFERROR(__xludf.DUMMYFUNCTION("""COMPUTED_VALUE"""),"a063af56-7b27-42b4-a22d-642104f4fee6")</f>
        <v>a063af56-7b27-42b4-a22d-642104f4fee6</v>
      </c>
      <c r="AR97" s="3">
        <f>IFERROR(__xludf.DUMMYFUNCTION("""COMPUTED_VALUE"""),45806.863912037035)</f>
        <v>45806.86391</v>
      </c>
      <c r="AS97" s="3"/>
      <c r="AT97" s="3"/>
      <c r="AU97" s="3" t="str">
        <f>IFERROR(__xludf.DUMMYFUNCTION("""COMPUTED_VALUE"""),"submitted_via_web")</f>
        <v>submitted_via_web</v>
      </c>
      <c r="AV97" s="3"/>
      <c r="AW97" s="3" t="str">
        <f>IFERROR(__xludf.DUMMYFUNCTION("""COMPUTED_VALUE"""),"vyQ2YQjU4ktbYYqmXjw6CP")</f>
        <v>vyQ2YQjU4ktbYYqmXjw6CP</v>
      </c>
      <c r="AX97" s="3"/>
      <c r="AY97" s="3">
        <f>IFERROR(__xludf.DUMMYFUNCTION("""COMPUTED_VALUE"""),96.0)</f>
        <v>96</v>
      </c>
    </row>
    <row r="98">
      <c r="A98" s="3" t="str">
        <f>IFERROR(__xludf.DUMMYFUNCTION("""COMPUTED_VALUE"""),"Yes")</f>
        <v>Yes</v>
      </c>
      <c r="B98" s="3"/>
      <c r="C98" s="3" t="str">
        <f>IFERROR(__xludf.DUMMYFUNCTION("""COMPUTED_VALUE"""),"south_africa")</f>
        <v>south_africa</v>
      </c>
      <c r="D98" s="3"/>
      <c r="E98" s="3" t="str">
        <f>IFERROR(__xludf.DUMMYFUNCTION("""COMPUTED_VALUE"""),"south_africa")</f>
        <v>south_africa</v>
      </c>
      <c r="F98" s="3" t="str">
        <f>IFERROR(__xludf.DUMMYFUNCTION("""COMPUTED_VALUE"""),"City of Johannesburg Metropolitan Municipality")</f>
        <v>City of Johannesburg Metropolitan Municipality</v>
      </c>
      <c r="G98" s="3">
        <f>IFERROR(__xludf.DUMMYFUNCTION("""COMPUTED_VALUE"""),39.0)</f>
        <v>39</v>
      </c>
      <c r="H98" s="3" t="str">
        <f>IFERROR(__xludf.DUMMYFUNCTION("""COMPUTED_VALUE"""),"male")</f>
        <v>male</v>
      </c>
      <c r="I98" s="3" t="str">
        <f>IFERROR(__xludf.DUMMYFUNCTION("""COMPUTED_VALUE"""),"citizen")</f>
        <v>citizen</v>
      </c>
      <c r="J98" s="3" t="str">
        <f>IFERROR(__xludf.DUMMYFUNCTION("""COMPUTED_VALUE"""),"formal")</f>
        <v>formal</v>
      </c>
      <c r="K98" s="3" t="str">
        <f>IFERROR(__xludf.DUMMYFUNCTION("""COMPUTED_VALUE"""),"secondary")</f>
        <v>secondary</v>
      </c>
      <c r="L98" s="3"/>
      <c r="M98" s="3" t="str">
        <f>IFERROR(__xludf.DUMMYFUNCTION("""COMPUTED_VALUE"""),"agree")</f>
        <v>agree</v>
      </c>
      <c r="N98" s="3" t="str">
        <f>IFERROR(__xludf.DUMMYFUNCTION("""COMPUTED_VALUE"""),"agree")</f>
        <v>agree</v>
      </c>
      <c r="O98" s="3" t="str">
        <f>IFERROR(__xludf.DUMMYFUNCTION("""COMPUTED_VALUE"""),"agree")</f>
        <v>agree</v>
      </c>
      <c r="P98" s="3"/>
      <c r="Q98" s="3" t="str">
        <f>IFERROR(__xludf.DUMMYFUNCTION("""COMPUTED_VALUE"""),"disagree")</f>
        <v>disagree</v>
      </c>
      <c r="R98" s="3" t="str">
        <f>IFERROR(__xludf.DUMMYFUNCTION("""COMPUTED_VALUE"""),"agree")</f>
        <v>agree</v>
      </c>
      <c r="S98" s="3" t="str">
        <f>IFERROR(__xludf.DUMMYFUNCTION("""COMPUTED_VALUE"""),"disagree")</f>
        <v>disagree</v>
      </c>
      <c r="T98" s="3" t="str">
        <f>IFERROR(__xludf.DUMMYFUNCTION("""COMPUTED_VALUE"""),"disagree")</f>
        <v>disagree</v>
      </c>
      <c r="U98" s="3" t="str">
        <f>IFERROR(__xludf.DUMMYFUNCTION("""COMPUTED_VALUE"""),"disagree")</f>
        <v>disagree</v>
      </c>
      <c r="V98" s="3" t="str">
        <f>IFERROR(__xludf.DUMMYFUNCTION("""COMPUTED_VALUE"""),"agree")</f>
        <v>agree</v>
      </c>
      <c r="W98" s="3" t="str">
        <f>IFERROR(__xludf.DUMMYFUNCTION("""COMPUTED_VALUE"""),"disagree")</f>
        <v>disagree</v>
      </c>
      <c r="X98" s="3" t="str">
        <f>IFERROR(__xludf.DUMMYFUNCTION("""COMPUTED_VALUE"""),"Silver")</f>
        <v>Silver</v>
      </c>
      <c r="Y98" s="3" t="str">
        <f>IFERROR(__xludf.DUMMYFUNCTION("""COMPUTED_VALUE"""),"card")</f>
        <v>card</v>
      </c>
      <c r="Z98" s="3" t="str">
        <f>IFERROR(__xludf.DUMMYFUNCTION("""COMPUTED_VALUE"""),"once")</f>
        <v>once</v>
      </c>
      <c r="AA98" s="3">
        <f>IFERROR(__xludf.DUMMYFUNCTION("""COMPUTED_VALUE"""),100.0)</f>
        <v>100</v>
      </c>
      <c r="AB98" s="3" t="str">
        <f>IFERROR(__xludf.DUMMYFUNCTION("""COMPUTED_VALUE"""),"online")</f>
        <v>online</v>
      </c>
      <c r="AC98" s="3" t="str">
        <f>IFERROR(__xludf.DUMMYFUNCTION("""COMPUTED_VALUE"""),"No")</f>
        <v>No</v>
      </c>
      <c r="AD98" s="3"/>
      <c r="AE98" s="3"/>
      <c r="AF98" s="3" t="str">
        <f>IFERROR(__xludf.DUMMYFUNCTION("""COMPUTED_VALUE"""),"Yes")</f>
        <v>Yes</v>
      </c>
      <c r="AG98" s="3" t="str">
        <f>IFERROR(__xludf.DUMMYFUNCTION("""COMPUTED_VALUE"""),"Yes")</f>
        <v>Yes</v>
      </c>
      <c r="AH98" s="3">
        <f>IFERROR(__xludf.DUMMYFUNCTION("""COMPUTED_VALUE"""),500.0)</f>
        <v>500</v>
      </c>
      <c r="AI98" s="3">
        <f>IFERROR(__xludf.DUMMYFUNCTION("""COMPUTED_VALUE"""),0.0)</f>
        <v>0</v>
      </c>
      <c r="AJ98" s="3">
        <f>IFERROR(__xludf.DUMMYFUNCTION("""COMPUTED_VALUE"""),1.0)</f>
        <v>1</v>
      </c>
      <c r="AK98" s="3">
        <f>IFERROR(__xludf.DUMMYFUNCTION("""COMPUTED_VALUE"""),0.0)</f>
        <v>0</v>
      </c>
      <c r="AL98" s="3">
        <f>IFERROR(__xludf.DUMMYFUNCTION("""COMPUTED_VALUE"""),0.0)</f>
        <v>0</v>
      </c>
      <c r="AM98" s="3" t="str">
        <f>IFERROR(__xludf.DUMMYFUNCTION("""COMPUTED_VALUE"""),"Yes")</f>
        <v>Yes</v>
      </c>
      <c r="AN98" s="3">
        <f>IFERROR(__xludf.DUMMYFUNCTION("""COMPUTED_VALUE"""),6.94715148E8)</f>
        <v>694715148</v>
      </c>
      <c r="AO98" s="3"/>
      <c r="AP98" s="3">
        <f>IFERROR(__xludf.DUMMYFUNCTION("""COMPUTED_VALUE"""),4.89145506E8)</f>
        <v>489145506</v>
      </c>
      <c r="AQ98" s="3" t="str">
        <f>IFERROR(__xludf.DUMMYFUNCTION("""COMPUTED_VALUE"""),"bd618d29-d57d-477d-9429-fd7e1408507d")</f>
        <v>bd618d29-d57d-477d-9429-fd7e1408507d</v>
      </c>
      <c r="AR98" s="3">
        <f>IFERROR(__xludf.DUMMYFUNCTION("""COMPUTED_VALUE"""),45807.1694212963)</f>
        <v>45807.16942</v>
      </c>
      <c r="AS98" s="3"/>
      <c r="AT98" s="3"/>
      <c r="AU98" s="3" t="str">
        <f>IFERROR(__xludf.DUMMYFUNCTION("""COMPUTED_VALUE"""),"submitted_via_web")</f>
        <v>submitted_via_web</v>
      </c>
      <c r="AV98" s="3"/>
      <c r="AW98" s="3" t="str">
        <f>IFERROR(__xludf.DUMMYFUNCTION("""COMPUTED_VALUE"""),"vgUJxCcLkhbxcmcrDMVzkY")</f>
        <v>vgUJxCcLkhbxcmcrDMVzkY</v>
      </c>
      <c r="AX98" s="3"/>
      <c r="AY98" s="3">
        <f>IFERROR(__xludf.DUMMYFUNCTION("""COMPUTED_VALUE"""),97.0)</f>
        <v>97</v>
      </c>
    </row>
    <row r="99">
      <c r="A99" s="3" t="str">
        <f>IFERROR(__xludf.DUMMYFUNCTION("""COMPUTED_VALUE"""),"Yes")</f>
        <v>Yes</v>
      </c>
      <c r="B99" s="3"/>
      <c r="C99" s="3" t="str">
        <f>IFERROR(__xludf.DUMMYFUNCTION("""COMPUTED_VALUE"""),"south_africa")</f>
        <v>south_africa</v>
      </c>
      <c r="D99" s="3"/>
      <c r="E99" s="3" t="str">
        <f>IFERROR(__xludf.DUMMYFUNCTION("""COMPUTED_VALUE"""),"south_africa")</f>
        <v>south_africa</v>
      </c>
      <c r="F99" s="3" t="str">
        <f>IFERROR(__xludf.DUMMYFUNCTION("""COMPUTED_VALUE"""),"City of Johannesburg Metropolitan Municipality")</f>
        <v>City of Johannesburg Metropolitan Municipality</v>
      </c>
      <c r="G99" s="3">
        <f>IFERROR(__xludf.DUMMYFUNCTION("""COMPUTED_VALUE"""),54.0)</f>
        <v>54</v>
      </c>
      <c r="H99" s="3" t="str">
        <f>IFERROR(__xludf.DUMMYFUNCTION("""COMPUTED_VALUE"""),"female")</f>
        <v>female</v>
      </c>
      <c r="I99" s="3" t="str">
        <f>IFERROR(__xludf.DUMMYFUNCTION("""COMPUTED_VALUE"""),"citizen")</f>
        <v>citizen</v>
      </c>
      <c r="J99" s="3" t="str">
        <f>IFERROR(__xludf.DUMMYFUNCTION("""COMPUTED_VALUE"""),"formal")</f>
        <v>formal</v>
      </c>
      <c r="K99" s="3" t="str">
        <f>IFERROR(__xludf.DUMMYFUNCTION("""COMPUTED_VALUE"""),"tertiary")</f>
        <v>tertiary</v>
      </c>
      <c r="L99" s="3"/>
      <c r="M99" s="3" t="str">
        <f>IFERROR(__xludf.DUMMYFUNCTION("""COMPUTED_VALUE"""),"agree")</f>
        <v>agree</v>
      </c>
      <c r="N99" s="3" t="str">
        <f>IFERROR(__xludf.DUMMYFUNCTION("""COMPUTED_VALUE"""),"agree")</f>
        <v>agree</v>
      </c>
      <c r="O99" s="3" t="str">
        <f>IFERROR(__xludf.DUMMYFUNCTION("""COMPUTED_VALUE"""),"agree")</f>
        <v>agree</v>
      </c>
      <c r="P99" s="3"/>
      <c r="Q99" s="3" t="str">
        <f>IFERROR(__xludf.DUMMYFUNCTION("""COMPUTED_VALUE"""),"disagree")</f>
        <v>disagree</v>
      </c>
      <c r="R99" s="3" t="str">
        <f>IFERROR(__xludf.DUMMYFUNCTION("""COMPUTED_VALUE"""),"disagree")</f>
        <v>disagree</v>
      </c>
      <c r="S99" s="3" t="str">
        <f>IFERROR(__xludf.DUMMYFUNCTION("""COMPUTED_VALUE"""),"agree")</f>
        <v>agree</v>
      </c>
      <c r="T99" s="3" t="str">
        <f>IFERROR(__xludf.DUMMYFUNCTION("""COMPUTED_VALUE"""),"disagree")</f>
        <v>disagree</v>
      </c>
      <c r="U99" s="3" t="str">
        <f>IFERROR(__xludf.DUMMYFUNCTION("""COMPUTED_VALUE"""),"agree")</f>
        <v>agree</v>
      </c>
      <c r="V99" s="3" t="str">
        <f>IFERROR(__xludf.DUMMYFUNCTION("""COMPUTED_VALUE"""),"agree")</f>
        <v>agree</v>
      </c>
      <c r="W99" s="3" t="str">
        <f>IFERROR(__xludf.DUMMYFUNCTION("""COMPUTED_VALUE"""),"disagree")</f>
        <v>disagree</v>
      </c>
      <c r="X99" s="3" t="str">
        <f>IFERROR(__xludf.DUMMYFUNCTION("""COMPUTED_VALUE"""),"Gold")</f>
        <v>Gold</v>
      </c>
      <c r="Y99" s="3" t="str">
        <f>IFERROR(__xludf.DUMMYFUNCTION("""COMPUTED_VALUE"""),"insurance")</f>
        <v>insurance</v>
      </c>
      <c r="Z99" s="3" t="str">
        <f>IFERROR(__xludf.DUMMYFUNCTION("""COMPUTED_VALUE"""),"once")</f>
        <v>once</v>
      </c>
      <c r="AA99" s="3">
        <f>IFERROR(__xludf.DUMMYFUNCTION("""COMPUTED_VALUE"""),100.0)</f>
        <v>100</v>
      </c>
      <c r="AB99" s="3" t="str">
        <f>IFERROR(__xludf.DUMMYFUNCTION("""COMPUTED_VALUE"""),"online")</f>
        <v>online</v>
      </c>
      <c r="AC99" s="3" t="str">
        <f>IFERROR(__xludf.DUMMYFUNCTION("""COMPUTED_VALUE"""),"I am not an employer")</f>
        <v>I am not an employer</v>
      </c>
      <c r="AD99" s="3"/>
      <c r="AE99" s="3"/>
      <c r="AF99" s="3" t="str">
        <f>IFERROR(__xludf.DUMMYFUNCTION("""COMPUTED_VALUE"""),"Yes")</f>
        <v>Yes</v>
      </c>
      <c r="AG99" s="3" t="str">
        <f>IFERROR(__xludf.DUMMYFUNCTION("""COMPUTED_VALUE"""),"Yes")</f>
        <v>Yes</v>
      </c>
      <c r="AH99" s="3">
        <f>IFERROR(__xludf.DUMMYFUNCTION("""COMPUTED_VALUE"""),2000.0)</f>
        <v>2000</v>
      </c>
      <c r="AI99" s="3">
        <f>IFERROR(__xludf.DUMMYFUNCTION("""COMPUTED_VALUE"""),0.0)</f>
        <v>0</v>
      </c>
      <c r="AJ99" s="3">
        <f>IFERROR(__xludf.DUMMYFUNCTION("""COMPUTED_VALUE"""),0.0)</f>
        <v>0</v>
      </c>
      <c r="AK99" s="3">
        <f>IFERROR(__xludf.DUMMYFUNCTION("""COMPUTED_VALUE"""),0.0)</f>
        <v>0</v>
      </c>
      <c r="AL99" s="3">
        <f>IFERROR(__xludf.DUMMYFUNCTION("""COMPUTED_VALUE"""),1.0)</f>
        <v>1</v>
      </c>
      <c r="AM99" s="3" t="str">
        <f>IFERROR(__xludf.DUMMYFUNCTION("""COMPUTED_VALUE"""),"Yes")</f>
        <v>Yes</v>
      </c>
      <c r="AN99" s="3">
        <f>IFERROR(__xludf.DUMMYFUNCTION("""COMPUTED_VALUE"""),7.81400075E8)</f>
        <v>781400075</v>
      </c>
      <c r="AO99" s="3"/>
      <c r="AP99" s="3">
        <f>IFERROR(__xludf.DUMMYFUNCTION("""COMPUTED_VALUE"""),4.89150112E8)</f>
        <v>489150112</v>
      </c>
      <c r="AQ99" s="3" t="str">
        <f>IFERROR(__xludf.DUMMYFUNCTION("""COMPUTED_VALUE"""),"1286f58a-a4f7-45c4-8c7d-944f4f9748d7")</f>
        <v>1286f58a-a4f7-45c4-8c7d-944f4f9748d7</v>
      </c>
      <c r="AR99" s="3">
        <f>IFERROR(__xludf.DUMMYFUNCTION("""COMPUTED_VALUE"""),45807.18351851852)</f>
        <v>45807.18352</v>
      </c>
      <c r="AS99" s="3"/>
      <c r="AT99" s="3"/>
      <c r="AU99" s="3" t="str">
        <f>IFERROR(__xludf.DUMMYFUNCTION("""COMPUTED_VALUE"""),"submitted_via_web")</f>
        <v>submitted_via_web</v>
      </c>
      <c r="AV99" s="3"/>
      <c r="AW99" s="3" t="str">
        <f>IFERROR(__xludf.DUMMYFUNCTION("""COMPUTED_VALUE"""),"vgUJxCcLkhbxcmcrDMVzkY")</f>
        <v>vgUJxCcLkhbxcmcrDMVzkY</v>
      </c>
      <c r="AX99" s="3"/>
      <c r="AY99" s="3">
        <f>IFERROR(__xludf.DUMMYFUNCTION("""COMPUTED_VALUE"""),98.0)</f>
        <v>98</v>
      </c>
    </row>
    <row r="100">
      <c r="A100" s="3" t="str">
        <f>IFERROR(__xludf.DUMMYFUNCTION("""COMPUTED_VALUE"""),"Yes")</f>
        <v>Yes</v>
      </c>
      <c r="B100" s="3"/>
      <c r="C100" s="3" t="str">
        <f>IFERROR(__xludf.DUMMYFUNCTION("""COMPUTED_VALUE"""),"south_africa")</f>
        <v>south_africa</v>
      </c>
      <c r="D100" s="3"/>
      <c r="E100" s="3" t="str">
        <f>IFERROR(__xludf.DUMMYFUNCTION("""COMPUTED_VALUE"""),"south_africa")</f>
        <v>south_africa</v>
      </c>
      <c r="F100" s="3" t="str">
        <f>IFERROR(__xludf.DUMMYFUNCTION("""COMPUTED_VALUE"""),"Lejweleputswa District")</f>
        <v>Lejweleputswa District</v>
      </c>
      <c r="G100" s="3">
        <f>IFERROR(__xludf.DUMMYFUNCTION("""COMPUTED_VALUE"""),41.0)</f>
        <v>41</v>
      </c>
      <c r="H100" s="3" t="str">
        <f>IFERROR(__xludf.DUMMYFUNCTION("""COMPUTED_VALUE"""),"male")</f>
        <v>male</v>
      </c>
      <c r="I100" s="3" t="str">
        <f>IFERROR(__xludf.DUMMYFUNCTION("""COMPUTED_VALUE"""),"citizen")</f>
        <v>citizen</v>
      </c>
      <c r="J100" s="3" t="str">
        <f>IFERROR(__xludf.DUMMYFUNCTION("""COMPUTED_VALUE"""),"unemployed")</f>
        <v>unemployed</v>
      </c>
      <c r="K100" s="3" t="str">
        <f>IFERROR(__xludf.DUMMYFUNCTION("""COMPUTED_VALUE"""),"tertiary")</f>
        <v>tertiary</v>
      </c>
      <c r="L100" s="3"/>
      <c r="M100" s="3" t="str">
        <f>IFERROR(__xludf.DUMMYFUNCTION("""COMPUTED_VALUE"""),"agree")</f>
        <v>agree</v>
      </c>
      <c r="N100" s="3" t="str">
        <f>IFERROR(__xludf.DUMMYFUNCTION("""COMPUTED_VALUE"""),"agree")</f>
        <v>agree</v>
      </c>
      <c r="O100" s="3" t="str">
        <f>IFERROR(__xludf.DUMMYFUNCTION("""COMPUTED_VALUE"""),"dontknow")</f>
        <v>dontknow</v>
      </c>
      <c r="P100" s="3"/>
      <c r="Q100" s="3" t="str">
        <f>IFERROR(__xludf.DUMMYFUNCTION("""COMPUTED_VALUE"""),"dontknow")</f>
        <v>dontknow</v>
      </c>
      <c r="R100" s="3" t="str">
        <f>IFERROR(__xludf.DUMMYFUNCTION("""COMPUTED_VALUE"""),"agree")</f>
        <v>agree</v>
      </c>
      <c r="S100" s="3" t="str">
        <f>IFERROR(__xludf.DUMMYFUNCTION("""COMPUTED_VALUE"""),"disagree")</f>
        <v>disagree</v>
      </c>
      <c r="T100" s="3" t="str">
        <f>IFERROR(__xludf.DUMMYFUNCTION("""COMPUTED_VALUE"""),"disagree")</f>
        <v>disagree</v>
      </c>
      <c r="U100" s="3" t="str">
        <f>IFERROR(__xludf.DUMMYFUNCTION("""COMPUTED_VALUE"""),"agree")</f>
        <v>agree</v>
      </c>
      <c r="V100" s="3" t="str">
        <f>IFERROR(__xludf.DUMMYFUNCTION("""COMPUTED_VALUE"""),"agree")</f>
        <v>agree</v>
      </c>
      <c r="W100" s="3" t="str">
        <f>IFERROR(__xludf.DUMMYFUNCTION("""COMPUTED_VALUE"""),"dontknow")</f>
        <v>dontknow</v>
      </c>
      <c r="X100" s="3" t="str">
        <f>IFERROR(__xludf.DUMMYFUNCTION("""COMPUTED_VALUE"""),"Silver")</f>
        <v>Silver</v>
      </c>
      <c r="Y100" s="3"/>
      <c r="Z100" s="3" t="str">
        <f>IFERROR(__xludf.DUMMYFUNCTION("""COMPUTED_VALUE"""),"monthly")</f>
        <v>monthly</v>
      </c>
      <c r="AA100" s="3">
        <f>IFERROR(__xludf.DUMMYFUNCTION("""COMPUTED_VALUE"""),50.0)</f>
        <v>50</v>
      </c>
      <c r="AB100" s="3" t="str">
        <f>IFERROR(__xludf.DUMMYFUNCTION("""COMPUTED_VALUE"""),"online")</f>
        <v>online</v>
      </c>
      <c r="AC100" s="3" t="str">
        <f>IFERROR(__xludf.DUMMYFUNCTION("""COMPUTED_VALUE"""),"Yes")</f>
        <v>Yes</v>
      </c>
      <c r="AD100" s="3" t="str">
        <f>IFERROR(__xludf.DUMMYFUNCTION("""COMPUTED_VALUE"""),"Silver")</f>
        <v>Silver</v>
      </c>
      <c r="AE100" s="3" t="str">
        <f>IFERROR(__xludf.DUMMYFUNCTION("""COMPUTED_VALUE"""),"Yes")</f>
        <v>Yes</v>
      </c>
      <c r="AF100" s="3" t="str">
        <f>IFERROR(__xludf.DUMMYFUNCTION("""COMPUTED_VALUE"""),"Yes")</f>
        <v>Yes</v>
      </c>
      <c r="AG100" s="3" t="str">
        <f>IFERROR(__xludf.DUMMYFUNCTION("""COMPUTED_VALUE"""),"Yes")</f>
        <v>Yes</v>
      </c>
      <c r="AH100" s="3">
        <f>IFERROR(__xludf.DUMMYFUNCTION("""COMPUTED_VALUE"""),50.0)</f>
        <v>50</v>
      </c>
      <c r="AI100" s="3">
        <f>IFERROR(__xludf.DUMMYFUNCTION("""COMPUTED_VALUE"""),0.0)</f>
        <v>0</v>
      </c>
      <c r="AJ100" s="3">
        <f>IFERROR(__xludf.DUMMYFUNCTION("""COMPUTED_VALUE"""),0.0)</f>
        <v>0</v>
      </c>
      <c r="AK100" s="3">
        <f>IFERROR(__xludf.DUMMYFUNCTION("""COMPUTED_VALUE"""),0.0)</f>
        <v>0</v>
      </c>
      <c r="AL100" s="3">
        <f>IFERROR(__xludf.DUMMYFUNCTION("""COMPUTED_VALUE"""),1.0)</f>
        <v>1</v>
      </c>
      <c r="AM100" s="3" t="str">
        <f>IFERROR(__xludf.DUMMYFUNCTION("""COMPUTED_VALUE"""),"No")</f>
        <v>No</v>
      </c>
      <c r="AN100" s="3"/>
      <c r="AO100" s="3"/>
      <c r="AP100" s="3">
        <f>IFERROR(__xludf.DUMMYFUNCTION("""COMPUTED_VALUE"""),4.89158046E8)</f>
        <v>489158046</v>
      </c>
      <c r="AQ100" s="3" t="str">
        <f>IFERROR(__xludf.DUMMYFUNCTION("""COMPUTED_VALUE"""),"7de83c10-0394-449b-a1d8-de8805a2bf62")</f>
        <v>7de83c10-0394-449b-a1d8-de8805a2bf62</v>
      </c>
      <c r="AR100" s="3">
        <f>IFERROR(__xludf.DUMMYFUNCTION("""COMPUTED_VALUE"""),45807.200844907406)</f>
        <v>45807.20084</v>
      </c>
      <c r="AS100" s="3"/>
      <c r="AT100" s="3"/>
      <c r="AU100" s="3" t="str">
        <f>IFERROR(__xludf.DUMMYFUNCTION("""COMPUTED_VALUE"""),"submitted_via_web")</f>
        <v>submitted_via_web</v>
      </c>
      <c r="AV100" s="3"/>
      <c r="AW100" s="3" t="str">
        <f>IFERROR(__xludf.DUMMYFUNCTION("""COMPUTED_VALUE"""),"vgUJxCcLkhbxcmcrDMVzkY")</f>
        <v>vgUJxCcLkhbxcmcrDMVzkY</v>
      </c>
      <c r="AX100" s="3"/>
      <c r="AY100" s="3">
        <f>IFERROR(__xludf.DUMMYFUNCTION("""COMPUTED_VALUE"""),99.0)</f>
        <v>99</v>
      </c>
    </row>
    <row r="101">
      <c r="A101" s="3" t="str">
        <f>IFERROR(__xludf.DUMMYFUNCTION("""COMPUTED_VALUE"""),"Yes")</f>
        <v>Yes</v>
      </c>
      <c r="B101" s="3"/>
      <c r="C101" s="3" t="str">
        <f>IFERROR(__xludf.DUMMYFUNCTION("""COMPUTED_VALUE"""),"south_africa")</f>
        <v>south_africa</v>
      </c>
      <c r="D101" s="3"/>
      <c r="E101" s="3" t="str">
        <f>IFERROR(__xludf.DUMMYFUNCTION("""COMPUTED_VALUE"""),"south_africa")</f>
        <v>south_africa</v>
      </c>
      <c r="F101" s="3" t="str">
        <f>IFERROR(__xludf.DUMMYFUNCTION("""COMPUTED_VALUE"""),"City of Tshwane Metropolitan Municipality")</f>
        <v>City of Tshwane Metropolitan Municipality</v>
      </c>
      <c r="G101" s="3">
        <f>IFERROR(__xludf.DUMMYFUNCTION("""COMPUTED_VALUE"""),30.0)</f>
        <v>30</v>
      </c>
      <c r="H101" s="3" t="str">
        <f>IFERROR(__xludf.DUMMYFUNCTION("""COMPUTED_VALUE"""),"female")</f>
        <v>female</v>
      </c>
      <c r="I101" s="3" t="str">
        <f>IFERROR(__xludf.DUMMYFUNCTION("""COMPUTED_VALUE"""),"citizen")</f>
        <v>citizen</v>
      </c>
      <c r="J101" s="3" t="str">
        <f>IFERROR(__xludf.DUMMYFUNCTION("""COMPUTED_VALUE"""),"formal")</f>
        <v>formal</v>
      </c>
      <c r="K101" s="3" t="str">
        <f>IFERROR(__xludf.DUMMYFUNCTION("""COMPUTED_VALUE"""),"tertiary")</f>
        <v>tertiary</v>
      </c>
      <c r="L101" s="3"/>
      <c r="M101" s="3" t="str">
        <f>IFERROR(__xludf.DUMMYFUNCTION("""COMPUTED_VALUE"""),"disagree")</f>
        <v>disagree</v>
      </c>
      <c r="N101" s="3" t="str">
        <f>IFERROR(__xludf.DUMMYFUNCTION("""COMPUTED_VALUE"""),"agree")</f>
        <v>agree</v>
      </c>
      <c r="O101" s="3" t="str">
        <f>IFERROR(__xludf.DUMMYFUNCTION("""COMPUTED_VALUE"""),"disagree")</f>
        <v>disagree</v>
      </c>
      <c r="P101" s="3"/>
      <c r="Q101" s="3" t="str">
        <f>IFERROR(__xludf.DUMMYFUNCTION("""COMPUTED_VALUE"""),"agree")</f>
        <v>agree</v>
      </c>
      <c r="R101" s="3" t="str">
        <f>IFERROR(__xludf.DUMMYFUNCTION("""COMPUTED_VALUE"""),"agree")</f>
        <v>agree</v>
      </c>
      <c r="S101" s="3" t="str">
        <f>IFERROR(__xludf.DUMMYFUNCTION("""COMPUTED_VALUE"""),"agree")</f>
        <v>agree</v>
      </c>
      <c r="T101" s="3" t="str">
        <f>IFERROR(__xludf.DUMMYFUNCTION("""COMPUTED_VALUE"""),"agree")</f>
        <v>agree</v>
      </c>
      <c r="U101" s="3" t="str">
        <f>IFERROR(__xludf.DUMMYFUNCTION("""COMPUTED_VALUE"""),"agree")</f>
        <v>agree</v>
      </c>
      <c r="V101" s="3" t="str">
        <f>IFERROR(__xludf.DUMMYFUNCTION("""COMPUTED_VALUE"""),"agree")</f>
        <v>agree</v>
      </c>
      <c r="W101" s="3" t="str">
        <f>IFERROR(__xludf.DUMMYFUNCTION("""COMPUTED_VALUE"""),"agree")</f>
        <v>agree</v>
      </c>
      <c r="X101" s="3" t="str">
        <f>IFERROR(__xludf.DUMMYFUNCTION("""COMPUTED_VALUE"""),"Gold")</f>
        <v>Gold</v>
      </c>
      <c r="Y101" s="3" t="str">
        <f>IFERROR(__xludf.DUMMYFUNCTION("""COMPUTED_VALUE"""),"cash")</f>
        <v>cash</v>
      </c>
      <c r="Z101" s="3" t="str">
        <f>IFERROR(__xludf.DUMMYFUNCTION("""COMPUTED_VALUE"""),"monthly")</f>
        <v>monthly</v>
      </c>
      <c r="AA101" s="3">
        <f>IFERROR(__xludf.DUMMYFUNCTION("""COMPUTED_VALUE"""),100.0)</f>
        <v>100</v>
      </c>
      <c r="AB101" s="3" t="str">
        <f>IFERROR(__xludf.DUMMYFUNCTION("""COMPUTED_VALUE"""),"assisted")</f>
        <v>assisted</v>
      </c>
      <c r="AC101" s="3" t="str">
        <f>IFERROR(__xludf.DUMMYFUNCTION("""COMPUTED_VALUE"""),"I am not an employer")</f>
        <v>I am not an employer</v>
      </c>
      <c r="AD101" s="3"/>
      <c r="AE101" s="3"/>
      <c r="AF101" s="3" t="str">
        <f>IFERROR(__xludf.DUMMYFUNCTION("""COMPUTED_VALUE"""),"Yes")</f>
        <v>Yes</v>
      </c>
      <c r="AG101" s="3" t="str">
        <f>IFERROR(__xludf.DUMMYFUNCTION("""COMPUTED_VALUE"""),"Yes")</f>
        <v>Yes</v>
      </c>
      <c r="AH101" s="3">
        <f>IFERROR(__xludf.DUMMYFUNCTION("""COMPUTED_VALUE"""),125.0)</f>
        <v>125</v>
      </c>
      <c r="AI101" s="3">
        <f>IFERROR(__xludf.DUMMYFUNCTION("""COMPUTED_VALUE"""),1.0)</f>
        <v>1</v>
      </c>
      <c r="AJ101" s="3">
        <f>IFERROR(__xludf.DUMMYFUNCTION("""COMPUTED_VALUE"""),1.0)</f>
        <v>1</v>
      </c>
      <c r="AK101" s="3">
        <f>IFERROR(__xludf.DUMMYFUNCTION("""COMPUTED_VALUE"""),1.0)</f>
        <v>1</v>
      </c>
      <c r="AL101" s="3">
        <f>IFERROR(__xludf.DUMMYFUNCTION("""COMPUTED_VALUE"""),0.0)</f>
        <v>0</v>
      </c>
      <c r="AM101" s="3" t="str">
        <f>IFERROR(__xludf.DUMMYFUNCTION("""COMPUTED_VALUE"""),"Yes")</f>
        <v>Yes</v>
      </c>
      <c r="AN101" s="3">
        <f>IFERROR(__xludf.DUMMYFUNCTION("""COMPUTED_VALUE"""),7.22406196E8)</f>
        <v>722406196</v>
      </c>
      <c r="AO101" s="3"/>
      <c r="AP101" s="3">
        <f>IFERROR(__xludf.DUMMYFUNCTION("""COMPUTED_VALUE"""),4.8916466E8)</f>
        <v>489164660</v>
      </c>
      <c r="AQ101" s="3" t="str">
        <f>IFERROR(__xludf.DUMMYFUNCTION("""COMPUTED_VALUE"""),"0e5677d1-7871-4d5f-bb3f-a279ac40a57b")</f>
        <v>0e5677d1-7871-4d5f-bb3f-a279ac40a57b</v>
      </c>
      <c r="AR101" s="3">
        <f>IFERROR(__xludf.DUMMYFUNCTION("""COMPUTED_VALUE"""),45807.217141203706)</f>
        <v>45807.21714</v>
      </c>
      <c r="AS101" s="3"/>
      <c r="AT101" s="3"/>
      <c r="AU101" s="3" t="str">
        <f>IFERROR(__xludf.DUMMYFUNCTION("""COMPUTED_VALUE"""),"submitted_via_web")</f>
        <v>submitted_via_web</v>
      </c>
      <c r="AV101" s="3"/>
      <c r="AW101" s="3" t="str">
        <f>IFERROR(__xludf.DUMMYFUNCTION("""COMPUTED_VALUE"""),"vgUJxCcLkhbxcmcrDMVzkY")</f>
        <v>vgUJxCcLkhbxcmcrDMVzkY</v>
      </c>
      <c r="AX101" s="3"/>
      <c r="AY101" s="3">
        <f>IFERROR(__xludf.DUMMYFUNCTION("""COMPUTED_VALUE"""),100.0)</f>
        <v>100</v>
      </c>
    </row>
    <row r="102">
      <c r="A102" s="3" t="str">
        <f>IFERROR(__xludf.DUMMYFUNCTION("""COMPUTED_VALUE"""),"Yes")</f>
        <v>Yes</v>
      </c>
      <c r="B102" s="3"/>
      <c r="C102" s="3" t="str">
        <f>IFERROR(__xludf.DUMMYFUNCTION("""COMPUTED_VALUE"""),"zimbabwe")</f>
        <v>zimbabwe</v>
      </c>
      <c r="D102" s="3"/>
      <c r="E102" s="3" t="str">
        <f>IFERROR(__xludf.DUMMYFUNCTION("""COMPUTED_VALUE"""),"south_africa")</f>
        <v>south_africa</v>
      </c>
      <c r="F102" s="3" t="str">
        <f>IFERROR(__xludf.DUMMYFUNCTION("""COMPUTED_VALUE"""),"City of Tshwane Metropolitan Municipality")</f>
        <v>City of Tshwane Metropolitan Municipality</v>
      </c>
      <c r="G102" s="3">
        <f>IFERROR(__xludf.DUMMYFUNCTION("""COMPUTED_VALUE"""),40.0)</f>
        <v>40</v>
      </c>
      <c r="H102" s="3" t="str">
        <f>IFERROR(__xludf.DUMMYFUNCTION("""COMPUTED_VALUE"""),"male")</f>
        <v>male</v>
      </c>
      <c r="I102" s="3" t="str">
        <f>IFERROR(__xludf.DUMMYFUNCTION("""COMPUTED_VALUE"""),"over5")</f>
        <v>over5</v>
      </c>
      <c r="J102" s="3" t="str">
        <f>IFERROR(__xludf.DUMMYFUNCTION("""COMPUTED_VALUE"""),"formal")</f>
        <v>formal</v>
      </c>
      <c r="K102" s="3" t="str">
        <f>IFERROR(__xludf.DUMMYFUNCTION("""COMPUTED_VALUE"""),"tertiary")</f>
        <v>tertiary</v>
      </c>
      <c r="L102" s="3"/>
      <c r="M102" s="3" t="str">
        <f>IFERROR(__xludf.DUMMYFUNCTION("""COMPUTED_VALUE"""),"agree")</f>
        <v>agree</v>
      </c>
      <c r="N102" s="3" t="str">
        <f>IFERROR(__xludf.DUMMYFUNCTION("""COMPUTED_VALUE"""),"agree")</f>
        <v>agree</v>
      </c>
      <c r="O102" s="3" t="str">
        <f>IFERROR(__xludf.DUMMYFUNCTION("""COMPUTED_VALUE"""),"disagree")</f>
        <v>disagree</v>
      </c>
      <c r="P102" s="3"/>
      <c r="Q102" s="3" t="str">
        <f>IFERROR(__xludf.DUMMYFUNCTION("""COMPUTED_VALUE"""),"disagree")</f>
        <v>disagree</v>
      </c>
      <c r="R102" s="3" t="str">
        <f>IFERROR(__xludf.DUMMYFUNCTION("""COMPUTED_VALUE"""),"agree")</f>
        <v>agree</v>
      </c>
      <c r="S102" s="3" t="str">
        <f>IFERROR(__xludf.DUMMYFUNCTION("""COMPUTED_VALUE"""),"disagree")</f>
        <v>disagree</v>
      </c>
      <c r="T102" s="3" t="str">
        <f>IFERROR(__xludf.DUMMYFUNCTION("""COMPUTED_VALUE"""),"disagree")</f>
        <v>disagree</v>
      </c>
      <c r="U102" s="3" t="str">
        <f>IFERROR(__xludf.DUMMYFUNCTION("""COMPUTED_VALUE"""),"agree")</f>
        <v>agree</v>
      </c>
      <c r="V102" s="3" t="str">
        <f>IFERROR(__xludf.DUMMYFUNCTION("""COMPUTED_VALUE"""),"agree")</f>
        <v>agree</v>
      </c>
      <c r="W102" s="3" t="str">
        <f>IFERROR(__xludf.DUMMYFUNCTION("""COMPUTED_VALUE"""),"disagree")</f>
        <v>disagree</v>
      </c>
      <c r="X102" s="3" t="str">
        <f>IFERROR(__xludf.DUMMYFUNCTION("""COMPUTED_VALUE"""),"Platinum")</f>
        <v>Platinum</v>
      </c>
      <c r="Y102" s="3" t="str">
        <f>IFERROR(__xludf.DUMMYFUNCTION("""COMPUTED_VALUE"""),"insurance")</f>
        <v>insurance</v>
      </c>
      <c r="Z102" s="3" t="str">
        <f>IFERROR(__xludf.DUMMYFUNCTION("""COMPUTED_VALUE"""),"annual")</f>
        <v>annual</v>
      </c>
      <c r="AA102" s="3">
        <f>IFERROR(__xludf.DUMMYFUNCTION("""COMPUTED_VALUE"""),100.0)</f>
        <v>100</v>
      </c>
      <c r="AB102" s="3" t="str">
        <f>IFERROR(__xludf.DUMMYFUNCTION("""COMPUTED_VALUE"""),"assisted")</f>
        <v>assisted</v>
      </c>
      <c r="AC102" s="3" t="str">
        <f>IFERROR(__xludf.DUMMYFUNCTION("""COMPUTED_VALUE"""),"Yes")</f>
        <v>Yes</v>
      </c>
      <c r="AD102" s="3" t="str">
        <f>IFERROR(__xludf.DUMMYFUNCTION("""COMPUTED_VALUE"""),"Lithium")</f>
        <v>Lithium</v>
      </c>
      <c r="AE102" s="3" t="str">
        <f>IFERROR(__xludf.DUMMYFUNCTION("""COMPUTED_VALUE"""),"Yes")</f>
        <v>Yes</v>
      </c>
      <c r="AF102" s="3" t="str">
        <f>IFERROR(__xludf.DUMMYFUNCTION("""COMPUTED_VALUE"""),"Yes")</f>
        <v>Yes</v>
      </c>
      <c r="AG102" s="3" t="str">
        <f>IFERROR(__xludf.DUMMYFUNCTION("""COMPUTED_VALUE"""),"No")</f>
        <v>No</v>
      </c>
      <c r="AH102" s="3"/>
      <c r="AI102" s="3">
        <f>IFERROR(__xludf.DUMMYFUNCTION("""COMPUTED_VALUE"""),0.0)</f>
        <v>0</v>
      </c>
      <c r="AJ102" s="3">
        <f>IFERROR(__xludf.DUMMYFUNCTION("""COMPUTED_VALUE"""),1.0)</f>
        <v>1</v>
      </c>
      <c r="AK102" s="3">
        <f>IFERROR(__xludf.DUMMYFUNCTION("""COMPUTED_VALUE"""),0.0)</f>
        <v>0</v>
      </c>
      <c r="AL102" s="3">
        <f>IFERROR(__xludf.DUMMYFUNCTION("""COMPUTED_VALUE"""),0.0)</f>
        <v>0</v>
      </c>
      <c r="AM102" s="3" t="str">
        <f>IFERROR(__xludf.DUMMYFUNCTION("""COMPUTED_VALUE"""),"Yes")</f>
        <v>Yes</v>
      </c>
      <c r="AN102" s="3">
        <f>IFERROR(__xludf.DUMMYFUNCTION("""COMPUTED_VALUE"""),7.49037713E8)</f>
        <v>749037713</v>
      </c>
      <c r="AO102" s="3"/>
      <c r="AP102" s="3">
        <f>IFERROR(__xludf.DUMMYFUNCTION("""COMPUTED_VALUE"""),4.89165434E8)</f>
        <v>489165434</v>
      </c>
      <c r="AQ102" s="3" t="str">
        <f>IFERROR(__xludf.DUMMYFUNCTION("""COMPUTED_VALUE"""),"2c78a8d5-a192-4034-ab1b-80a72ead128d")</f>
        <v>2c78a8d5-a192-4034-ab1b-80a72ead128d</v>
      </c>
      <c r="AR102" s="3">
        <f>IFERROR(__xludf.DUMMYFUNCTION("""COMPUTED_VALUE"""),45807.21875)</f>
        <v>45807.21875</v>
      </c>
      <c r="AS102" s="3"/>
      <c r="AT102" s="3"/>
      <c r="AU102" s="3" t="str">
        <f>IFERROR(__xludf.DUMMYFUNCTION("""COMPUTED_VALUE"""),"submitted_via_web")</f>
        <v>submitted_via_web</v>
      </c>
      <c r="AV102" s="3"/>
      <c r="AW102" s="3" t="str">
        <f>IFERROR(__xludf.DUMMYFUNCTION("""COMPUTED_VALUE"""),"vgUJxCcLkhbxcmcrDMVzkY")</f>
        <v>vgUJxCcLkhbxcmcrDMVzkY</v>
      </c>
      <c r="AX102" s="3"/>
      <c r="AY102" s="3">
        <f>IFERROR(__xludf.DUMMYFUNCTION("""COMPUTED_VALUE"""),101.0)</f>
        <v>101</v>
      </c>
    </row>
    <row r="103">
      <c r="A103" s="3" t="str">
        <f>IFERROR(__xludf.DUMMYFUNCTION("""COMPUTED_VALUE"""),"Yes")</f>
        <v>Yes</v>
      </c>
      <c r="B103" s="3"/>
      <c r="C103" s="3" t="str">
        <f>IFERROR(__xludf.DUMMYFUNCTION("""COMPUTED_VALUE"""),"south_africa")</f>
        <v>south_africa</v>
      </c>
      <c r="D103" s="3"/>
      <c r="E103" s="3" t="str">
        <f>IFERROR(__xludf.DUMMYFUNCTION("""COMPUTED_VALUE"""),"south_africa")</f>
        <v>south_africa</v>
      </c>
      <c r="F103" s="3" t="str">
        <f>IFERROR(__xludf.DUMMYFUNCTION("""COMPUTED_VALUE"""),"Gert Sibande District")</f>
        <v>Gert Sibande District</v>
      </c>
      <c r="G103" s="3">
        <f>IFERROR(__xludf.DUMMYFUNCTION("""COMPUTED_VALUE"""),37.0)</f>
        <v>37</v>
      </c>
      <c r="H103" s="3" t="str">
        <f>IFERROR(__xludf.DUMMYFUNCTION("""COMPUTED_VALUE"""),"female")</f>
        <v>female</v>
      </c>
      <c r="I103" s="3" t="str">
        <f>IFERROR(__xludf.DUMMYFUNCTION("""COMPUTED_VALUE"""),"citizen")</f>
        <v>citizen</v>
      </c>
      <c r="J103" s="3" t="str">
        <f>IFERROR(__xludf.DUMMYFUNCTION("""COMPUTED_VALUE"""),"unemployed")</f>
        <v>unemployed</v>
      </c>
      <c r="K103" s="3" t="str">
        <f>IFERROR(__xludf.DUMMYFUNCTION("""COMPUTED_VALUE"""),"tertiary")</f>
        <v>tertiary</v>
      </c>
      <c r="L103" s="3"/>
      <c r="M103" s="3" t="str">
        <f>IFERROR(__xludf.DUMMYFUNCTION("""COMPUTED_VALUE"""),"agree")</f>
        <v>agree</v>
      </c>
      <c r="N103" s="3" t="str">
        <f>IFERROR(__xludf.DUMMYFUNCTION("""COMPUTED_VALUE"""),"agree")</f>
        <v>agree</v>
      </c>
      <c r="O103" s="3" t="str">
        <f>IFERROR(__xludf.DUMMYFUNCTION("""COMPUTED_VALUE"""),"agree")</f>
        <v>agree</v>
      </c>
      <c r="P103" s="3"/>
      <c r="Q103" s="3" t="str">
        <f>IFERROR(__xludf.DUMMYFUNCTION("""COMPUTED_VALUE"""),"disagree")</f>
        <v>disagree</v>
      </c>
      <c r="R103" s="3" t="str">
        <f>IFERROR(__xludf.DUMMYFUNCTION("""COMPUTED_VALUE"""),"agree")</f>
        <v>agree</v>
      </c>
      <c r="S103" s="3" t="str">
        <f>IFERROR(__xludf.DUMMYFUNCTION("""COMPUTED_VALUE"""),"agree")</f>
        <v>agree</v>
      </c>
      <c r="T103" s="3" t="str">
        <f>IFERROR(__xludf.DUMMYFUNCTION("""COMPUTED_VALUE"""),"disagree")</f>
        <v>disagree</v>
      </c>
      <c r="U103" s="3" t="str">
        <f>IFERROR(__xludf.DUMMYFUNCTION("""COMPUTED_VALUE"""),"agree")</f>
        <v>agree</v>
      </c>
      <c r="V103" s="3" t="str">
        <f>IFERROR(__xludf.DUMMYFUNCTION("""COMPUTED_VALUE"""),"agree")</f>
        <v>agree</v>
      </c>
      <c r="W103" s="3" t="str">
        <f>IFERROR(__xludf.DUMMYFUNCTION("""COMPUTED_VALUE"""),"disagree")</f>
        <v>disagree</v>
      </c>
      <c r="X103" s="3" t="str">
        <f>IFERROR(__xludf.DUMMYFUNCTION("""COMPUTED_VALUE"""),"Silver")</f>
        <v>Silver</v>
      </c>
      <c r="Y103" s="3" t="str">
        <f>IFERROR(__xludf.DUMMYFUNCTION("""COMPUTED_VALUE"""),"card")</f>
        <v>card</v>
      </c>
      <c r="Z103" s="3" t="str">
        <f>IFERROR(__xludf.DUMMYFUNCTION("""COMPUTED_VALUE"""),"once")</f>
        <v>once</v>
      </c>
      <c r="AA103" s="3">
        <f>IFERROR(__xludf.DUMMYFUNCTION("""COMPUTED_VALUE"""),50.0)</f>
        <v>50</v>
      </c>
      <c r="AB103" s="3" t="str">
        <f>IFERROR(__xludf.DUMMYFUNCTION("""COMPUTED_VALUE"""),"assisted")</f>
        <v>assisted</v>
      </c>
      <c r="AC103" s="3" t="str">
        <f>IFERROR(__xludf.DUMMYFUNCTION("""COMPUTED_VALUE"""),"I am not an employer")</f>
        <v>I am not an employer</v>
      </c>
      <c r="AD103" s="3"/>
      <c r="AE103" s="3"/>
      <c r="AF103" s="3" t="str">
        <f>IFERROR(__xludf.DUMMYFUNCTION("""COMPUTED_VALUE"""),"Yes")</f>
        <v>Yes</v>
      </c>
      <c r="AG103" s="3" t="str">
        <f>IFERROR(__xludf.DUMMYFUNCTION("""COMPUTED_VALUE"""),"Yes")</f>
        <v>Yes</v>
      </c>
      <c r="AH103" s="3"/>
      <c r="AI103" s="3">
        <f>IFERROR(__xludf.DUMMYFUNCTION("""COMPUTED_VALUE"""),1.0)</f>
        <v>1</v>
      </c>
      <c r="AJ103" s="3">
        <f>IFERROR(__xludf.DUMMYFUNCTION("""COMPUTED_VALUE"""),1.0)</f>
        <v>1</v>
      </c>
      <c r="AK103" s="3">
        <f>IFERROR(__xludf.DUMMYFUNCTION("""COMPUTED_VALUE"""),1.0)</f>
        <v>1</v>
      </c>
      <c r="AL103" s="3">
        <f>IFERROR(__xludf.DUMMYFUNCTION("""COMPUTED_VALUE"""),0.0)</f>
        <v>0</v>
      </c>
      <c r="AM103" s="3" t="str">
        <f>IFERROR(__xludf.DUMMYFUNCTION("""COMPUTED_VALUE"""),"Yes")</f>
        <v>Yes</v>
      </c>
      <c r="AN103" s="3">
        <f>IFERROR(__xludf.DUMMYFUNCTION("""COMPUTED_VALUE"""),7.63000151E8)</f>
        <v>763000151</v>
      </c>
      <c r="AO103" s="3"/>
      <c r="AP103" s="3">
        <f>IFERROR(__xludf.DUMMYFUNCTION("""COMPUTED_VALUE"""),4.89181341E8)</f>
        <v>489181341</v>
      </c>
      <c r="AQ103" s="3" t="str">
        <f>IFERROR(__xludf.DUMMYFUNCTION("""COMPUTED_VALUE"""),"32bf0fe3-5e98-4a93-9a71-64f65909f0b7")</f>
        <v>32bf0fe3-5e98-4a93-9a71-64f65909f0b7</v>
      </c>
      <c r="AR103" s="3">
        <f>IFERROR(__xludf.DUMMYFUNCTION("""COMPUTED_VALUE"""),45807.250439814816)</f>
        <v>45807.25044</v>
      </c>
      <c r="AS103" s="3"/>
      <c r="AT103" s="3"/>
      <c r="AU103" s="3" t="str">
        <f>IFERROR(__xludf.DUMMYFUNCTION("""COMPUTED_VALUE"""),"submitted_via_web")</f>
        <v>submitted_via_web</v>
      </c>
      <c r="AV103" s="3"/>
      <c r="AW103" s="3" t="str">
        <f>IFERROR(__xludf.DUMMYFUNCTION("""COMPUTED_VALUE"""),"vgUJxCcLkhbxcmcrDMVzkY")</f>
        <v>vgUJxCcLkhbxcmcrDMVzkY</v>
      </c>
      <c r="AX103" s="3"/>
      <c r="AY103" s="3">
        <f>IFERROR(__xludf.DUMMYFUNCTION("""COMPUTED_VALUE"""),102.0)</f>
        <v>102</v>
      </c>
    </row>
    <row r="104">
      <c r="A104" s="3" t="str">
        <f>IFERROR(__xludf.DUMMYFUNCTION("""COMPUTED_VALUE"""),"Yes")</f>
        <v>Yes</v>
      </c>
      <c r="B104" s="3"/>
      <c r="C104" s="3" t="str">
        <f>IFERROR(__xludf.DUMMYFUNCTION("""COMPUTED_VALUE"""),"lesotho")</f>
        <v>lesotho</v>
      </c>
      <c r="D104" s="3"/>
      <c r="E104" s="3" t="str">
        <f>IFERROR(__xludf.DUMMYFUNCTION("""COMPUTED_VALUE"""),"lesotho")</f>
        <v>lesotho</v>
      </c>
      <c r="F104" s="3"/>
      <c r="G104" s="3">
        <f>IFERROR(__xludf.DUMMYFUNCTION("""COMPUTED_VALUE"""),39.0)</f>
        <v>39</v>
      </c>
      <c r="H104" s="3" t="str">
        <f>IFERROR(__xludf.DUMMYFUNCTION("""COMPUTED_VALUE"""),"female")</f>
        <v>female</v>
      </c>
      <c r="I104" s="3"/>
      <c r="J104" s="3" t="str">
        <f>IFERROR(__xludf.DUMMYFUNCTION("""COMPUTED_VALUE"""),"formal")</f>
        <v>formal</v>
      </c>
      <c r="K104" s="3" t="str">
        <f>IFERROR(__xludf.DUMMYFUNCTION("""COMPUTED_VALUE"""),"tertiary")</f>
        <v>tertiary</v>
      </c>
      <c r="L104" s="3"/>
      <c r="M104" s="3" t="str">
        <f>IFERROR(__xludf.DUMMYFUNCTION("""COMPUTED_VALUE"""),"agree")</f>
        <v>agree</v>
      </c>
      <c r="N104" s="3" t="str">
        <f>IFERROR(__xludf.DUMMYFUNCTION("""COMPUTED_VALUE"""),"dontknow")</f>
        <v>dontknow</v>
      </c>
      <c r="O104" s="3" t="str">
        <f>IFERROR(__xludf.DUMMYFUNCTION("""COMPUTED_VALUE"""),"disagree")</f>
        <v>disagree</v>
      </c>
      <c r="P104" s="3"/>
      <c r="Q104" s="3" t="str">
        <f>IFERROR(__xludf.DUMMYFUNCTION("""COMPUTED_VALUE"""),"disagree")</f>
        <v>disagree</v>
      </c>
      <c r="R104" s="3" t="str">
        <f>IFERROR(__xludf.DUMMYFUNCTION("""COMPUTED_VALUE"""),"agree")</f>
        <v>agree</v>
      </c>
      <c r="S104" s="3" t="str">
        <f>IFERROR(__xludf.DUMMYFUNCTION("""COMPUTED_VALUE"""),"disagree")</f>
        <v>disagree</v>
      </c>
      <c r="T104" s="3" t="str">
        <f>IFERROR(__xludf.DUMMYFUNCTION("""COMPUTED_VALUE"""),"disagree")</f>
        <v>disagree</v>
      </c>
      <c r="U104" s="3" t="str">
        <f>IFERROR(__xludf.DUMMYFUNCTION("""COMPUTED_VALUE"""),"agree")</f>
        <v>agree</v>
      </c>
      <c r="V104" s="3" t="str">
        <f>IFERROR(__xludf.DUMMYFUNCTION("""COMPUTED_VALUE"""),"disagree")</f>
        <v>disagree</v>
      </c>
      <c r="W104" s="3" t="str">
        <f>IFERROR(__xludf.DUMMYFUNCTION("""COMPUTED_VALUE"""),"disagree")</f>
        <v>disagree</v>
      </c>
      <c r="X104" s="3" t="str">
        <f>IFERROR(__xludf.DUMMYFUNCTION("""COMPUTED_VALUE"""),"Lithium")</f>
        <v>Lithium</v>
      </c>
      <c r="Y104" s="3" t="str">
        <f>IFERROR(__xludf.DUMMYFUNCTION("""COMPUTED_VALUE"""),"na")</f>
        <v>na</v>
      </c>
      <c r="Z104" s="3" t="str">
        <f>IFERROR(__xludf.DUMMYFUNCTION("""COMPUTED_VALUE"""),"annual")</f>
        <v>annual</v>
      </c>
      <c r="AA104" s="3">
        <f>IFERROR(__xludf.DUMMYFUNCTION("""COMPUTED_VALUE"""),10.0)</f>
        <v>10</v>
      </c>
      <c r="AB104" s="3" t="str">
        <f>IFERROR(__xludf.DUMMYFUNCTION("""COMPUTED_VALUE"""),"assisted")</f>
        <v>assisted</v>
      </c>
      <c r="AC104" s="3" t="str">
        <f>IFERROR(__xludf.DUMMYFUNCTION("""COMPUTED_VALUE"""),"I am not an employer")</f>
        <v>I am not an employer</v>
      </c>
      <c r="AD104" s="3"/>
      <c r="AE104" s="3"/>
      <c r="AF104" s="3" t="str">
        <f>IFERROR(__xludf.DUMMYFUNCTION("""COMPUTED_VALUE"""),"Yes")</f>
        <v>Yes</v>
      </c>
      <c r="AG104" s="3" t="str">
        <f>IFERROR(__xludf.DUMMYFUNCTION("""COMPUTED_VALUE"""),"Yes")</f>
        <v>Yes</v>
      </c>
      <c r="AH104" s="3">
        <f>IFERROR(__xludf.DUMMYFUNCTION("""COMPUTED_VALUE"""),4000.0)</f>
        <v>4000</v>
      </c>
      <c r="AI104" s="3">
        <f>IFERROR(__xludf.DUMMYFUNCTION("""COMPUTED_VALUE"""),1.0)</f>
        <v>1</v>
      </c>
      <c r="AJ104" s="3">
        <f>IFERROR(__xludf.DUMMYFUNCTION("""COMPUTED_VALUE"""),1.0)</f>
        <v>1</v>
      </c>
      <c r="AK104" s="3">
        <f>IFERROR(__xludf.DUMMYFUNCTION("""COMPUTED_VALUE"""),0.0)</f>
        <v>0</v>
      </c>
      <c r="AL104" s="3">
        <f>IFERROR(__xludf.DUMMYFUNCTION("""COMPUTED_VALUE"""),0.0)</f>
        <v>0</v>
      </c>
      <c r="AM104" s="3"/>
      <c r="AN104" s="3"/>
      <c r="AO104" s="3"/>
      <c r="AP104" s="3">
        <f>IFERROR(__xludf.DUMMYFUNCTION("""COMPUTED_VALUE"""),4.89189157E8)</f>
        <v>489189157</v>
      </c>
      <c r="AQ104" s="3" t="str">
        <f>IFERROR(__xludf.DUMMYFUNCTION("""COMPUTED_VALUE"""),"a772f35d-39f3-4226-b5b4-9673302c74f1")</f>
        <v>a772f35d-39f3-4226-b5b4-9673302c74f1</v>
      </c>
      <c r="AR104" s="3">
        <f>IFERROR(__xludf.DUMMYFUNCTION("""COMPUTED_VALUE"""),45807.262337962966)</f>
        <v>45807.26234</v>
      </c>
      <c r="AS104" s="3"/>
      <c r="AT104" s="3"/>
      <c r="AU104" s="3" t="str">
        <f>IFERROR(__xludf.DUMMYFUNCTION("""COMPUTED_VALUE"""),"submitted_via_web")</f>
        <v>submitted_via_web</v>
      </c>
      <c r="AV104" s="3"/>
      <c r="AW104" s="3" t="str">
        <f>IFERROR(__xludf.DUMMYFUNCTION("""COMPUTED_VALUE"""),"vgUJxCcLkhbxcmcrDMVzkY")</f>
        <v>vgUJxCcLkhbxcmcrDMVzkY</v>
      </c>
      <c r="AX104" s="3"/>
      <c r="AY104" s="3">
        <f>IFERROR(__xludf.DUMMYFUNCTION("""COMPUTED_VALUE"""),103.0)</f>
        <v>103</v>
      </c>
    </row>
    <row r="105">
      <c r="A105" s="3" t="str">
        <f>IFERROR(__xludf.DUMMYFUNCTION("""COMPUTED_VALUE"""),"Yes")</f>
        <v>Yes</v>
      </c>
      <c r="B105" s="3"/>
      <c r="C105" s="3" t="str">
        <f>IFERROR(__xludf.DUMMYFUNCTION("""COMPUTED_VALUE"""),"lesotho")</f>
        <v>lesotho</v>
      </c>
      <c r="D105" s="3"/>
      <c r="E105" s="3" t="str">
        <f>IFERROR(__xludf.DUMMYFUNCTION("""COMPUTED_VALUE"""),"lesotho")</f>
        <v>lesotho</v>
      </c>
      <c r="F105" s="3"/>
      <c r="G105" s="3">
        <f>IFERROR(__xludf.DUMMYFUNCTION("""COMPUTED_VALUE"""),37.0)</f>
        <v>37</v>
      </c>
      <c r="H105" s="3" t="str">
        <f>IFERROR(__xludf.DUMMYFUNCTION("""COMPUTED_VALUE"""),"male")</f>
        <v>male</v>
      </c>
      <c r="I105" s="3"/>
      <c r="J105" s="3" t="str">
        <f>IFERROR(__xludf.DUMMYFUNCTION("""COMPUTED_VALUE"""),"unemployed")</f>
        <v>unemployed</v>
      </c>
      <c r="K105" s="3" t="str">
        <f>IFERROR(__xludf.DUMMYFUNCTION("""COMPUTED_VALUE"""),"vocational")</f>
        <v>vocational</v>
      </c>
      <c r="L105" s="3"/>
      <c r="M105" s="3" t="str">
        <f>IFERROR(__xludf.DUMMYFUNCTION("""COMPUTED_VALUE"""),"agree")</f>
        <v>agree</v>
      </c>
      <c r="N105" s="3" t="str">
        <f>IFERROR(__xludf.DUMMYFUNCTION("""COMPUTED_VALUE"""),"agree")</f>
        <v>agree</v>
      </c>
      <c r="O105" s="3" t="str">
        <f>IFERROR(__xludf.DUMMYFUNCTION("""COMPUTED_VALUE"""),"disagree")</f>
        <v>disagree</v>
      </c>
      <c r="P105" s="3"/>
      <c r="Q105" s="3" t="str">
        <f>IFERROR(__xludf.DUMMYFUNCTION("""COMPUTED_VALUE"""),"disagree")</f>
        <v>disagree</v>
      </c>
      <c r="R105" s="3" t="str">
        <f>IFERROR(__xludf.DUMMYFUNCTION("""COMPUTED_VALUE"""),"agree")</f>
        <v>agree</v>
      </c>
      <c r="S105" s="3" t="str">
        <f>IFERROR(__xludf.DUMMYFUNCTION("""COMPUTED_VALUE"""),"agree")</f>
        <v>agree</v>
      </c>
      <c r="T105" s="3" t="str">
        <f>IFERROR(__xludf.DUMMYFUNCTION("""COMPUTED_VALUE"""),"agree")</f>
        <v>agree</v>
      </c>
      <c r="U105" s="3" t="str">
        <f>IFERROR(__xludf.DUMMYFUNCTION("""COMPUTED_VALUE"""),"disagree")</f>
        <v>disagree</v>
      </c>
      <c r="V105" s="3" t="str">
        <f>IFERROR(__xludf.DUMMYFUNCTION("""COMPUTED_VALUE"""),"agree")</f>
        <v>agree</v>
      </c>
      <c r="W105" s="3" t="str">
        <f>IFERROR(__xludf.DUMMYFUNCTION("""COMPUTED_VALUE"""),"disagree")</f>
        <v>disagree</v>
      </c>
      <c r="X105" s="3" t="str">
        <f>IFERROR(__xludf.DUMMYFUNCTION("""COMPUTED_VALUE"""),"Gold")</f>
        <v>Gold</v>
      </c>
      <c r="Y105" s="3" t="str">
        <f>IFERROR(__xludf.DUMMYFUNCTION("""COMPUTED_VALUE"""),"card")</f>
        <v>card</v>
      </c>
      <c r="Z105" s="3" t="str">
        <f>IFERROR(__xludf.DUMMYFUNCTION("""COMPUTED_VALUE"""),"monthly")</f>
        <v>monthly</v>
      </c>
      <c r="AA105" s="3">
        <f>IFERROR(__xludf.DUMMYFUNCTION("""COMPUTED_VALUE"""),100.0)</f>
        <v>100</v>
      </c>
      <c r="AB105" s="3" t="str">
        <f>IFERROR(__xludf.DUMMYFUNCTION("""COMPUTED_VALUE"""),"online")</f>
        <v>online</v>
      </c>
      <c r="AC105" s="3" t="str">
        <f>IFERROR(__xludf.DUMMYFUNCTION("""COMPUTED_VALUE"""),"I am not an employer")</f>
        <v>I am not an employer</v>
      </c>
      <c r="AD105" s="3"/>
      <c r="AE105" s="3"/>
      <c r="AF105" s="3" t="str">
        <f>IFERROR(__xludf.DUMMYFUNCTION("""COMPUTED_VALUE"""),"Yes")</f>
        <v>Yes</v>
      </c>
      <c r="AG105" s="3" t="str">
        <f>IFERROR(__xludf.DUMMYFUNCTION("""COMPUTED_VALUE"""),"No")</f>
        <v>No</v>
      </c>
      <c r="AH105" s="3"/>
      <c r="AI105" s="3">
        <f>IFERROR(__xludf.DUMMYFUNCTION("""COMPUTED_VALUE"""),0.0)</f>
        <v>0</v>
      </c>
      <c r="AJ105" s="3">
        <f>IFERROR(__xludf.DUMMYFUNCTION("""COMPUTED_VALUE"""),0.0)</f>
        <v>0</v>
      </c>
      <c r="AK105" s="3">
        <f>IFERROR(__xludf.DUMMYFUNCTION("""COMPUTED_VALUE"""),0.0)</f>
        <v>0</v>
      </c>
      <c r="AL105" s="3">
        <f>IFERROR(__xludf.DUMMYFUNCTION("""COMPUTED_VALUE"""),1.0)</f>
        <v>1</v>
      </c>
      <c r="AM105" s="3"/>
      <c r="AN105" s="3"/>
      <c r="AO105" s="3"/>
      <c r="AP105" s="3">
        <f>IFERROR(__xludf.DUMMYFUNCTION("""COMPUTED_VALUE"""),4.89193078E8)</f>
        <v>489193078</v>
      </c>
      <c r="AQ105" s="3" t="str">
        <f>IFERROR(__xludf.DUMMYFUNCTION("""COMPUTED_VALUE"""),"b6be9fb0-356f-4238-9098-ddd61fbf7d34")</f>
        <v>b6be9fb0-356f-4238-9098-ddd61fbf7d34</v>
      </c>
      <c r="AR105" s="3">
        <f>IFERROR(__xludf.DUMMYFUNCTION("""COMPUTED_VALUE"""),45807.26929398148)</f>
        <v>45807.26929</v>
      </c>
      <c r="AS105" s="3"/>
      <c r="AT105" s="3"/>
      <c r="AU105" s="3" t="str">
        <f>IFERROR(__xludf.DUMMYFUNCTION("""COMPUTED_VALUE"""),"submitted_via_web")</f>
        <v>submitted_via_web</v>
      </c>
      <c r="AV105" s="3"/>
      <c r="AW105" s="3" t="str">
        <f>IFERROR(__xludf.DUMMYFUNCTION("""COMPUTED_VALUE"""),"vgUJxCcLkhbxcmcrDMVzkY")</f>
        <v>vgUJxCcLkhbxcmcrDMVzkY</v>
      </c>
      <c r="AX105" s="3"/>
      <c r="AY105" s="3">
        <f>IFERROR(__xludf.DUMMYFUNCTION("""COMPUTED_VALUE"""),104.0)</f>
        <v>104</v>
      </c>
    </row>
    <row r="106">
      <c r="A106" s="3" t="str">
        <f>IFERROR(__xludf.DUMMYFUNCTION("""COMPUTED_VALUE"""),"Yes")</f>
        <v>Yes</v>
      </c>
      <c r="B106" s="3"/>
      <c r="C106" s="3" t="str">
        <f>IFERROR(__xludf.DUMMYFUNCTION("""COMPUTED_VALUE"""),"lesotho")</f>
        <v>lesotho</v>
      </c>
      <c r="D106" s="3"/>
      <c r="E106" s="3" t="str">
        <f>IFERROR(__xludf.DUMMYFUNCTION("""COMPUTED_VALUE"""),"south_africa")</f>
        <v>south_africa</v>
      </c>
      <c r="F106" s="3" t="str">
        <f>IFERROR(__xludf.DUMMYFUNCTION("""COMPUTED_VALUE"""),"City of Johannesburg Metropolitan Municipality")</f>
        <v>City of Johannesburg Metropolitan Municipality</v>
      </c>
      <c r="G106" s="3">
        <f>IFERROR(__xludf.DUMMYFUNCTION("""COMPUTED_VALUE"""),39.0)</f>
        <v>39</v>
      </c>
      <c r="H106" s="3" t="str">
        <f>IFERROR(__xludf.DUMMYFUNCTION("""COMPUTED_VALUE"""),"male")</f>
        <v>male</v>
      </c>
      <c r="I106" s="3" t="str">
        <f>IFERROR(__xludf.DUMMYFUNCTION("""COMPUTED_VALUE"""),"over5")</f>
        <v>over5</v>
      </c>
      <c r="J106" s="3" t="str">
        <f>IFERROR(__xludf.DUMMYFUNCTION("""COMPUTED_VALUE"""),"formal")</f>
        <v>formal</v>
      </c>
      <c r="K106" s="3" t="str">
        <f>IFERROR(__xludf.DUMMYFUNCTION("""COMPUTED_VALUE"""),"tertiary")</f>
        <v>tertiary</v>
      </c>
      <c r="L106" s="3"/>
      <c r="M106" s="3" t="str">
        <f>IFERROR(__xludf.DUMMYFUNCTION("""COMPUTED_VALUE"""),"agree")</f>
        <v>agree</v>
      </c>
      <c r="N106" s="3" t="str">
        <f>IFERROR(__xludf.DUMMYFUNCTION("""COMPUTED_VALUE"""),"agree")</f>
        <v>agree</v>
      </c>
      <c r="O106" s="3" t="str">
        <f>IFERROR(__xludf.DUMMYFUNCTION("""COMPUTED_VALUE"""),"agree")</f>
        <v>agree</v>
      </c>
      <c r="P106" s="3"/>
      <c r="Q106" s="3" t="str">
        <f>IFERROR(__xludf.DUMMYFUNCTION("""COMPUTED_VALUE"""),"agree")</f>
        <v>agree</v>
      </c>
      <c r="R106" s="3" t="str">
        <f>IFERROR(__xludf.DUMMYFUNCTION("""COMPUTED_VALUE"""),"agree")</f>
        <v>agree</v>
      </c>
      <c r="S106" s="3" t="str">
        <f>IFERROR(__xludf.DUMMYFUNCTION("""COMPUTED_VALUE"""),"dontknow")</f>
        <v>dontknow</v>
      </c>
      <c r="T106" s="3" t="str">
        <f>IFERROR(__xludf.DUMMYFUNCTION("""COMPUTED_VALUE"""),"dontknow")</f>
        <v>dontknow</v>
      </c>
      <c r="U106" s="3" t="str">
        <f>IFERROR(__xludf.DUMMYFUNCTION("""COMPUTED_VALUE"""),"agree")</f>
        <v>agree</v>
      </c>
      <c r="V106" s="3" t="str">
        <f>IFERROR(__xludf.DUMMYFUNCTION("""COMPUTED_VALUE"""),"agree")</f>
        <v>agree</v>
      </c>
      <c r="W106" s="3" t="str">
        <f>IFERROR(__xludf.DUMMYFUNCTION("""COMPUTED_VALUE"""),"disagree")</f>
        <v>disagree</v>
      </c>
      <c r="X106" s="3" t="str">
        <f>IFERROR(__xludf.DUMMYFUNCTION("""COMPUTED_VALUE"""),"Silver")</f>
        <v>Silver</v>
      </c>
      <c r="Y106" s="3" t="str">
        <f>IFERROR(__xludf.DUMMYFUNCTION("""COMPUTED_VALUE"""),"insurance")</f>
        <v>insurance</v>
      </c>
      <c r="Z106" s="3" t="str">
        <f>IFERROR(__xludf.DUMMYFUNCTION("""COMPUTED_VALUE"""),"monthly")</f>
        <v>monthly</v>
      </c>
      <c r="AA106" s="3">
        <f>IFERROR(__xludf.DUMMYFUNCTION("""COMPUTED_VALUE"""),100.0)</f>
        <v>100</v>
      </c>
      <c r="AB106" s="3" t="str">
        <f>IFERROR(__xludf.DUMMYFUNCTION("""COMPUTED_VALUE"""),"assisted")</f>
        <v>assisted</v>
      </c>
      <c r="AC106" s="3" t="str">
        <f>IFERROR(__xludf.DUMMYFUNCTION("""COMPUTED_VALUE"""),"I am not an employer")</f>
        <v>I am not an employer</v>
      </c>
      <c r="AD106" s="3"/>
      <c r="AE106" s="3"/>
      <c r="AF106" s="3" t="str">
        <f>IFERROR(__xludf.DUMMYFUNCTION("""COMPUTED_VALUE"""),"Yes")</f>
        <v>Yes</v>
      </c>
      <c r="AG106" s="3" t="str">
        <f>IFERROR(__xludf.DUMMYFUNCTION("""COMPUTED_VALUE"""),"No")</f>
        <v>No</v>
      </c>
      <c r="AH106" s="3"/>
      <c r="AI106" s="3">
        <f>IFERROR(__xludf.DUMMYFUNCTION("""COMPUTED_VALUE"""),0.0)</f>
        <v>0</v>
      </c>
      <c r="AJ106" s="3">
        <f>IFERROR(__xludf.DUMMYFUNCTION("""COMPUTED_VALUE"""),0.0)</f>
        <v>0</v>
      </c>
      <c r="AK106" s="3">
        <f>IFERROR(__xludf.DUMMYFUNCTION("""COMPUTED_VALUE"""),0.0)</f>
        <v>0</v>
      </c>
      <c r="AL106" s="3">
        <f>IFERROR(__xludf.DUMMYFUNCTION("""COMPUTED_VALUE"""),1.0)</f>
        <v>1</v>
      </c>
      <c r="AM106" s="3" t="str">
        <f>IFERROR(__xludf.DUMMYFUNCTION("""COMPUTED_VALUE"""),"No")</f>
        <v>No</v>
      </c>
      <c r="AN106" s="3"/>
      <c r="AO106" s="3"/>
      <c r="AP106" s="3">
        <f>IFERROR(__xludf.DUMMYFUNCTION("""COMPUTED_VALUE"""),4.89233461E8)</f>
        <v>489233461</v>
      </c>
      <c r="AQ106" s="3" t="str">
        <f>IFERROR(__xludf.DUMMYFUNCTION("""COMPUTED_VALUE"""),"89dba4f7-c591-4a46-b0d1-7c199d6ecbcb")</f>
        <v>89dba4f7-c591-4a46-b0d1-7c199d6ecbcb</v>
      </c>
      <c r="AR106" s="3">
        <f>IFERROR(__xludf.DUMMYFUNCTION("""COMPUTED_VALUE"""),45807.329305555555)</f>
        <v>45807.32931</v>
      </c>
      <c r="AS106" s="3"/>
      <c r="AT106" s="3"/>
      <c r="AU106" s="3" t="str">
        <f>IFERROR(__xludf.DUMMYFUNCTION("""COMPUTED_VALUE"""),"submitted_via_web")</f>
        <v>submitted_via_web</v>
      </c>
      <c r="AV106" s="3"/>
      <c r="AW106" s="3" t="str">
        <f>IFERROR(__xludf.DUMMYFUNCTION("""COMPUTED_VALUE"""),"vgUJxCcLkhbxcmcrDMVzkY")</f>
        <v>vgUJxCcLkhbxcmcrDMVzkY</v>
      </c>
      <c r="AX106" s="3"/>
      <c r="AY106" s="3">
        <f>IFERROR(__xludf.DUMMYFUNCTION("""COMPUTED_VALUE"""),105.0)</f>
        <v>105</v>
      </c>
    </row>
    <row r="107">
      <c r="A107" s="3" t="str">
        <f>IFERROR(__xludf.DUMMYFUNCTION("""COMPUTED_VALUE"""),"Yes")</f>
        <v>Yes</v>
      </c>
      <c r="B107" s="3"/>
      <c r="C107" s="3" t="str">
        <f>IFERROR(__xludf.DUMMYFUNCTION("""COMPUTED_VALUE"""),"south_africa")</f>
        <v>south_africa</v>
      </c>
      <c r="D107" s="3"/>
      <c r="E107" s="3" t="str">
        <f>IFERROR(__xludf.DUMMYFUNCTION("""COMPUTED_VALUE"""),"south_africa")</f>
        <v>south_africa</v>
      </c>
      <c r="F107" s="3" t="str">
        <f>IFERROR(__xludf.DUMMYFUNCTION("""COMPUTED_VALUE"""),"City of Johannesburg Metropolitan Municipality")</f>
        <v>City of Johannesburg Metropolitan Municipality</v>
      </c>
      <c r="G107" s="3">
        <f>IFERROR(__xludf.DUMMYFUNCTION("""COMPUTED_VALUE"""),20.0)</f>
        <v>20</v>
      </c>
      <c r="H107" s="3" t="str">
        <f>IFERROR(__xludf.DUMMYFUNCTION("""COMPUTED_VALUE"""),"female")</f>
        <v>female</v>
      </c>
      <c r="I107" s="3" t="str">
        <f>IFERROR(__xludf.DUMMYFUNCTION("""COMPUTED_VALUE"""),"citizen")</f>
        <v>citizen</v>
      </c>
      <c r="J107" s="3" t="str">
        <f>IFERROR(__xludf.DUMMYFUNCTION("""COMPUTED_VALUE"""),"unemployed")</f>
        <v>unemployed</v>
      </c>
      <c r="K107" s="3" t="str">
        <f>IFERROR(__xludf.DUMMYFUNCTION("""COMPUTED_VALUE"""),"secondary")</f>
        <v>secondary</v>
      </c>
      <c r="L107" s="3"/>
      <c r="M107" s="3" t="str">
        <f>IFERROR(__xludf.DUMMYFUNCTION("""COMPUTED_VALUE"""),"agree")</f>
        <v>agree</v>
      </c>
      <c r="N107" s="3" t="str">
        <f>IFERROR(__xludf.DUMMYFUNCTION("""COMPUTED_VALUE"""),"agree")</f>
        <v>agree</v>
      </c>
      <c r="O107" s="3" t="str">
        <f>IFERROR(__xludf.DUMMYFUNCTION("""COMPUTED_VALUE"""),"agree")</f>
        <v>agree</v>
      </c>
      <c r="P107" s="3"/>
      <c r="Q107" s="3" t="str">
        <f>IFERROR(__xludf.DUMMYFUNCTION("""COMPUTED_VALUE"""),"disagree")</f>
        <v>disagree</v>
      </c>
      <c r="R107" s="3" t="str">
        <f>IFERROR(__xludf.DUMMYFUNCTION("""COMPUTED_VALUE"""),"dontknow")</f>
        <v>dontknow</v>
      </c>
      <c r="S107" s="3" t="str">
        <f>IFERROR(__xludf.DUMMYFUNCTION("""COMPUTED_VALUE"""),"disagree")</f>
        <v>disagree</v>
      </c>
      <c r="T107" s="3" t="str">
        <f>IFERROR(__xludf.DUMMYFUNCTION("""COMPUTED_VALUE"""),"disagree")</f>
        <v>disagree</v>
      </c>
      <c r="U107" s="3" t="str">
        <f>IFERROR(__xludf.DUMMYFUNCTION("""COMPUTED_VALUE"""),"agree")</f>
        <v>agree</v>
      </c>
      <c r="V107" s="3" t="str">
        <f>IFERROR(__xludf.DUMMYFUNCTION("""COMPUTED_VALUE"""),"agree")</f>
        <v>agree</v>
      </c>
      <c r="W107" s="3" t="str">
        <f>IFERROR(__xludf.DUMMYFUNCTION("""COMPUTED_VALUE"""),"disagree")</f>
        <v>disagree</v>
      </c>
      <c r="X107" s="3" t="str">
        <f>IFERROR(__xludf.DUMMYFUNCTION("""COMPUTED_VALUE"""),"Gold")</f>
        <v>Gold</v>
      </c>
      <c r="Y107" s="3" t="str">
        <f>IFERROR(__xludf.DUMMYFUNCTION("""COMPUTED_VALUE"""),"cash")</f>
        <v>cash</v>
      </c>
      <c r="Z107" s="3" t="str">
        <f>IFERROR(__xludf.DUMMYFUNCTION("""COMPUTED_VALUE"""),"monthly")</f>
        <v>monthly</v>
      </c>
      <c r="AA107" s="3">
        <f>IFERROR(__xludf.DUMMYFUNCTION("""COMPUTED_VALUE"""),50.0)</f>
        <v>50</v>
      </c>
      <c r="AB107" s="3" t="str">
        <f>IFERROR(__xludf.DUMMYFUNCTION("""COMPUTED_VALUE"""),"assisted")</f>
        <v>assisted</v>
      </c>
      <c r="AC107" s="3" t="str">
        <f>IFERROR(__xludf.DUMMYFUNCTION("""COMPUTED_VALUE"""),"Yes")</f>
        <v>Yes</v>
      </c>
      <c r="AD107" s="3" t="str">
        <f>IFERROR(__xludf.DUMMYFUNCTION("""COMPUTED_VALUE"""),"Gold")</f>
        <v>Gold</v>
      </c>
      <c r="AE107" s="3" t="str">
        <f>IFERROR(__xludf.DUMMYFUNCTION("""COMPUTED_VALUE"""),"No")</f>
        <v>No</v>
      </c>
      <c r="AF107" s="3" t="str">
        <f>IFERROR(__xludf.DUMMYFUNCTION("""COMPUTED_VALUE"""),"Yes")</f>
        <v>Yes</v>
      </c>
      <c r="AG107" s="3" t="str">
        <f>IFERROR(__xludf.DUMMYFUNCTION("""COMPUTED_VALUE"""),"Yes")</f>
        <v>Yes</v>
      </c>
      <c r="AH107" s="3">
        <f>IFERROR(__xludf.DUMMYFUNCTION("""COMPUTED_VALUE"""),15000.0)</f>
        <v>15000</v>
      </c>
      <c r="AI107" s="3">
        <f>IFERROR(__xludf.DUMMYFUNCTION("""COMPUTED_VALUE"""),0.0)</f>
        <v>0</v>
      </c>
      <c r="AJ107" s="3">
        <f>IFERROR(__xludf.DUMMYFUNCTION("""COMPUTED_VALUE"""),1.0)</f>
        <v>1</v>
      </c>
      <c r="AK107" s="3">
        <f>IFERROR(__xludf.DUMMYFUNCTION("""COMPUTED_VALUE"""),0.0)</f>
        <v>0</v>
      </c>
      <c r="AL107" s="3">
        <f>IFERROR(__xludf.DUMMYFUNCTION("""COMPUTED_VALUE"""),0.0)</f>
        <v>0</v>
      </c>
      <c r="AM107" s="3" t="str">
        <f>IFERROR(__xludf.DUMMYFUNCTION("""COMPUTED_VALUE"""),"Yes")</f>
        <v>Yes</v>
      </c>
      <c r="AN107" s="3">
        <f>IFERROR(__xludf.DUMMYFUNCTION("""COMPUTED_VALUE"""),7.9184213E7)</f>
        <v>79184213</v>
      </c>
      <c r="AO107" s="3"/>
      <c r="AP107" s="3">
        <f>IFERROR(__xludf.DUMMYFUNCTION("""COMPUTED_VALUE"""),4.89236468E8)</f>
        <v>489236468</v>
      </c>
      <c r="AQ107" s="3" t="str">
        <f>IFERROR(__xludf.DUMMYFUNCTION("""COMPUTED_VALUE"""),"a7dca4e0-8344-4dc0-a06c-6649f82ec383")</f>
        <v>a7dca4e0-8344-4dc0-a06c-6649f82ec383</v>
      </c>
      <c r="AR107" s="3">
        <f>IFERROR(__xludf.DUMMYFUNCTION("""COMPUTED_VALUE"""),45807.3325462963)</f>
        <v>45807.33255</v>
      </c>
      <c r="AS107" s="3"/>
      <c r="AT107" s="3"/>
      <c r="AU107" s="3" t="str">
        <f>IFERROR(__xludf.DUMMYFUNCTION("""COMPUTED_VALUE"""),"submitted_via_web")</f>
        <v>submitted_via_web</v>
      </c>
      <c r="AV107" s="3"/>
      <c r="AW107" s="3" t="str">
        <f>IFERROR(__xludf.DUMMYFUNCTION("""COMPUTED_VALUE"""),"vgUJxCcLkhbxcmcrDMVzkY")</f>
        <v>vgUJxCcLkhbxcmcrDMVzkY</v>
      </c>
      <c r="AX107" s="3"/>
      <c r="AY107" s="3">
        <f>IFERROR(__xludf.DUMMYFUNCTION("""COMPUTED_VALUE"""),106.0)</f>
        <v>106</v>
      </c>
    </row>
    <row r="108">
      <c r="A108" s="3" t="str">
        <f>IFERROR(__xludf.DUMMYFUNCTION("""COMPUTED_VALUE"""),"Yes")</f>
        <v>Yes</v>
      </c>
      <c r="B108" s="3"/>
      <c r="C108" s="3" t="str">
        <f>IFERROR(__xludf.DUMMYFUNCTION("""COMPUTED_VALUE"""),"lesotho")</f>
        <v>lesotho</v>
      </c>
      <c r="D108" s="3"/>
      <c r="E108" s="3" t="str">
        <f>IFERROR(__xludf.DUMMYFUNCTION("""COMPUTED_VALUE"""),"south_africa")</f>
        <v>south_africa</v>
      </c>
      <c r="F108" s="3" t="str">
        <f>IFERROR(__xludf.DUMMYFUNCTION("""COMPUTED_VALUE"""),"Sedibeng District")</f>
        <v>Sedibeng District</v>
      </c>
      <c r="G108" s="3">
        <f>IFERROR(__xludf.DUMMYFUNCTION("""COMPUTED_VALUE"""),67.0)</f>
        <v>67</v>
      </c>
      <c r="H108" s="3" t="str">
        <f>IFERROR(__xludf.DUMMYFUNCTION("""COMPUTED_VALUE"""),"other")</f>
        <v>other</v>
      </c>
      <c r="I108" s="3" t="str">
        <f>IFERROR(__xludf.DUMMYFUNCTION("""COMPUTED_VALUE"""),"over5")</f>
        <v>over5</v>
      </c>
      <c r="J108" s="3" t="str">
        <f>IFERROR(__xludf.DUMMYFUNCTION("""COMPUTED_VALUE"""),"informal")</f>
        <v>informal</v>
      </c>
      <c r="K108" s="3" t="str">
        <f>IFERROR(__xludf.DUMMYFUNCTION("""COMPUTED_VALUE"""),"primary")</f>
        <v>primary</v>
      </c>
      <c r="L108" s="3"/>
      <c r="M108" s="3" t="str">
        <f>IFERROR(__xludf.DUMMYFUNCTION("""COMPUTED_VALUE"""),"agree")</f>
        <v>agree</v>
      </c>
      <c r="N108" s="3" t="str">
        <f>IFERROR(__xludf.DUMMYFUNCTION("""COMPUTED_VALUE"""),"agree")</f>
        <v>agree</v>
      </c>
      <c r="O108" s="3" t="str">
        <f>IFERROR(__xludf.DUMMYFUNCTION("""COMPUTED_VALUE"""),"disagree")</f>
        <v>disagree</v>
      </c>
      <c r="P108" s="3"/>
      <c r="Q108" s="3" t="str">
        <f>IFERROR(__xludf.DUMMYFUNCTION("""COMPUTED_VALUE"""),"dontknow")</f>
        <v>dontknow</v>
      </c>
      <c r="R108" s="3" t="str">
        <f>IFERROR(__xludf.DUMMYFUNCTION("""COMPUTED_VALUE"""),"agree")</f>
        <v>agree</v>
      </c>
      <c r="S108" s="3" t="str">
        <f>IFERROR(__xludf.DUMMYFUNCTION("""COMPUTED_VALUE"""),"dontknow")</f>
        <v>dontknow</v>
      </c>
      <c r="T108" s="3" t="str">
        <f>IFERROR(__xludf.DUMMYFUNCTION("""COMPUTED_VALUE"""),"disagree")</f>
        <v>disagree</v>
      </c>
      <c r="U108" s="3" t="str">
        <f>IFERROR(__xludf.DUMMYFUNCTION("""COMPUTED_VALUE"""),"dontknow")</f>
        <v>dontknow</v>
      </c>
      <c r="V108" s="3" t="str">
        <f>IFERROR(__xludf.DUMMYFUNCTION("""COMPUTED_VALUE"""),"disagree")</f>
        <v>disagree</v>
      </c>
      <c r="W108" s="3" t="str">
        <f>IFERROR(__xludf.DUMMYFUNCTION("""COMPUTED_VALUE"""),"agree")</f>
        <v>agree</v>
      </c>
      <c r="X108" s="3" t="str">
        <f>IFERROR(__xludf.DUMMYFUNCTION("""COMPUTED_VALUE"""),"Silver")</f>
        <v>Silver</v>
      </c>
      <c r="Y108" s="3" t="str">
        <f>IFERROR(__xludf.DUMMYFUNCTION("""COMPUTED_VALUE"""),"cash")</f>
        <v>cash</v>
      </c>
      <c r="Z108" s="3" t="str">
        <f>IFERROR(__xludf.DUMMYFUNCTION("""COMPUTED_VALUE"""),"once")</f>
        <v>once</v>
      </c>
      <c r="AA108" s="3">
        <f>IFERROR(__xludf.DUMMYFUNCTION("""COMPUTED_VALUE"""),10.0)</f>
        <v>10</v>
      </c>
      <c r="AB108" s="3" t="str">
        <f>IFERROR(__xludf.DUMMYFUNCTION("""COMPUTED_VALUE"""),"employer")</f>
        <v>employer</v>
      </c>
      <c r="AC108" s="3" t="str">
        <f>IFERROR(__xludf.DUMMYFUNCTION("""COMPUTED_VALUE"""),"I am not an employer")</f>
        <v>I am not an employer</v>
      </c>
      <c r="AD108" s="3"/>
      <c r="AE108" s="3"/>
      <c r="AF108" s="3" t="str">
        <f>IFERROR(__xludf.DUMMYFUNCTION("""COMPUTED_VALUE"""),"Yes")</f>
        <v>Yes</v>
      </c>
      <c r="AG108" s="3" t="str">
        <f>IFERROR(__xludf.DUMMYFUNCTION("""COMPUTED_VALUE"""),"Yes")</f>
        <v>Yes</v>
      </c>
      <c r="AH108" s="3">
        <f>IFERROR(__xludf.DUMMYFUNCTION("""COMPUTED_VALUE"""),1000.0)</f>
        <v>1000</v>
      </c>
      <c r="AI108" s="3">
        <f>IFERROR(__xludf.DUMMYFUNCTION("""COMPUTED_VALUE"""),0.0)</f>
        <v>0</v>
      </c>
      <c r="AJ108" s="3">
        <f>IFERROR(__xludf.DUMMYFUNCTION("""COMPUTED_VALUE"""),0.0)</f>
        <v>0</v>
      </c>
      <c r="AK108" s="3">
        <f>IFERROR(__xludf.DUMMYFUNCTION("""COMPUTED_VALUE"""),0.0)</f>
        <v>0</v>
      </c>
      <c r="AL108" s="3">
        <f>IFERROR(__xludf.DUMMYFUNCTION("""COMPUTED_VALUE"""),1.0)</f>
        <v>1</v>
      </c>
      <c r="AM108" s="3" t="str">
        <f>IFERROR(__xludf.DUMMYFUNCTION("""COMPUTED_VALUE"""),"Yes")</f>
        <v>Yes</v>
      </c>
      <c r="AN108" s="3">
        <f>IFERROR(__xludf.DUMMYFUNCTION("""COMPUTED_VALUE"""),6.06449998E8)</f>
        <v>606449998</v>
      </c>
      <c r="AO108" s="3"/>
      <c r="AP108" s="3">
        <f>IFERROR(__xludf.DUMMYFUNCTION("""COMPUTED_VALUE"""),4.89241333E8)</f>
        <v>489241333</v>
      </c>
      <c r="AQ108" s="3" t="str">
        <f>IFERROR(__xludf.DUMMYFUNCTION("""COMPUTED_VALUE"""),"3a979c17-8875-4296-a743-edcbc3829380")</f>
        <v>3a979c17-8875-4296-a743-edcbc3829380</v>
      </c>
      <c r="AR108" s="3">
        <f>IFERROR(__xludf.DUMMYFUNCTION("""COMPUTED_VALUE"""),45807.338796296295)</f>
        <v>45807.3388</v>
      </c>
      <c r="AS108" s="3"/>
      <c r="AT108" s="3"/>
      <c r="AU108" s="3" t="str">
        <f>IFERROR(__xludf.DUMMYFUNCTION("""COMPUTED_VALUE"""),"submitted_via_web")</f>
        <v>submitted_via_web</v>
      </c>
      <c r="AV108" s="3"/>
      <c r="AW108" s="3" t="str">
        <f>IFERROR(__xludf.DUMMYFUNCTION("""COMPUTED_VALUE"""),"vgUJxCcLkhbxcmcrDMVzkY")</f>
        <v>vgUJxCcLkhbxcmcrDMVzkY</v>
      </c>
      <c r="AX108" s="3"/>
      <c r="AY108" s="3">
        <f>IFERROR(__xludf.DUMMYFUNCTION("""COMPUTED_VALUE"""),107.0)</f>
        <v>107</v>
      </c>
    </row>
    <row r="109">
      <c r="A109" s="3" t="str">
        <f>IFERROR(__xludf.DUMMYFUNCTION("""COMPUTED_VALUE"""),"Yes")</f>
        <v>Yes</v>
      </c>
      <c r="B109" s="3"/>
      <c r="C109" s="3" t="str">
        <f>IFERROR(__xludf.DUMMYFUNCTION("""COMPUTED_VALUE"""),"lesotho")</f>
        <v>lesotho</v>
      </c>
      <c r="D109" s="3"/>
      <c r="E109" s="3" t="str">
        <f>IFERROR(__xludf.DUMMYFUNCTION("""COMPUTED_VALUE"""),"lesotho")</f>
        <v>lesotho</v>
      </c>
      <c r="F109" s="3"/>
      <c r="G109" s="3">
        <f>IFERROR(__xludf.DUMMYFUNCTION("""COMPUTED_VALUE"""),38.0)</f>
        <v>38</v>
      </c>
      <c r="H109" s="3" t="str">
        <f>IFERROR(__xludf.DUMMYFUNCTION("""COMPUTED_VALUE"""),"female")</f>
        <v>female</v>
      </c>
      <c r="I109" s="3"/>
      <c r="J109" s="3" t="str">
        <f>IFERROR(__xludf.DUMMYFUNCTION("""COMPUTED_VALUE"""),"formal")</f>
        <v>formal</v>
      </c>
      <c r="K109" s="3" t="str">
        <f>IFERROR(__xludf.DUMMYFUNCTION("""COMPUTED_VALUE"""),"tertiary")</f>
        <v>tertiary</v>
      </c>
      <c r="L109" s="3"/>
      <c r="M109" s="3" t="str">
        <f>IFERROR(__xludf.DUMMYFUNCTION("""COMPUTED_VALUE"""),"agree")</f>
        <v>agree</v>
      </c>
      <c r="N109" s="3" t="str">
        <f>IFERROR(__xludf.DUMMYFUNCTION("""COMPUTED_VALUE"""),"agree")</f>
        <v>agree</v>
      </c>
      <c r="O109" s="3" t="str">
        <f>IFERROR(__xludf.DUMMYFUNCTION("""COMPUTED_VALUE"""),"agree")</f>
        <v>agree</v>
      </c>
      <c r="P109" s="3"/>
      <c r="Q109" s="3" t="str">
        <f>IFERROR(__xludf.DUMMYFUNCTION("""COMPUTED_VALUE"""),"disagree")</f>
        <v>disagree</v>
      </c>
      <c r="R109" s="3" t="str">
        <f>IFERROR(__xludf.DUMMYFUNCTION("""COMPUTED_VALUE"""),"disagree")</f>
        <v>disagree</v>
      </c>
      <c r="S109" s="3" t="str">
        <f>IFERROR(__xludf.DUMMYFUNCTION("""COMPUTED_VALUE"""),"disagree")</f>
        <v>disagree</v>
      </c>
      <c r="T109" s="3" t="str">
        <f>IFERROR(__xludf.DUMMYFUNCTION("""COMPUTED_VALUE"""),"disagree")</f>
        <v>disagree</v>
      </c>
      <c r="U109" s="3" t="str">
        <f>IFERROR(__xludf.DUMMYFUNCTION("""COMPUTED_VALUE"""),"agree")</f>
        <v>agree</v>
      </c>
      <c r="V109" s="3" t="str">
        <f>IFERROR(__xludf.DUMMYFUNCTION("""COMPUTED_VALUE"""),"disagree")</f>
        <v>disagree</v>
      </c>
      <c r="W109" s="3" t="str">
        <f>IFERROR(__xludf.DUMMYFUNCTION("""COMPUTED_VALUE"""),"disagree")</f>
        <v>disagree</v>
      </c>
      <c r="X109" s="3" t="str">
        <f>IFERROR(__xludf.DUMMYFUNCTION("""COMPUTED_VALUE"""),"Gold")</f>
        <v>Gold</v>
      </c>
      <c r="Y109" s="3" t="str">
        <f>IFERROR(__xludf.DUMMYFUNCTION("""COMPUTED_VALUE"""),"cash")</f>
        <v>cash</v>
      </c>
      <c r="Z109" s="3" t="str">
        <f>IFERROR(__xludf.DUMMYFUNCTION("""COMPUTED_VALUE"""),"monthly")</f>
        <v>monthly</v>
      </c>
      <c r="AA109" s="3">
        <f>IFERROR(__xludf.DUMMYFUNCTION("""COMPUTED_VALUE"""),100.0)</f>
        <v>100</v>
      </c>
      <c r="AB109" s="3" t="str">
        <f>IFERROR(__xludf.DUMMYFUNCTION("""COMPUTED_VALUE"""),"employer")</f>
        <v>employer</v>
      </c>
      <c r="AC109" s="3" t="str">
        <f>IFERROR(__xludf.DUMMYFUNCTION("""COMPUTED_VALUE"""),"Yes")</f>
        <v>Yes</v>
      </c>
      <c r="AD109" s="3" t="str">
        <f>IFERROR(__xludf.DUMMYFUNCTION("""COMPUTED_VALUE"""),"Gold")</f>
        <v>Gold</v>
      </c>
      <c r="AE109" s="3" t="str">
        <f>IFERROR(__xludf.DUMMYFUNCTION("""COMPUTED_VALUE"""),"Yes")</f>
        <v>Yes</v>
      </c>
      <c r="AF109" s="3" t="str">
        <f>IFERROR(__xludf.DUMMYFUNCTION("""COMPUTED_VALUE"""),"Yes")</f>
        <v>Yes</v>
      </c>
      <c r="AG109" s="3" t="str">
        <f>IFERROR(__xludf.DUMMYFUNCTION("""COMPUTED_VALUE"""),"Yes")</f>
        <v>Yes</v>
      </c>
      <c r="AH109" s="3">
        <f>IFERROR(__xludf.DUMMYFUNCTION("""COMPUTED_VALUE"""),2000.0)</f>
        <v>2000</v>
      </c>
      <c r="AI109" s="3">
        <f>IFERROR(__xludf.DUMMYFUNCTION("""COMPUTED_VALUE"""),1.0)</f>
        <v>1</v>
      </c>
      <c r="AJ109" s="3">
        <f>IFERROR(__xludf.DUMMYFUNCTION("""COMPUTED_VALUE"""),1.0)</f>
        <v>1</v>
      </c>
      <c r="AK109" s="3">
        <f>IFERROR(__xludf.DUMMYFUNCTION("""COMPUTED_VALUE"""),0.0)</f>
        <v>0</v>
      </c>
      <c r="AL109" s="3">
        <f>IFERROR(__xludf.DUMMYFUNCTION("""COMPUTED_VALUE"""),0.0)</f>
        <v>0</v>
      </c>
      <c r="AM109" s="3"/>
      <c r="AN109" s="3"/>
      <c r="AO109" s="3"/>
      <c r="AP109" s="3">
        <f>IFERROR(__xludf.DUMMYFUNCTION("""COMPUTED_VALUE"""),4.89249492E8)</f>
        <v>489249492</v>
      </c>
      <c r="AQ109" s="3" t="str">
        <f>IFERROR(__xludf.DUMMYFUNCTION("""COMPUTED_VALUE"""),"47226379-f012-4632-a5fa-0c9dfc693bf1")</f>
        <v>47226379-f012-4632-a5fa-0c9dfc693bf1</v>
      </c>
      <c r="AR109" s="3">
        <f>IFERROR(__xludf.DUMMYFUNCTION("""COMPUTED_VALUE"""),45807.348333333335)</f>
        <v>45807.34833</v>
      </c>
      <c r="AS109" s="3"/>
      <c r="AT109" s="3"/>
      <c r="AU109" s="3" t="str">
        <f>IFERROR(__xludf.DUMMYFUNCTION("""COMPUTED_VALUE"""),"submitted_via_web")</f>
        <v>submitted_via_web</v>
      </c>
      <c r="AV109" s="3"/>
      <c r="AW109" s="3" t="str">
        <f>IFERROR(__xludf.DUMMYFUNCTION("""COMPUTED_VALUE"""),"vgUJxCcLkhbxcmcrDMVzkY")</f>
        <v>vgUJxCcLkhbxcmcrDMVzkY</v>
      </c>
      <c r="AX109" s="3"/>
      <c r="AY109" s="3">
        <f>IFERROR(__xludf.DUMMYFUNCTION("""COMPUTED_VALUE"""),108.0)</f>
        <v>108</v>
      </c>
    </row>
    <row r="110">
      <c r="A110" s="3" t="str">
        <f>IFERROR(__xludf.DUMMYFUNCTION("""COMPUTED_VALUE"""),"Yes")</f>
        <v>Yes</v>
      </c>
      <c r="B110" s="3"/>
      <c r="C110" s="3" t="str">
        <f>IFERROR(__xludf.DUMMYFUNCTION("""COMPUTED_VALUE"""),"malawi")</f>
        <v>malawi</v>
      </c>
      <c r="D110" s="3"/>
      <c r="E110" s="3" t="str">
        <f>IFERROR(__xludf.DUMMYFUNCTION("""COMPUTED_VALUE"""),"south_africa")</f>
        <v>south_africa</v>
      </c>
      <c r="F110" s="3" t="str">
        <f>IFERROR(__xludf.DUMMYFUNCTION("""COMPUTED_VALUE"""),"City of Johannesburg Metropolitan Municipality")</f>
        <v>City of Johannesburg Metropolitan Municipality</v>
      </c>
      <c r="G110" s="3">
        <f>IFERROR(__xludf.DUMMYFUNCTION("""COMPUTED_VALUE"""),32.0)</f>
        <v>32</v>
      </c>
      <c r="H110" s="3"/>
      <c r="I110" s="3" t="str">
        <f>IFERROR(__xludf.DUMMYFUNCTION("""COMPUTED_VALUE"""),"over5")</f>
        <v>over5</v>
      </c>
      <c r="J110" s="3" t="str">
        <f>IFERROR(__xludf.DUMMYFUNCTION("""COMPUTED_VALUE"""),"unemployed")</f>
        <v>unemployed</v>
      </c>
      <c r="K110" s="3" t="str">
        <f>IFERROR(__xludf.DUMMYFUNCTION("""COMPUTED_VALUE"""),"secondary")</f>
        <v>secondary</v>
      </c>
      <c r="L110" s="3"/>
      <c r="M110" s="3" t="str">
        <f>IFERROR(__xludf.DUMMYFUNCTION("""COMPUTED_VALUE"""),"agree")</f>
        <v>agree</v>
      </c>
      <c r="N110" s="3" t="str">
        <f>IFERROR(__xludf.DUMMYFUNCTION("""COMPUTED_VALUE"""),"agree")</f>
        <v>agree</v>
      </c>
      <c r="O110" s="3" t="str">
        <f>IFERROR(__xludf.DUMMYFUNCTION("""COMPUTED_VALUE"""),"disagree")</f>
        <v>disagree</v>
      </c>
      <c r="P110" s="3"/>
      <c r="Q110" s="3" t="str">
        <f>IFERROR(__xludf.DUMMYFUNCTION("""COMPUTED_VALUE"""),"agree")</f>
        <v>agree</v>
      </c>
      <c r="R110" s="3" t="str">
        <f>IFERROR(__xludf.DUMMYFUNCTION("""COMPUTED_VALUE"""),"agree")</f>
        <v>agree</v>
      </c>
      <c r="S110" s="3" t="str">
        <f>IFERROR(__xludf.DUMMYFUNCTION("""COMPUTED_VALUE"""),"agree")</f>
        <v>agree</v>
      </c>
      <c r="T110" s="3" t="str">
        <f>IFERROR(__xludf.DUMMYFUNCTION("""COMPUTED_VALUE"""),"dontknow")</f>
        <v>dontknow</v>
      </c>
      <c r="U110" s="3" t="str">
        <f>IFERROR(__xludf.DUMMYFUNCTION("""COMPUTED_VALUE"""),"agree")</f>
        <v>agree</v>
      </c>
      <c r="V110" s="3" t="str">
        <f>IFERROR(__xludf.DUMMYFUNCTION("""COMPUTED_VALUE"""),"dontknow")</f>
        <v>dontknow</v>
      </c>
      <c r="W110" s="3" t="str">
        <f>IFERROR(__xludf.DUMMYFUNCTION("""COMPUTED_VALUE"""),"dontknow")</f>
        <v>dontknow</v>
      </c>
      <c r="X110" s="3" t="str">
        <f>IFERROR(__xludf.DUMMYFUNCTION("""COMPUTED_VALUE"""),"Gold")</f>
        <v>Gold</v>
      </c>
      <c r="Y110" s="3" t="str">
        <f>IFERROR(__xludf.DUMMYFUNCTION("""COMPUTED_VALUE"""),"cash")</f>
        <v>cash</v>
      </c>
      <c r="Z110" s="3" t="str">
        <f>IFERROR(__xludf.DUMMYFUNCTION("""COMPUTED_VALUE"""),"monthly")</f>
        <v>monthly</v>
      </c>
      <c r="AA110" s="3">
        <f>IFERROR(__xludf.DUMMYFUNCTION("""COMPUTED_VALUE"""),10.0)</f>
        <v>10</v>
      </c>
      <c r="AB110" s="3" t="str">
        <f>IFERROR(__xludf.DUMMYFUNCTION("""COMPUTED_VALUE"""),"assisted")</f>
        <v>assisted</v>
      </c>
      <c r="AC110" s="3" t="str">
        <f>IFERROR(__xludf.DUMMYFUNCTION("""COMPUTED_VALUE"""),"Yes")</f>
        <v>Yes</v>
      </c>
      <c r="AD110" s="3" t="str">
        <f>IFERROR(__xludf.DUMMYFUNCTION("""COMPUTED_VALUE"""),"Gold")</f>
        <v>Gold</v>
      </c>
      <c r="AE110" s="3" t="str">
        <f>IFERROR(__xludf.DUMMYFUNCTION("""COMPUTED_VALUE"""),"Yes")</f>
        <v>Yes</v>
      </c>
      <c r="AF110" s="3" t="str">
        <f>IFERROR(__xludf.DUMMYFUNCTION("""COMPUTED_VALUE"""),"Yes")</f>
        <v>Yes</v>
      </c>
      <c r="AG110" s="3" t="str">
        <f>IFERROR(__xludf.DUMMYFUNCTION("""COMPUTED_VALUE"""),"Yes")</f>
        <v>Yes</v>
      </c>
      <c r="AH110" s="3">
        <f>IFERROR(__xludf.DUMMYFUNCTION("""COMPUTED_VALUE"""),500.0)</f>
        <v>500</v>
      </c>
      <c r="AI110" s="3">
        <f>IFERROR(__xludf.DUMMYFUNCTION("""COMPUTED_VALUE"""),0.0)</f>
        <v>0</v>
      </c>
      <c r="AJ110" s="3">
        <f>IFERROR(__xludf.DUMMYFUNCTION("""COMPUTED_VALUE"""),0.0)</f>
        <v>0</v>
      </c>
      <c r="AK110" s="3">
        <f>IFERROR(__xludf.DUMMYFUNCTION("""COMPUTED_VALUE"""),0.0)</f>
        <v>0</v>
      </c>
      <c r="AL110" s="3">
        <f>IFERROR(__xludf.DUMMYFUNCTION("""COMPUTED_VALUE"""),1.0)</f>
        <v>1</v>
      </c>
      <c r="AM110" s="3" t="str">
        <f>IFERROR(__xludf.DUMMYFUNCTION("""COMPUTED_VALUE"""),"Yes")</f>
        <v>Yes</v>
      </c>
      <c r="AN110" s="3">
        <f>IFERROR(__xludf.DUMMYFUNCTION("""COMPUTED_VALUE"""),8.15520878E8)</f>
        <v>815520878</v>
      </c>
      <c r="AO110" s="3"/>
      <c r="AP110" s="3">
        <f>IFERROR(__xludf.DUMMYFUNCTION("""COMPUTED_VALUE"""),4.89250792E8)</f>
        <v>489250792</v>
      </c>
      <c r="AQ110" s="3" t="str">
        <f>IFERROR(__xludf.DUMMYFUNCTION("""COMPUTED_VALUE"""),"680b1f71-0b59-426f-96c8-cdbccf8cf806")</f>
        <v>680b1f71-0b59-426f-96c8-cdbccf8cf806</v>
      </c>
      <c r="AR110" s="3">
        <f>IFERROR(__xludf.DUMMYFUNCTION("""COMPUTED_VALUE"""),45807.35)</f>
        <v>45807.35</v>
      </c>
      <c r="AS110" s="3"/>
      <c r="AT110" s="3"/>
      <c r="AU110" s="3" t="str">
        <f>IFERROR(__xludf.DUMMYFUNCTION("""COMPUTED_VALUE"""),"submitted_via_web")</f>
        <v>submitted_via_web</v>
      </c>
      <c r="AV110" s="3"/>
      <c r="AW110" s="3" t="str">
        <f>IFERROR(__xludf.DUMMYFUNCTION("""COMPUTED_VALUE"""),"vgUJxCcLkhbxcmcrDMVzkY")</f>
        <v>vgUJxCcLkhbxcmcrDMVzkY</v>
      </c>
      <c r="AX110" s="3"/>
      <c r="AY110" s="3">
        <f>IFERROR(__xludf.DUMMYFUNCTION("""COMPUTED_VALUE"""),109.0)</f>
        <v>109</v>
      </c>
    </row>
    <row r="111">
      <c r="A111" s="3" t="str">
        <f>IFERROR(__xludf.DUMMYFUNCTION("""COMPUTED_VALUE"""),"Yes")</f>
        <v>Yes</v>
      </c>
      <c r="B111" s="3"/>
      <c r="C111" s="3" t="str">
        <f>IFERROR(__xludf.DUMMYFUNCTION("""COMPUTED_VALUE"""),"south_africa")</f>
        <v>south_africa</v>
      </c>
      <c r="D111" s="3"/>
      <c r="E111" s="3" t="str">
        <f>IFERROR(__xludf.DUMMYFUNCTION("""COMPUTED_VALUE"""),"lesotho")</f>
        <v>lesotho</v>
      </c>
      <c r="F111" s="3"/>
      <c r="G111" s="3">
        <f>IFERROR(__xludf.DUMMYFUNCTION("""COMPUTED_VALUE"""),28.0)</f>
        <v>28</v>
      </c>
      <c r="H111" s="3" t="str">
        <f>IFERROR(__xludf.DUMMYFUNCTION("""COMPUTED_VALUE"""),"other")</f>
        <v>other</v>
      </c>
      <c r="I111" s="3"/>
      <c r="J111" s="3" t="str">
        <f>IFERROR(__xludf.DUMMYFUNCTION("""COMPUTED_VALUE"""),"unemployed")</f>
        <v>unemployed</v>
      </c>
      <c r="K111" s="3" t="str">
        <f>IFERROR(__xludf.DUMMYFUNCTION("""COMPUTED_VALUE"""),"secondary")</f>
        <v>secondary</v>
      </c>
      <c r="L111" s="3"/>
      <c r="M111" s="3" t="str">
        <f>IFERROR(__xludf.DUMMYFUNCTION("""COMPUTED_VALUE"""),"agree")</f>
        <v>agree</v>
      </c>
      <c r="N111" s="3" t="str">
        <f>IFERROR(__xludf.DUMMYFUNCTION("""COMPUTED_VALUE"""),"agree")</f>
        <v>agree</v>
      </c>
      <c r="O111" s="3" t="str">
        <f>IFERROR(__xludf.DUMMYFUNCTION("""COMPUTED_VALUE"""),"agree")</f>
        <v>agree</v>
      </c>
      <c r="P111" s="3"/>
      <c r="Q111" s="3" t="str">
        <f>IFERROR(__xludf.DUMMYFUNCTION("""COMPUTED_VALUE"""),"agree")</f>
        <v>agree</v>
      </c>
      <c r="R111" s="3" t="str">
        <f>IFERROR(__xludf.DUMMYFUNCTION("""COMPUTED_VALUE"""),"agree")</f>
        <v>agree</v>
      </c>
      <c r="S111" s="3" t="str">
        <f>IFERROR(__xludf.DUMMYFUNCTION("""COMPUTED_VALUE"""),"dontknow")</f>
        <v>dontknow</v>
      </c>
      <c r="T111" s="3" t="str">
        <f>IFERROR(__xludf.DUMMYFUNCTION("""COMPUTED_VALUE"""),"disagree")</f>
        <v>disagree</v>
      </c>
      <c r="U111" s="3" t="str">
        <f>IFERROR(__xludf.DUMMYFUNCTION("""COMPUTED_VALUE"""),"agree")</f>
        <v>agree</v>
      </c>
      <c r="V111" s="3" t="str">
        <f>IFERROR(__xludf.DUMMYFUNCTION("""COMPUTED_VALUE"""),"agree")</f>
        <v>agree</v>
      </c>
      <c r="W111" s="3" t="str">
        <f>IFERROR(__xludf.DUMMYFUNCTION("""COMPUTED_VALUE"""),"disagree")</f>
        <v>disagree</v>
      </c>
      <c r="X111" s="3" t="str">
        <f>IFERROR(__xludf.DUMMYFUNCTION("""COMPUTED_VALUE"""),"Silver")</f>
        <v>Silver</v>
      </c>
      <c r="Y111" s="3" t="str">
        <f>IFERROR(__xludf.DUMMYFUNCTION("""COMPUTED_VALUE"""),"card")</f>
        <v>card</v>
      </c>
      <c r="Z111" s="3" t="str">
        <f>IFERROR(__xludf.DUMMYFUNCTION("""COMPUTED_VALUE"""),"quarterly")</f>
        <v>quarterly</v>
      </c>
      <c r="AA111" s="3">
        <f>IFERROR(__xludf.DUMMYFUNCTION("""COMPUTED_VALUE"""),50.0)</f>
        <v>50</v>
      </c>
      <c r="AB111" s="3" t="str">
        <f>IFERROR(__xludf.DUMMYFUNCTION("""COMPUTED_VALUE"""),"online")</f>
        <v>online</v>
      </c>
      <c r="AC111" s="3" t="str">
        <f>IFERROR(__xludf.DUMMYFUNCTION("""COMPUTED_VALUE"""),"I am not an employer")</f>
        <v>I am not an employer</v>
      </c>
      <c r="AD111" s="3"/>
      <c r="AE111" s="3"/>
      <c r="AF111" s="3" t="str">
        <f>IFERROR(__xludf.DUMMYFUNCTION("""COMPUTED_VALUE"""),"Yes")</f>
        <v>Yes</v>
      </c>
      <c r="AG111" s="3" t="str">
        <f>IFERROR(__xludf.DUMMYFUNCTION("""COMPUTED_VALUE"""),"Yes")</f>
        <v>Yes</v>
      </c>
      <c r="AH111" s="3">
        <f>IFERROR(__xludf.DUMMYFUNCTION("""COMPUTED_VALUE"""),600.0)</f>
        <v>600</v>
      </c>
      <c r="AI111" s="3">
        <f>IFERROR(__xludf.DUMMYFUNCTION("""COMPUTED_VALUE"""),0.0)</f>
        <v>0</v>
      </c>
      <c r="AJ111" s="3">
        <f>IFERROR(__xludf.DUMMYFUNCTION("""COMPUTED_VALUE"""),1.0)</f>
        <v>1</v>
      </c>
      <c r="AK111" s="3">
        <f>IFERROR(__xludf.DUMMYFUNCTION("""COMPUTED_VALUE"""),1.0)</f>
        <v>1</v>
      </c>
      <c r="AL111" s="3">
        <f>IFERROR(__xludf.DUMMYFUNCTION("""COMPUTED_VALUE"""),0.0)</f>
        <v>0</v>
      </c>
      <c r="AM111" s="3"/>
      <c r="AN111" s="3"/>
      <c r="AO111" s="3"/>
      <c r="AP111" s="3">
        <f>IFERROR(__xludf.DUMMYFUNCTION("""COMPUTED_VALUE"""),4.89263708E8)</f>
        <v>489263708</v>
      </c>
      <c r="AQ111" s="3" t="str">
        <f>IFERROR(__xludf.DUMMYFUNCTION("""COMPUTED_VALUE"""),"e6eb11c4-93eb-41c7-a1b9-87c0bbc6feae")</f>
        <v>e6eb11c4-93eb-41c7-a1b9-87c0bbc6feae</v>
      </c>
      <c r="AR111" s="3">
        <f>IFERROR(__xludf.DUMMYFUNCTION("""COMPUTED_VALUE"""),45807.36615740741)</f>
        <v>45807.36616</v>
      </c>
      <c r="AS111" s="3"/>
      <c r="AT111" s="3"/>
      <c r="AU111" s="3" t="str">
        <f>IFERROR(__xludf.DUMMYFUNCTION("""COMPUTED_VALUE"""),"submitted_via_web")</f>
        <v>submitted_via_web</v>
      </c>
      <c r="AV111" s="3"/>
      <c r="AW111" s="3" t="str">
        <f>IFERROR(__xludf.DUMMYFUNCTION("""COMPUTED_VALUE"""),"vgUJxCcLkhbxcmcrDMVzkY")</f>
        <v>vgUJxCcLkhbxcmcrDMVzkY</v>
      </c>
      <c r="AX111" s="3"/>
      <c r="AY111" s="3">
        <f>IFERROR(__xludf.DUMMYFUNCTION("""COMPUTED_VALUE"""),110.0)</f>
        <v>110</v>
      </c>
    </row>
    <row r="112">
      <c r="A112" s="3" t="str">
        <f>IFERROR(__xludf.DUMMYFUNCTION("""COMPUTED_VALUE"""),"Yes")</f>
        <v>Yes</v>
      </c>
      <c r="B112" s="3"/>
      <c r="C112" s="3" t="str">
        <f>IFERROR(__xludf.DUMMYFUNCTION("""COMPUTED_VALUE"""),"lesotho")</f>
        <v>lesotho</v>
      </c>
      <c r="D112" s="3"/>
      <c r="E112" s="3" t="str">
        <f>IFERROR(__xludf.DUMMYFUNCTION("""COMPUTED_VALUE"""),"lesotho")</f>
        <v>lesotho</v>
      </c>
      <c r="F112" s="3"/>
      <c r="G112" s="3">
        <f>IFERROR(__xludf.DUMMYFUNCTION("""COMPUTED_VALUE"""),25.0)</f>
        <v>25</v>
      </c>
      <c r="H112" s="3" t="str">
        <f>IFERROR(__xludf.DUMMYFUNCTION("""COMPUTED_VALUE"""),"female")</f>
        <v>female</v>
      </c>
      <c r="I112" s="3"/>
      <c r="J112" s="3" t="str">
        <f>IFERROR(__xludf.DUMMYFUNCTION("""COMPUTED_VALUE"""),"ownbusiness")</f>
        <v>ownbusiness</v>
      </c>
      <c r="K112" s="3"/>
      <c r="L112" s="3"/>
      <c r="M112" s="3" t="str">
        <f>IFERROR(__xludf.DUMMYFUNCTION("""COMPUTED_VALUE"""),"agree")</f>
        <v>agree</v>
      </c>
      <c r="N112" s="3" t="str">
        <f>IFERROR(__xludf.DUMMYFUNCTION("""COMPUTED_VALUE"""),"agree")</f>
        <v>agree</v>
      </c>
      <c r="O112" s="3" t="str">
        <f>IFERROR(__xludf.DUMMYFUNCTION("""COMPUTED_VALUE"""),"disagree")</f>
        <v>disagree</v>
      </c>
      <c r="P112" s="3"/>
      <c r="Q112" s="3" t="str">
        <f>IFERROR(__xludf.DUMMYFUNCTION("""COMPUTED_VALUE"""),"agree")</f>
        <v>agree</v>
      </c>
      <c r="R112" s="3" t="str">
        <f>IFERROR(__xludf.DUMMYFUNCTION("""COMPUTED_VALUE"""),"agree")</f>
        <v>agree</v>
      </c>
      <c r="S112" s="3" t="str">
        <f>IFERROR(__xludf.DUMMYFUNCTION("""COMPUTED_VALUE"""),"disagree")</f>
        <v>disagree</v>
      </c>
      <c r="T112" s="3" t="str">
        <f>IFERROR(__xludf.DUMMYFUNCTION("""COMPUTED_VALUE"""),"disagree")</f>
        <v>disagree</v>
      </c>
      <c r="U112" s="3" t="str">
        <f>IFERROR(__xludf.DUMMYFUNCTION("""COMPUTED_VALUE"""),"dontknow")</f>
        <v>dontknow</v>
      </c>
      <c r="V112" s="3" t="str">
        <f>IFERROR(__xludf.DUMMYFUNCTION("""COMPUTED_VALUE"""),"agree")</f>
        <v>agree</v>
      </c>
      <c r="W112" s="3" t="str">
        <f>IFERROR(__xludf.DUMMYFUNCTION("""COMPUTED_VALUE"""),"agree")</f>
        <v>agree</v>
      </c>
      <c r="X112" s="3" t="str">
        <f>IFERROR(__xludf.DUMMYFUNCTION("""COMPUTED_VALUE"""),"Gold")</f>
        <v>Gold</v>
      </c>
      <c r="Y112" s="3" t="str">
        <f>IFERROR(__xludf.DUMMYFUNCTION("""COMPUTED_VALUE"""),"card")</f>
        <v>card</v>
      </c>
      <c r="Z112" s="3" t="str">
        <f>IFERROR(__xludf.DUMMYFUNCTION("""COMPUTED_VALUE"""),"once")</f>
        <v>once</v>
      </c>
      <c r="AA112" s="3">
        <f>IFERROR(__xludf.DUMMYFUNCTION("""COMPUTED_VALUE"""),10.0)</f>
        <v>10</v>
      </c>
      <c r="AB112" s="3" t="str">
        <f>IFERROR(__xludf.DUMMYFUNCTION("""COMPUTED_VALUE"""),"online")</f>
        <v>online</v>
      </c>
      <c r="AC112" s="3" t="str">
        <f>IFERROR(__xludf.DUMMYFUNCTION("""COMPUTED_VALUE"""),"Yes")</f>
        <v>Yes</v>
      </c>
      <c r="AD112" s="3" t="str">
        <f>IFERROR(__xludf.DUMMYFUNCTION("""COMPUTED_VALUE"""),"Gold")</f>
        <v>Gold</v>
      </c>
      <c r="AE112" s="3" t="str">
        <f>IFERROR(__xludf.DUMMYFUNCTION("""COMPUTED_VALUE"""),"Yes")</f>
        <v>Yes</v>
      </c>
      <c r="AF112" s="3" t="str">
        <f>IFERROR(__xludf.DUMMYFUNCTION("""COMPUTED_VALUE"""),"Yes")</f>
        <v>Yes</v>
      </c>
      <c r="AG112" s="3" t="str">
        <f>IFERROR(__xludf.DUMMYFUNCTION("""COMPUTED_VALUE"""),"Yes")</f>
        <v>Yes</v>
      </c>
      <c r="AH112" s="3">
        <f>IFERROR(__xludf.DUMMYFUNCTION("""COMPUTED_VALUE"""),200.0)</f>
        <v>200</v>
      </c>
      <c r="AI112" s="3">
        <f>IFERROR(__xludf.DUMMYFUNCTION("""COMPUTED_VALUE"""),1.0)</f>
        <v>1</v>
      </c>
      <c r="AJ112" s="3">
        <f>IFERROR(__xludf.DUMMYFUNCTION("""COMPUTED_VALUE"""),0.0)</f>
        <v>0</v>
      </c>
      <c r="AK112" s="3">
        <f>IFERROR(__xludf.DUMMYFUNCTION("""COMPUTED_VALUE"""),1.0)</f>
        <v>1</v>
      </c>
      <c r="AL112" s="3">
        <f>IFERROR(__xludf.DUMMYFUNCTION("""COMPUTED_VALUE"""),0.0)</f>
        <v>0</v>
      </c>
      <c r="AM112" s="3"/>
      <c r="AN112" s="3"/>
      <c r="AO112" s="3"/>
      <c r="AP112" s="3">
        <f>IFERROR(__xludf.DUMMYFUNCTION("""COMPUTED_VALUE"""),4.89268248E8)</f>
        <v>489268248</v>
      </c>
      <c r="AQ112" s="3" t="str">
        <f>IFERROR(__xludf.DUMMYFUNCTION("""COMPUTED_VALUE"""),"a3dce2d4-f5c2-45c8-b003-77339796a80d")</f>
        <v>a3dce2d4-f5c2-45c8-b003-77339796a80d</v>
      </c>
      <c r="AR112" s="3">
        <f>IFERROR(__xludf.DUMMYFUNCTION("""COMPUTED_VALUE"""),45807.370717592596)</f>
        <v>45807.37072</v>
      </c>
      <c r="AS112" s="3"/>
      <c r="AT112" s="3"/>
      <c r="AU112" s="3" t="str">
        <f>IFERROR(__xludf.DUMMYFUNCTION("""COMPUTED_VALUE"""),"submitted_via_web")</f>
        <v>submitted_via_web</v>
      </c>
      <c r="AV112" s="3"/>
      <c r="AW112" s="3" t="str">
        <f>IFERROR(__xludf.DUMMYFUNCTION("""COMPUTED_VALUE"""),"vgUJxCcLkhbxcmcrDMVzkY")</f>
        <v>vgUJxCcLkhbxcmcrDMVzkY</v>
      </c>
      <c r="AX112" s="3"/>
      <c r="AY112" s="3">
        <f>IFERROR(__xludf.DUMMYFUNCTION("""COMPUTED_VALUE"""),111.0)</f>
        <v>111</v>
      </c>
    </row>
    <row r="113">
      <c r="A113" s="3" t="str">
        <f>IFERROR(__xludf.DUMMYFUNCTION("""COMPUTED_VALUE"""),"Yes")</f>
        <v>Yes</v>
      </c>
      <c r="B113" s="3"/>
      <c r="C113" s="3" t="str">
        <f>IFERROR(__xludf.DUMMYFUNCTION("""COMPUTED_VALUE"""),"lesotho")</f>
        <v>lesotho</v>
      </c>
      <c r="D113" s="3"/>
      <c r="E113" s="3" t="str">
        <f>IFERROR(__xludf.DUMMYFUNCTION("""COMPUTED_VALUE"""),"south_africa")</f>
        <v>south_africa</v>
      </c>
      <c r="F113" s="3" t="str">
        <f>IFERROR(__xludf.DUMMYFUNCTION("""COMPUTED_VALUE"""),"City of Tshwane Metropolitan Municipality")</f>
        <v>City of Tshwane Metropolitan Municipality</v>
      </c>
      <c r="G113" s="3">
        <f>IFERROR(__xludf.DUMMYFUNCTION("""COMPUTED_VALUE"""),26.0)</f>
        <v>26</v>
      </c>
      <c r="H113" s="3" t="str">
        <f>IFERROR(__xludf.DUMMYFUNCTION("""COMPUTED_VALUE"""),"male")</f>
        <v>male</v>
      </c>
      <c r="I113" s="3" t="str">
        <f>IFERROR(__xludf.DUMMYFUNCTION("""COMPUTED_VALUE"""),"over5")</f>
        <v>over5</v>
      </c>
      <c r="J113" s="3" t="str">
        <f>IFERROR(__xludf.DUMMYFUNCTION("""COMPUTED_VALUE"""),"unemployed")</f>
        <v>unemployed</v>
      </c>
      <c r="K113" s="3" t="str">
        <f>IFERROR(__xludf.DUMMYFUNCTION("""COMPUTED_VALUE"""),"tertiary")</f>
        <v>tertiary</v>
      </c>
      <c r="L113" s="3"/>
      <c r="M113" s="3" t="str">
        <f>IFERROR(__xludf.DUMMYFUNCTION("""COMPUTED_VALUE"""),"agree")</f>
        <v>agree</v>
      </c>
      <c r="N113" s="3" t="str">
        <f>IFERROR(__xludf.DUMMYFUNCTION("""COMPUTED_VALUE"""),"agree")</f>
        <v>agree</v>
      </c>
      <c r="O113" s="3" t="str">
        <f>IFERROR(__xludf.DUMMYFUNCTION("""COMPUTED_VALUE"""),"agree")</f>
        <v>agree</v>
      </c>
      <c r="P113" s="3"/>
      <c r="Q113" s="3" t="str">
        <f>IFERROR(__xludf.DUMMYFUNCTION("""COMPUTED_VALUE"""),"agree")</f>
        <v>agree</v>
      </c>
      <c r="R113" s="3" t="str">
        <f>IFERROR(__xludf.DUMMYFUNCTION("""COMPUTED_VALUE"""),"agree")</f>
        <v>agree</v>
      </c>
      <c r="S113" s="3" t="str">
        <f>IFERROR(__xludf.DUMMYFUNCTION("""COMPUTED_VALUE"""),"agree")</f>
        <v>agree</v>
      </c>
      <c r="T113" s="3" t="str">
        <f>IFERROR(__xludf.DUMMYFUNCTION("""COMPUTED_VALUE"""),"agree")</f>
        <v>agree</v>
      </c>
      <c r="U113" s="3" t="str">
        <f>IFERROR(__xludf.DUMMYFUNCTION("""COMPUTED_VALUE"""),"agree")</f>
        <v>agree</v>
      </c>
      <c r="V113" s="3" t="str">
        <f>IFERROR(__xludf.DUMMYFUNCTION("""COMPUTED_VALUE"""),"agree")</f>
        <v>agree</v>
      </c>
      <c r="W113" s="3" t="str">
        <f>IFERROR(__xludf.DUMMYFUNCTION("""COMPUTED_VALUE"""),"agree")</f>
        <v>agree</v>
      </c>
      <c r="X113" s="3" t="str">
        <f>IFERROR(__xludf.DUMMYFUNCTION("""COMPUTED_VALUE"""),"Silver")</f>
        <v>Silver</v>
      </c>
      <c r="Y113" s="3" t="str">
        <f>IFERROR(__xludf.DUMMYFUNCTION("""COMPUTED_VALUE"""),"card")</f>
        <v>card</v>
      </c>
      <c r="Z113" s="3" t="str">
        <f>IFERROR(__xludf.DUMMYFUNCTION("""COMPUTED_VALUE"""),"monthly")</f>
        <v>monthly</v>
      </c>
      <c r="AA113" s="3">
        <f>IFERROR(__xludf.DUMMYFUNCTION("""COMPUTED_VALUE"""),10.0)</f>
        <v>10</v>
      </c>
      <c r="AB113" s="3" t="str">
        <f>IFERROR(__xludf.DUMMYFUNCTION("""COMPUTED_VALUE"""),"assisted")</f>
        <v>assisted</v>
      </c>
      <c r="AC113" s="3" t="str">
        <f>IFERROR(__xludf.DUMMYFUNCTION("""COMPUTED_VALUE"""),"Yes")</f>
        <v>Yes</v>
      </c>
      <c r="AD113" s="3" t="str">
        <f>IFERROR(__xludf.DUMMYFUNCTION("""COMPUTED_VALUE"""),"Gold")</f>
        <v>Gold</v>
      </c>
      <c r="AE113" s="3" t="str">
        <f>IFERROR(__xludf.DUMMYFUNCTION("""COMPUTED_VALUE"""),"Yes")</f>
        <v>Yes</v>
      </c>
      <c r="AF113" s="3" t="str">
        <f>IFERROR(__xludf.DUMMYFUNCTION("""COMPUTED_VALUE"""),"Yes")</f>
        <v>Yes</v>
      </c>
      <c r="AG113" s="3" t="str">
        <f>IFERROR(__xludf.DUMMYFUNCTION("""COMPUTED_VALUE"""),"Yes")</f>
        <v>Yes</v>
      </c>
      <c r="AH113" s="3">
        <f>IFERROR(__xludf.DUMMYFUNCTION("""COMPUTED_VALUE"""),1000.0)</f>
        <v>1000</v>
      </c>
      <c r="AI113" s="3">
        <f>IFERROR(__xludf.DUMMYFUNCTION("""COMPUTED_VALUE"""),0.0)</f>
        <v>0</v>
      </c>
      <c r="AJ113" s="3">
        <f>IFERROR(__xludf.DUMMYFUNCTION("""COMPUTED_VALUE"""),1.0)</f>
        <v>1</v>
      </c>
      <c r="AK113" s="3">
        <f>IFERROR(__xludf.DUMMYFUNCTION("""COMPUTED_VALUE"""),0.0)</f>
        <v>0</v>
      </c>
      <c r="AL113" s="3">
        <f>IFERROR(__xludf.DUMMYFUNCTION("""COMPUTED_VALUE"""),0.0)</f>
        <v>0</v>
      </c>
      <c r="AM113" s="3" t="str">
        <f>IFERROR(__xludf.DUMMYFUNCTION("""COMPUTED_VALUE"""),"Yes")</f>
        <v>Yes</v>
      </c>
      <c r="AN113" s="3">
        <f>IFERROR(__xludf.DUMMYFUNCTION("""COMPUTED_VALUE"""),6.32773846E8)</f>
        <v>632773846</v>
      </c>
      <c r="AO113" s="3"/>
      <c r="AP113" s="3">
        <f>IFERROR(__xludf.DUMMYFUNCTION("""COMPUTED_VALUE"""),4.89280512E8)</f>
        <v>489280512</v>
      </c>
      <c r="AQ113" s="3" t="str">
        <f>IFERROR(__xludf.DUMMYFUNCTION("""COMPUTED_VALUE"""),"c8c8e9c1-4e8c-4a65-b0c9-139966176d6a")</f>
        <v>c8c8e9c1-4e8c-4a65-b0c9-139966176d6a</v>
      </c>
      <c r="AR113" s="3">
        <f>IFERROR(__xludf.DUMMYFUNCTION("""COMPUTED_VALUE"""),45807.384930555556)</f>
        <v>45807.38493</v>
      </c>
      <c r="AS113" s="3"/>
      <c r="AT113" s="3"/>
      <c r="AU113" s="3" t="str">
        <f>IFERROR(__xludf.DUMMYFUNCTION("""COMPUTED_VALUE"""),"submitted_via_web")</f>
        <v>submitted_via_web</v>
      </c>
      <c r="AV113" s="3"/>
      <c r="AW113" s="3" t="str">
        <f>IFERROR(__xludf.DUMMYFUNCTION("""COMPUTED_VALUE"""),"vgUJxCcLkhbxcmcrDMVzkY")</f>
        <v>vgUJxCcLkhbxcmcrDMVzkY</v>
      </c>
      <c r="AX113" s="3"/>
      <c r="AY113" s="3">
        <f>IFERROR(__xludf.DUMMYFUNCTION("""COMPUTED_VALUE"""),112.0)</f>
        <v>112</v>
      </c>
    </row>
    <row r="114">
      <c r="A114" s="3" t="str">
        <f>IFERROR(__xludf.DUMMYFUNCTION("""COMPUTED_VALUE"""),"Yes")</f>
        <v>Yes</v>
      </c>
      <c r="B114" s="3"/>
      <c r="C114" s="3" t="str">
        <f>IFERROR(__xludf.DUMMYFUNCTION("""COMPUTED_VALUE"""),"namibia")</f>
        <v>namibia</v>
      </c>
      <c r="D114" s="3"/>
      <c r="E114" s="3" t="str">
        <f>IFERROR(__xludf.DUMMYFUNCTION("""COMPUTED_VALUE"""),"namibia")</f>
        <v>namibia</v>
      </c>
      <c r="F114" s="3"/>
      <c r="G114" s="3">
        <f>IFERROR(__xludf.DUMMYFUNCTION("""COMPUTED_VALUE"""),38.0)</f>
        <v>38</v>
      </c>
      <c r="H114" s="3" t="str">
        <f>IFERROR(__xludf.DUMMYFUNCTION("""COMPUTED_VALUE"""),"female")</f>
        <v>female</v>
      </c>
      <c r="I114" s="3"/>
      <c r="J114" s="3" t="str">
        <f>IFERROR(__xludf.DUMMYFUNCTION("""COMPUTED_VALUE"""),"formal")</f>
        <v>formal</v>
      </c>
      <c r="K114" s="3" t="str">
        <f>IFERROR(__xludf.DUMMYFUNCTION("""COMPUTED_VALUE"""),"tertiary")</f>
        <v>tertiary</v>
      </c>
      <c r="L114" s="3"/>
      <c r="M114" s="3" t="str">
        <f>IFERROR(__xludf.DUMMYFUNCTION("""COMPUTED_VALUE"""),"agree")</f>
        <v>agree</v>
      </c>
      <c r="N114" s="3" t="str">
        <f>IFERROR(__xludf.DUMMYFUNCTION("""COMPUTED_VALUE"""),"agree")</f>
        <v>agree</v>
      </c>
      <c r="O114" s="3" t="str">
        <f>IFERROR(__xludf.DUMMYFUNCTION("""COMPUTED_VALUE"""),"disagree")</f>
        <v>disagree</v>
      </c>
      <c r="P114" s="3"/>
      <c r="Q114" s="3" t="str">
        <f>IFERROR(__xludf.DUMMYFUNCTION("""COMPUTED_VALUE"""),"disagree")</f>
        <v>disagree</v>
      </c>
      <c r="R114" s="3" t="str">
        <f>IFERROR(__xludf.DUMMYFUNCTION("""COMPUTED_VALUE"""),"disagree")</f>
        <v>disagree</v>
      </c>
      <c r="S114" s="3" t="str">
        <f>IFERROR(__xludf.DUMMYFUNCTION("""COMPUTED_VALUE"""),"agree")</f>
        <v>agree</v>
      </c>
      <c r="T114" s="3" t="str">
        <f>IFERROR(__xludf.DUMMYFUNCTION("""COMPUTED_VALUE"""),"agree")</f>
        <v>agree</v>
      </c>
      <c r="U114" s="3" t="str">
        <f>IFERROR(__xludf.DUMMYFUNCTION("""COMPUTED_VALUE"""),"dontknow")</f>
        <v>dontknow</v>
      </c>
      <c r="V114" s="3" t="str">
        <f>IFERROR(__xludf.DUMMYFUNCTION("""COMPUTED_VALUE"""),"agree")</f>
        <v>agree</v>
      </c>
      <c r="W114" s="3" t="str">
        <f>IFERROR(__xludf.DUMMYFUNCTION("""COMPUTED_VALUE"""),"dontknow")</f>
        <v>dontknow</v>
      </c>
      <c r="X114" s="3" t="str">
        <f>IFERROR(__xludf.DUMMYFUNCTION("""COMPUTED_VALUE"""),"Gold")</f>
        <v>Gold</v>
      </c>
      <c r="Y114" s="3" t="str">
        <f>IFERROR(__xludf.DUMMYFUNCTION("""COMPUTED_VALUE"""),"card")</f>
        <v>card</v>
      </c>
      <c r="Z114" s="3" t="str">
        <f>IFERROR(__xludf.DUMMYFUNCTION("""COMPUTED_VALUE"""),"annual")</f>
        <v>annual</v>
      </c>
      <c r="AA114" s="3">
        <f>IFERROR(__xludf.DUMMYFUNCTION("""COMPUTED_VALUE"""),50.0)</f>
        <v>50</v>
      </c>
      <c r="AB114" s="3" t="str">
        <f>IFERROR(__xludf.DUMMYFUNCTION("""COMPUTED_VALUE"""),"online")</f>
        <v>online</v>
      </c>
      <c r="AC114" s="3" t="str">
        <f>IFERROR(__xludf.DUMMYFUNCTION("""COMPUTED_VALUE"""),"I am not an employer")</f>
        <v>I am not an employer</v>
      </c>
      <c r="AD114" s="3"/>
      <c r="AE114" s="3"/>
      <c r="AF114" s="3" t="str">
        <f>IFERROR(__xludf.DUMMYFUNCTION("""COMPUTED_VALUE"""),"Yes")</f>
        <v>Yes</v>
      </c>
      <c r="AG114" s="3" t="str">
        <f>IFERROR(__xludf.DUMMYFUNCTION("""COMPUTED_VALUE"""),"Yes")</f>
        <v>Yes</v>
      </c>
      <c r="AH114" s="3">
        <f>IFERROR(__xludf.DUMMYFUNCTION("""COMPUTED_VALUE"""),5000.0)</f>
        <v>5000</v>
      </c>
      <c r="AI114" s="3">
        <f>IFERROR(__xludf.DUMMYFUNCTION("""COMPUTED_VALUE"""),0.0)</f>
        <v>0</v>
      </c>
      <c r="AJ114" s="3">
        <f>IFERROR(__xludf.DUMMYFUNCTION("""COMPUTED_VALUE"""),0.0)</f>
        <v>0</v>
      </c>
      <c r="AK114" s="3">
        <f>IFERROR(__xludf.DUMMYFUNCTION("""COMPUTED_VALUE"""),0.0)</f>
        <v>0</v>
      </c>
      <c r="AL114" s="3">
        <f>IFERROR(__xludf.DUMMYFUNCTION("""COMPUTED_VALUE"""),1.0)</f>
        <v>1</v>
      </c>
      <c r="AM114" s="3"/>
      <c r="AN114" s="3"/>
      <c r="AO114" s="3"/>
      <c r="AP114" s="3">
        <f>IFERROR(__xludf.DUMMYFUNCTION("""COMPUTED_VALUE"""),4.89360254E8)</f>
        <v>489360254</v>
      </c>
      <c r="AQ114" s="3" t="str">
        <f>IFERROR(__xludf.DUMMYFUNCTION("""COMPUTED_VALUE"""),"bb34cc97-b235-4afb-80d2-08c33a973ab9")</f>
        <v>bb34cc97-b235-4afb-80d2-08c33a973ab9</v>
      </c>
      <c r="AR114" s="3">
        <f>IFERROR(__xludf.DUMMYFUNCTION("""COMPUTED_VALUE"""),45807.47440972222)</f>
        <v>45807.47441</v>
      </c>
      <c r="AS114" s="3"/>
      <c r="AT114" s="3"/>
      <c r="AU114" s="3" t="str">
        <f>IFERROR(__xludf.DUMMYFUNCTION("""COMPUTED_VALUE"""),"submitted_via_web")</f>
        <v>submitted_via_web</v>
      </c>
      <c r="AV114" s="3"/>
      <c r="AW114" s="3" t="str">
        <f>IFERROR(__xludf.DUMMYFUNCTION("""COMPUTED_VALUE"""),"vgUJxCcLkhbxcmcrDMVzkY")</f>
        <v>vgUJxCcLkhbxcmcrDMVzkY</v>
      </c>
      <c r="AX114" s="3"/>
      <c r="AY114" s="3">
        <f>IFERROR(__xludf.DUMMYFUNCTION("""COMPUTED_VALUE"""),113.0)</f>
        <v>113</v>
      </c>
    </row>
    <row r="115">
      <c r="A115" s="3" t="str">
        <f>IFERROR(__xludf.DUMMYFUNCTION("""COMPUTED_VALUE"""),"Yes")</f>
        <v>Yes</v>
      </c>
      <c r="B115" s="3"/>
      <c r="C115" s="3" t="str">
        <f>IFERROR(__xludf.DUMMYFUNCTION("""COMPUTED_VALUE"""),"namibia")</f>
        <v>namibia</v>
      </c>
      <c r="D115" s="3"/>
      <c r="E115" s="3" t="str">
        <f>IFERROR(__xludf.DUMMYFUNCTION("""COMPUTED_VALUE"""),"namibia")</f>
        <v>namibia</v>
      </c>
      <c r="F115" s="3"/>
      <c r="G115" s="3">
        <f>IFERROR(__xludf.DUMMYFUNCTION("""COMPUTED_VALUE"""),32.0)</f>
        <v>32</v>
      </c>
      <c r="H115" s="3" t="str">
        <f>IFERROR(__xludf.DUMMYFUNCTION("""COMPUTED_VALUE"""),"female")</f>
        <v>female</v>
      </c>
      <c r="I115" s="3"/>
      <c r="J115" s="3" t="str">
        <f>IFERROR(__xludf.DUMMYFUNCTION("""COMPUTED_VALUE"""),"formal")</f>
        <v>formal</v>
      </c>
      <c r="K115" s="3" t="str">
        <f>IFERROR(__xludf.DUMMYFUNCTION("""COMPUTED_VALUE"""),"tertiary")</f>
        <v>tertiary</v>
      </c>
      <c r="L115" s="3"/>
      <c r="M115" s="3" t="str">
        <f>IFERROR(__xludf.DUMMYFUNCTION("""COMPUTED_VALUE"""),"agree")</f>
        <v>agree</v>
      </c>
      <c r="N115" s="3" t="str">
        <f>IFERROR(__xludf.DUMMYFUNCTION("""COMPUTED_VALUE"""),"agree")</f>
        <v>agree</v>
      </c>
      <c r="O115" s="3" t="str">
        <f>IFERROR(__xludf.DUMMYFUNCTION("""COMPUTED_VALUE"""),"agree")</f>
        <v>agree</v>
      </c>
      <c r="P115" s="3"/>
      <c r="Q115" s="3" t="str">
        <f>IFERROR(__xludf.DUMMYFUNCTION("""COMPUTED_VALUE"""),"disagree")</f>
        <v>disagree</v>
      </c>
      <c r="R115" s="3" t="str">
        <f>IFERROR(__xludf.DUMMYFUNCTION("""COMPUTED_VALUE"""),"agree")</f>
        <v>agree</v>
      </c>
      <c r="S115" s="3" t="str">
        <f>IFERROR(__xludf.DUMMYFUNCTION("""COMPUTED_VALUE"""),"disagree")</f>
        <v>disagree</v>
      </c>
      <c r="T115" s="3" t="str">
        <f>IFERROR(__xludf.DUMMYFUNCTION("""COMPUTED_VALUE"""),"disagree")</f>
        <v>disagree</v>
      </c>
      <c r="U115" s="3" t="str">
        <f>IFERROR(__xludf.DUMMYFUNCTION("""COMPUTED_VALUE"""),"disagree")</f>
        <v>disagree</v>
      </c>
      <c r="V115" s="3" t="str">
        <f>IFERROR(__xludf.DUMMYFUNCTION("""COMPUTED_VALUE"""),"disagree")</f>
        <v>disagree</v>
      </c>
      <c r="W115" s="3" t="str">
        <f>IFERROR(__xludf.DUMMYFUNCTION("""COMPUTED_VALUE"""),"disagree")</f>
        <v>disagree</v>
      </c>
      <c r="X115" s="3" t="str">
        <f>IFERROR(__xludf.DUMMYFUNCTION("""COMPUTED_VALUE"""),"Silver")</f>
        <v>Silver</v>
      </c>
      <c r="Y115" s="3" t="str">
        <f>IFERROR(__xludf.DUMMYFUNCTION("""COMPUTED_VALUE"""),"insurance")</f>
        <v>insurance</v>
      </c>
      <c r="Z115" s="3" t="str">
        <f>IFERROR(__xludf.DUMMYFUNCTION("""COMPUTED_VALUE"""),"monthly")</f>
        <v>monthly</v>
      </c>
      <c r="AA115" s="3">
        <f>IFERROR(__xludf.DUMMYFUNCTION("""COMPUTED_VALUE"""),100.0)</f>
        <v>100</v>
      </c>
      <c r="AB115" s="3" t="str">
        <f>IFERROR(__xludf.DUMMYFUNCTION("""COMPUTED_VALUE"""),"employer")</f>
        <v>employer</v>
      </c>
      <c r="AC115" s="3" t="str">
        <f>IFERROR(__xludf.DUMMYFUNCTION("""COMPUTED_VALUE"""),"I am not an employer")</f>
        <v>I am not an employer</v>
      </c>
      <c r="AD115" s="3"/>
      <c r="AE115" s="3"/>
      <c r="AF115" s="3" t="str">
        <f>IFERROR(__xludf.DUMMYFUNCTION("""COMPUTED_VALUE"""),"Yes")</f>
        <v>Yes</v>
      </c>
      <c r="AG115" s="3" t="str">
        <f>IFERROR(__xludf.DUMMYFUNCTION("""COMPUTED_VALUE"""),"Yes")</f>
        <v>Yes</v>
      </c>
      <c r="AH115" s="3">
        <f>IFERROR(__xludf.DUMMYFUNCTION("""COMPUTED_VALUE"""),500.0)</f>
        <v>500</v>
      </c>
      <c r="AI115" s="3">
        <f>IFERROR(__xludf.DUMMYFUNCTION("""COMPUTED_VALUE"""),1.0)</f>
        <v>1</v>
      </c>
      <c r="AJ115" s="3">
        <f>IFERROR(__xludf.DUMMYFUNCTION("""COMPUTED_VALUE"""),0.0)</f>
        <v>0</v>
      </c>
      <c r="AK115" s="3">
        <f>IFERROR(__xludf.DUMMYFUNCTION("""COMPUTED_VALUE"""),0.0)</f>
        <v>0</v>
      </c>
      <c r="AL115" s="3">
        <f>IFERROR(__xludf.DUMMYFUNCTION("""COMPUTED_VALUE"""),0.0)</f>
        <v>0</v>
      </c>
      <c r="AM115" s="3"/>
      <c r="AN115" s="3"/>
      <c r="AO115" s="3"/>
      <c r="AP115" s="3">
        <f>IFERROR(__xludf.DUMMYFUNCTION("""COMPUTED_VALUE"""),4.89382361E8)</f>
        <v>489382361</v>
      </c>
      <c r="AQ115" s="3" t="str">
        <f>IFERROR(__xludf.DUMMYFUNCTION("""COMPUTED_VALUE"""),"7ffde9a8-b364-46a0-af84-cb18948abb42")</f>
        <v>7ffde9a8-b364-46a0-af84-cb18948abb42</v>
      </c>
      <c r="AR115" s="3">
        <f>IFERROR(__xludf.DUMMYFUNCTION("""COMPUTED_VALUE"""),45807.495983796296)</f>
        <v>45807.49598</v>
      </c>
      <c r="AS115" s="3"/>
      <c r="AT115" s="3"/>
      <c r="AU115" s="3" t="str">
        <f>IFERROR(__xludf.DUMMYFUNCTION("""COMPUTED_VALUE"""),"submitted_via_web")</f>
        <v>submitted_via_web</v>
      </c>
      <c r="AV115" s="3"/>
      <c r="AW115" s="3" t="str">
        <f>IFERROR(__xludf.DUMMYFUNCTION("""COMPUTED_VALUE"""),"vgUJxCcLkhbxcmcrDMVzkY")</f>
        <v>vgUJxCcLkhbxcmcrDMVzkY</v>
      </c>
      <c r="AX115" s="3"/>
      <c r="AY115" s="3">
        <f>IFERROR(__xludf.DUMMYFUNCTION("""COMPUTED_VALUE"""),114.0)</f>
        <v>114</v>
      </c>
    </row>
    <row r="116">
      <c r="A116" s="3" t="str">
        <f>IFERROR(__xludf.DUMMYFUNCTION("""COMPUTED_VALUE"""),"Yes")</f>
        <v>Yes</v>
      </c>
      <c r="B116" s="3"/>
      <c r="C116" s="3" t="str">
        <f>IFERROR(__xludf.DUMMYFUNCTION("""COMPUTED_VALUE"""),"namibia")</f>
        <v>namibia</v>
      </c>
      <c r="D116" s="3"/>
      <c r="E116" s="3" t="str">
        <f>IFERROR(__xludf.DUMMYFUNCTION("""COMPUTED_VALUE"""),"namibia")</f>
        <v>namibia</v>
      </c>
      <c r="F116" s="3"/>
      <c r="G116" s="3">
        <f>IFERROR(__xludf.DUMMYFUNCTION("""COMPUTED_VALUE"""),51.0)</f>
        <v>51</v>
      </c>
      <c r="H116" s="3" t="str">
        <f>IFERROR(__xludf.DUMMYFUNCTION("""COMPUTED_VALUE"""),"female")</f>
        <v>female</v>
      </c>
      <c r="I116" s="3"/>
      <c r="J116" s="3" t="str">
        <f>IFERROR(__xludf.DUMMYFUNCTION("""COMPUTED_VALUE"""),"formal")</f>
        <v>formal</v>
      </c>
      <c r="K116" s="3" t="str">
        <f>IFERROR(__xludf.DUMMYFUNCTION("""COMPUTED_VALUE"""),"tertiary")</f>
        <v>tertiary</v>
      </c>
      <c r="L116" s="3"/>
      <c r="M116" s="3" t="str">
        <f>IFERROR(__xludf.DUMMYFUNCTION("""COMPUTED_VALUE"""),"agree")</f>
        <v>agree</v>
      </c>
      <c r="N116" s="3" t="str">
        <f>IFERROR(__xludf.DUMMYFUNCTION("""COMPUTED_VALUE"""),"agree")</f>
        <v>agree</v>
      </c>
      <c r="O116" s="3" t="str">
        <f>IFERROR(__xludf.DUMMYFUNCTION("""COMPUTED_VALUE"""),"agree")</f>
        <v>agree</v>
      </c>
      <c r="P116" s="3"/>
      <c r="Q116" s="3" t="str">
        <f>IFERROR(__xludf.DUMMYFUNCTION("""COMPUTED_VALUE"""),"agree")</f>
        <v>agree</v>
      </c>
      <c r="R116" s="3" t="str">
        <f>IFERROR(__xludf.DUMMYFUNCTION("""COMPUTED_VALUE"""),"agree")</f>
        <v>agree</v>
      </c>
      <c r="S116" s="3" t="str">
        <f>IFERROR(__xludf.DUMMYFUNCTION("""COMPUTED_VALUE"""),"disagree")</f>
        <v>disagree</v>
      </c>
      <c r="T116" s="3" t="str">
        <f>IFERROR(__xludf.DUMMYFUNCTION("""COMPUTED_VALUE"""),"disagree")</f>
        <v>disagree</v>
      </c>
      <c r="U116" s="3" t="str">
        <f>IFERROR(__xludf.DUMMYFUNCTION("""COMPUTED_VALUE"""),"agree")</f>
        <v>agree</v>
      </c>
      <c r="V116" s="3" t="str">
        <f>IFERROR(__xludf.DUMMYFUNCTION("""COMPUTED_VALUE"""),"agree")</f>
        <v>agree</v>
      </c>
      <c r="W116" s="3" t="str">
        <f>IFERROR(__xludf.DUMMYFUNCTION("""COMPUTED_VALUE"""),"disagree")</f>
        <v>disagree</v>
      </c>
      <c r="X116" s="3" t="str">
        <f>IFERROR(__xludf.DUMMYFUNCTION("""COMPUTED_VALUE"""),"Silver")</f>
        <v>Silver</v>
      </c>
      <c r="Y116" s="3" t="str">
        <f>IFERROR(__xludf.DUMMYFUNCTION("""COMPUTED_VALUE"""),"cash")</f>
        <v>cash</v>
      </c>
      <c r="Z116" s="3" t="str">
        <f>IFERROR(__xludf.DUMMYFUNCTION("""COMPUTED_VALUE"""),"monthly")</f>
        <v>monthly</v>
      </c>
      <c r="AA116" s="3">
        <f>IFERROR(__xludf.DUMMYFUNCTION("""COMPUTED_VALUE"""),30.0)</f>
        <v>30</v>
      </c>
      <c r="AB116" s="3" t="str">
        <f>IFERROR(__xludf.DUMMYFUNCTION("""COMPUTED_VALUE"""),"assisted")</f>
        <v>assisted</v>
      </c>
      <c r="AC116" s="3" t="str">
        <f>IFERROR(__xludf.DUMMYFUNCTION("""COMPUTED_VALUE"""),"Yes")</f>
        <v>Yes</v>
      </c>
      <c r="AD116" s="3" t="str">
        <f>IFERROR(__xludf.DUMMYFUNCTION("""COMPUTED_VALUE"""),"Silver")</f>
        <v>Silver</v>
      </c>
      <c r="AE116" s="3" t="str">
        <f>IFERROR(__xludf.DUMMYFUNCTION("""COMPUTED_VALUE"""),"Yes")</f>
        <v>Yes</v>
      </c>
      <c r="AF116" s="3" t="str">
        <f>IFERROR(__xludf.DUMMYFUNCTION("""COMPUTED_VALUE"""),"Yes")</f>
        <v>Yes</v>
      </c>
      <c r="AG116" s="3" t="str">
        <f>IFERROR(__xludf.DUMMYFUNCTION("""COMPUTED_VALUE"""),"Yes")</f>
        <v>Yes</v>
      </c>
      <c r="AH116" s="3">
        <f>IFERROR(__xludf.DUMMYFUNCTION("""COMPUTED_VALUE"""),500.0)</f>
        <v>500</v>
      </c>
      <c r="AI116" s="3">
        <f>IFERROR(__xludf.DUMMYFUNCTION("""COMPUTED_VALUE"""),1.0)</f>
        <v>1</v>
      </c>
      <c r="AJ116" s="3">
        <f>IFERROR(__xludf.DUMMYFUNCTION("""COMPUTED_VALUE"""),0.0)</f>
        <v>0</v>
      </c>
      <c r="AK116" s="3">
        <f>IFERROR(__xludf.DUMMYFUNCTION("""COMPUTED_VALUE"""),1.0)</f>
        <v>1</v>
      </c>
      <c r="AL116" s="3">
        <f>IFERROR(__xludf.DUMMYFUNCTION("""COMPUTED_VALUE"""),0.0)</f>
        <v>0</v>
      </c>
      <c r="AM116" s="3"/>
      <c r="AN116" s="3"/>
      <c r="AO116" s="3"/>
      <c r="AP116" s="3">
        <f>IFERROR(__xludf.DUMMYFUNCTION("""COMPUTED_VALUE"""),4.89384259E8)</f>
        <v>489384259</v>
      </c>
      <c r="AQ116" s="3" t="str">
        <f>IFERROR(__xludf.DUMMYFUNCTION("""COMPUTED_VALUE"""),"8a108609-b2ec-4fa5-b9f1-0e21194b664b")</f>
        <v>8a108609-b2ec-4fa5-b9f1-0e21194b664b</v>
      </c>
      <c r="AR116" s="3">
        <f>IFERROR(__xludf.DUMMYFUNCTION("""COMPUTED_VALUE"""),45807.49796296296)</f>
        <v>45807.49796</v>
      </c>
      <c r="AS116" s="3"/>
      <c r="AT116" s="3"/>
      <c r="AU116" s="3" t="str">
        <f>IFERROR(__xludf.DUMMYFUNCTION("""COMPUTED_VALUE"""),"submitted_via_web")</f>
        <v>submitted_via_web</v>
      </c>
      <c r="AV116" s="3"/>
      <c r="AW116" s="3" t="str">
        <f>IFERROR(__xludf.DUMMYFUNCTION("""COMPUTED_VALUE"""),"vgUJxCcLkhbxcmcrDMVzkY")</f>
        <v>vgUJxCcLkhbxcmcrDMVzkY</v>
      </c>
      <c r="AX116" s="3"/>
      <c r="AY116" s="3">
        <f>IFERROR(__xludf.DUMMYFUNCTION("""COMPUTED_VALUE"""),115.0)</f>
        <v>115</v>
      </c>
    </row>
    <row r="117">
      <c r="A117" s="3" t="str">
        <f>IFERROR(__xludf.DUMMYFUNCTION("""COMPUTED_VALUE"""),"Yes")</f>
        <v>Yes</v>
      </c>
      <c r="B117" s="3"/>
      <c r="C117" s="3" t="str">
        <f>IFERROR(__xludf.DUMMYFUNCTION("""COMPUTED_VALUE"""),"zimbabwe")</f>
        <v>zimbabwe</v>
      </c>
      <c r="D117" s="3"/>
      <c r="E117" s="3" t="str">
        <f>IFERROR(__xludf.DUMMYFUNCTION("""COMPUTED_VALUE"""),"namibia")</f>
        <v>namibia</v>
      </c>
      <c r="F117" s="3"/>
      <c r="G117" s="3">
        <f>IFERROR(__xludf.DUMMYFUNCTION("""COMPUTED_VALUE"""),38.0)</f>
        <v>38</v>
      </c>
      <c r="H117" s="3" t="str">
        <f>IFERROR(__xludf.DUMMYFUNCTION("""COMPUTED_VALUE"""),"male")</f>
        <v>male</v>
      </c>
      <c r="I117" s="3"/>
      <c r="J117" s="3" t="str">
        <f>IFERROR(__xludf.DUMMYFUNCTION("""COMPUTED_VALUE"""),"unemployed")</f>
        <v>unemployed</v>
      </c>
      <c r="K117" s="3" t="str">
        <f>IFERROR(__xludf.DUMMYFUNCTION("""COMPUTED_VALUE"""),"tertiary")</f>
        <v>tertiary</v>
      </c>
      <c r="L117" s="3"/>
      <c r="M117" s="3" t="str">
        <f>IFERROR(__xludf.DUMMYFUNCTION("""COMPUTED_VALUE"""),"agree")</f>
        <v>agree</v>
      </c>
      <c r="N117" s="3" t="str">
        <f>IFERROR(__xludf.DUMMYFUNCTION("""COMPUTED_VALUE"""),"agree")</f>
        <v>agree</v>
      </c>
      <c r="O117" s="3" t="str">
        <f>IFERROR(__xludf.DUMMYFUNCTION("""COMPUTED_VALUE"""),"disagree")</f>
        <v>disagree</v>
      </c>
      <c r="P117" s="3"/>
      <c r="Q117" s="3" t="str">
        <f>IFERROR(__xludf.DUMMYFUNCTION("""COMPUTED_VALUE"""),"agree")</f>
        <v>agree</v>
      </c>
      <c r="R117" s="3" t="str">
        <f>IFERROR(__xludf.DUMMYFUNCTION("""COMPUTED_VALUE"""),"agree")</f>
        <v>agree</v>
      </c>
      <c r="S117" s="3" t="str">
        <f>IFERROR(__xludf.DUMMYFUNCTION("""COMPUTED_VALUE"""),"disagree")</f>
        <v>disagree</v>
      </c>
      <c r="T117" s="3" t="str">
        <f>IFERROR(__xludf.DUMMYFUNCTION("""COMPUTED_VALUE"""),"disagree")</f>
        <v>disagree</v>
      </c>
      <c r="U117" s="3" t="str">
        <f>IFERROR(__xludf.DUMMYFUNCTION("""COMPUTED_VALUE"""),"disagree")</f>
        <v>disagree</v>
      </c>
      <c r="V117" s="3" t="str">
        <f>IFERROR(__xludf.DUMMYFUNCTION("""COMPUTED_VALUE"""),"agree")</f>
        <v>agree</v>
      </c>
      <c r="W117" s="3" t="str">
        <f>IFERROR(__xludf.DUMMYFUNCTION("""COMPUTED_VALUE"""),"dontknow")</f>
        <v>dontknow</v>
      </c>
      <c r="X117" s="3" t="str">
        <f>IFERROR(__xludf.DUMMYFUNCTION("""COMPUTED_VALUE"""),"Platinum")</f>
        <v>Platinum</v>
      </c>
      <c r="Y117" s="3" t="str">
        <f>IFERROR(__xludf.DUMMYFUNCTION("""COMPUTED_VALUE"""),"insurance")</f>
        <v>insurance</v>
      </c>
      <c r="Z117" s="3" t="str">
        <f>IFERROR(__xludf.DUMMYFUNCTION("""COMPUTED_VALUE"""),"quarterly")</f>
        <v>quarterly</v>
      </c>
      <c r="AA117" s="3">
        <f>IFERROR(__xludf.DUMMYFUNCTION("""COMPUTED_VALUE"""),100.0)</f>
        <v>100</v>
      </c>
      <c r="AB117" s="3" t="str">
        <f>IFERROR(__xludf.DUMMYFUNCTION("""COMPUTED_VALUE"""),"online")</f>
        <v>online</v>
      </c>
      <c r="AC117" s="3" t="str">
        <f>IFERROR(__xludf.DUMMYFUNCTION("""COMPUTED_VALUE"""),"Yes")</f>
        <v>Yes</v>
      </c>
      <c r="AD117" s="3" t="str">
        <f>IFERROR(__xludf.DUMMYFUNCTION("""COMPUTED_VALUE"""),"Silver")</f>
        <v>Silver</v>
      </c>
      <c r="AE117" s="3" t="str">
        <f>IFERROR(__xludf.DUMMYFUNCTION("""COMPUTED_VALUE"""),"Yes")</f>
        <v>Yes</v>
      </c>
      <c r="AF117" s="3" t="str">
        <f>IFERROR(__xludf.DUMMYFUNCTION("""COMPUTED_VALUE"""),"Yes")</f>
        <v>Yes</v>
      </c>
      <c r="AG117" s="3" t="str">
        <f>IFERROR(__xludf.DUMMYFUNCTION("""COMPUTED_VALUE"""),"No")</f>
        <v>No</v>
      </c>
      <c r="AH117" s="3"/>
      <c r="AI117" s="3">
        <f>IFERROR(__xludf.DUMMYFUNCTION("""COMPUTED_VALUE"""),1.0)</f>
        <v>1</v>
      </c>
      <c r="AJ117" s="3">
        <f>IFERROR(__xludf.DUMMYFUNCTION("""COMPUTED_VALUE"""),0.0)</f>
        <v>0</v>
      </c>
      <c r="AK117" s="3">
        <f>IFERROR(__xludf.DUMMYFUNCTION("""COMPUTED_VALUE"""),1.0)</f>
        <v>1</v>
      </c>
      <c r="AL117" s="3">
        <f>IFERROR(__xludf.DUMMYFUNCTION("""COMPUTED_VALUE"""),0.0)</f>
        <v>0</v>
      </c>
      <c r="AM117" s="3"/>
      <c r="AN117" s="3"/>
      <c r="AO117" s="3"/>
      <c r="AP117" s="3">
        <f>IFERROR(__xludf.DUMMYFUNCTION("""COMPUTED_VALUE"""),4.89387431E8)</f>
        <v>489387431</v>
      </c>
      <c r="AQ117" s="3" t="str">
        <f>IFERROR(__xludf.DUMMYFUNCTION("""COMPUTED_VALUE"""),"217c4022-50a4-42c1-8265-483635187882")</f>
        <v>217c4022-50a4-42c1-8265-483635187882</v>
      </c>
      <c r="AR117" s="3">
        <f>IFERROR(__xludf.DUMMYFUNCTION("""COMPUTED_VALUE"""),45807.501284722224)</f>
        <v>45807.50128</v>
      </c>
      <c r="AS117" s="3"/>
      <c r="AT117" s="3"/>
      <c r="AU117" s="3" t="str">
        <f>IFERROR(__xludf.DUMMYFUNCTION("""COMPUTED_VALUE"""),"submitted_via_web")</f>
        <v>submitted_via_web</v>
      </c>
      <c r="AV117" s="3"/>
      <c r="AW117" s="3" t="str">
        <f>IFERROR(__xludf.DUMMYFUNCTION("""COMPUTED_VALUE"""),"vgUJxCcLkhbxcmcrDMVzkY")</f>
        <v>vgUJxCcLkhbxcmcrDMVzkY</v>
      </c>
      <c r="AX117" s="3"/>
      <c r="AY117" s="3">
        <f>IFERROR(__xludf.DUMMYFUNCTION("""COMPUTED_VALUE"""),116.0)</f>
        <v>116</v>
      </c>
    </row>
    <row r="118">
      <c r="A118" s="3" t="str">
        <f>IFERROR(__xludf.DUMMYFUNCTION("""COMPUTED_VALUE"""),"Yes")</f>
        <v>Yes</v>
      </c>
      <c r="B118" s="3"/>
      <c r="C118" s="3" t="str">
        <f>IFERROR(__xludf.DUMMYFUNCTION("""COMPUTED_VALUE"""),"zimbabwe")</f>
        <v>zimbabwe</v>
      </c>
      <c r="D118" s="3"/>
      <c r="E118" s="3" t="str">
        <f>IFERROR(__xludf.DUMMYFUNCTION("""COMPUTED_VALUE"""),"south_africa")</f>
        <v>south_africa</v>
      </c>
      <c r="F118" s="3" t="str">
        <f>IFERROR(__xludf.DUMMYFUNCTION("""COMPUTED_VALUE"""),"City of Tshwane Metropolitan Municipality")</f>
        <v>City of Tshwane Metropolitan Municipality</v>
      </c>
      <c r="G118" s="3">
        <f>IFERROR(__xludf.DUMMYFUNCTION("""COMPUTED_VALUE"""),29.0)</f>
        <v>29</v>
      </c>
      <c r="H118" s="3" t="str">
        <f>IFERROR(__xludf.DUMMYFUNCTION("""COMPUTED_VALUE"""),"female")</f>
        <v>female</v>
      </c>
      <c r="I118" s="3" t="str">
        <f>IFERROR(__xludf.DUMMYFUNCTION("""COMPUTED_VALUE"""),"over5")</f>
        <v>over5</v>
      </c>
      <c r="J118" s="3" t="str">
        <f>IFERROR(__xludf.DUMMYFUNCTION("""COMPUTED_VALUE"""),"ownbusiness")</f>
        <v>ownbusiness</v>
      </c>
      <c r="K118" s="3" t="str">
        <f>IFERROR(__xludf.DUMMYFUNCTION("""COMPUTED_VALUE"""),"tertiary")</f>
        <v>tertiary</v>
      </c>
      <c r="L118" s="3"/>
      <c r="M118" s="3" t="str">
        <f>IFERROR(__xludf.DUMMYFUNCTION("""COMPUTED_VALUE"""),"agree")</f>
        <v>agree</v>
      </c>
      <c r="N118" s="3" t="str">
        <f>IFERROR(__xludf.DUMMYFUNCTION("""COMPUTED_VALUE"""),"agree")</f>
        <v>agree</v>
      </c>
      <c r="O118" s="3" t="str">
        <f>IFERROR(__xludf.DUMMYFUNCTION("""COMPUTED_VALUE"""),"agree")</f>
        <v>agree</v>
      </c>
      <c r="P118" s="3"/>
      <c r="Q118" s="3" t="str">
        <f>IFERROR(__xludf.DUMMYFUNCTION("""COMPUTED_VALUE"""),"agree")</f>
        <v>agree</v>
      </c>
      <c r="R118" s="3" t="str">
        <f>IFERROR(__xludf.DUMMYFUNCTION("""COMPUTED_VALUE"""),"agree")</f>
        <v>agree</v>
      </c>
      <c r="S118" s="3" t="str">
        <f>IFERROR(__xludf.DUMMYFUNCTION("""COMPUTED_VALUE"""),"agree")</f>
        <v>agree</v>
      </c>
      <c r="T118" s="3" t="str">
        <f>IFERROR(__xludf.DUMMYFUNCTION("""COMPUTED_VALUE"""),"agree")</f>
        <v>agree</v>
      </c>
      <c r="U118" s="3" t="str">
        <f>IFERROR(__xludf.DUMMYFUNCTION("""COMPUTED_VALUE"""),"agree")</f>
        <v>agree</v>
      </c>
      <c r="V118" s="3" t="str">
        <f>IFERROR(__xludf.DUMMYFUNCTION("""COMPUTED_VALUE"""),"agree")</f>
        <v>agree</v>
      </c>
      <c r="W118" s="3" t="str">
        <f>IFERROR(__xludf.DUMMYFUNCTION("""COMPUTED_VALUE"""),"agree")</f>
        <v>agree</v>
      </c>
      <c r="X118" s="3" t="str">
        <f>IFERROR(__xludf.DUMMYFUNCTION("""COMPUTED_VALUE"""),"Silver")</f>
        <v>Silver</v>
      </c>
      <c r="Y118" s="3" t="str">
        <f>IFERROR(__xludf.DUMMYFUNCTION("""COMPUTED_VALUE"""),"insurance")</f>
        <v>insurance</v>
      </c>
      <c r="Z118" s="3" t="str">
        <f>IFERROR(__xludf.DUMMYFUNCTION("""COMPUTED_VALUE"""),"monthly")</f>
        <v>monthly</v>
      </c>
      <c r="AA118" s="3">
        <f>IFERROR(__xludf.DUMMYFUNCTION("""COMPUTED_VALUE"""),100.0)</f>
        <v>100</v>
      </c>
      <c r="AB118" s="3" t="str">
        <f>IFERROR(__xludf.DUMMYFUNCTION("""COMPUTED_VALUE"""),"assisted")</f>
        <v>assisted</v>
      </c>
      <c r="AC118" s="3" t="str">
        <f>IFERROR(__xludf.DUMMYFUNCTION("""COMPUTED_VALUE"""),"Yes")</f>
        <v>Yes</v>
      </c>
      <c r="AD118" s="3" t="str">
        <f>IFERROR(__xludf.DUMMYFUNCTION("""COMPUTED_VALUE"""),"Silver")</f>
        <v>Silver</v>
      </c>
      <c r="AE118" s="3" t="str">
        <f>IFERROR(__xludf.DUMMYFUNCTION("""COMPUTED_VALUE"""),"Yes")</f>
        <v>Yes</v>
      </c>
      <c r="AF118" s="3" t="str">
        <f>IFERROR(__xludf.DUMMYFUNCTION("""COMPUTED_VALUE"""),"Yes")</f>
        <v>Yes</v>
      </c>
      <c r="AG118" s="3" t="str">
        <f>IFERROR(__xludf.DUMMYFUNCTION("""COMPUTED_VALUE"""),"Yes")</f>
        <v>Yes</v>
      </c>
      <c r="AH118" s="3">
        <f>IFERROR(__xludf.DUMMYFUNCTION("""COMPUTED_VALUE"""),1000.0)</f>
        <v>1000</v>
      </c>
      <c r="AI118" s="3">
        <f>IFERROR(__xludf.DUMMYFUNCTION("""COMPUTED_VALUE"""),0.0)</f>
        <v>0</v>
      </c>
      <c r="AJ118" s="3">
        <f>IFERROR(__xludf.DUMMYFUNCTION("""COMPUTED_VALUE"""),1.0)</f>
        <v>1</v>
      </c>
      <c r="AK118" s="3">
        <f>IFERROR(__xludf.DUMMYFUNCTION("""COMPUTED_VALUE"""),0.0)</f>
        <v>0</v>
      </c>
      <c r="AL118" s="3">
        <f>IFERROR(__xludf.DUMMYFUNCTION("""COMPUTED_VALUE"""),0.0)</f>
        <v>0</v>
      </c>
      <c r="AM118" s="3" t="str">
        <f>IFERROR(__xludf.DUMMYFUNCTION("""COMPUTED_VALUE"""),"Yes")</f>
        <v>Yes</v>
      </c>
      <c r="AN118" s="3"/>
      <c r="AO118" s="3"/>
      <c r="AP118" s="3">
        <f>IFERROR(__xludf.DUMMYFUNCTION("""COMPUTED_VALUE"""),4.89403673E8)</f>
        <v>489403673</v>
      </c>
      <c r="AQ118" s="3" t="str">
        <f>IFERROR(__xludf.DUMMYFUNCTION("""COMPUTED_VALUE"""),"86b44e4c-2010-407e-ae0f-8957c9f9dfdd")</f>
        <v>86b44e4c-2010-407e-ae0f-8957c9f9dfdd</v>
      </c>
      <c r="AR118" s="3">
        <f>IFERROR(__xludf.DUMMYFUNCTION("""COMPUTED_VALUE"""),45807.516435185185)</f>
        <v>45807.51644</v>
      </c>
      <c r="AS118" s="3"/>
      <c r="AT118" s="3"/>
      <c r="AU118" s="3" t="str">
        <f>IFERROR(__xludf.DUMMYFUNCTION("""COMPUTED_VALUE"""),"submitted_via_web")</f>
        <v>submitted_via_web</v>
      </c>
      <c r="AV118" s="3"/>
      <c r="AW118" s="3" t="str">
        <f>IFERROR(__xludf.DUMMYFUNCTION("""COMPUTED_VALUE"""),"vgUJxCcLkhbxcmcrDMVzkY")</f>
        <v>vgUJxCcLkhbxcmcrDMVzkY</v>
      </c>
      <c r="AX118" s="3"/>
      <c r="AY118" s="3">
        <f>IFERROR(__xludf.DUMMYFUNCTION("""COMPUTED_VALUE"""),117.0)</f>
        <v>117</v>
      </c>
    </row>
    <row r="119">
      <c r="A119" s="3" t="str">
        <f>IFERROR(__xludf.DUMMYFUNCTION("""COMPUTED_VALUE"""),"Yes")</f>
        <v>Yes</v>
      </c>
      <c r="B119" s="3"/>
      <c r="C119" s="3" t="str">
        <f>IFERROR(__xludf.DUMMYFUNCTION("""COMPUTED_VALUE"""),"lesotho")</f>
        <v>lesotho</v>
      </c>
      <c r="D119" s="3"/>
      <c r="E119" s="3" t="str">
        <f>IFERROR(__xludf.DUMMYFUNCTION("""COMPUTED_VALUE"""),"lesotho")</f>
        <v>lesotho</v>
      </c>
      <c r="F119" s="3"/>
      <c r="G119" s="3">
        <f>IFERROR(__xludf.DUMMYFUNCTION("""COMPUTED_VALUE"""),53.0)</f>
        <v>53</v>
      </c>
      <c r="H119" s="3" t="str">
        <f>IFERROR(__xludf.DUMMYFUNCTION("""COMPUTED_VALUE"""),"male")</f>
        <v>male</v>
      </c>
      <c r="I119" s="3"/>
      <c r="J119" s="3" t="str">
        <f>IFERROR(__xludf.DUMMYFUNCTION("""COMPUTED_VALUE"""),"unemployed")</f>
        <v>unemployed</v>
      </c>
      <c r="K119" s="3" t="str">
        <f>IFERROR(__xludf.DUMMYFUNCTION("""COMPUTED_VALUE"""),"secondary")</f>
        <v>secondary</v>
      </c>
      <c r="L119" s="3"/>
      <c r="M119" s="3" t="str">
        <f>IFERROR(__xludf.DUMMYFUNCTION("""COMPUTED_VALUE"""),"agree")</f>
        <v>agree</v>
      </c>
      <c r="N119" s="3" t="str">
        <f>IFERROR(__xludf.DUMMYFUNCTION("""COMPUTED_VALUE"""),"agree")</f>
        <v>agree</v>
      </c>
      <c r="O119" s="3" t="str">
        <f>IFERROR(__xludf.DUMMYFUNCTION("""COMPUTED_VALUE"""),"agree")</f>
        <v>agree</v>
      </c>
      <c r="P119" s="3"/>
      <c r="Q119" s="3" t="str">
        <f>IFERROR(__xludf.DUMMYFUNCTION("""COMPUTED_VALUE"""),"disagree")</f>
        <v>disagree</v>
      </c>
      <c r="R119" s="3"/>
      <c r="S119" s="3" t="str">
        <f>IFERROR(__xludf.DUMMYFUNCTION("""COMPUTED_VALUE"""),"agree")</f>
        <v>agree</v>
      </c>
      <c r="T119" s="3" t="str">
        <f>IFERROR(__xludf.DUMMYFUNCTION("""COMPUTED_VALUE"""),"disagree")</f>
        <v>disagree</v>
      </c>
      <c r="U119" s="3" t="str">
        <f>IFERROR(__xludf.DUMMYFUNCTION("""COMPUTED_VALUE"""),"dontknow")</f>
        <v>dontknow</v>
      </c>
      <c r="V119" s="3" t="str">
        <f>IFERROR(__xludf.DUMMYFUNCTION("""COMPUTED_VALUE"""),"agree")</f>
        <v>agree</v>
      </c>
      <c r="W119" s="3" t="str">
        <f>IFERROR(__xludf.DUMMYFUNCTION("""COMPUTED_VALUE"""),"agree")</f>
        <v>agree</v>
      </c>
      <c r="X119" s="3" t="str">
        <f>IFERROR(__xludf.DUMMYFUNCTION("""COMPUTED_VALUE"""),"Gold")</f>
        <v>Gold</v>
      </c>
      <c r="Y119" s="3" t="str">
        <f>IFERROR(__xludf.DUMMYFUNCTION("""COMPUTED_VALUE"""),"cash")</f>
        <v>cash</v>
      </c>
      <c r="Z119" s="3" t="str">
        <f>IFERROR(__xludf.DUMMYFUNCTION("""COMPUTED_VALUE"""),"once")</f>
        <v>once</v>
      </c>
      <c r="AA119" s="3">
        <f>IFERROR(__xludf.DUMMYFUNCTION("""COMPUTED_VALUE"""),10.0)</f>
        <v>10</v>
      </c>
      <c r="AB119" s="3" t="str">
        <f>IFERROR(__xludf.DUMMYFUNCTION("""COMPUTED_VALUE"""),"assisted")</f>
        <v>assisted</v>
      </c>
      <c r="AC119" s="3" t="str">
        <f>IFERROR(__xludf.DUMMYFUNCTION("""COMPUTED_VALUE"""),"I am not an employer")</f>
        <v>I am not an employer</v>
      </c>
      <c r="AD119" s="3"/>
      <c r="AE119" s="3"/>
      <c r="AF119" s="3" t="str">
        <f>IFERROR(__xludf.DUMMYFUNCTION("""COMPUTED_VALUE"""),"Yes")</f>
        <v>Yes</v>
      </c>
      <c r="AG119" s="3" t="str">
        <f>IFERROR(__xludf.DUMMYFUNCTION("""COMPUTED_VALUE"""),"No")</f>
        <v>No</v>
      </c>
      <c r="AH119" s="3"/>
      <c r="AI119" s="3">
        <f>IFERROR(__xludf.DUMMYFUNCTION("""COMPUTED_VALUE"""),0.0)</f>
        <v>0</v>
      </c>
      <c r="AJ119" s="3">
        <f>IFERROR(__xludf.DUMMYFUNCTION("""COMPUTED_VALUE"""),0.0)</f>
        <v>0</v>
      </c>
      <c r="AK119" s="3">
        <f>IFERROR(__xludf.DUMMYFUNCTION("""COMPUTED_VALUE"""),0.0)</f>
        <v>0</v>
      </c>
      <c r="AL119" s="3">
        <f>IFERROR(__xludf.DUMMYFUNCTION("""COMPUTED_VALUE"""),1.0)</f>
        <v>1</v>
      </c>
      <c r="AM119" s="3"/>
      <c r="AN119" s="3"/>
      <c r="AO119" s="3"/>
      <c r="AP119" s="3">
        <f>IFERROR(__xludf.DUMMYFUNCTION("""COMPUTED_VALUE"""),4.89426769E8)</f>
        <v>489426769</v>
      </c>
      <c r="AQ119" s="3" t="str">
        <f>IFERROR(__xludf.DUMMYFUNCTION("""COMPUTED_VALUE"""),"a8f95ec1-9ae7-4a42-973c-a5be8ecd0787")</f>
        <v>a8f95ec1-9ae7-4a42-973c-a5be8ecd0787</v>
      </c>
      <c r="AR119" s="3">
        <f>IFERROR(__xludf.DUMMYFUNCTION("""COMPUTED_VALUE"""),45807.5375)</f>
        <v>45807.5375</v>
      </c>
      <c r="AS119" s="3"/>
      <c r="AT119" s="3"/>
      <c r="AU119" s="3" t="str">
        <f>IFERROR(__xludf.DUMMYFUNCTION("""COMPUTED_VALUE"""),"submitted_via_web")</f>
        <v>submitted_via_web</v>
      </c>
      <c r="AV119" s="3"/>
      <c r="AW119" s="3" t="str">
        <f>IFERROR(__xludf.DUMMYFUNCTION("""COMPUTED_VALUE"""),"vgUJxCcLkhbxcmcrDMVzkY")</f>
        <v>vgUJxCcLkhbxcmcrDMVzkY</v>
      </c>
      <c r="AX119" s="3"/>
      <c r="AY119" s="3">
        <f>IFERROR(__xludf.DUMMYFUNCTION("""COMPUTED_VALUE"""),118.0)</f>
        <v>118</v>
      </c>
    </row>
    <row r="120">
      <c r="A120" s="3" t="str">
        <f>IFERROR(__xludf.DUMMYFUNCTION("""COMPUTED_VALUE"""),"Yes")</f>
        <v>Yes</v>
      </c>
      <c r="B120" s="3"/>
      <c r="C120" s="3" t="str">
        <f>IFERROR(__xludf.DUMMYFUNCTION("""COMPUTED_VALUE"""),"zimbabwe")</f>
        <v>zimbabwe</v>
      </c>
      <c r="D120" s="3"/>
      <c r="E120" s="3"/>
      <c r="F120" s="3"/>
      <c r="G120" s="3">
        <f>IFERROR(__xludf.DUMMYFUNCTION("""COMPUTED_VALUE"""),56.0)</f>
        <v>56</v>
      </c>
      <c r="H120" s="3" t="str">
        <f>IFERROR(__xludf.DUMMYFUNCTION("""COMPUTED_VALUE"""),"female")</f>
        <v>female</v>
      </c>
      <c r="I120" s="3"/>
      <c r="J120" s="3" t="str">
        <f>IFERROR(__xludf.DUMMYFUNCTION("""COMPUTED_VALUE"""),"formal")</f>
        <v>formal</v>
      </c>
      <c r="K120" s="3" t="str">
        <f>IFERROR(__xludf.DUMMYFUNCTION("""COMPUTED_VALUE"""),"tertiary")</f>
        <v>tertiary</v>
      </c>
      <c r="L120" s="3"/>
      <c r="M120" s="3" t="str">
        <f>IFERROR(__xludf.DUMMYFUNCTION("""COMPUTED_VALUE"""),"agree")</f>
        <v>agree</v>
      </c>
      <c r="N120" s="3" t="str">
        <f>IFERROR(__xludf.DUMMYFUNCTION("""COMPUTED_VALUE"""),"agree")</f>
        <v>agree</v>
      </c>
      <c r="O120" s="3" t="str">
        <f>IFERROR(__xludf.DUMMYFUNCTION("""COMPUTED_VALUE"""),"agree")</f>
        <v>agree</v>
      </c>
      <c r="P120" s="3"/>
      <c r="Q120" s="3" t="str">
        <f>IFERROR(__xludf.DUMMYFUNCTION("""COMPUTED_VALUE"""),"disagree")</f>
        <v>disagree</v>
      </c>
      <c r="R120" s="3" t="str">
        <f>IFERROR(__xludf.DUMMYFUNCTION("""COMPUTED_VALUE"""),"agree")</f>
        <v>agree</v>
      </c>
      <c r="S120" s="3" t="str">
        <f>IFERROR(__xludf.DUMMYFUNCTION("""COMPUTED_VALUE"""),"disagree")</f>
        <v>disagree</v>
      </c>
      <c r="T120" s="3" t="str">
        <f>IFERROR(__xludf.DUMMYFUNCTION("""COMPUTED_VALUE"""),"agree")</f>
        <v>agree</v>
      </c>
      <c r="U120" s="3" t="str">
        <f>IFERROR(__xludf.DUMMYFUNCTION("""COMPUTED_VALUE"""),"agree")</f>
        <v>agree</v>
      </c>
      <c r="V120" s="3" t="str">
        <f>IFERROR(__xludf.DUMMYFUNCTION("""COMPUTED_VALUE"""),"agree")</f>
        <v>agree</v>
      </c>
      <c r="W120" s="3" t="str">
        <f>IFERROR(__xludf.DUMMYFUNCTION("""COMPUTED_VALUE"""),"disagree")</f>
        <v>disagree</v>
      </c>
      <c r="X120" s="3" t="str">
        <f>IFERROR(__xludf.DUMMYFUNCTION("""COMPUTED_VALUE"""),"Platinum")</f>
        <v>Platinum</v>
      </c>
      <c r="Y120" s="3" t="str">
        <f>IFERROR(__xludf.DUMMYFUNCTION("""COMPUTED_VALUE"""),"insurance")</f>
        <v>insurance</v>
      </c>
      <c r="Z120" s="3" t="str">
        <f>IFERROR(__xludf.DUMMYFUNCTION("""COMPUTED_VALUE"""),"monthly")</f>
        <v>monthly</v>
      </c>
      <c r="AA120" s="3">
        <f>IFERROR(__xludf.DUMMYFUNCTION("""COMPUTED_VALUE"""),100.0)</f>
        <v>100</v>
      </c>
      <c r="AB120" s="3" t="str">
        <f>IFERROR(__xludf.DUMMYFUNCTION("""COMPUTED_VALUE"""),"assisted")</f>
        <v>assisted</v>
      </c>
      <c r="AC120" s="3" t="str">
        <f>IFERROR(__xludf.DUMMYFUNCTION("""COMPUTED_VALUE"""),"Yes")</f>
        <v>Yes</v>
      </c>
      <c r="AD120" s="3" t="str">
        <f>IFERROR(__xludf.DUMMYFUNCTION("""COMPUTED_VALUE"""),"Platinum")</f>
        <v>Platinum</v>
      </c>
      <c r="AE120" s="3" t="str">
        <f>IFERROR(__xludf.DUMMYFUNCTION("""COMPUTED_VALUE"""),"No")</f>
        <v>No</v>
      </c>
      <c r="AF120" s="3" t="str">
        <f>IFERROR(__xludf.DUMMYFUNCTION("""COMPUTED_VALUE"""),"Yes")</f>
        <v>Yes</v>
      </c>
      <c r="AG120" s="3" t="str">
        <f>IFERROR(__xludf.DUMMYFUNCTION("""COMPUTED_VALUE"""),"No")</f>
        <v>No</v>
      </c>
      <c r="AH120" s="3"/>
      <c r="AI120" s="3">
        <f>IFERROR(__xludf.DUMMYFUNCTION("""COMPUTED_VALUE"""),0.0)</f>
        <v>0</v>
      </c>
      <c r="AJ120" s="3">
        <f>IFERROR(__xludf.DUMMYFUNCTION("""COMPUTED_VALUE"""),0.0)</f>
        <v>0</v>
      </c>
      <c r="AK120" s="3">
        <f>IFERROR(__xludf.DUMMYFUNCTION("""COMPUTED_VALUE"""),1.0)</f>
        <v>1</v>
      </c>
      <c r="AL120" s="3">
        <f>IFERROR(__xludf.DUMMYFUNCTION("""COMPUTED_VALUE"""),0.0)</f>
        <v>0</v>
      </c>
      <c r="AM120" s="3"/>
      <c r="AN120" s="3"/>
      <c r="AO120" s="3"/>
      <c r="AP120" s="3">
        <f>IFERROR(__xludf.DUMMYFUNCTION("""COMPUTED_VALUE"""),4.89436305E8)</f>
        <v>489436305</v>
      </c>
      <c r="AQ120" s="3" t="str">
        <f>IFERROR(__xludf.DUMMYFUNCTION("""COMPUTED_VALUE"""),"7fc5ee6b-e197-4f7d-ad74-afd1c0c7a961")</f>
        <v>7fc5ee6b-e197-4f7d-ad74-afd1c0c7a961</v>
      </c>
      <c r="AR120" s="3">
        <f>IFERROR(__xludf.DUMMYFUNCTION("""COMPUTED_VALUE"""),45807.54646990741)</f>
        <v>45807.54647</v>
      </c>
      <c r="AS120" s="3"/>
      <c r="AT120" s="3"/>
      <c r="AU120" s="3" t="str">
        <f>IFERROR(__xludf.DUMMYFUNCTION("""COMPUTED_VALUE"""),"submitted_via_web")</f>
        <v>submitted_via_web</v>
      </c>
      <c r="AV120" s="3"/>
      <c r="AW120" s="3" t="str">
        <f>IFERROR(__xludf.DUMMYFUNCTION("""COMPUTED_VALUE"""),"vgUJxCcLkhbxcmcrDMVzkY")</f>
        <v>vgUJxCcLkhbxcmcrDMVzkY</v>
      </c>
      <c r="AX120" s="3"/>
      <c r="AY120" s="3">
        <f>IFERROR(__xludf.DUMMYFUNCTION("""COMPUTED_VALUE"""),119.0)</f>
        <v>119</v>
      </c>
    </row>
    <row r="121">
      <c r="A121" s="3" t="str">
        <f>IFERROR(__xludf.DUMMYFUNCTION("""COMPUTED_VALUE"""),"Yes")</f>
        <v>Yes</v>
      </c>
      <c r="B121" s="3"/>
      <c r="C121" s="3" t="str">
        <f>IFERROR(__xludf.DUMMYFUNCTION("""COMPUTED_VALUE"""),"zimbabwe")</f>
        <v>zimbabwe</v>
      </c>
      <c r="D121" s="3"/>
      <c r="E121" s="3" t="str">
        <f>IFERROR(__xludf.DUMMYFUNCTION("""COMPUTED_VALUE"""),"south_africa")</f>
        <v>south_africa</v>
      </c>
      <c r="F121" s="3" t="str">
        <f>IFERROR(__xludf.DUMMYFUNCTION("""COMPUTED_VALUE"""),"City of Tshwane Metropolitan Municipality")</f>
        <v>City of Tshwane Metropolitan Municipality</v>
      </c>
      <c r="G121" s="3">
        <f>IFERROR(__xludf.DUMMYFUNCTION("""COMPUTED_VALUE"""),43.0)</f>
        <v>43</v>
      </c>
      <c r="H121" s="3" t="str">
        <f>IFERROR(__xludf.DUMMYFUNCTION("""COMPUTED_VALUE"""),"female")</f>
        <v>female</v>
      </c>
      <c r="I121" s="3" t="str">
        <f>IFERROR(__xludf.DUMMYFUNCTION("""COMPUTED_VALUE"""),"over5")</f>
        <v>over5</v>
      </c>
      <c r="J121" s="3" t="str">
        <f>IFERROR(__xludf.DUMMYFUNCTION("""COMPUTED_VALUE"""),"formal")</f>
        <v>formal</v>
      </c>
      <c r="K121" s="3" t="str">
        <f>IFERROR(__xludf.DUMMYFUNCTION("""COMPUTED_VALUE"""),"tertiary")</f>
        <v>tertiary</v>
      </c>
      <c r="L121" s="3"/>
      <c r="M121" s="3" t="str">
        <f>IFERROR(__xludf.DUMMYFUNCTION("""COMPUTED_VALUE"""),"agree")</f>
        <v>agree</v>
      </c>
      <c r="N121" s="3" t="str">
        <f>IFERROR(__xludf.DUMMYFUNCTION("""COMPUTED_VALUE"""),"agree")</f>
        <v>agree</v>
      </c>
      <c r="O121" s="3" t="str">
        <f>IFERROR(__xludf.DUMMYFUNCTION("""COMPUTED_VALUE"""),"disagree")</f>
        <v>disagree</v>
      </c>
      <c r="P121" s="3"/>
      <c r="Q121" s="3" t="str">
        <f>IFERROR(__xludf.DUMMYFUNCTION("""COMPUTED_VALUE"""),"agree")</f>
        <v>agree</v>
      </c>
      <c r="R121" s="3" t="str">
        <f>IFERROR(__xludf.DUMMYFUNCTION("""COMPUTED_VALUE"""),"agree")</f>
        <v>agree</v>
      </c>
      <c r="S121" s="3" t="str">
        <f>IFERROR(__xludf.DUMMYFUNCTION("""COMPUTED_VALUE"""),"agree")</f>
        <v>agree</v>
      </c>
      <c r="T121" s="3"/>
      <c r="U121" s="3" t="str">
        <f>IFERROR(__xludf.DUMMYFUNCTION("""COMPUTED_VALUE"""),"agree")</f>
        <v>agree</v>
      </c>
      <c r="V121" s="3"/>
      <c r="W121" s="3" t="str">
        <f>IFERROR(__xludf.DUMMYFUNCTION("""COMPUTED_VALUE"""),"agree")</f>
        <v>agree</v>
      </c>
      <c r="X121" s="3" t="str">
        <f>IFERROR(__xludf.DUMMYFUNCTION("""COMPUTED_VALUE"""),"Platinum")</f>
        <v>Platinum</v>
      </c>
      <c r="Y121" s="3" t="str">
        <f>IFERROR(__xludf.DUMMYFUNCTION("""COMPUTED_VALUE"""),"insurance")</f>
        <v>insurance</v>
      </c>
      <c r="Z121" s="3" t="str">
        <f>IFERROR(__xludf.DUMMYFUNCTION("""COMPUTED_VALUE"""),"once")</f>
        <v>once</v>
      </c>
      <c r="AA121" s="3">
        <f>IFERROR(__xludf.DUMMYFUNCTION("""COMPUTED_VALUE"""),100.0)</f>
        <v>100</v>
      </c>
      <c r="AB121" s="3" t="str">
        <f>IFERROR(__xludf.DUMMYFUNCTION("""COMPUTED_VALUE"""),"assisted")</f>
        <v>assisted</v>
      </c>
      <c r="AC121" s="3" t="str">
        <f>IFERROR(__xludf.DUMMYFUNCTION("""COMPUTED_VALUE"""),"I am not an employer")</f>
        <v>I am not an employer</v>
      </c>
      <c r="AD121" s="3"/>
      <c r="AE121" s="3"/>
      <c r="AF121" s="3" t="str">
        <f>IFERROR(__xludf.DUMMYFUNCTION("""COMPUTED_VALUE"""),"No")</f>
        <v>No</v>
      </c>
      <c r="AG121" s="3" t="str">
        <f>IFERROR(__xludf.DUMMYFUNCTION("""COMPUTED_VALUE"""),"No")</f>
        <v>No</v>
      </c>
      <c r="AH121" s="3"/>
      <c r="AI121" s="3">
        <f>IFERROR(__xludf.DUMMYFUNCTION("""COMPUTED_VALUE"""),0.0)</f>
        <v>0</v>
      </c>
      <c r="AJ121" s="3">
        <f>IFERROR(__xludf.DUMMYFUNCTION("""COMPUTED_VALUE"""),0.0)</f>
        <v>0</v>
      </c>
      <c r="AK121" s="3">
        <f>IFERROR(__xludf.DUMMYFUNCTION("""COMPUTED_VALUE"""),0.0)</f>
        <v>0</v>
      </c>
      <c r="AL121" s="3">
        <f>IFERROR(__xludf.DUMMYFUNCTION("""COMPUTED_VALUE"""),1.0)</f>
        <v>1</v>
      </c>
      <c r="AM121" s="3" t="str">
        <f>IFERROR(__xludf.DUMMYFUNCTION("""COMPUTED_VALUE"""),"No")</f>
        <v>No</v>
      </c>
      <c r="AN121" s="3"/>
      <c r="AO121" s="3"/>
      <c r="AP121" s="3">
        <f>IFERROR(__xludf.DUMMYFUNCTION("""COMPUTED_VALUE"""),4.89486245E8)</f>
        <v>489486245</v>
      </c>
      <c r="AQ121" s="3" t="str">
        <f>IFERROR(__xludf.DUMMYFUNCTION("""COMPUTED_VALUE"""),"995776d5-b0d9-4c20-9f22-9d3cf69b62e5")</f>
        <v>995776d5-b0d9-4c20-9f22-9d3cf69b62e5</v>
      </c>
      <c r="AR121" s="3">
        <f>IFERROR(__xludf.DUMMYFUNCTION("""COMPUTED_VALUE"""),45807.592002314814)</f>
        <v>45807.592</v>
      </c>
      <c r="AS121" s="3"/>
      <c r="AT121" s="3"/>
      <c r="AU121" s="3" t="str">
        <f>IFERROR(__xludf.DUMMYFUNCTION("""COMPUTED_VALUE"""),"submitted_via_web")</f>
        <v>submitted_via_web</v>
      </c>
      <c r="AV121" s="3"/>
      <c r="AW121" s="3" t="str">
        <f>IFERROR(__xludf.DUMMYFUNCTION("""COMPUTED_VALUE"""),"vgUJxCcLkhbxcmcrDMVzkY")</f>
        <v>vgUJxCcLkhbxcmcrDMVzkY</v>
      </c>
      <c r="AX121" s="3"/>
      <c r="AY121" s="3">
        <f>IFERROR(__xludf.DUMMYFUNCTION("""COMPUTED_VALUE"""),120.0)</f>
        <v>120</v>
      </c>
    </row>
    <row r="122">
      <c r="A122" s="3" t="str">
        <f>IFERROR(__xludf.DUMMYFUNCTION("""COMPUTED_VALUE"""),"Yes")</f>
        <v>Yes</v>
      </c>
      <c r="B122" s="3"/>
      <c r="C122" s="3" t="str">
        <f>IFERROR(__xludf.DUMMYFUNCTION("""COMPUTED_VALUE"""),"lesotho")</f>
        <v>lesotho</v>
      </c>
      <c r="D122" s="3"/>
      <c r="E122" s="3" t="str">
        <f>IFERROR(__xludf.DUMMYFUNCTION("""COMPUTED_VALUE"""),"Other")</f>
        <v>Other</v>
      </c>
      <c r="F122" s="3"/>
      <c r="G122" s="3">
        <f>IFERROR(__xludf.DUMMYFUNCTION("""COMPUTED_VALUE"""),23.0)</f>
        <v>23</v>
      </c>
      <c r="H122" s="3" t="str">
        <f>IFERROR(__xludf.DUMMYFUNCTION("""COMPUTED_VALUE"""),"female")</f>
        <v>female</v>
      </c>
      <c r="I122" s="3"/>
      <c r="J122" s="3" t="str">
        <f>IFERROR(__xludf.DUMMYFUNCTION("""COMPUTED_VALUE"""),"unemployed")</f>
        <v>unemployed</v>
      </c>
      <c r="K122" s="3" t="str">
        <f>IFERROR(__xludf.DUMMYFUNCTION("""COMPUTED_VALUE"""),"secondary")</f>
        <v>secondary</v>
      </c>
      <c r="L122" s="3"/>
      <c r="M122" s="3" t="str">
        <f>IFERROR(__xludf.DUMMYFUNCTION("""COMPUTED_VALUE"""),"dontknow")</f>
        <v>dontknow</v>
      </c>
      <c r="N122" s="3" t="str">
        <f>IFERROR(__xludf.DUMMYFUNCTION("""COMPUTED_VALUE"""),"dontknow")</f>
        <v>dontknow</v>
      </c>
      <c r="O122" s="3" t="str">
        <f>IFERROR(__xludf.DUMMYFUNCTION("""COMPUTED_VALUE"""),"dontknow")</f>
        <v>dontknow</v>
      </c>
      <c r="P122" s="3"/>
      <c r="Q122" s="3" t="str">
        <f>IFERROR(__xludf.DUMMYFUNCTION("""COMPUTED_VALUE"""),"dontknow")</f>
        <v>dontknow</v>
      </c>
      <c r="R122" s="3" t="str">
        <f>IFERROR(__xludf.DUMMYFUNCTION("""COMPUTED_VALUE"""),"dontknow")</f>
        <v>dontknow</v>
      </c>
      <c r="S122" s="3" t="str">
        <f>IFERROR(__xludf.DUMMYFUNCTION("""COMPUTED_VALUE"""),"dontknow")</f>
        <v>dontknow</v>
      </c>
      <c r="T122" s="3" t="str">
        <f>IFERROR(__xludf.DUMMYFUNCTION("""COMPUTED_VALUE"""),"dontknow")</f>
        <v>dontknow</v>
      </c>
      <c r="U122" s="3" t="str">
        <f>IFERROR(__xludf.DUMMYFUNCTION("""COMPUTED_VALUE"""),"dontknow")</f>
        <v>dontknow</v>
      </c>
      <c r="V122" s="3" t="str">
        <f>IFERROR(__xludf.DUMMYFUNCTION("""COMPUTED_VALUE"""),"dontknow")</f>
        <v>dontknow</v>
      </c>
      <c r="W122" s="3" t="str">
        <f>IFERROR(__xludf.DUMMYFUNCTION("""COMPUTED_VALUE"""),"dontknow")</f>
        <v>dontknow</v>
      </c>
      <c r="X122" s="3" t="str">
        <f>IFERROR(__xludf.DUMMYFUNCTION("""COMPUTED_VALUE"""),"Lithium")</f>
        <v>Lithium</v>
      </c>
      <c r="Y122" s="3" t="str">
        <f>IFERROR(__xludf.DUMMYFUNCTION("""COMPUTED_VALUE"""),"na")</f>
        <v>na</v>
      </c>
      <c r="Z122" s="3" t="str">
        <f>IFERROR(__xludf.DUMMYFUNCTION("""COMPUTED_VALUE"""),"annual")</f>
        <v>annual</v>
      </c>
      <c r="AA122" s="3">
        <f>IFERROR(__xludf.DUMMYFUNCTION("""COMPUTED_VALUE"""),10.0)</f>
        <v>10</v>
      </c>
      <c r="AB122" s="3" t="str">
        <f>IFERROR(__xludf.DUMMYFUNCTION("""COMPUTED_VALUE"""),"online")</f>
        <v>online</v>
      </c>
      <c r="AC122" s="3" t="str">
        <f>IFERROR(__xludf.DUMMYFUNCTION("""COMPUTED_VALUE"""),"I am not an employer")</f>
        <v>I am not an employer</v>
      </c>
      <c r="AD122" s="3"/>
      <c r="AE122" s="3"/>
      <c r="AF122" s="3" t="str">
        <f>IFERROR(__xludf.DUMMYFUNCTION("""COMPUTED_VALUE"""),"No")</f>
        <v>No</v>
      </c>
      <c r="AG122" s="3" t="str">
        <f>IFERROR(__xludf.DUMMYFUNCTION("""COMPUTED_VALUE"""),"No")</f>
        <v>No</v>
      </c>
      <c r="AH122" s="3"/>
      <c r="AI122" s="3">
        <f>IFERROR(__xludf.DUMMYFUNCTION("""COMPUTED_VALUE"""),0.0)</f>
        <v>0</v>
      </c>
      <c r="AJ122" s="3">
        <f>IFERROR(__xludf.DUMMYFUNCTION("""COMPUTED_VALUE"""),0.0)</f>
        <v>0</v>
      </c>
      <c r="AK122" s="3">
        <f>IFERROR(__xludf.DUMMYFUNCTION("""COMPUTED_VALUE"""),0.0)</f>
        <v>0</v>
      </c>
      <c r="AL122" s="3">
        <f>IFERROR(__xludf.DUMMYFUNCTION("""COMPUTED_VALUE"""),1.0)</f>
        <v>1</v>
      </c>
      <c r="AM122" s="3"/>
      <c r="AN122" s="3"/>
      <c r="AO122" s="3"/>
      <c r="AP122" s="3">
        <f>IFERROR(__xludf.DUMMYFUNCTION("""COMPUTED_VALUE"""),4.89492113E8)</f>
        <v>489492113</v>
      </c>
      <c r="AQ122" s="3" t="str">
        <f>IFERROR(__xludf.DUMMYFUNCTION("""COMPUTED_VALUE"""),"6fba4168-7755-408e-bb01-bd57507757c6")</f>
        <v>6fba4168-7755-408e-bb01-bd57507757c6</v>
      </c>
      <c r="AR122" s="3">
        <f>IFERROR(__xludf.DUMMYFUNCTION("""COMPUTED_VALUE"""),45807.59732638889)</f>
        <v>45807.59733</v>
      </c>
      <c r="AS122" s="3"/>
      <c r="AT122" s="3"/>
      <c r="AU122" s="3" t="str">
        <f>IFERROR(__xludf.DUMMYFUNCTION("""COMPUTED_VALUE"""),"submitted_via_web")</f>
        <v>submitted_via_web</v>
      </c>
      <c r="AV122" s="3"/>
      <c r="AW122" s="3" t="str">
        <f>IFERROR(__xludf.DUMMYFUNCTION("""COMPUTED_VALUE"""),"vgUJxCcLkhbxcmcrDMVzkY")</f>
        <v>vgUJxCcLkhbxcmcrDMVzkY</v>
      </c>
      <c r="AX122" s="3"/>
      <c r="AY122" s="3">
        <f>IFERROR(__xludf.DUMMYFUNCTION("""COMPUTED_VALUE"""),121.0)</f>
        <v>121</v>
      </c>
    </row>
    <row r="123">
      <c r="A123" s="3" t="str">
        <f>IFERROR(__xludf.DUMMYFUNCTION("""COMPUTED_VALUE"""),"Yes")</f>
        <v>Yes</v>
      </c>
      <c r="B123" s="3"/>
      <c r="C123" s="3" t="str">
        <f>IFERROR(__xludf.DUMMYFUNCTION("""COMPUTED_VALUE"""),"south_africa")</f>
        <v>south_africa</v>
      </c>
      <c r="D123" s="3"/>
      <c r="E123" s="3" t="str">
        <f>IFERROR(__xludf.DUMMYFUNCTION("""COMPUTED_VALUE"""),"south_africa")</f>
        <v>south_africa</v>
      </c>
      <c r="F123" s="3" t="str">
        <f>IFERROR(__xludf.DUMMYFUNCTION("""COMPUTED_VALUE"""),"Mopani District")</f>
        <v>Mopani District</v>
      </c>
      <c r="G123" s="3">
        <f>IFERROR(__xludf.DUMMYFUNCTION("""COMPUTED_VALUE"""),19.0)</f>
        <v>19</v>
      </c>
      <c r="H123" s="3" t="str">
        <f>IFERROR(__xludf.DUMMYFUNCTION("""COMPUTED_VALUE"""),"female")</f>
        <v>female</v>
      </c>
      <c r="I123" s="3" t="str">
        <f>IFERROR(__xludf.DUMMYFUNCTION("""COMPUTED_VALUE"""),"citizen")</f>
        <v>citizen</v>
      </c>
      <c r="J123" s="3" t="str">
        <f>IFERROR(__xludf.DUMMYFUNCTION("""COMPUTED_VALUE"""),"unemployed")</f>
        <v>unemployed</v>
      </c>
      <c r="K123" s="3" t="str">
        <f>IFERROR(__xludf.DUMMYFUNCTION("""COMPUTED_VALUE"""),"secondary")</f>
        <v>secondary</v>
      </c>
      <c r="L123" s="3"/>
      <c r="M123" s="3" t="str">
        <f>IFERROR(__xludf.DUMMYFUNCTION("""COMPUTED_VALUE"""),"agree")</f>
        <v>agree</v>
      </c>
      <c r="N123" s="3" t="str">
        <f>IFERROR(__xludf.DUMMYFUNCTION("""COMPUTED_VALUE"""),"agree")</f>
        <v>agree</v>
      </c>
      <c r="O123" s="3" t="str">
        <f>IFERROR(__xludf.DUMMYFUNCTION("""COMPUTED_VALUE"""),"disagree")</f>
        <v>disagree</v>
      </c>
      <c r="P123" s="3"/>
      <c r="Q123" s="3" t="str">
        <f>IFERROR(__xludf.DUMMYFUNCTION("""COMPUTED_VALUE"""),"dontknow")</f>
        <v>dontknow</v>
      </c>
      <c r="R123" s="3" t="str">
        <f>IFERROR(__xludf.DUMMYFUNCTION("""COMPUTED_VALUE"""),"agree")</f>
        <v>agree</v>
      </c>
      <c r="S123" s="3" t="str">
        <f>IFERROR(__xludf.DUMMYFUNCTION("""COMPUTED_VALUE"""),"agree")</f>
        <v>agree</v>
      </c>
      <c r="T123" s="3" t="str">
        <f>IFERROR(__xludf.DUMMYFUNCTION("""COMPUTED_VALUE"""),"dontknow")</f>
        <v>dontknow</v>
      </c>
      <c r="U123" s="3" t="str">
        <f>IFERROR(__xludf.DUMMYFUNCTION("""COMPUTED_VALUE"""),"dontknow")</f>
        <v>dontknow</v>
      </c>
      <c r="V123" s="3" t="str">
        <f>IFERROR(__xludf.DUMMYFUNCTION("""COMPUTED_VALUE"""),"dontknow")</f>
        <v>dontknow</v>
      </c>
      <c r="W123" s="3" t="str">
        <f>IFERROR(__xludf.DUMMYFUNCTION("""COMPUTED_VALUE"""),"dontknow")</f>
        <v>dontknow</v>
      </c>
      <c r="X123" s="3" t="str">
        <f>IFERROR(__xludf.DUMMYFUNCTION("""COMPUTED_VALUE"""),"Gold")</f>
        <v>Gold</v>
      </c>
      <c r="Y123" s="3" t="str">
        <f>IFERROR(__xludf.DUMMYFUNCTION("""COMPUTED_VALUE"""),"card")</f>
        <v>card</v>
      </c>
      <c r="Z123" s="3" t="str">
        <f>IFERROR(__xludf.DUMMYFUNCTION("""COMPUTED_VALUE"""),"annual")</f>
        <v>annual</v>
      </c>
      <c r="AA123" s="3">
        <f>IFERROR(__xludf.DUMMYFUNCTION("""COMPUTED_VALUE"""),10.0)</f>
        <v>10</v>
      </c>
      <c r="AB123" s="3" t="str">
        <f>IFERROR(__xludf.DUMMYFUNCTION("""COMPUTED_VALUE"""),"online")</f>
        <v>online</v>
      </c>
      <c r="AC123" s="3" t="str">
        <f>IFERROR(__xludf.DUMMYFUNCTION("""COMPUTED_VALUE"""),"I am not an employer")</f>
        <v>I am not an employer</v>
      </c>
      <c r="AD123" s="3"/>
      <c r="AE123" s="3"/>
      <c r="AF123" s="3" t="str">
        <f>IFERROR(__xludf.DUMMYFUNCTION("""COMPUTED_VALUE"""),"Yes")</f>
        <v>Yes</v>
      </c>
      <c r="AG123" s="3" t="str">
        <f>IFERROR(__xludf.DUMMYFUNCTION("""COMPUTED_VALUE"""),"Yes")</f>
        <v>Yes</v>
      </c>
      <c r="AH123" s="3">
        <f>IFERROR(__xludf.DUMMYFUNCTION("""COMPUTED_VALUE"""),1000.0)</f>
        <v>1000</v>
      </c>
      <c r="AI123" s="3">
        <f>IFERROR(__xludf.DUMMYFUNCTION("""COMPUTED_VALUE"""),1.0)</f>
        <v>1</v>
      </c>
      <c r="AJ123" s="3">
        <f>IFERROR(__xludf.DUMMYFUNCTION("""COMPUTED_VALUE"""),1.0)</f>
        <v>1</v>
      </c>
      <c r="AK123" s="3">
        <f>IFERROR(__xludf.DUMMYFUNCTION("""COMPUTED_VALUE"""),1.0)</f>
        <v>1</v>
      </c>
      <c r="AL123" s="3">
        <f>IFERROR(__xludf.DUMMYFUNCTION("""COMPUTED_VALUE"""),1.0)</f>
        <v>1</v>
      </c>
      <c r="AM123" s="3" t="str">
        <f>IFERROR(__xludf.DUMMYFUNCTION("""COMPUTED_VALUE"""),"Yes")</f>
        <v>Yes</v>
      </c>
      <c r="AN123" s="3">
        <f>IFERROR(__xludf.DUMMYFUNCTION("""COMPUTED_VALUE"""),7.69618784E8)</f>
        <v>769618784</v>
      </c>
      <c r="AO123" s="3"/>
      <c r="AP123" s="3">
        <f>IFERROR(__xludf.DUMMYFUNCTION("""COMPUTED_VALUE"""),4.89502223E8)</f>
        <v>489502223</v>
      </c>
      <c r="AQ123" s="3" t="str">
        <f>IFERROR(__xludf.DUMMYFUNCTION("""COMPUTED_VALUE"""),"5a993fd2-461f-4c74-9a04-3e299f6f2632")</f>
        <v>5a993fd2-461f-4c74-9a04-3e299f6f2632</v>
      </c>
      <c r="AR123" s="3">
        <f>IFERROR(__xludf.DUMMYFUNCTION("""COMPUTED_VALUE"""),45807.605266203704)</f>
        <v>45807.60527</v>
      </c>
      <c r="AS123" s="3"/>
      <c r="AT123" s="3"/>
      <c r="AU123" s="3" t="str">
        <f>IFERROR(__xludf.DUMMYFUNCTION("""COMPUTED_VALUE"""),"submitted_via_web")</f>
        <v>submitted_via_web</v>
      </c>
      <c r="AV123" s="3"/>
      <c r="AW123" s="3" t="str">
        <f>IFERROR(__xludf.DUMMYFUNCTION("""COMPUTED_VALUE"""),"vgUJxCcLkhbxcmcrDMVzkY")</f>
        <v>vgUJxCcLkhbxcmcrDMVzkY</v>
      </c>
      <c r="AX123" s="3"/>
      <c r="AY123" s="3">
        <f>IFERROR(__xludf.DUMMYFUNCTION("""COMPUTED_VALUE"""),122.0)</f>
        <v>122</v>
      </c>
    </row>
    <row r="124">
      <c r="A124" s="3" t="str">
        <f>IFERROR(__xludf.DUMMYFUNCTION("""COMPUTED_VALUE"""),"Yes")</f>
        <v>Yes</v>
      </c>
      <c r="B124" s="3"/>
      <c r="C124" s="3" t="str">
        <f>IFERROR(__xludf.DUMMYFUNCTION("""COMPUTED_VALUE"""),"lesotho")</f>
        <v>lesotho</v>
      </c>
      <c r="D124" s="3"/>
      <c r="E124" s="3" t="str">
        <f>IFERROR(__xludf.DUMMYFUNCTION("""COMPUTED_VALUE"""),"south_africa")</f>
        <v>south_africa</v>
      </c>
      <c r="F124" s="3" t="str">
        <f>IFERROR(__xludf.DUMMYFUNCTION("""COMPUTED_VALUE"""),"West Rand District")</f>
        <v>West Rand District</v>
      </c>
      <c r="G124" s="3">
        <f>IFERROR(__xludf.DUMMYFUNCTION("""COMPUTED_VALUE"""),47.0)</f>
        <v>47</v>
      </c>
      <c r="H124" s="3" t="str">
        <f>IFERROR(__xludf.DUMMYFUNCTION("""COMPUTED_VALUE"""),"female")</f>
        <v>female</v>
      </c>
      <c r="I124" s="3" t="str">
        <f>IFERROR(__xludf.DUMMYFUNCTION("""COMPUTED_VALUE"""),"over5")</f>
        <v>over5</v>
      </c>
      <c r="J124" s="3" t="str">
        <f>IFERROR(__xludf.DUMMYFUNCTION("""COMPUTED_VALUE"""),"formal")</f>
        <v>formal</v>
      </c>
      <c r="K124" s="3" t="str">
        <f>IFERROR(__xludf.DUMMYFUNCTION("""COMPUTED_VALUE"""),"tertiary")</f>
        <v>tertiary</v>
      </c>
      <c r="L124" s="3"/>
      <c r="M124" s="3" t="str">
        <f>IFERROR(__xludf.DUMMYFUNCTION("""COMPUTED_VALUE"""),"agree")</f>
        <v>agree</v>
      </c>
      <c r="N124" s="3" t="str">
        <f>IFERROR(__xludf.DUMMYFUNCTION("""COMPUTED_VALUE"""),"agree")</f>
        <v>agree</v>
      </c>
      <c r="O124" s="3" t="str">
        <f>IFERROR(__xludf.DUMMYFUNCTION("""COMPUTED_VALUE"""),"disagree")</f>
        <v>disagree</v>
      </c>
      <c r="P124" s="3"/>
      <c r="Q124" s="3"/>
      <c r="R124" s="3"/>
      <c r="S124" s="3" t="str">
        <f>IFERROR(__xludf.DUMMYFUNCTION("""COMPUTED_VALUE"""),"disagree")</f>
        <v>disagree</v>
      </c>
      <c r="T124" s="3"/>
      <c r="U124" s="3" t="str">
        <f>IFERROR(__xludf.DUMMYFUNCTION("""COMPUTED_VALUE"""),"dontknow")</f>
        <v>dontknow</v>
      </c>
      <c r="V124" s="3"/>
      <c r="W124" s="3" t="str">
        <f>IFERROR(__xludf.DUMMYFUNCTION("""COMPUTED_VALUE"""),"disagree")</f>
        <v>disagree</v>
      </c>
      <c r="X124" s="3" t="str">
        <f>IFERROR(__xludf.DUMMYFUNCTION("""COMPUTED_VALUE"""),"Platinum")</f>
        <v>Platinum</v>
      </c>
      <c r="Y124" s="3" t="str">
        <f>IFERROR(__xludf.DUMMYFUNCTION("""COMPUTED_VALUE"""),"insurance")</f>
        <v>insurance</v>
      </c>
      <c r="Z124" s="3"/>
      <c r="AA124" s="3"/>
      <c r="AB124" s="3" t="str">
        <f>IFERROR(__xludf.DUMMYFUNCTION("""COMPUTED_VALUE"""),"online")</f>
        <v>online</v>
      </c>
      <c r="AC124" s="3" t="str">
        <f>IFERROR(__xludf.DUMMYFUNCTION("""COMPUTED_VALUE"""),"I am not an employer")</f>
        <v>I am not an employer</v>
      </c>
      <c r="AD124" s="3"/>
      <c r="AE124" s="3"/>
      <c r="AF124" s="3" t="str">
        <f>IFERROR(__xludf.DUMMYFUNCTION("""COMPUTED_VALUE"""),"No")</f>
        <v>No</v>
      </c>
      <c r="AG124" s="3" t="str">
        <f>IFERROR(__xludf.DUMMYFUNCTION("""COMPUTED_VALUE"""),"No")</f>
        <v>No</v>
      </c>
      <c r="AH124" s="3"/>
      <c r="AI124" s="3">
        <f>IFERROR(__xludf.DUMMYFUNCTION("""COMPUTED_VALUE"""),0.0)</f>
        <v>0</v>
      </c>
      <c r="AJ124" s="3">
        <f>IFERROR(__xludf.DUMMYFUNCTION("""COMPUTED_VALUE"""),0.0)</f>
        <v>0</v>
      </c>
      <c r="AK124" s="3">
        <f>IFERROR(__xludf.DUMMYFUNCTION("""COMPUTED_VALUE"""),0.0)</f>
        <v>0</v>
      </c>
      <c r="AL124" s="3">
        <f>IFERROR(__xludf.DUMMYFUNCTION("""COMPUTED_VALUE"""),1.0)</f>
        <v>1</v>
      </c>
      <c r="AM124" s="3" t="str">
        <f>IFERROR(__xludf.DUMMYFUNCTION("""COMPUTED_VALUE"""),"No")</f>
        <v>No</v>
      </c>
      <c r="AN124" s="3"/>
      <c r="AO124" s="3"/>
      <c r="AP124" s="3">
        <f>IFERROR(__xludf.DUMMYFUNCTION("""COMPUTED_VALUE"""),4.89520831E8)</f>
        <v>489520831</v>
      </c>
      <c r="AQ124" s="3" t="str">
        <f>IFERROR(__xludf.DUMMYFUNCTION("""COMPUTED_VALUE"""),"f9ff5f58-6045-4481-b198-bae6ca975d85")</f>
        <v>f9ff5f58-6045-4481-b198-bae6ca975d85</v>
      </c>
      <c r="AR124" s="3">
        <f>IFERROR(__xludf.DUMMYFUNCTION("""COMPUTED_VALUE"""),45807.62122685185)</f>
        <v>45807.62123</v>
      </c>
      <c r="AS124" s="3"/>
      <c r="AT124" s="3"/>
      <c r="AU124" s="3" t="str">
        <f>IFERROR(__xludf.DUMMYFUNCTION("""COMPUTED_VALUE"""),"submitted_via_web")</f>
        <v>submitted_via_web</v>
      </c>
      <c r="AV124" s="3"/>
      <c r="AW124" s="3" t="str">
        <f>IFERROR(__xludf.DUMMYFUNCTION("""COMPUTED_VALUE"""),"vgUJxCcLkhbxcmcrDMVzkY")</f>
        <v>vgUJxCcLkhbxcmcrDMVzkY</v>
      </c>
      <c r="AX124" s="3"/>
      <c r="AY124" s="3">
        <f>IFERROR(__xludf.DUMMYFUNCTION("""COMPUTED_VALUE"""),123.0)</f>
        <v>123</v>
      </c>
    </row>
    <row r="125">
      <c r="A125" s="3" t="str">
        <f>IFERROR(__xludf.DUMMYFUNCTION("""COMPUTED_VALUE"""),"Yes")</f>
        <v>Yes</v>
      </c>
      <c r="B125" s="3"/>
      <c r="C125" s="3" t="str">
        <f>IFERROR(__xludf.DUMMYFUNCTION("""COMPUTED_VALUE"""),"zimbabwe")</f>
        <v>zimbabwe</v>
      </c>
      <c r="D125" s="3"/>
      <c r="E125" s="3" t="str">
        <f>IFERROR(__xludf.DUMMYFUNCTION("""COMPUTED_VALUE"""),"zimbabwe")</f>
        <v>zimbabwe</v>
      </c>
      <c r="F125" s="3"/>
      <c r="G125" s="3">
        <f>IFERROR(__xludf.DUMMYFUNCTION("""COMPUTED_VALUE"""),35.0)</f>
        <v>35</v>
      </c>
      <c r="H125" s="3" t="str">
        <f>IFERROR(__xludf.DUMMYFUNCTION("""COMPUTED_VALUE"""),"female")</f>
        <v>female</v>
      </c>
      <c r="I125" s="3"/>
      <c r="J125" s="3" t="str">
        <f>IFERROR(__xludf.DUMMYFUNCTION("""COMPUTED_VALUE"""),"formal")</f>
        <v>formal</v>
      </c>
      <c r="K125" s="3" t="str">
        <f>IFERROR(__xludf.DUMMYFUNCTION("""COMPUTED_VALUE"""),"tertiary")</f>
        <v>tertiary</v>
      </c>
      <c r="L125" s="3"/>
      <c r="M125" s="3" t="str">
        <f>IFERROR(__xludf.DUMMYFUNCTION("""COMPUTED_VALUE"""),"agree")</f>
        <v>agree</v>
      </c>
      <c r="N125" s="3" t="str">
        <f>IFERROR(__xludf.DUMMYFUNCTION("""COMPUTED_VALUE"""),"agree")</f>
        <v>agree</v>
      </c>
      <c r="O125" s="3" t="str">
        <f>IFERROR(__xludf.DUMMYFUNCTION("""COMPUTED_VALUE"""),"agree")</f>
        <v>agree</v>
      </c>
      <c r="P125" s="3"/>
      <c r="Q125" s="3" t="str">
        <f>IFERROR(__xludf.DUMMYFUNCTION("""COMPUTED_VALUE"""),"disagree")</f>
        <v>disagree</v>
      </c>
      <c r="R125" s="3" t="str">
        <f>IFERROR(__xludf.DUMMYFUNCTION("""COMPUTED_VALUE"""),"agree")</f>
        <v>agree</v>
      </c>
      <c r="S125" s="3" t="str">
        <f>IFERROR(__xludf.DUMMYFUNCTION("""COMPUTED_VALUE"""),"disagree")</f>
        <v>disagree</v>
      </c>
      <c r="T125" s="3" t="str">
        <f>IFERROR(__xludf.DUMMYFUNCTION("""COMPUTED_VALUE"""),"disagree")</f>
        <v>disagree</v>
      </c>
      <c r="U125" s="3" t="str">
        <f>IFERROR(__xludf.DUMMYFUNCTION("""COMPUTED_VALUE"""),"disagree")</f>
        <v>disagree</v>
      </c>
      <c r="V125" s="3" t="str">
        <f>IFERROR(__xludf.DUMMYFUNCTION("""COMPUTED_VALUE"""),"disagree")</f>
        <v>disagree</v>
      </c>
      <c r="W125" s="3" t="str">
        <f>IFERROR(__xludf.DUMMYFUNCTION("""COMPUTED_VALUE"""),"disagree")</f>
        <v>disagree</v>
      </c>
      <c r="X125" s="3" t="str">
        <f>IFERROR(__xludf.DUMMYFUNCTION("""COMPUTED_VALUE"""),"Silver")</f>
        <v>Silver</v>
      </c>
      <c r="Y125" s="3" t="str">
        <f>IFERROR(__xludf.DUMMYFUNCTION("""COMPUTED_VALUE"""),"insurance")</f>
        <v>insurance</v>
      </c>
      <c r="Z125" s="3" t="str">
        <f>IFERROR(__xludf.DUMMYFUNCTION("""COMPUTED_VALUE"""),"monthly")</f>
        <v>monthly</v>
      </c>
      <c r="AA125" s="3">
        <f>IFERROR(__xludf.DUMMYFUNCTION("""COMPUTED_VALUE"""),30.0)</f>
        <v>30</v>
      </c>
      <c r="AB125" s="3" t="str">
        <f>IFERROR(__xludf.DUMMYFUNCTION("""COMPUTED_VALUE"""),"assisted")</f>
        <v>assisted</v>
      </c>
      <c r="AC125" s="3" t="str">
        <f>IFERROR(__xludf.DUMMYFUNCTION("""COMPUTED_VALUE"""),"I am not an employer")</f>
        <v>I am not an employer</v>
      </c>
      <c r="AD125" s="3"/>
      <c r="AE125" s="3"/>
      <c r="AF125" s="3" t="str">
        <f>IFERROR(__xludf.DUMMYFUNCTION("""COMPUTED_VALUE"""),"Yes")</f>
        <v>Yes</v>
      </c>
      <c r="AG125" s="3" t="str">
        <f>IFERROR(__xludf.DUMMYFUNCTION("""COMPUTED_VALUE"""),"No")</f>
        <v>No</v>
      </c>
      <c r="AH125" s="3"/>
      <c r="AI125" s="3">
        <f>IFERROR(__xludf.DUMMYFUNCTION("""COMPUTED_VALUE"""),0.0)</f>
        <v>0</v>
      </c>
      <c r="AJ125" s="3">
        <f>IFERROR(__xludf.DUMMYFUNCTION("""COMPUTED_VALUE"""),0.0)</f>
        <v>0</v>
      </c>
      <c r="AK125" s="3">
        <f>IFERROR(__xludf.DUMMYFUNCTION("""COMPUTED_VALUE"""),1.0)</f>
        <v>1</v>
      </c>
      <c r="AL125" s="3">
        <f>IFERROR(__xludf.DUMMYFUNCTION("""COMPUTED_VALUE"""),0.0)</f>
        <v>0</v>
      </c>
      <c r="AM125" s="3"/>
      <c r="AN125" s="3"/>
      <c r="AO125" s="3"/>
      <c r="AP125" s="3">
        <f>IFERROR(__xludf.DUMMYFUNCTION("""COMPUTED_VALUE"""),4.89573455E8)</f>
        <v>489573455</v>
      </c>
      <c r="AQ125" s="3" t="str">
        <f>IFERROR(__xludf.DUMMYFUNCTION("""COMPUTED_VALUE"""),"ecdd593a-bd60-49ec-b1a6-0fb1d0537813")</f>
        <v>ecdd593a-bd60-49ec-b1a6-0fb1d0537813</v>
      </c>
      <c r="AR125" s="3">
        <f>IFERROR(__xludf.DUMMYFUNCTION("""COMPUTED_VALUE"""),45807.666863425926)</f>
        <v>45807.66686</v>
      </c>
      <c r="AS125" s="3"/>
      <c r="AT125" s="3"/>
      <c r="AU125" s="3" t="str">
        <f>IFERROR(__xludf.DUMMYFUNCTION("""COMPUTED_VALUE"""),"submitted_via_web")</f>
        <v>submitted_via_web</v>
      </c>
      <c r="AV125" s="3"/>
      <c r="AW125" s="3" t="str">
        <f>IFERROR(__xludf.DUMMYFUNCTION("""COMPUTED_VALUE"""),"vgUJxCcLkhbxcmcrDMVzkY")</f>
        <v>vgUJxCcLkhbxcmcrDMVzkY</v>
      </c>
      <c r="AX125" s="3"/>
      <c r="AY125" s="3">
        <f>IFERROR(__xludf.DUMMYFUNCTION("""COMPUTED_VALUE"""),124.0)</f>
        <v>124</v>
      </c>
    </row>
    <row r="126">
      <c r="A126" s="3" t="str">
        <f>IFERROR(__xludf.DUMMYFUNCTION("""COMPUTED_VALUE"""),"Yes")</f>
        <v>Yes</v>
      </c>
      <c r="B126" s="3"/>
      <c r="C126" s="3"/>
      <c r="D126" s="3"/>
      <c r="E126" s="3"/>
      <c r="F126" s="3"/>
      <c r="G126" s="3">
        <f>IFERROR(__xludf.DUMMYFUNCTION("""COMPUTED_VALUE"""),35.0)</f>
        <v>35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>
        <f>IFERROR(__xludf.DUMMYFUNCTION("""COMPUTED_VALUE"""),4.89573911E8)</f>
        <v>489573911</v>
      </c>
      <c r="AQ126" s="3" t="str">
        <f>IFERROR(__xludf.DUMMYFUNCTION("""COMPUTED_VALUE"""),"ee32a214-a374-4133-8097-b5bef9eb4b5f")</f>
        <v>ee32a214-a374-4133-8097-b5bef9eb4b5f</v>
      </c>
      <c r="AR126" s="3">
        <f>IFERROR(__xludf.DUMMYFUNCTION("""COMPUTED_VALUE"""),45807.66736111111)</f>
        <v>45807.66736</v>
      </c>
      <c r="AS126" s="3"/>
      <c r="AT126" s="3"/>
      <c r="AU126" s="3" t="str">
        <f>IFERROR(__xludf.DUMMYFUNCTION("""COMPUTED_VALUE"""),"submitted_via_web")</f>
        <v>submitted_via_web</v>
      </c>
      <c r="AV126" s="3"/>
      <c r="AW126" s="3" t="str">
        <f>IFERROR(__xludf.DUMMYFUNCTION("""COMPUTED_VALUE"""),"vgUJxCcLkhbxcmcrDMVzkY")</f>
        <v>vgUJxCcLkhbxcmcrDMVzkY</v>
      </c>
      <c r="AX126" s="3"/>
      <c r="AY126" s="3">
        <f>IFERROR(__xludf.DUMMYFUNCTION("""COMPUTED_VALUE"""),125.0)</f>
        <v>125</v>
      </c>
    </row>
    <row r="127">
      <c r="A127" s="3" t="str">
        <f>IFERROR(__xludf.DUMMYFUNCTION("""COMPUTED_VALUE"""),"Yes")</f>
        <v>Yes</v>
      </c>
      <c r="B127" s="3"/>
      <c r="C127" s="3" t="str">
        <f>IFERROR(__xludf.DUMMYFUNCTION("""COMPUTED_VALUE"""),"lesotho")</f>
        <v>lesotho</v>
      </c>
      <c r="D127" s="3"/>
      <c r="E127" s="3" t="str">
        <f>IFERROR(__xludf.DUMMYFUNCTION("""COMPUTED_VALUE"""),"lesotho")</f>
        <v>lesotho</v>
      </c>
      <c r="F127" s="3"/>
      <c r="G127" s="3">
        <f>IFERROR(__xludf.DUMMYFUNCTION("""COMPUTED_VALUE"""),43.0)</f>
        <v>43</v>
      </c>
      <c r="H127" s="3" t="str">
        <f>IFERROR(__xludf.DUMMYFUNCTION("""COMPUTED_VALUE"""),"female")</f>
        <v>female</v>
      </c>
      <c r="I127" s="3"/>
      <c r="J127" s="3" t="str">
        <f>IFERROR(__xludf.DUMMYFUNCTION("""COMPUTED_VALUE"""),"informal")</f>
        <v>informal</v>
      </c>
      <c r="K127" s="3" t="str">
        <f>IFERROR(__xludf.DUMMYFUNCTION("""COMPUTED_VALUE"""),"vocational")</f>
        <v>vocational</v>
      </c>
      <c r="L127" s="3"/>
      <c r="M127" s="3" t="str">
        <f>IFERROR(__xludf.DUMMYFUNCTION("""COMPUTED_VALUE"""),"agree")</f>
        <v>agree</v>
      </c>
      <c r="N127" s="3" t="str">
        <f>IFERROR(__xludf.DUMMYFUNCTION("""COMPUTED_VALUE"""),"agree")</f>
        <v>agree</v>
      </c>
      <c r="O127" s="3" t="str">
        <f>IFERROR(__xludf.DUMMYFUNCTION("""COMPUTED_VALUE"""),"agree")</f>
        <v>agree</v>
      </c>
      <c r="P127" s="3"/>
      <c r="Q127" s="3" t="str">
        <f>IFERROR(__xludf.DUMMYFUNCTION("""COMPUTED_VALUE"""),"agree")</f>
        <v>agree</v>
      </c>
      <c r="R127" s="3" t="str">
        <f>IFERROR(__xludf.DUMMYFUNCTION("""COMPUTED_VALUE"""),"agree")</f>
        <v>agree</v>
      </c>
      <c r="S127" s="3" t="str">
        <f>IFERROR(__xludf.DUMMYFUNCTION("""COMPUTED_VALUE"""),"agree")</f>
        <v>agree</v>
      </c>
      <c r="T127" s="3" t="str">
        <f>IFERROR(__xludf.DUMMYFUNCTION("""COMPUTED_VALUE"""),"agree")</f>
        <v>agree</v>
      </c>
      <c r="U127" s="3" t="str">
        <f>IFERROR(__xludf.DUMMYFUNCTION("""COMPUTED_VALUE"""),"dontknow")</f>
        <v>dontknow</v>
      </c>
      <c r="V127" s="3" t="str">
        <f>IFERROR(__xludf.DUMMYFUNCTION("""COMPUTED_VALUE"""),"agree")</f>
        <v>agree</v>
      </c>
      <c r="W127" s="3" t="str">
        <f>IFERROR(__xludf.DUMMYFUNCTION("""COMPUTED_VALUE"""),"agree")</f>
        <v>agree</v>
      </c>
      <c r="X127" s="3" t="str">
        <f>IFERROR(__xludf.DUMMYFUNCTION("""COMPUTED_VALUE"""),"Gold")</f>
        <v>Gold</v>
      </c>
      <c r="Y127" s="3" t="str">
        <f>IFERROR(__xludf.DUMMYFUNCTION("""COMPUTED_VALUE"""),"cash")</f>
        <v>cash</v>
      </c>
      <c r="Z127" s="3" t="str">
        <f>IFERROR(__xludf.DUMMYFUNCTION("""COMPUTED_VALUE"""),"once")</f>
        <v>once</v>
      </c>
      <c r="AA127" s="3">
        <f>IFERROR(__xludf.DUMMYFUNCTION("""COMPUTED_VALUE"""),10.0)</f>
        <v>10</v>
      </c>
      <c r="AB127" s="3" t="str">
        <f>IFERROR(__xludf.DUMMYFUNCTION("""COMPUTED_VALUE"""),"assisted")</f>
        <v>assisted</v>
      </c>
      <c r="AC127" s="3" t="str">
        <f>IFERROR(__xludf.DUMMYFUNCTION("""COMPUTED_VALUE"""),"I am not an employer")</f>
        <v>I am not an employer</v>
      </c>
      <c r="AD127" s="3"/>
      <c r="AE127" s="3"/>
      <c r="AF127" s="3" t="str">
        <f>IFERROR(__xludf.DUMMYFUNCTION("""COMPUTED_VALUE"""),"Yes")</f>
        <v>Yes</v>
      </c>
      <c r="AG127" s="3" t="str">
        <f>IFERROR(__xludf.DUMMYFUNCTION("""COMPUTED_VALUE"""),"Yes")</f>
        <v>Yes</v>
      </c>
      <c r="AH127" s="3">
        <f>IFERROR(__xludf.DUMMYFUNCTION("""COMPUTED_VALUE"""),200.0)</f>
        <v>200</v>
      </c>
      <c r="AI127" s="3">
        <f>IFERROR(__xludf.DUMMYFUNCTION("""COMPUTED_VALUE"""),0.0)</f>
        <v>0</v>
      </c>
      <c r="AJ127" s="3">
        <f>IFERROR(__xludf.DUMMYFUNCTION("""COMPUTED_VALUE"""),0.0)</f>
        <v>0</v>
      </c>
      <c r="AK127" s="3">
        <f>IFERROR(__xludf.DUMMYFUNCTION("""COMPUTED_VALUE"""),1.0)</f>
        <v>1</v>
      </c>
      <c r="AL127" s="3">
        <f>IFERROR(__xludf.DUMMYFUNCTION("""COMPUTED_VALUE"""),0.0)</f>
        <v>0</v>
      </c>
      <c r="AM127" s="3"/>
      <c r="AN127" s="3"/>
      <c r="AO127" s="3"/>
      <c r="AP127" s="3">
        <f>IFERROR(__xludf.DUMMYFUNCTION("""COMPUTED_VALUE"""),4.89588789E8)</f>
        <v>489588789</v>
      </c>
      <c r="AQ127" s="3" t="str">
        <f>IFERROR(__xludf.DUMMYFUNCTION("""COMPUTED_VALUE"""),"c141332e-ecfe-4f67-b4aa-83256b61a10a")</f>
        <v>c141332e-ecfe-4f67-b4aa-83256b61a10a</v>
      </c>
      <c r="AR127" s="3">
        <f>IFERROR(__xludf.DUMMYFUNCTION("""COMPUTED_VALUE"""),45807.679606481484)</f>
        <v>45807.67961</v>
      </c>
      <c r="AS127" s="3"/>
      <c r="AT127" s="3"/>
      <c r="AU127" s="3" t="str">
        <f>IFERROR(__xludf.DUMMYFUNCTION("""COMPUTED_VALUE"""),"submitted_via_web")</f>
        <v>submitted_via_web</v>
      </c>
      <c r="AV127" s="3"/>
      <c r="AW127" s="3" t="str">
        <f>IFERROR(__xludf.DUMMYFUNCTION("""COMPUTED_VALUE"""),"vgUJxCcLkhbxcmcrDMVzkY")</f>
        <v>vgUJxCcLkhbxcmcrDMVzkY</v>
      </c>
      <c r="AX127" s="3"/>
      <c r="AY127" s="3">
        <f>IFERROR(__xludf.DUMMYFUNCTION("""COMPUTED_VALUE"""),126.0)</f>
        <v>126</v>
      </c>
    </row>
    <row r="128">
      <c r="A128" s="3" t="str">
        <f>IFERROR(__xludf.DUMMYFUNCTION("""COMPUTED_VALUE"""),"Yes")</f>
        <v>Yes</v>
      </c>
      <c r="B128" s="3"/>
      <c r="C128" s="3" t="str">
        <f>IFERROR(__xludf.DUMMYFUNCTION("""COMPUTED_VALUE"""),"lesotho")</f>
        <v>lesotho</v>
      </c>
      <c r="D128" s="3"/>
      <c r="E128" s="3" t="str">
        <f>IFERROR(__xludf.DUMMYFUNCTION("""COMPUTED_VALUE"""),"lesotho")</f>
        <v>lesotho</v>
      </c>
      <c r="F128" s="3"/>
      <c r="G128" s="3">
        <f>IFERROR(__xludf.DUMMYFUNCTION("""COMPUTED_VALUE"""),33.0)</f>
        <v>33</v>
      </c>
      <c r="H128" s="3" t="str">
        <f>IFERROR(__xludf.DUMMYFUNCTION("""COMPUTED_VALUE"""),"female")</f>
        <v>female</v>
      </c>
      <c r="I128" s="3"/>
      <c r="J128" s="3" t="str">
        <f>IFERROR(__xludf.DUMMYFUNCTION("""COMPUTED_VALUE"""),"unemployed")</f>
        <v>unemployed</v>
      </c>
      <c r="K128" s="3" t="str">
        <f>IFERROR(__xludf.DUMMYFUNCTION("""COMPUTED_VALUE"""),"none")</f>
        <v>none</v>
      </c>
      <c r="L128" s="3"/>
      <c r="M128" s="3" t="str">
        <f>IFERROR(__xludf.DUMMYFUNCTION("""COMPUTED_VALUE"""),"agree")</f>
        <v>agree</v>
      </c>
      <c r="N128" s="3" t="str">
        <f>IFERROR(__xludf.DUMMYFUNCTION("""COMPUTED_VALUE"""),"agree")</f>
        <v>agree</v>
      </c>
      <c r="O128" s="3" t="str">
        <f>IFERROR(__xludf.DUMMYFUNCTION("""COMPUTED_VALUE"""),"agree")</f>
        <v>agree</v>
      </c>
      <c r="P128" s="3"/>
      <c r="Q128" s="3" t="str">
        <f>IFERROR(__xludf.DUMMYFUNCTION("""COMPUTED_VALUE"""),"agree")</f>
        <v>agree</v>
      </c>
      <c r="R128" s="3" t="str">
        <f>IFERROR(__xludf.DUMMYFUNCTION("""COMPUTED_VALUE"""),"dontknow")</f>
        <v>dontknow</v>
      </c>
      <c r="S128" s="3" t="str">
        <f>IFERROR(__xludf.DUMMYFUNCTION("""COMPUTED_VALUE"""),"agree")</f>
        <v>agree</v>
      </c>
      <c r="T128" s="3" t="str">
        <f>IFERROR(__xludf.DUMMYFUNCTION("""COMPUTED_VALUE"""),"dontknow")</f>
        <v>dontknow</v>
      </c>
      <c r="U128" s="3" t="str">
        <f>IFERROR(__xludf.DUMMYFUNCTION("""COMPUTED_VALUE"""),"dontknow")</f>
        <v>dontknow</v>
      </c>
      <c r="V128" s="3" t="str">
        <f>IFERROR(__xludf.DUMMYFUNCTION("""COMPUTED_VALUE"""),"dontknow")</f>
        <v>dontknow</v>
      </c>
      <c r="W128" s="3" t="str">
        <f>IFERROR(__xludf.DUMMYFUNCTION("""COMPUTED_VALUE"""),"agree")</f>
        <v>agree</v>
      </c>
      <c r="X128" s="3" t="str">
        <f>IFERROR(__xludf.DUMMYFUNCTION("""COMPUTED_VALUE"""),"Gold")</f>
        <v>Gold</v>
      </c>
      <c r="Y128" s="3"/>
      <c r="Z128" s="3" t="str">
        <f>IFERROR(__xludf.DUMMYFUNCTION("""COMPUTED_VALUE"""),"once")</f>
        <v>once</v>
      </c>
      <c r="AA128" s="3">
        <f>IFERROR(__xludf.DUMMYFUNCTION("""COMPUTED_VALUE"""),10.0)</f>
        <v>10</v>
      </c>
      <c r="AB128" s="3" t="str">
        <f>IFERROR(__xludf.DUMMYFUNCTION("""COMPUTED_VALUE"""),"employer")</f>
        <v>employer</v>
      </c>
      <c r="AC128" s="3" t="str">
        <f>IFERROR(__xludf.DUMMYFUNCTION("""COMPUTED_VALUE"""),"I am not an employer")</f>
        <v>I am not an employer</v>
      </c>
      <c r="AD128" s="3"/>
      <c r="AE128" s="3"/>
      <c r="AF128" s="3" t="str">
        <f>IFERROR(__xludf.DUMMYFUNCTION("""COMPUTED_VALUE"""),"No")</f>
        <v>No</v>
      </c>
      <c r="AG128" s="3" t="str">
        <f>IFERROR(__xludf.DUMMYFUNCTION("""COMPUTED_VALUE"""),"Yes")</f>
        <v>Yes</v>
      </c>
      <c r="AH128" s="3">
        <f>IFERROR(__xludf.DUMMYFUNCTION("""COMPUTED_VALUE"""),1000.0)</f>
        <v>1000</v>
      </c>
      <c r="AI128" s="3">
        <f>IFERROR(__xludf.DUMMYFUNCTION("""COMPUTED_VALUE"""),0.0)</f>
        <v>0</v>
      </c>
      <c r="AJ128" s="3">
        <f>IFERROR(__xludf.DUMMYFUNCTION("""COMPUTED_VALUE"""),0.0)</f>
        <v>0</v>
      </c>
      <c r="AK128" s="3">
        <f>IFERROR(__xludf.DUMMYFUNCTION("""COMPUTED_VALUE"""),0.0)</f>
        <v>0</v>
      </c>
      <c r="AL128" s="3">
        <f>IFERROR(__xludf.DUMMYFUNCTION("""COMPUTED_VALUE"""),1.0)</f>
        <v>1</v>
      </c>
      <c r="AM128" s="3"/>
      <c r="AN128" s="3"/>
      <c r="AO128" s="3"/>
      <c r="AP128" s="3">
        <f>IFERROR(__xludf.DUMMYFUNCTION("""COMPUTED_VALUE"""),4.89629902E8)</f>
        <v>489629902</v>
      </c>
      <c r="AQ128" s="3" t="str">
        <f>IFERROR(__xludf.DUMMYFUNCTION("""COMPUTED_VALUE"""),"f749154e-a8f9-4a29-a5a3-95218041ac64")</f>
        <v>f749154e-a8f9-4a29-a5a3-95218041ac64</v>
      </c>
      <c r="AR128" s="3">
        <f>IFERROR(__xludf.DUMMYFUNCTION("""COMPUTED_VALUE"""),45807.71865740741)</f>
        <v>45807.71866</v>
      </c>
      <c r="AS128" s="3"/>
      <c r="AT128" s="3"/>
      <c r="AU128" s="3" t="str">
        <f>IFERROR(__xludf.DUMMYFUNCTION("""COMPUTED_VALUE"""),"submitted_via_web")</f>
        <v>submitted_via_web</v>
      </c>
      <c r="AV128" s="3"/>
      <c r="AW128" s="3" t="str">
        <f>IFERROR(__xludf.DUMMYFUNCTION("""COMPUTED_VALUE"""),"vckVTgNzM4XXtKAKNnsHpB")</f>
        <v>vckVTgNzM4XXtKAKNnsHpB</v>
      </c>
      <c r="AX128" s="3"/>
      <c r="AY128" s="3">
        <f>IFERROR(__xludf.DUMMYFUNCTION("""COMPUTED_VALUE"""),127.0)</f>
        <v>127</v>
      </c>
    </row>
    <row r="129">
      <c r="A129" s="3" t="str">
        <f>IFERROR(__xludf.DUMMYFUNCTION("""COMPUTED_VALUE"""),"Yes")</f>
        <v>Yes</v>
      </c>
      <c r="B129" s="3"/>
      <c r="C129" s="3" t="str">
        <f>IFERROR(__xludf.DUMMYFUNCTION("""COMPUTED_VALUE"""),"zimbabwe")</f>
        <v>zimbabwe</v>
      </c>
      <c r="D129" s="3"/>
      <c r="E129" s="3" t="str">
        <f>IFERROR(__xludf.DUMMYFUNCTION("""COMPUTED_VALUE"""),"Other")</f>
        <v>Other</v>
      </c>
      <c r="F129" s="3"/>
      <c r="G129" s="3">
        <f>IFERROR(__xludf.DUMMYFUNCTION("""COMPUTED_VALUE"""),45.0)</f>
        <v>45</v>
      </c>
      <c r="H129" s="3" t="str">
        <f>IFERROR(__xludf.DUMMYFUNCTION("""COMPUTED_VALUE"""),"male")</f>
        <v>male</v>
      </c>
      <c r="I129" s="3"/>
      <c r="J129" s="3" t="str">
        <f>IFERROR(__xludf.DUMMYFUNCTION("""COMPUTED_VALUE"""),"formal")</f>
        <v>formal</v>
      </c>
      <c r="K129" s="3"/>
      <c r="L129" s="3"/>
      <c r="M129" s="3" t="str">
        <f>IFERROR(__xludf.DUMMYFUNCTION("""COMPUTED_VALUE"""),"agree")</f>
        <v>agree</v>
      </c>
      <c r="N129" s="3" t="str">
        <f>IFERROR(__xludf.DUMMYFUNCTION("""COMPUTED_VALUE"""),"agree")</f>
        <v>agree</v>
      </c>
      <c r="O129" s="3" t="str">
        <f>IFERROR(__xludf.DUMMYFUNCTION("""COMPUTED_VALUE"""),"agree")</f>
        <v>agree</v>
      </c>
      <c r="P129" s="3"/>
      <c r="Q129" s="3" t="str">
        <f>IFERROR(__xludf.DUMMYFUNCTION("""COMPUTED_VALUE"""),"agree")</f>
        <v>agree</v>
      </c>
      <c r="R129" s="3" t="str">
        <f>IFERROR(__xludf.DUMMYFUNCTION("""COMPUTED_VALUE"""),"agree")</f>
        <v>agree</v>
      </c>
      <c r="S129" s="3" t="str">
        <f>IFERROR(__xludf.DUMMYFUNCTION("""COMPUTED_VALUE"""),"agree")</f>
        <v>agree</v>
      </c>
      <c r="T129" s="3" t="str">
        <f>IFERROR(__xludf.DUMMYFUNCTION("""COMPUTED_VALUE"""),"agree")</f>
        <v>agree</v>
      </c>
      <c r="U129" s="3" t="str">
        <f>IFERROR(__xludf.DUMMYFUNCTION("""COMPUTED_VALUE"""),"agree")</f>
        <v>agree</v>
      </c>
      <c r="V129" s="3" t="str">
        <f>IFERROR(__xludf.DUMMYFUNCTION("""COMPUTED_VALUE"""),"agree")</f>
        <v>agree</v>
      </c>
      <c r="W129" s="3" t="str">
        <f>IFERROR(__xludf.DUMMYFUNCTION("""COMPUTED_VALUE"""),"disagree")</f>
        <v>disagree</v>
      </c>
      <c r="X129" s="3" t="str">
        <f>IFERROR(__xludf.DUMMYFUNCTION("""COMPUTED_VALUE"""),"Platinum")</f>
        <v>Platinum</v>
      </c>
      <c r="Y129" s="3" t="str">
        <f>IFERROR(__xludf.DUMMYFUNCTION("""COMPUTED_VALUE"""),"insurance")</f>
        <v>insurance</v>
      </c>
      <c r="Z129" s="3" t="str">
        <f>IFERROR(__xludf.DUMMYFUNCTION("""COMPUTED_VALUE"""),"quarterly")</f>
        <v>quarterly</v>
      </c>
      <c r="AA129" s="3">
        <f>IFERROR(__xludf.DUMMYFUNCTION("""COMPUTED_VALUE"""),100.0)</f>
        <v>100</v>
      </c>
      <c r="AB129" s="3" t="str">
        <f>IFERROR(__xludf.DUMMYFUNCTION("""COMPUTED_VALUE"""),"assisted")</f>
        <v>assisted</v>
      </c>
      <c r="AC129" s="3" t="str">
        <f>IFERROR(__xludf.DUMMYFUNCTION("""COMPUTED_VALUE"""),"Yes")</f>
        <v>Yes</v>
      </c>
      <c r="AD129" s="3" t="str">
        <f>IFERROR(__xludf.DUMMYFUNCTION("""COMPUTED_VALUE"""),"Platinum")</f>
        <v>Platinum</v>
      </c>
      <c r="AE129" s="3" t="str">
        <f>IFERROR(__xludf.DUMMYFUNCTION("""COMPUTED_VALUE"""),"Yes")</f>
        <v>Yes</v>
      </c>
      <c r="AF129" s="3" t="str">
        <f>IFERROR(__xludf.DUMMYFUNCTION("""COMPUTED_VALUE"""),"Yes")</f>
        <v>Yes</v>
      </c>
      <c r="AG129" s="3" t="str">
        <f>IFERROR(__xludf.DUMMYFUNCTION("""COMPUTED_VALUE"""),"Yes")</f>
        <v>Yes</v>
      </c>
      <c r="AH129" s="3">
        <f>IFERROR(__xludf.DUMMYFUNCTION("""COMPUTED_VALUE"""),10.0)</f>
        <v>10</v>
      </c>
      <c r="AI129" s="3">
        <f>IFERROR(__xludf.DUMMYFUNCTION("""COMPUTED_VALUE"""),1.0)</f>
        <v>1</v>
      </c>
      <c r="AJ129" s="3">
        <f>IFERROR(__xludf.DUMMYFUNCTION("""COMPUTED_VALUE"""),1.0)</f>
        <v>1</v>
      </c>
      <c r="AK129" s="3">
        <f>IFERROR(__xludf.DUMMYFUNCTION("""COMPUTED_VALUE"""),1.0)</f>
        <v>1</v>
      </c>
      <c r="AL129" s="3">
        <f>IFERROR(__xludf.DUMMYFUNCTION("""COMPUTED_VALUE"""),0.0)</f>
        <v>0</v>
      </c>
      <c r="AM129" s="3"/>
      <c r="AN129" s="3"/>
      <c r="AO129" s="3"/>
      <c r="AP129" s="3">
        <f>IFERROR(__xludf.DUMMYFUNCTION("""COMPUTED_VALUE"""),4.89787188E8)</f>
        <v>489787188</v>
      </c>
      <c r="AQ129" s="3" t="str">
        <f>IFERROR(__xludf.DUMMYFUNCTION("""COMPUTED_VALUE"""),"e903cf3e-788a-4264-beef-42d4b1f170bf")</f>
        <v>e903cf3e-788a-4264-beef-42d4b1f170bf</v>
      </c>
      <c r="AR129" s="3">
        <f>IFERROR(__xludf.DUMMYFUNCTION("""COMPUTED_VALUE"""),45808.04665509259)</f>
        <v>45808.04666</v>
      </c>
      <c r="AS129" s="3"/>
      <c r="AT129" s="3"/>
      <c r="AU129" s="3" t="str">
        <f>IFERROR(__xludf.DUMMYFUNCTION("""COMPUTED_VALUE"""),"submitted_via_web")</f>
        <v>submitted_via_web</v>
      </c>
      <c r="AV129" s="3"/>
      <c r="AW129" s="3" t="str">
        <f>IFERROR(__xludf.DUMMYFUNCTION("""COMPUTED_VALUE"""),"vckVTgNzM4XXtKAKNnsHpB")</f>
        <v>vckVTgNzM4XXtKAKNnsHpB</v>
      </c>
      <c r="AX129" s="3"/>
      <c r="AY129" s="3">
        <f>IFERROR(__xludf.DUMMYFUNCTION("""COMPUTED_VALUE"""),128.0)</f>
        <v>128</v>
      </c>
    </row>
    <row r="130">
      <c r="A130" s="3" t="str">
        <f>IFERROR(__xludf.DUMMYFUNCTION("""COMPUTED_VALUE"""),"Yes")</f>
        <v>Yes</v>
      </c>
      <c r="B130" s="3"/>
      <c r="C130" s="3" t="str">
        <f>IFERROR(__xludf.DUMMYFUNCTION("""COMPUTED_VALUE"""),"zimbabwe")</f>
        <v>zimbabwe</v>
      </c>
      <c r="D130" s="3"/>
      <c r="E130" s="3" t="str">
        <f>IFERROR(__xludf.DUMMYFUNCTION("""COMPUTED_VALUE"""),"Other")</f>
        <v>Other</v>
      </c>
      <c r="F130" s="3"/>
      <c r="G130" s="3">
        <f>IFERROR(__xludf.DUMMYFUNCTION("""COMPUTED_VALUE"""),42.0)</f>
        <v>42</v>
      </c>
      <c r="H130" s="3" t="str">
        <f>IFERROR(__xludf.DUMMYFUNCTION("""COMPUTED_VALUE"""),"female")</f>
        <v>female</v>
      </c>
      <c r="I130" s="3"/>
      <c r="J130" s="3" t="str">
        <f>IFERROR(__xludf.DUMMYFUNCTION("""COMPUTED_VALUE"""),"formal")</f>
        <v>formal</v>
      </c>
      <c r="K130" s="3" t="str">
        <f>IFERROR(__xludf.DUMMYFUNCTION("""COMPUTED_VALUE"""),"tertiary")</f>
        <v>tertiary</v>
      </c>
      <c r="L130" s="3"/>
      <c r="M130" s="3" t="str">
        <f>IFERROR(__xludf.DUMMYFUNCTION("""COMPUTED_VALUE"""),"agree")</f>
        <v>agree</v>
      </c>
      <c r="N130" s="3" t="str">
        <f>IFERROR(__xludf.DUMMYFUNCTION("""COMPUTED_VALUE"""),"agree")</f>
        <v>agree</v>
      </c>
      <c r="O130" s="3" t="str">
        <f>IFERROR(__xludf.DUMMYFUNCTION("""COMPUTED_VALUE"""),"disagree")</f>
        <v>disagree</v>
      </c>
      <c r="P130" s="3"/>
      <c r="Q130" s="3" t="str">
        <f>IFERROR(__xludf.DUMMYFUNCTION("""COMPUTED_VALUE"""),"disagree")</f>
        <v>disagree</v>
      </c>
      <c r="R130" s="3" t="str">
        <f>IFERROR(__xludf.DUMMYFUNCTION("""COMPUTED_VALUE"""),"disagree")</f>
        <v>disagree</v>
      </c>
      <c r="S130" s="3" t="str">
        <f>IFERROR(__xludf.DUMMYFUNCTION("""COMPUTED_VALUE"""),"agree")</f>
        <v>agree</v>
      </c>
      <c r="T130" s="3" t="str">
        <f>IFERROR(__xludf.DUMMYFUNCTION("""COMPUTED_VALUE"""),"disagree")</f>
        <v>disagree</v>
      </c>
      <c r="U130" s="3" t="str">
        <f>IFERROR(__xludf.DUMMYFUNCTION("""COMPUTED_VALUE"""),"agree")</f>
        <v>agree</v>
      </c>
      <c r="V130" s="3" t="str">
        <f>IFERROR(__xludf.DUMMYFUNCTION("""COMPUTED_VALUE"""),"agree")</f>
        <v>agree</v>
      </c>
      <c r="W130" s="3" t="str">
        <f>IFERROR(__xludf.DUMMYFUNCTION("""COMPUTED_VALUE"""),"disagree")</f>
        <v>disagree</v>
      </c>
      <c r="X130" s="3" t="str">
        <f>IFERROR(__xludf.DUMMYFUNCTION("""COMPUTED_VALUE"""),"Gold")</f>
        <v>Gold</v>
      </c>
      <c r="Y130" s="3" t="str">
        <f>IFERROR(__xludf.DUMMYFUNCTION("""COMPUTED_VALUE"""),"insurance")</f>
        <v>insurance</v>
      </c>
      <c r="Z130" s="3" t="str">
        <f>IFERROR(__xludf.DUMMYFUNCTION("""COMPUTED_VALUE"""),"monthly")</f>
        <v>monthly</v>
      </c>
      <c r="AA130" s="3">
        <f>IFERROR(__xludf.DUMMYFUNCTION("""COMPUTED_VALUE"""),100.0)</f>
        <v>100</v>
      </c>
      <c r="AB130" s="3" t="str">
        <f>IFERROR(__xludf.DUMMYFUNCTION("""COMPUTED_VALUE"""),"assisted")</f>
        <v>assisted</v>
      </c>
      <c r="AC130" s="3" t="str">
        <f>IFERROR(__xludf.DUMMYFUNCTION("""COMPUTED_VALUE"""),"Yes")</f>
        <v>Yes</v>
      </c>
      <c r="AD130" s="3" t="str">
        <f>IFERROR(__xludf.DUMMYFUNCTION("""COMPUTED_VALUE"""),"Gold")</f>
        <v>Gold</v>
      </c>
      <c r="AE130" s="3" t="str">
        <f>IFERROR(__xludf.DUMMYFUNCTION("""COMPUTED_VALUE"""),"Yes")</f>
        <v>Yes</v>
      </c>
      <c r="AF130" s="3" t="str">
        <f>IFERROR(__xludf.DUMMYFUNCTION("""COMPUTED_VALUE"""),"Yes")</f>
        <v>Yes</v>
      </c>
      <c r="AG130" s="3" t="str">
        <f>IFERROR(__xludf.DUMMYFUNCTION("""COMPUTED_VALUE"""),"No")</f>
        <v>No</v>
      </c>
      <c r="AH130" s="3"/>
      <c r="AI130" s="3">
        <f>IFERROR(__xludf.DUMMYFUNCTION("""COMPUTED_VALUE"""),0.0)</f>
        <v>0</v>
      </c>
      <c r="AJ130" s="3">
        <f>IFERROR(__xludf.DUMMYFUNCTION("""COMPUTED_VALUE"""),0.0)</f>
        <v>0</v>
      </c>
      <c r="AK130" s="3">
        <f>IFERROR(__xludf.DUMMYFUNCTION("""COMPUTED_VALUE"""),0.0)</f>
        <v>0</v>
      </c>
      <c r="AL130" s="3">
        <f>IFERROR(__xludf.DUMMYFUNCTION("""COMPUTED_VALUE"""),1.0)</f>
        <v>1</v>
      </c>
      <c r="AM130" s="3"/>
      <c r="AN130" s="3"/>
      <c r="AO130" s="3"/>
      <c r="AP130" s="3">
        <f>IFERROR(__xludf.DUMMYFUNCTION("""COMPUTED_VALUE"""),4.8982024E8)</f>
        <v>489820240</v>
      </c>
      <c r="AQ130" s="3" t="str">
        <f>IFERROR(__xludf.DUMMYFUNCTION("""COMPUTED_VALUE"""),"15bcbc30-3bd7-402f-8785-d71b441b6be8")</f>
        <v>15bcbc30-3bd7-402f-8785-d71b441b6be8</v>
      </c>
      <c r="AR130" s="3">
        <f>IFERROR(__xludf.DUMMYFUNCTION("""COMPUTED_VALUE"""),45808.19664351852)</f>
        <v>45808.19664</v>
      </c>
      <c r="AS130" s="3"/>
      <c r="AT130" s="3"/>
      <c r="AU130" s="3" t="str">
        <f>IFERROR(__xludf.DUMMYFUNCTION("""COMPUTED_VALUE"""),"submitted_via_web")</f>
        <v>submitted_via_web</v>
      </c>
      <c r="AV130" s="3"/>
      <c r="AW130" s="3" t="str">
        <f>IFERROR(__xludf.DUMMYFUNCTION("""COMPUTED_VALUE"""),"vckVTgNzM4XXtKAKNnsHpB")</f>
        <v>vckVTgNzM4XXtKAKNnsHpB</v>
      </c>
      <c r="AX130" s="3"/>
      <c r="AY130" s="3">
        <f>IFERROR(__xludf.DUMMYFUNCTION("""COMPUTED_VALUE"""),129.0)</f>
        <v>129</v>
      </c>
    </row>
    <row r="131">
      <c r="A131" s="3" t="str">
        <f>IFERROR(__xludf.DUMMYFUNCTION("""COMPUTED_VALUE"""),"Yes")</f>
        <v>Yes</v>
      </c>
      <c r="B131" s="3"/>
      <c r="C131" s="3" t="str">
        <f>IFERROR(__xludf.DUMMYFUNCTION("""COMPUTED_VALUE"""),"zimbabwe")</f>
        <v>zimbabwe</v>
      </c>
      <c r="D131" s="3"/>
      <c r="E131" s="3" t="str">
        <f>IFERROR(__xludf.DUMMYFUNCTION("""COMPUTED_VALUE"""),"south_africa")</f>
        <v>south_africa</v>
      </c>
      <c r="F131" s="3" t="str">
        <f>IFERROR(__xludf.DUMMYFUNCTION("""COMPUTED_VALUE"""),"City of Johannesburg Metropolitan Municipality")</f>
        <v>City of Johannesburg Metropolitan Municipality</v>
      </c>
      <c r="G131" s="3">
        <f>IFERROR(__xludf.DUMMYFUNCTION("""COMPUTED_VALUE"""),45.0)</f>
        <v>45</v>
      </c>
      <c r="H131" s="3" t="str">
        <f>IFERROR(__xludf.DUMMYFUNCTION("""COMPUTED_VALUE"""),"male")</f>
        <v>male</v>
      </c>
      <c r="I131" s="3" t="str">
        <f>IFERROR(__xludf.DUMMYFUNCTION("""COMPUTED_VALUE"""),"over5")</f>
        <v>over5</v>
      </c>
      <c r="J131" s="3" t="str">
        <f>IFERROR(__xludf.DUMMYFUNCTION("""COMPUTED_VALUE"""),"formal")</f>
        <v>formal</v>
      </c>
      <c r="K131" s="3" t="str">
        <f>IFERROR(__xludf.DUMMYFUNCTION("""COMPUTED_VALUE"""),"tertiary")</f>
        <v>tertiary</v>
      </c>
      <c r="L131" s="3"/>
      <c r="M131" s="3" t="str">
        <f>IFERROR(__xludf.DUMMYFUNCTION("""COMPUTED_VALUE"""),"agree")</f>
        <v>agree</v>
      </c>
      <c r="N131" s="3" t="str">
        <f>IFERROR(__xludf.DUMMYFUNCTION("""COMPUTED_VALUE"""),"agree")</f>
        <v>agree</v>
      </c>
      <c r="O131" s="3" t="str">
        <f>IFERROR(__xludf.DUMMYFUNCTION("""COMPUTED_VALUE"""),"agree")</f>
        <v>agree</v>
      </c>
      <c r="P131" s="3"/>
      <c r="Q131" s="3" t="str">
        <f>IFERROR(__xludf.DUMMYFUNCTION("""COMPUTED_VALUE"""),"agree")</f>
        <v>agree</v>
      </c>
      <c r="R131" s="3" t="str">
        <f>IFERROR(__xludf.DUMMYFUNCTION("""COMPUTED_VALUE"""),"agree")</f>
        <v>agree</v>
      </c>
      <c r="S131" s="3" t="str">
        <f>IFERROR(__xludf.DUMMYFUNCTION("""COMPUTED_VALUE"""),"dontknow")</f>
        <v>dontknow</v>
      </c>
      <c r="T131" s="3" t="str">
        <f>IFERROR(__xludf.DUMMYFUNCTION("""COMPUTED_VALUE"""),"dontknow")</f>
        <v>dontknow</v>
      </c>
      <c r="U131" s="3" t="str">
        <f>IFERROR(__xludf.DUMMYFUNCTION("""COMPUTED_VALUE"""),"agree")</f>
        <v>agree</v>
      </c>
      <c r="V131" s="3" t="str">
        <f>IFERROR(__xludf.DUMMYFUNCTION("""COMPUTED_VALUE"""),"agree")</f>
        <v>agree</v>
      </c>
      <c r="W131" s="3" t="str">
        <f>IFERROR(__xludf.DUMMYFUNCTION("""COMPUTED_VALUE"""),"dontknow")</f>
        <v>dontknow</v>
      </c>
      <c r="X131" s="3" t="str">
        <f>IFERROR(__xludf.DUMMYFUNCTION("""COMPUTED_VALUE"""),"Platinum")</f>
        <v>Platinum</v>
      </c>
      <c r="Y131" s="3" t="str">
        <f>IFERROR(__xludf.DUMMYFUNCTION("""COMPUTED_VALUE"""),"card")</f>
        <v>card</v>
      </c>
      <c r="Z131" s="3" t="str">
        <f>IFERROR(__xludf.DUMMYFUNCTION("""COMPUTED_VALUE"""),"quarterly")</f>
        <v>quarterly</v>
      </c>
      <c r="AA131" s="3">
        <f>IFERROR(__xludf.DUMMYFUNCTION("""COMPUTED_VALUE"""),100.0)</f>
        <v>100</v>
      </c>
      <c r="AB131" s="3" t="str">
        <f>IFERROR(__xludf.DUMMYFUNCTION("""COMPUTED_VALUE"""),"online")</f>
        <v>online</v>
      </c>
      <c r="AC131" s="3" t="str">
        <f>IFERROR(__xludf.DUMMYFUNCTION("""COMPUTED_VALUE"""),"I am not an employer")</f>
        <v>I am not an employer</v>
      </c>
      <c r="AD131" s="3"/>
      <c r="AE131" s="3"/>
      <c r="AF131" s="3" t="str">
        <f>IFERROR(__xludf.DUMMYFUNCTION("""COMPUTED_VALUE"""),"Yes")</f>
        <v>Yes</v>
      </c>
      <c r="AG131" s="3" t="str">
        <f>IFERROR(__xludf.DUMMYFUNCTION("""COMPUTED_VALUE"""),"No")</f>
        <v>No</v>
      </c>
      <c r="AH131" s="3"/>
      <c r="AI131" s="3">
        <f>IFERROR(__xludf.DUMMYFUNCTION("""COMPUTED_VALUE"""),0.0)</f>
        <v>0</v>
      </c>
      <c r="AJ131" s="3">
        <f>IFERROR(__xludf.DUMMYFUNCTION("""COMPUTED_VALUE"""),0.0)</f>
        <v>0</v>
      </c>
      <c r="AK131" s="3">
        <f>IFERROR(__xludf.DUMMYFUNCTION("""COMPUTED_VALUE"""),0.0)</f>
        <v>0</v>
      </c>
      <c r="AL131" s="3">
        <f>IFERROR(__xludf.DUMMYFUNCTION("""COMPUTED_VALUE"""),1.0)</f>
        <v>1</v>
      </c>
      <c r="AM131" s="3" t="str">
        <f>IFERROR(__xludf.DUMMYFUNCTION("""COMPUTED_VALUE"""),"Yes")</f>
        <v>Yes</v>
      </c>
      <c r="AN131" s="3"/>
      <c r="AO131" s="3"/>
      <c r="AP131" s="3">
        <f>IFERROR(__xludf.DUMMYFUNCTION("""COMPUTED_VALUE"""),4.89842136E8)</f>
        <v>489842136</v>
      </c>
      <c r="AQ131" s="3" t="str">
        <f>IFERROR(__xludf.DUMMYFUNCTION("""COMPUTED_VALUE"""),"1bd72734-a731-410e-890b-fbe3852f0180")</f>
        <v>1bd72734-a731-410e-890b-fbe3852f0180</v>
      </c>
      <c r="AR131" s="3">
        <f>IFERROR(__xludf.DUMMYFUNCTION("""COMPUTED_VALUE"""),45808.254583333335)</f>
        <v>45808.25458</v>
      </c>
      <c r="AS131" s="3"/>
      <c r="AT131" s="3"/>
      <c r="AU131" s="3" t="str">
        <f>IFERROR(__xludf.DUMMYFUNCTION("""COMPUTED_VALUE"""),"submitted_via_web")</f>
        <v>submitted_via_web</v>
      </c>
      <c r="AV131" s="3"/>
      <c r="AW131" s="3" t="str">
        <f>IFERROR(__xludf.DUMMYFUNCTION("""COMPUTED_VALUE"""),"vckVTgNzM4XXtKAKNnsHpB")</f>
        <v>vckVTgNzM4XXtKAKNnsHpB</v>
      </c>
      <c r="AX131" s="3"/>
      <c r="AY131" s="3">
        <f>IFERROR(__xludf.DUMMYFUNCTION("""COMPUTED_VALUE"""),130.0)</f>
        <v>130</v>
      </c>
    </row>
    <row r="132">
      <c r="A132" s="3" t="str">
        <f>IFERROR(__xludf.DUMMYFUNCTION("""COMPUTED_VALUE"""),"Yes")</f>
        <v>Yes</v>
      </c>
      <c r="B132" s="3"/>
      <c r="C132" s="3" t="str">
        <f>IFERROR(__xludf.DUMMYFUNCTION("""COMPUTED_VALUE"""),"zimbabwe")</f>
        <v>zimbabwe</v>
      </c>
      <c r="D132" s="3"/>
      <c r="E132" s="3" t="str">
        <f>IFERROR(__xludf.DUMMYFUNCTION("""COMPUTED_VALUE"""),"south_africa")</f>
        <v>south_africa</v>
      </c>
      <c r="F132" s="3" t="str">
        <f>IFERROR(__xludf.DUMMYFUNCTION("""COMPUTED_VALUE"""),"OR Tambo District")</f>
        <v>OR Tambo District</v>
      </c>
      <c r="G132" s="3">
        <f>IFERROR(__xludf.DUMMYFUNCTION("""COMPUTED_VALUE"""),46.0)</f>
        <v>46</v>
      </c>
      <c r="H132" s="3" t="str">
        <f>IFERROR(__xludf.DUMMYFUNCTION("""COMPUTED_VALUE"""),"male")</f>
        <v>male</v>
      </c>
      <c r="I132" s="3" t="str">
        <f>IFERROR(__xludf.DUMMYFUNCTION("""COMPUTED_VALUE"""),"over5")</f>
        <v>over5</v>
      </c>
      <c r="J132" s="3" t="str">
        <f>IFERROR(__xludf.DUMMYFUNCTION("""COMPUTED_VALUE"""),"formal")</f>
        <v>formal</v>
      </c>
      <c r="K132" s="3" t="str">
        <f>IFERROR(__xludf.DUMMYFUNCTION("""COMPUTED_VALUE"""),"tertiary")</f>
        <v>tertiary</v>
      </c>
      <c r="L132" s="3"/>
      <c r="M132" s="3" t="str">
        <f>IFERROR(__xludf.DUMMYFUNCTION("""COMPUTED_VALUE"""),"agree")</f>
        <v>agree</v>
      </c>
      <c r="N132" s="3" t="str">
        <f>IFERROR(__xludf.DUMMYFUNCTION("""COMPUTED_VALUE"""),"agree")</f>
        <v>agree</v>
      </c>
      <c r="O132" s="3" t="str">
        <f>IFERROR(__xludf.DUMMYFUNCTION("""COMPUTED_VALUE"""),"disagree")</f>
        <v>disagree</v>
      </c>
      <c r="P132" s="3"/>
      <c r="Q132" s="3" t="str">
        <f>IFERROR(__xludf.DUMMYFUNCTION("""COMPUTED_VALUE"""),"agree")</f>
        <v>agree</v>
      </c>
      <c r="R132" s="3" t="str">
        <f>IFERROR(__xludf.DUMMYFUNCTION("""COMPUTED_VALUE"""),"agree")</f>
        <v>agree</v>
      </c>
      <c r="S132" s="3" t="str">
        <f>IFERROR(__xludf.DUMMYFUNCTION("""COMPUTED_VALUE"""),"agree")</f>
        <v>agree</v>
      </c>
      <c r="T132" s="3" t="str">
        <f>IFERROR(__xludf.DUMMYFUNCTION("""COMPUTED_VALUE"""),"disagree")</f>
        <v>disagree</v>
      </c>
      <c r="U132" s="3" t="str">
        <f>IFERROR(__xludf.DUMMYFUNCTION("""COMPUTED_VALUE"""),"agree")</f>
        <v>agree</v>
      </c>
      <c r="V132" s="3" t="str">
        <f>IFERROR(__xludf.DUMMYFUNCTION("""COMPUTED_VALUE"""),"agree")</f>
        <v>agree</v>
      </c>
      <c r="W132" s="3" t="str">
        <f>IFERROR(__xludf.DUMMYFUNCTION("""COMPUTED_VALUE"""),"disagree")</f>
        <v>disagree</v>
      </c>
      <c r="X132" s="3" t="str">
        <f>IFERROR(__xludf.DUMMYFUNCTION("""COMPUTED_VALUE"""),"Platinum")</f>
        <v>Platinum</v>
      </c>
      <c r="Y132" s="3" t="str">
        <f>IFERROR(__xludf.DUMMYFUNCTION("""COMPUTED_VALUE"""),"insurance")</f>
        <v>insurance</v>
      </c>
      <c r="Z132" s="3" t="str">
        <f>IFERROR(__xludf.DUMMYFUNCTION("""COMPUTED_VALUE"""),"monthly")</f>
        <v>monthly</v>
      </c>
      <c r="AA132" s="3">
        <f>IFERROR(__xludf.DUMMYFUNCTION("""COMPUTED_VALUE"""),50.0)</f>
        <v>50</v>
      </c>
      <c r="AB132" s="3" t="str">
        <f>IFERROR(__xludf.DUMMYFUNCTION("""COMPUTED_VALUE"""),"online")</f>
        <v>online</v>
      </c>
      <c r="AC132" s="3" t="str">
        <f>IFERROR(__xludf.DUMMYFUNCTION("""COMPUTED_VALUE"""),"I am not an employer")</f>
        <v>I am not an employer</v>
      </c>
      <c r="AD132" s="3"/>
      <c r="AE132" s="3"/>
      <c r="AF132" s="3" t="str">
        <f>IFERROR(__xludf.DUMMYFUNCTION("""COMPUTED_VALUE"""),"Yes")</f>
        <v>Yes</v>
      </c>
      <c r="AG132" s="3" t="str">
        <f>IFERROR(__xludf.DUMMYFUNCTION("""COMPUTED_VALUE"""),"No")</f>
        <v>No</v>
      </c>
      <c r="AH132" s="3"/>
      <c r="AI132" s="3">
        <f>IFERROR(__xludf.DUMMYFUNCTION("""COMPUTED_VALUE"""),0.0)</f>
        <v>0</v>
      </c>
      <c r="AJ132" s="3">
        <f>IFERROR(__xludf.DUMMYFUNCTION("""COMPUTED_VALUE"""),0.0)</f>
        <v>0</v>
      </c>
      <c r="AK132" s="3">
        <f>IFERROR(__xludf.DUMMYFUNCTION("""COMPUTED_VALUE"""),0.0)</f>
        <v>0</v>
      </c>
      <c r="AL132" s="3">
        <f>IFERROR(__xludf.DUMMYFUNCTION("""COMPUTED_VALUE"""),1.0)</f>
        <v>1</v>
      </c>
      <c r="AM132" s="3" t="str">
        <f>IFERROR(__xludf.DUMMYFUNCTION("""COMPUTED_VALUE"""),"No")</f>
        <v>No</v>
      </c>
      <c r="AN132" s="3"/>
      <c r="AO132" s="3"/>
      <c r="AP132" s="3">
        <f>IFERROR(__xludf.DUMMYFUNCTION("""COMPUTED_VALUE"""),4.89848913E8)</f>
        <v>489848913</v>
      </c>
      <c r="AQ132" s="3" t="str">
        <f>IFERROR(__xludf.DUMMYFUNCTION("""COMPUTED_VALUE"""),"660dc0aa-3269-4bd1-aa23-ac254f5d97c0")</f>
        <v>660dc0aa-3269-4bd1-aa23-ac254f5d97c0</v>
      </c>
      <c r="AR132" s="3">
        <f>IFERROR(__xludf.DUMMYFUNCTION("""COMPUTED_VALUE"""),45808.26868055556)</f>
        <v>45808.26868</v>
      </c>
      <c r="AS132" s="3"/>
      <c r="AT132" s="3"/>
      <c r="AU132" s="3" t="str">
        <f>IFERROR(__xludf.DUMMYFUNCTION("""COMPUTED_VALUE"""),"submitted_via_web")</f>
        <v>submitted_via_web</v>
      </c>
      <c r="AV132" s="3"/>
      <c r="AW132" s="3" t="str">
        <f>IFERROR(__xludf.DUMMYFUNCTION("""COMPUTED_VALUE"""),"vckVTgNzM4XXtKAKNnsHpB")</f>
        <v>vckVTgNzM4XXtKAKNnsHpB</v>
      </c>
      <c r="AX132" s="3"/>
      <c r="AY132" s="3">
        <f>IFERROR(__xludf.DUMMYFUNCTION("""COMPUTED_VALUE"""),131.0)</f>
        <v>131</v>
      </c>
    </row>
    <row r="133">
      <c r="A133" s="3" t="str">
        <f>IFERROR(__xludf.DUMMYFUNCTION("""COMPUTED_VALUE"""),"Yes")</f>
        <v>Yes</v>
      </c>
      <c r="B133" s="3"/>
      <c r="C133" s="3" t="str">
        <f>IFERROR(__xludf.DUMMYFUNCTION("""COMPUTED_VALUE"""),"mozambique")</f>
        <v>mozambique</v>
      </c>
      <c r="D133" s="3"/>
      <c r="E133" s="3" t="str">
        <f>IFERROR(__xludf.DUMMYFUNCTION("""COMPUTED_VALUE"""),"south_africa")</f>
        <v>south_africa</v>
      </c>
      <c r="F133" s="3" t="str">
        <f>IFERROR(__xludf.DUMMYFUNCTION("""COMPUTED_VALUE"""),"City of Tshwane Metropolitan Municipality")</f>
        <v>City of Tshwane Metropolitan Municipality</v>
      </c>
      <c r="G133" s="3">
        <f>IFERROR(__xludf.DUMMYFUNCTION("""COMPUTED_VALUE"""),30.0)</f>
        <v>30</v>
      </c>
      <c r="H133" s="3" t="str">
        <f>IFERROR(__xludf.DUMMYFUNCTION("""COMPUTED_VALUE"""),"female")</f>
        <v>female</v>
      </c>
      <c r="I133" s="3" t="str">
        <f>IFERROR(__xludf.DUMMYFUNCTION("""COMPUTED_VALUE"""),"over5")</f>
        <v>over5</v>
      </c>
      <c r="J133" s="3" t="str">
        <f>IFERROR(__xludf.DUMMYFUNCTION("""COMPUTED_VALUE"""),"informal")</f>
        <v>informal</v>
      </c>
      <c r="K133" s="3" t="str">
        <f>IFERROR(__xludf.DUMMYFUNCTION("""COMPUTED_VALUE"""),"secondary")</f>
        <v>secondary</v>
      </c>
      <c r="L133" s="3"/>
      <c r="M133" s="3" t="str">
        <f>IFERROR(__xludf.DUMMYFUNCTION("""COMPUTED_VALUE"""),"agree")</f>
        <v>agree</v>
      </c>
      <c r="N133" s="3" t="str">
        <f>IFERROR(__xludf.DUMMYFUNCTION("""COMPUTED_VALUE"""),"agree")</f>
        <v>agree</v>
      </c>
      <c r="O133" s="3" t="str">
        <f>IFERROR(__xludf.DUMMYFUNCTION("""COMPUTED_VALUE"""),"dontknow")</f>
        <v>dontknow</v>
      </c>
      <c r="P133" s="3"/>
      <c r="Q133" s="3" t="str">
        <f>IFERROR(__xludf.DUMMYFUNCTION("""COMPUTED_VALUE"""),"agree")</f>
        <v>agree</v>
      </c>
      <c r="R133" s="3" t="str">
        <f>IFERROR(__xludf.DUMMYFUNCTION("""COMPUTED_VALUE"""),"agree")</f>
        <v>agree</v>
      </c>
      <c r="S133" s="3" t="str">
        <f>IFERROR(__xludf.DUMMYFUNCTION("""COMPUTED_VALUE"""),"agree")</f>
        <v>agree</v>
      </c>
      <c r="T133" s="3" t="str">
        <f>IFERROR(__xludf.DUMMYFUNCTION("""COMPUTED_VALUE"""),"agree")</f>
        <v>agree</v>
      </c>
      <c r="U133" s="3" t="str">
        <f>IFERROR(__xludf.DUMMYFUNCTION("""COMPUTED_VALUE"""),"dontknow")</f>
        <v>dontknow</v>
      </c>
      <c r="V133" s="3" t="str">
        <f>IFERROR(__xludf.DUMMYFUNCTION("""COMPUTED_VALUE"""),"disagree")</f>
        <v>disagree</v>
      </c>
      <c r="W133" s="3" t="str">
        <f>IFERROR(__xludf.DUMMYFUNCTION("""COMPUTED_VALUE"""),"agree")</f>
        <v>agree</v>
      </c>
      <c r="X133" s="3" t="str">
        <f>IFERROR(__xludf.DUMMYFUNCTION("""COMPUTED_VALUE"""),"Gold")</f>
        <v>Gold</v>
      </c>
      <c r="Y133" s="3" t="str">
        <f>IFERROR(__xludf.DUMMYFUNCTION("""COMPUTED_VALUE"""),"cash")</f>
        <v>cash</v>
      </c>
      <c r="Z133" s="3" t="str">
        <f>IFERROR(__xludf.DUMMYFUNCTION("""COMPUTED_VALUE"""),"annual")</f>
        <v>annual</v>
      </c>
      <c r="AA133" s="3">
        <f>IFERROR(__xludf.DUMMYFUNCTION("""COMPUTED_VALUE"""),10.0)</f>
        <v>10</v>
      </c>
      <c r="AB133" s="3" t="str">
        <f>IFERROR(__xludf.DUMMYFUNCTION("""COMPUTED_VALUE"""),"assisted")</f>
        <v>assisted</v>
      </c>
      <c r="AC133" s="3" t="str">
        <f>IFERROR(__xludf.DUMMYFUNCTION("""COMPUTED_VALUE"""),"No")</f>
        <v>No</v>
      </c>
      <c r="AD133" s="3"/>
      <c r="AE133" s="3"/>
      <c r="AF133" s="3" t="str">
        <f>IFERROR(__xludf.DUMMYFUNCTION("""COMPUTED_VALUE"""),"Yes")</f>
        <v>Yes</v>
      </c>
      <c r="AG133" s="3" t="str">
        <f>IFERROR(__xludf.DUMMYFUNCTION("""COMPUTED_VALUE"""),"No")</f>
        <v>No</v>
      </c>
      <c r="AH133" s="3"/>
      <c r="AI133" s="3">
        <f>IFERROR(__xludf.DUMMYFUNCTION("""COMPUTED_VALUE"""),1.0)</f>
        <v>1</v>
      </c>
      <c r="AJ133" s="3">
        <f>IFERROR(__xludf.DUMMYFUNCTION("""COMPUTED_VALUE"""),0.0)</f>
        <v>0</v>
      </c>
      <c r="AK133" s="3">
        <f>IFERROR(__xludf.DUMMYFUNCTION("""COMPUTED_VALUE"""),0.0)</f>
        <v>0</v>
      </c>
      <c r="AL133" s="3">
        <f>IFERROR(__xludf.DUMMYFUNCTION("""COMPUTED_VALUE"""),0.0)</f>
        <v>0</v>
      </c>
      <c r="AM133" s="3" t="str">
        <f>IFERROR(__xludf.DUMMYFUNCTION("""COMPUTED_VALUE"""),"Yes")</f>
        <v>Yes</v>
      </c>
      <c r="AN133" s="3">
        <f>IFERROR(__xludf.DUMMYFUNCTION("""COMPUTED_VALUE"""),7.82860878E8)</f>
        <v>782860878</v>
      </c>
      <c r="AO133" s="3"/>
      <c r="AP133" s="3">
        <f>IFERROR(__xludf.DUMMYFUNCTION("""COMPUTED_VALUE"""),4.89854202E8)</f>
        <v>489854202</v>
      </c>
      <c r="AQ133" s="3" t="str">
        <f>IFERROR(__xludf.DUMMYFUNCTION("""COMPUTED_VALUE"""),"b50eb9b9-1d33-457d-ac6a-d8ad8be6d67f")</f>
        <v>b50eb9b9-1d33-457d-ac6a-d8ad8be6d67f</v>
      </c>
      <c r="AR133" s="3">
        <f>IFERROR(__xludf.DUMMYFUNCTION("""COMPUTED_VALUE"""),45808.27946759259)</f>
        <v>45808.27947</v>
      </c>
      <c r="AS133" s="3"/>
      <c r="AT133" s="3"/>
      <c r="AU133" s="3" t="str">
        <f>IFERROR(__xludf.DUMMYFUNCTION("""COMPUTED_VALUE"""),"submitted_via_web")</f>
        <v>submitted_via_web</v>
      </c>
      <c r="AV133" s="3"/>
      <c r="AW133" s="3" t="str">
        <f>IFERROR(__xludf.DUMMYFUNCTION("""COMPUTED_VALUE"""),"vckVTgNzM4XXtKAKNnsHpB")</f>
        <v>vckVTgNzM4XXtKAKNnsHpB</v>
      </c>
      <c r="AX133" s="3"/>
      <c r="AY133" s="3">
        <f>IFERROR(__xludf.DUMMYFUNCTION("""COMPUTED_VALUE"""),132.0)</f>
        <v>132</v>
      </c>
    </row>
    <row r="134">
      <c r="A134" s="3" t="str">
        <f>IFERROR(__xludf.DUMMYFUNCTION("""COMPUTED_VALUE"""),"Yes")</f>
        <v>Yes</v>
      </c>
      <c r="B134" s="3"/>
      <c r="C134" s="3" t="str">
        <f>IFERROR(__xludf.DUMMYFUNCTION("""COMPUTED_VALUE"""),"Other")</f>
        <v>Other</v>
      </c>
      <c r="D134" s="3" t="str">
        <f>IFERROR(__xludf.DUMMYFUNCTION("""COMPUTED_VALUE"""),"United Kingdom")</f>
        <v>United Kingdom</v>
      </c>
      <c r="E134" s="3" t="str">
        <f>IFERROR(__xludf.DUMMYFUNCTION("""COMPUTED_VALUE"""),"zimbabwe")</f>
        <v>zimbabwe</v>
      </c>
      <c r="F134" s="3"/>
      <c r="G134" s="3">
        <f>IFERROR(__xludf.DUMMYFUNCTION("""COMPUTED_VALUE"""),45.0)</f>
        <v>45</v>
      </c>
      <c r="H134" s="3" t="str">
        <f>IFERROR(__xludf.DUMMYFUNCTION("""COMPUTED_VALUE"""),"male")</f>
        <v>male</v>
      </c>
      <c r="I134" s="3"/>
      <c r="J134" s="3" t="str">
        <f>IFERROR(__xludf.DUMMYFUNCTION("""COMPUTED_VALUE"""),"ownbusiness")</f>
        <v>ownbusiness</v>
      </c>
      <c r="K134" s="3" t="str">
        <f>IFERROR(__xludf.DUMMYFUNCTION("""COMPUTED_VALUE"""),"tertiary")</f>
        <v>tertiary</v>
      </c>
      <c r="L134" s="3"/>
      <c r="M134" s="3" t="str">
        <f>IFERROR(__xludf.DUMMYFUNCTION("""COMPUTED_VALUE"""),"agree")</f>
        <v>agree</v>
      </c>
      <c r="N134" s="3" t="str">
        <f>IFERROR(__xludf.DUMMYFUNCTION("""COMPUTED_VALUE"""),"agree")</f>
        <v>agree</v>
      </c>
      <c r="O134" s="3" t="str">
        <f>IFERROR(__xludf.DUMMYFUNCTION("""COMPUTED_VALUE"""),"agree")</f>
        <v>agree</v>
      </c>
      <c r="P134" s="3"/>
      <c r="Q134" s="3" t="str">
        <f>IFERROR(__xludf.DUMMYFUNCTION("""COMPUTED_VALUE"""),"agree")</f>
        <v>agree</v>
      </c>
      <c r="R134" s="3" t="str">
        <f>IFERROR(__xludf.DUMMYFUNCTION("""COMPUTED_VALUE"""),"agree")</f>
        <v>agree</v>
      </c>
      <c r="S134" s="3" t="str">
        <f>IFERROR(__xludf.DUMMYFUNCTION("""COMPUTED_VALUE"""),"agree")</f>
        <v>agree</v>
      </c>
      <c r="T134" s="3" t="str">
        <f>IFERROR(__xludf.DUMMYFUNCTION("""COMPUTED_VALUE"""),"disagree")</f>
        <v>disagree</v>
      </c>
      <c r="U134" s="3" t="str">
        <f>IFERROR(__xludf.DUMMYFUNCTION("""COMPUTED_VALUE"""),"agree")</f>
        <v>agree</v>
      </c>
      <c r="V134" s="3" t="str">
        <f>IFERROR(__xludf.DUMMYFUNCTION("""COMPUTED_VALUE"""),"agree")</f>
        <v>agree</v>
      </c>
      <c r="W134" s="3" t="str">
        <f>IFERROR(__xludf.DUMMYFUNCTION("""COMPUTED_VALUE"""),"disagree")</f>
        <v>disagree</v>
      </c>
      <c r="X134" s="3" t="str">
        <f>IFERROR(__xludf.DUMMYFUNCTION("""COMPUTED_VALUE"""),"Platinum")</f>
        <v>Platinum</v>
      </c>
      <c r="Y134" s="3" t="str">
        <f>IFERROR(__xludf.DUMMYFUNCTION("""COMPUTED_VALUE"""),"card")</f>
        <v>card</v>
      </c>
      <c r="Z134" s="3" t="str">
        <f>IFERROR(__xludf.DUMMYFUNCTION("""COMPUTED_VALUE"""),"quarterly")</f>
        <v>quarterly</v>
      </c>
      <c r="AA134" s="3">
        <f>IFERROR(__xludf.DUMMYFUNCTION("""COMPUTED_VALUE"""),100.0)</f>
        <v>100</v>
      </c>
      <c r="AB134" s="3" t="str">
        <f>IFERROR(__xludf.DUMMYFUNCTION("""COMPUTED_VALUE"""),"online")</f>
        <v>online</v>
      </c>
      <c r="AC134" s="3" t="str">
        <f>IFERROR(__xludf.DUMMYFUNCTION("""COMPUTED_VALUE"""),"Yes")</f>
        <v>Yes</v>
      </c>
      <c r="AD134" s="3" t="str">
        <f>IFERROR(__xludf.DUMMYFUNCTION("""COMPUTED_VALUE"""),"Silver")</f>
        <v>Silver</v>
      </c>
      <c r="AE134" s="3" t="str">
        <f>IFERROR(__xludf.DUMMYFUNCTION("""COMPUTED_VALUE"""),"Yes")</f>
        <v>Yes</v>
      </c>
      <c r="AF134" s="3" t="str">
        <f>IFERROR(__xludf.DUMMYFUNCTION("""COMPUTED_VALUE"""),"Yes")</f>
        <v>Yes</v>
      </c>
      <c r="AG134" s="3" t="str">
        <f>IFERROR(__xludf.DUMMYFUNCTION("""COMPUTED_VALUE"""),"No")</f>
        <v>No</v>
      </c>
      <c r="AH134" s="3"/>
      <c r="AI134" s="3">
        <f>IFERROR(__xludf.DUMMYFUNCTION("""COMPUTED_VALUE"""),1.0)</f>
        <v>1</v>
      </c>
      <c r="AJ134" s="3">
        <f>IFERROR(__xludf.DUMMYFUNCTION("""COMPUTED_VALUE"""),1.0)</f>
        <v>1</v>
      </c>
      <c r="AK134" s="3">
        <f>IFERROR(__xludf.DUMMYFUNCTION("""COMPUTED_VALUE"""),1.0)</f>
        <v>1</v>
      </c>
      <c r="AL134" s="3">
        <f>IFERROR(__xludf.DUMMYFUNCTION("""COMPUTED_VALUE"""),0.0)</f>
        <v>0</v>
      </c>
      <c r="AM134" s="3"/>
      <c r="AN134" s="3"/>
      <c r="AO134" s="3"/>
      <c r="AP134" s="3">
        <f>IFERROR(__xludf.DUMMYFUNCTION("""COMPUTED_VALUE"""),4.89854452E8)</f>
        <v>489854452</v>
      </c>
      <c r="AQ134" s="3" t="str">
        <f>IFERROR(__xludf.DUMMYFUNCTION("""COMPUTED_VALUE"""),"3df6a1d0-f6fa-4649-9022-8805752be7f6")</f>
        <v>3df6a1d0-f6fa-4649-9022-8805752be7f6</v>
      </c>
      <c r="AR134" s="3">
        <f>IFERROR(__xludf.DUMMYFUNCTION("""COMPUTED_VALUE"""),45808.27978009259)</f>
        <v>45808.27978</v>
      </c>
      <c r="AS134" s="3"/>
      <c r="AT134" s="3"/>
      <c r="AU134" s="3" t="str">
        <f>IFERROR(__xludf.DUMMYFUNCTION("""COMPUTED_VALUE"""),"submitted_via_web")</f>
        <v>submitted_via_web</v>
      </c>
      <c r="AV134" s="3"/>
      <c r="AW134" s="3" t="str">
        <f>IFERROR(__xludf.DUMMYFUNCTION("""COMPUTED_VALUE"""),"vckVTgNzM4XXtKAKNnsHpB")</f>
        <v>vckVTgNzM4XXtKAKNnsHpB</v>
      </c>
      <c r="AX134" s="3"/>
      <c r="AY134" s="3">
        <f>IFERROR(__xludf.DUMMYFUNCTION("""COMPUTED_VALUE"""),133.0)</f>
        <v>133</v>
      </c>
    </row>
    <row r="135">
      <c r="A135" s="3" t="str">
        <f>IFERROR(__xludf.DUMMYFUNCTION("""COMPUTED_VALUE"""),"Yes")</f>
        <v>Yes</v>
      </c>
      <c r="B135" s="3"/>
      <c r="C135" s="3" t="str">
        <f>IFERROR(__xludf.DUMMYFUNCTION("""COMPUTED_VALUE"""),"kenya")</f>
        <v>kenya</v>
      </c>
      <c r="D135" s="3"/>
      <c r="E135" s="3" t="str">
        <f>IFERROR(__xludf.DUMMYFUNCTION("""COMPUTED_VALUE"""),"Other")</f>
        <v>Other</v>
      </c>
      <c r="F135" s="3"/>
      <c r="G135" s="3">
        <f>IFERROR(__xludf.DUMMYFUNCTION("""COMPUTED_VALUE"""),25.0)</f>
        <v>25</v>
      </c>
      <c r="H135" s="3" t="str">
        <f>IFERROR(__xludf.DUMMYFUNCTION("""COMPUTED_VALUE"""),"female")</f>
        <v>female</v>
      </c>
      <c r="I135" s="3"/>
      <c r="J135" s="3" t="str">
        <f>IFERROR(__xludf.DUMMYFUNCTION("""COMPUTED_VALUE"""),"informal")</f>
        <v>informal</v>
      </c>
      <c r="K135" s="3" t="str">
        <f>IFERROR(__xludf.DUMMYFUNCTION("""COMPUTED_VALUE"""),"vocational")</f>
        <v>vocational</v>
      </c>
      <c r="L135" s="3"/>
      <c r="M135" s="3" t="str">
        <f>IFERROR(__xludf.DUMMYFUNCTION("""COMPUTED_VALUE"""),"agree")</f>
        <v>agree</v>
      </c>
      <c r="N135" s="3" t="str">
        <f>IFERROR(__xludf.DUMMYFUNCTION("""COMPUTED_VALUE"""),"agree")</f>
        <v>agree</v>
      </c>
      <c r="O135" s="3" t="str">
        <f>IFERROR(__xludf.DUMMYFUNCTION("""COMPUTED_VALUE"""),"agree")</f>
        <v>agree</v>
      </c>
      <c r="P135" s="3"/>
      <c r="Q135" s="3" t="str">
        <f>IFERROR(__xludf.DUMMYFUNCTION("""COMPUTED_VALUE"""),"agree")</f>
        <v>agree</v>
      </c>
      <c r="R135" s="3" t="str">
        <f>IFERROR(__xludf.DUMMYFUNCTION("""COMPUTED_VALUE"""),"agree")</f>
        <v>agree</v>
      </c>
      <c r="S135" s="3" t="str">
        <f>IFERROR(__xludf.DUMMYFUNCTION("""COMPUTED_VALUE"""),"agree")</f>
        <v>agree</v>
      </c>
      <c r="T135" s="3" t="str">
        <f>IFERROR(__xludf.DUMMYFUNCTION("""COMPUTED_VALUE"""),"dontknow")</f>
        <v>dontknow</v>
      </c>
      <c r="U135" s="3" t="str">
        <f>IFERROR(__xludf.DUMMYFUNCTION("""COMPUTED_VALUE"""),"agree")</f>
        <v>agree</v>
      </c>
      <c r="V135" s="3" t="str">
        <f>IFERROR(__xludf.DUMMYFUNCTION("""COMPUTED_VALUE"""),"agree")</f>
        <v>agree</v>
      </c>
      <c r="W135" s="3" t="str">
        <f>IFERROR(__xludf.DUMMYFUNCTION("""COMPUTED_VALUE"""),"disagree")</f>
        <v>disagree</v>
      </c>
      <c r="X135" s="3" t="str">
        <f>IFERROR(__xludf.DUMMYFUNCTION("""COMPUTED_VALUE"""),"Silver")</f>
        <v>Silver</v>
      </c>
      <c r="Y135" s="3" t="str">
        <f>IFERROR(__xludf.DUMMYFUNCTION("""COMPUTED_VALUE"""),"insurance")</f>
        <v>insurance</v>
      </c>
      <c r="Z135" s="3" t="str">
        <f>IFERROR(__xludf.DUMMYFUNCTION("""COMPUTED_VALUE"""),"quarterly")</f>
        <v>quarterly</v>
      </c>
      <c r="AA135" s="3">
        <f>IFERROR(__xludf.DUMMYFUNCTION("""COMPUTED_VALUE"""),10.0)</f>
        <v>10</v>
      </c>
      <c r="AB135" s="3" t="str">
        <f>IFERROR(__xludf.DUMMYFUNCTION("""COMPUTED_VALUE"""),"employer")</f>
        <v>employer</v>
      </c>
      <c r="AC135" s="3" t="str">
        <f>IFERROR(__xludf.DUMMYFUNCTION("""COMPUTED_VALUE"""),"I am not an employer")</f>
        <v>I am not an employer</v>
      </c>
      <c r="AD135" s="3"/>
      <c r="AE135" s="3"/>
      <c r="AF135" s="3" t="str">
        <f>IFERROR(__xludf.DUMMYFUNCTION("""COMPUTED_VALUE"""),"Yes")</f>
        <v>Yes</v>
      </c>
      <c r="AG135" s="3" t="str">
        <f>IFERROR(__xludf.DUMMYFUNCTION("""COMPUTED_VALUE"""),"Yes")</f>
        <v>Yes</v>
      </c>
      <c r="AH135" s="3">
        <f>IFERROR(__xludf.DUMMYFUNCTION("""COMPUTED_VALUE"""),20.0)</f>
        <v>20</v>
      </c>
      <c r="AI135" s="3">
        <f>IFERROR(__xludf.DUMMYFUNCTION("""COMPUTED_VALUE"""),0.0)</f>
        <v>0</v>
      </c>
      <c r="AJ135" s="3">
        <f>IFERROR(__xludf.DUMMYFUNCTION("""COMPUTED_VALUE"""),0.0)</f>
        <v>0</v>
      </c>
      <c r="AK135" s="3">
        <f>IFERROR(__xludf.DUMMYFUNCTION("""COMPUTED_VALUE"""),0.0)</f>
        <v>0</v>
      </c>
      <c r="AL135" s="3">
        <f>IFERROR(__xludf.DUMMYFUNCTION("""COMPUTED_VALUE"""),1.0)</f>
        <v>1</v>
      </c>
      <c r="AM135" s="3"/>
      <c r="AN135" s="3"/>
      <c r="AO135" s="3"/>
      <c r="AP135" s="3">
        <f>IFERROR(__xludf.DUMMYFUNCTION("""COMPUTED_VALUE"""),4.89861321E8)</f>
        <v>489861321</v>
      </c>
      <c r="AQ135" s="3" t="str">
        <f>IFERROR(__xludf.DUMMYFUNCTION("""COMPUTED_VALUE"""),"d9d53f24-023b-4d32-9431-55b0f0c63af2")</f>
        <v>d9d53f24-023b-4d32-9431-55b0f0c63af2</v>
      </c>
      <c r="AR135" s="3">
        <f>IFERROR(__xludf.DUMMYFUNCTION("""COMPUTED_VALUE"""),45808.29232638889)</f>
        <v>45808.29233</v>
      </c>
      <c r="AS135" s="3"/>
      <c r="AT135" s="3"/>
      <c r="AU135" s="3" t="str">
        <f>IFERROR(__xludf.DUMMYFUNCTION("""COMPUTED_VALUE"""),"submitted_via_web")</f>
        <v>submitted_via_web</v>
      </c>
      <c r="AV135" s="3"/>
      <c r="AW135" s="3" t="str">
        <f>IFERROR(__xludf.DUMMYFUNCTION("""COMPUTED_VALUE"""),"vckVTgNzM4XXtKAKNnsHpB")</f>
        <v>vckVTgNzM4XXtKAKNnsHpB</v>
      </c>
      <c r="AX135" s="3"/>
      <c r="AY135" s="3">
        <f>IFERROR(__xludf.DUMMYFUNCTION("""COMPUTED_VALUE"""),134.0)</f>
        <v>134</v>
      </c>
    </row>
    <row r="136">
      <c r="A136" s="3" t="str">
        <f>IFERROR(__xludf.DUMMYFUNCTION("""COMPUTED_VALUE"""),"Yes")</f>
        <v>Yes</v>
      </c>
      <c r="B136" s="3"/>
      <c r="C136" s="3" t="str">
        <f>IFERROR(__xludf.DUMMYFUNCTION("""COMPUTED_VALUE"""),"south_africa")</f>
        <v>south_africa</v>
      </c>
      <c r="D136" s="3"/>
      <c r="E136" s="3" t="str">
        <f>IFERROR(__xludf.DUMMYFUNCTION("""COMPUTED_VALUE"""),"south_africa")</f>
        <v>south_africa</v>
      </c>
      <c r="F136" s="3" t="str">
        <f>IFERROR(__xludf.DUMMYFUNCTION("""COMPUTED_VALUE"""),"City of Johannesburg Metropolitan Municipality")</f>
        <v>City of Johannesburg Metropolitan Municipality</v>
      </c>
      <c r="G136" s="3">
        <f>IFERROR(__xludf.DUMMYFUNCTION("""COMPUTED_VALUE"""),42.0)</f>
        <v>42</v>
      </c>
      <c r="H136" s="3" t="str">
        <f>IFERROR(__xludf.DUMMYFUNCTION("""COMPUTED_VALUE"""),"female")</f>
        <v>female</v>
      </c>
      <c r="I136" s="3" t="str">
        <f>IFERROR(__xludf.DUMMYFUNCTION("""COMPUTED_VALUE"""),"over5")</f>
        <v>over5</v>
      </c>
      <c r="J136" s="3" t="str">
        <f>IFERROR(__xludf.DUMMYFUNCTION("""COMPUTED_VALUE"""),"formal")</f>
        <v>formal</v>
      </c>
      <c r="K136" s="3" t="str">
        <f>IFERROR(__xludf.DUMMYFUNCTION("""COMPUTED_VALUE"""),"tertiary")</f>
        <v>tertiary</v>
      </c>
      <c r="L136" s="3"/>
      <c r="M136" s="3" t="str">
        <f>IFERROR(__xludf.DUMMYFUNCTION("""COMPUTED_VALUE"""),"agree")</f>
        <v>agree</v>
      </c>
      <c r="N136" s="3" t="str">
        <f>IFERROR(__xludf.DUMMYFUNCTION("""COMPUTED_VALUE"""),"agree")</f>
        <v>agree</v>
      </c>
      <c r="O136" s="3" t="str">
        <f>IFERROR(__xludf.DUMMYFUNCTION("""COMPUTED_VALUE"""),"agree")</f>
        <v>agree</v>
      </c>
      <c r="P136" s="3"/>
      <c r="Q136" s="3" t="str">
        <f>IFERROR(__xludf.DUMMYFUNCTION("""COMPUTED_VALUE"""),"disagree")</f>
        <v>disagree</v>
      </c>
      <c r="R136" s="3" t="str">
        <f>IFERROR(__xludf.DUMMYFUNCTION("""COMPUTED_VALUE"""),"agree")</f>
        <v>agree</v>
      </c>
      <c r="S136" s="3" t="str">
        <f>IFERROR(__xludf.DUMMYFUNCTION("""COMPUTED_VALUE"""),"agree")</f>
        <v>agree</v>
      </c>
      <c r="T136" s="3" t="str">
        <f>IFERROR(__xludf.DUMMYFUNCTION("""COMPUTED_VALUE"""),"dontknow")</f>
        <v>dontknow</v>
      </c>
      <c r="U136" s="3" t="str">
        <f>IFERROR(__xludf.DUMMYFUNCTION("""COMPUTED_VALUE"""),"agree")</f>
        <v>agree</v>
      </c>
      <c r="V136" s="3" t="str">
        <f>IFERROR(__xludf.DUMMYFUNCTION("""COMPUTED_VALUE"""),"agree")</f>
        <v>agree</v>
      </c>
      <c r="W136" s="3" t="str">
        <f>IFERROR(__xludf.DUMMYFUNCTION("""COMPUTED_VALUE"""),"disagree")</f>
        <v>disagree</v>
      </c>
      <c r="X136" s="3" t="str">
        <f>IFERROR(__xludf.DUMMYFUNCTION("""COMPUTED_VALUE"""),"Platinum")</f>
        <v>Platinum</v>
      </c>
      <c r="Y136" s="3" t="str">
        <f>IFERROR(__xludf.DUMMYFUNCTION("""COMPUTED_VALUE"""),"card")</f>
        <v>card</v>
      </c>
      <c r="Z136" s="3" t="str">
        <f>IFERROR(__xludf.DUMMYFUNCTION("""COMPUTED_VALUE"""),"quarterly")</f>
        <v>quarterly</v>
      </c>
      <c r="AA136" s="3">
        <f>IFERROR(__xludf.DUMMYFUNCTION("""COMPUTED_VALUE"""),100.0)</f>
        <v>100</v>
      </c>
      <c r="AB136" s="3" t="str">
        <f>IFERROR(__xludf.DUMMYFUNCTION("""COMPUTED_VALUE"""),"assisted")</f>
        <v>assisted</v>
      </c>
      <c r="AC136" s="3" t="str">
        <f>IFERROR(__xludf.DUMMYFUNCTION("""COMPUTED_VALUE"""),"I am not an employer")</f>
        <v>I am not an employer</v>
      </c>
      <c r="AD136" s="3"/>
      <c r="AE136" s="3"/>
      <c r="AF136" s="3" t="str">
        <f>IFERROR(__xludf.DUMMYFUNCTION("""COMPUTED_VALUE"""),"Yes")</f>
        <v>Yes</v>
      </c>
      <c r="AG136" s="3" t="str">
        <f>IFERROR(__xludf.DUMMYFUNCTION("""COMPUTED_VALUE"""),"No")</f>
        <v>No</v>
      </c>
      <c r="AH136" s="3"/>
      <c r="AI136" s="3">
        <f>IFERROR(__xludf.DUMMYFUNCTION("""COMPUTED_VALUE"""),0.0)</f>
        <v>0</v>
      </c>
      <c r="AJ136" s="3">
        <f>IFERROR(__xludf.DUMMYFUNCTION("""COMPUTED_VALUE"""),1.0)</f>
        <v>1</v>
      </c>
      <c r="AK136" s="3">
        <f>IFERROR(__xludf.DUMMYFUNCTION("""COMPUTED_VALUE"""),1.0)</f>
        <v>1</v>
      </c>
      <c r="AL136" s="3">
        <f>IFERROR(__xludf.DUMMYFUNCTION("""COMPUTED_VALUE"""),0.0)</f>
        <v>0</v>
      </c>
      <c r="AM136" s="3" t="str">
        <f>IFERROR(__xludf.DUMMYFUNCTION("""COMPUTED_VALUE"""),"No")</f>
        <v>No</v>
      </c>
      <c r="AN136" s="3"/>
      <c r="AO136" s="3"/>
      <c r="AP136" s="3">
        <f>IFERROR(__xludf.DUMMYFUNCTION("""COMPUTED_VALUE"""),4.89875662E8)</f>
        <v>489875662</v>
      </c>
      <c r="AQ136" s="3" t="str">
        <f>IFERROR(__xludf.DUMMYFUNCTION("""COMPUTED_VALUE"""),"1e759f56-ffd2-41aa-8879-6849e37ee51a")</f>
        <v>1e759f56-ffd2-41aa-8879-6849e37ee51a</v>
      </c>
      <c r="AR136" s="3">
        <f>IFERROR(__xludf.DUMMYFUNCTION("""COMPUTED_VALUE"""),45808.31581018519)</f>
        <v>45808.31581</v>
      </c>
      <c r="AS136" s="3"/>
      <c r="AT136" s="3"/>
      <c r="AU136" s="3" t="str">
        <f>IFERROR(__xludf.DUMMYFUNCTION("""COMPUTED_VALUE"""),"submitted_via_web")</f>
        <v>submitted_via_web</v>
      </c>
      <c r="AV136" s="3"/>
      <c r="AW136" s="3" t="str">
        <f>IFERROR(__xludf.DUMMYFUNCTION("""COMPUTED_VALUE"""),"vckVTgNzM4XXtKAKNnsHpB")</f>
        <v>vckVTgNzM4XXtKAKNnsHpB</v>
      </c>
      <c r="AX136" s="3"/>
      <c r="AY136" s="3">
        <f>IFERROR(__xludf.DUMMYFUNCTION("""COMPUTED_VALUE"""),135.0)</f>
        <v>135</v>
      </c>
    </row>
    <row r="137">
      <c r="A137" s="3" t="str">
        <f>IFERROR(__xludf.DUMMYFUNCTION("""COMPUTED_VALUE"""),"Yes")</f>
        <v>Yes</v>
      </c>
      <c r="B137" s="3"/>
      <c r="C137" s="3" t="str">
        <f>IFERROR(__xludf.DUMMYFUNCTION("""COMPUTED_VALUE"""),"kenya")</f>
        <v>kenya</v>
      </c>
      <c r="D137" s="3"/>
      <c r="E137" s="3" t="str">
        <f>IFERROR(__xludf.DUMMYFUNCTION("""COMPUTED_VALUE"""),"Other")</f>
        <v>Other</v>
      </c>
      <c r="F137" s="3"/>
      <c r="G137" s="3">
        <f>IFERROR(__xludf.DUMMYFUNCTION("""COMPUTED_VALUE"""),43.0)</f>
        <v>43</v>
      </c>
      <c r="H137" s="3" t="str">
        <f>IFERROR(__xludf.DUMMYFUNCTION("""COMPUTED_VALUE"""),"male")</f>
        <v>male</v>
      </c>
      <c r="I137" s="3"/>
      <c r="J137" s="3"/>
      <c r="K137" s="3" t="str">
        <f>IFERROR(__xludf.DUMMYFUNCTION("""COMPUTED_VALUE"""),"tertiary")</f>
        <v>tertiary</v>
      </c>
      <c r="L137" s="3"/>
      <c r="M137" s="3" t="str">
        <f>IFERROR(__xludf.DUMMYFUNCTION("""COMPUTED_VALUE"""),"agree")</f>
        <v>agree</v>
      </c>
      <c r="N137" s="3" t="str">
        <f>IFERROR(__xludf.DUMMYFUNCTION("""COMPUTED_VALUE"""),"agree")</f>
        <v>agree</v>
      </c>
      <c r="O137" s="3" t="str">
        <f>IFERROR(__xludf.DUMMYFUNCTION("""COMPUTED_VALUE"""),"agree")</f>
        <v>agree</v>
      </c>
      <c r="P137" s="3"/>
      <c r="Q137" s="3" t="str">
        <f>IFERROR(__xludf.DUMMYFUNCTION("""COMPUTED_VALUE"""),"agree")</f>
        <v>agree</v>
      </c>
      <c r="R137" s="3" t="str">
        <f>IFERROR(__xludf.DUMMYFUNCTION("""COMPUTED_VALUE"""),"agree")</f>
        <v>agree</v>
      </c>
      <c r="S137" s="3" t="str">
        <f>IFERROR(__xludf.DUMMYFUNCTION("""COMPUTED_VALUE"""),"agree")</f>
        <v>agree</v>
      </c>
      <c r="T137" s="3" t="str">
        <f>IFERROR(__xludf.DUMMYFUNCTION("""COMPUTED_VALUE"""),"agree")</f>
        <v>agree</v>
      </c>
      <c r="U137" s="3" t="str">
        <f>IFERROR(__xludf.DUMMYFUNCTION("""COMPUTED_VALUE"""),"agree")</f>
        <v>agree</v>
      </c>
      <c r="V137" s="3"/>
      <c r="W137" s="3" t="str">
        <f>IFERROR(__xludf.DUMMYFUNCTION("""COMPUTED_VALUE"""),"disagree")</f>
        <v>disagree</v>
      </c>
      <c r="X137" s="3" t="str">
        <f>IFERROR(__xludf.DUMMYFUNCTION("""COMPUTED_VALUE"""),"Gold")</f>
        <v>Gold</v>
      </c>
      <c r="Y137" s="3" t="str">
        <f>IFERROR(__xludf.DUMMYFUNCTION("""COMPUTED_VALUE"""),"insurance")</f>
        <v>insurance</v>
      </c>
      <c r="Z137" s="3" t="str">
        <f>IFERROR(__xludf.DUMMYFUNCTION("""COMPUTED_VALUE"""),"annual")</f>
        <v>annual</v>
      </c>
      <c r="AA137" s="3">
        <f>IFERROR(__xludf.DUMMYFUNCTION("""COMPUTED_VALUE"""),100.0)</f>
        <v>100</v>
      </c>
      <c r="AB137" s="3" t="str">
        <f>IFERROR(__xludf.DUMMYFUNCTION("""COMPUTED_VALUE"""),"employer")</f>
        <v>employer</v>
      </c>
      <c r="AC137" s="3" t="str">
        <f>IFERROR(__xludf.DUMMYFUNCTION("""COMPUTED_VALUE"""),"I am not an employer")</f>
        <v>I am not an employer</v>
      </c>
      <c r="AD137" s="3"/>
      <c r="AE137" s="3"/>
      <c r="AF137" s="3" t="str">
        <f>IFERROR(__xludf.DUMMYFUNCTION("""COMPUTED_VALUE"""),"Yes")</f>
        <v>Yes</v>
      </c>
      <c r="AG137" s="3"/>
      <c r="AH137" s="3"/>
      <c r="AI137" s="3">
        <f>IFERROR(__xludf.DUMMYFUNCTION("""COMPUTED_VALUE"""),1.0)</f>
        <v>1</v>
      </c>
      <c r="AJ137" s="3">
        <f>IFERROR(__xludf.DUMMYFUNCTION("""COMPUTED_VALUE"""),0.0)</f>
        <v>0</v>
      </c>
      <c r="AK137" s="3">
        <f>IFERROR(__xludf.DUMMYFUNCTION("""COMPUTED_VALUE"""),0.0)</f>
        <v>0</v>
      </c>
      <c r="AL137" s="3">
        <f>IFERROR(__xludf.DUMMYFUNCTION("""COMPUTED_VALUE"""),0.0)</f>
        <v>0</v>
      </c>
      <c r="AM137" s="3"/>
      <c r="AN137" s="3"/>
      <c r="AO137" s="3"/>
      <c r="AP137" s="3">
        <f>IFERROR(__xludf.DUMMYFUNCTION("""COMPUTED_VALUE"""),4.89879065E8)</f>
        <v>489879065</v>
      </c>
      <c r="AQ137" s="3" t="str">
        <f>IFERROR(__xludf.DUMMYFUNCTION("""COMPUTED_VALUE"""),"31e1e5ab-bb9a-4f99-abd6-0383e0e5dd4f")</f>
        <v>31e1e5ab-bb9a-4f99-abd6-0383e0e5dd4f</v>
      </c>
      <c r="AR137" s="3">
        <f>IFERROR(__xludf.DUMMYFUNCTION("""COMPUTED_VALUE"""),45808.32135416667)</f>
        <v>45808.32135</v>
      </c>
      <c r="AS137" s="3"/>
      <c r="AT137" s="3"/>
      <c r="AU137" s="3" t="str">
        <f>IFERROR(__xludf.DUMMYFUNCTION("""COMPUTED_VALUE"""),"submitted_via_web")</f>
        <v>submitted_via_web</v>
      </c>
      <c r="AV137" s="3"/>
      <c r="AW137" s="3" t="str">
        <f>IFERROR(__xludf.DUMMYFUNCTION("""COMPUTED_VALUE"""),"vckVTgNzM4XXtKAKNnsHpB")</f>
        <v>vckVTgNzM4XXtKAKNnsHpB</v>
      </c>
      <c r="AX137" s="3"/>
      <c r="AY137" s="3">
        <f>IFERROR(__xludf.DUMMYFUNCTION("""COMPUTED_VALUE"""),136.0)</f>
        <v>136</v>
      </c>
    </row>
    <row r="138">
      <c r="A138" s="3" t="str">
        <f>IFERROR(__xludf.DUMMYFUNCTION("""COMPUTED_VALUE"""),"Yes")</f>
        <v>Yes</v>
      </c>
      <c r="B138" s="3"/>
      <c r="C138" s="3" t="str">
        <f>IFERROR(__xludf.DUMMYFUNCTION("""COMPUTED_VALUE"""),"mozambique")</f>
        <v>mozambique</v>
      </c>
      <c r="D138" s="3"/>
      <c r="E138" s="3" t="str">
        <f>IFERROR(__xludf.DUMMYFUNCTION("""COMPUTED_VALUE"""),"south_africa")</f>
        <v>south_africa</v>
      </c>
      <c r="F138" s="3" t="str">
        <f>IFERROR(__xludf.DUMMYFUNCTION("""COMPUTED_VALUE"""),"City of Tshwane Metropolitan Municipality")</f>
        <v>City of Tshwane Metropolitan Municipality</v>
      </c>
      <c r="G138" s="3">
        <f>IFERROR(__xludf.DUMMYFUNCTION("""COMPUTED_VALUE"""),23.0)</f>
        <v>23</v>
      </c>
      <c r="H138" s="3" t="str">
        <f>IFERROR(__xludf.DUMMYFUNCTION("""COMPUTED_VALUE"""),"female")</f>
        <v>female</v>
      </c>
      <c r="I138" s="3" t="str">
        <f>IFERROR(__xludf.DUMMYFUNCTION("""COMPUTED_VALUE"""),"1to5")</f>
        <v>1to5</v>
      </c>
      <c r="J138" s="3" t="str">
        <f>IFERROR(__xludf.DUMMYFUNCTION("""COMPUTED_VALUE"""),"informal")</f>
        <v>informal</v>
      </c>
      <c r="K138" s="3" t="str">
        <f>IFERROR(__xludf.DUMMYFUNCTION("""COMPUTED_VALUE"""),"secondary")</f>
        <v>secondary</v>
      </c>
      <c r="L138" s="3"/>
      <c r="M138" s="3" t="str">
        <f>IFERROR(__xludf.DUMMYFUNCTION("""COMPUTED_VALUE"""),"agree")</f>
        <v>agree</v>
      </c>
      <c r="N138" s="3" t="str">
        <f>IFERROR(__xludf.DUMMYFUNCTION("""COMPUTED_VALUE"""),"agree")</f>
        <v>agree</v>
      </c>
      <c r="O138" s="3" t="str">
        <f>IFERROR(__xludf.DUMMYFUNCTION("""COMPUTED_VALUE"""),"disagree")</f>
        <v>disagree</v>
      </c>
      <c r="P138" s="3"/>
      <c r="Q138" s="3" t="str">
        <f>IFERROR(__xludf.DUMMYFUNCTION("""COMPUTED_VALUE"""),"agree")</f>
        <v>agree</v>
      </c>
      <c r="R138" s="3" t="str">
        <f>IFERROR(__xludf.DUMMYFUNCTION("""COMPUTED_VALUE"""),"agree")</f>
        <v>agree</v>
      </c>
      <c r="S138" s="3" t="str">
        <f>IFERROR(__xludf.DUMMYFUNCTION("""COMPUTED_VALUE"""),"dontknow")</f>
        <v>dontknow</v>
      </c>
      <c r="T138" s="3" t="str">
        <f>IFERROR(__xludf.DUMMYFUNCTION("""COMPUTED_VALUE"""),"agree")</f>
        <v>agree</v>
      </c>
      <c r="U138" s="3" t="str">
        <f>IFERROR(__xludf.DUMMYFUNCTION("""COMPUTED_VALUE"""),"dontknow")</f>
        <v>dontknow</v>
      </c>
      <c r="V138" s="3" t="str">
        <f>IFERROR(__xludf.DUMMYFUNCTION("""COMPUTED_VALUE"""),"agree")</f>
        <v>agree</v>
      </c>
      <c r="W138" s="3" t="str">
        <f>IFERROR(__xludf.DUMMYFUNCTION("""COMPUTED_VALUE"""),"agree")</f>
        <v>agree</v>
      </c>
      <c r="X138" s="3" t="str">
        <f>IFERROR(__xludf.DUMMYFUNCTION("""COMPUTED_VALUE"""),"Gold")</f>
        <v>Gold</v>
      </c>
      <c r="Y138" s="3" t="str">
        <f>IFERROR(__xludf.DUMMYFUNCTION("""COMPUTED_VALUE"""),"prepaid")</f>
        <v>prepaid</v>
      </c>
      <c r="Z138" s="3" t="str">
        <f>IFERROR(__xludf.DUMMYFUNCTION("""COMPUTED_VALUE"""),"annual")</f>
        <v>annual</v>
      </c>
      <c r="AA138" s="3">
        <f>IFERROR(__xludf.DUMMYFUNCTION("""COMPUTED_VALUE"""),50.0)</f>
        <v>50</v>
      </c>
      <c r="AB138" s="3" t="str">
        <f>IFERROR(__xludf.DUMMYFUNCTION("""COMPUTED_VALUE"""),"assisted")</f>
        <v>assisted</v>
      </c>
      <c r="AC138" s="3" t="str">
        <f>IFERROR(__xludf.DUMMYFUNCTION("""COMPUTED_VALUE"""),"No")</f>
        <v>No</v>
      </c>
      <c r="AD138" s="3"/>
      <c r="AE138" s="3"/>
      <c r="AF138" s="3"/>
      <c r="AG138" s="3" t="str">
        <f>IFERROR(__xludf.DUMMYFUNCTION("""COMPUTED_VALUE"""),"Yes")</f>
        <v>Yes</v>
      </c>
      <c r="AH138" s="3"/>
      <c r="AI138" s="3">
        <f>IFERROR(__xludf.DUMMYFUNCTION("""COMPUTED_VALUE"""),0.0)</f>
        <v>0</v>
      </c>
      <c r="AJ138" s="3">
        <f>IFERROR(__xludf.DUMMYFUNCTION("""COMPUTED_VALUE"""),0.0)</f>
        <v>0</v>
      </c>
      <c r="AK138" s="3">
        <f>IFERROR(__xludf.DUMMYFUNCTION("""COMPUTED_VALUE"""),0.0)</f>
        <v>0</v>
      </c>
      <c r="AL138" s="3">
        <f>IFERROR(__xludf.DUMMYFUNCTION("""COMPUTED_VALUE"""),1.0)</f>
        <v>1</v>
      </c>
      <c r="AM138" s="3" t="str">
        <f>IFERROR(__xludf.DUMMYFUNCTION("""COMPUTED_VALUE"""),"Yes")</f>
        <v>Yes</v>
      </c>
      <c r="AN138" s="3">
        <f>IFERROR(__xludf.DUMMYFUNCTION("""COMPUTED_VALUE"""),6.55789034E8)</f>
        <v>655789034</v>
      </c>
      <c r="AO138" s="3"/>
      <c r="AP138" s="3">
        <f>IFERROR(__xludf.DUMMYFUNCTION("""COMPUTED_VALUE"""),4.898922E8)</f>
        <v>489892200</v>
      </c>
      <c r="AQ138" s="3" t="str">
        <f>IFERROR(__xludf.DUMMYFUNCTION("""COMPUTED_VALUE"""),"e79c3bc2-f605-40c2-8d0d-56d087b97d2b")</f>
        <v>e79c3bc2-f605-40c2-8d0d-56d087b97d2b</v>
      </c>
      <c r="AR138" s="3">
        <f>IFERROR(__xludf.DUMMYFUNCTION("""COMPUTED_VALUE"""),45808.342997685184)</f>
        <v>45808.343</v>
      </c>
      <c r="AS138" s="3"/>
      <c r="AT138" s="3"/>
      <c r="AU138" s="3" t="str">
        <f>IFERROR(__xludf.DUMMYFUNCTION("""COMPUTED_VALUE"""),"submitted_via_web")</f>
        <v>submitted_via_web</v>
      </c>
      <c r="AV138" s="3"/>
      <c r="AW138" s="3" t="str">
        <f>IFERROR(__xludf.DUMMYFUNCTION("""COMPUTED_VALUE"""),"vckVTgNzM4XXtKAKNnsHpB")</f>
        <v>vckVTgNzM4XXtKAKNnsHpB</v>
      </c>
      <c r="AX138" s="3"/>
      <c r="AY138" s="3">
        <f>IFERROR(__xludf.DUMMYFUNCTION("""COMPUTED_VALUE"""),137.0)</f>
        <v>137</v>
      </c>
    </row>
    <row r="139">
      <c r="A139" s="3" t="str">
        <f>IFERROR(__xludf.DUMMYFUNCTION("""COMPUTED_VALUE"""),"Yes")</f>
        <v>Yes</v>
      </c>
      <c r="B139" s="3"/>
      <c r="C139" s="3" t="str">
        <f>IFERROR(__xludf.DUMMYFUNCTION("""COMPUTED_VALUE"""),"mozambique")</f>
        <v>mozambique</v>
      </c>
      <c r="D139" s="3"/>
      <c r="E139" s="3" t="str">
        <f>IFERROR(__xludf.DUMMYFUNCTION("""COMPUTED_VALUE"""),"south_africa")</f>
        <v>south_africa</v>
      </c>
      <c r="F139" s="3" t="str">
        <f>IFERROR(__xludf.DUMMYFUNCTION("""COMPUTED_VALUE"""),"City of Tshwane Metropolitan Municipality")</f>
        <v>City of Tshwane Metropolitan Municipality</v>
      </c>
      <c r="G139" s="3">
        <f>IFERROR(__xludf.DUMMYFUNCTION("""COMPUTED_VALUE"""),27.0)</f>
        <v>27</v>
      </c>
      <c r="H139" s="3" t="str">
        <f>IFERROR(__xludf.DUMMYFUNCTION("""COMPUTED_VALUE"""),"male")</f>
        <v>male</v>
      </c>
      <c r="I139" s="3" t="str">
        <f>IFERROR(__xludf.DUMMYFUNCTION("""COMPUTED_VALUE"""),"over5")</f>
        <v>over5</v>
      </c>
      <c r="J139" s="3" t="str">
        <f>IFERROR(__xludf.DUMMYFUNCTION("""COMPUTED_VALUE"""),"informal")</f>
        <v>informal</v>
      </c>
      <c r="K139" s="3" t="str">
        <f>IFERROR(__xludf.DUMMYFUNCTION("""COMPUTED_VALUE"""),"primary")</f>
        <v>primary</v>
      </c>
      <c r="L139" s="3"/>
      <c r="M139" s="3" t="str">
        <f>IFERROR(__xludf.DUMMYFUNCTION("""COMPUTED_VALUE"""),"agree")</f>
        <v>agree</v>
      </c>
      <c r="N139" s="3" t="str">
        <f>IFERROR(__xludf.DUMMYFUNCTION("""COMPUTED_VALUE"""),"agree")</f>
        <v>agree</v>
      </c>
      <c r="O139" s="3" t="str">
        <f>IFERROR(__xludf.DUMMYFUNCTION("""COMPUTED_VALUE"""),"disagree")</f>
        <v>disagree</v>
      </c>
      <c r="P139" s="3"/>
      <c r="Q139" s="3" t="str">
        <f>IFERROR(__xludf.DUMMYFUNCTION("""COMPUTED_VALUE"""),"agree")</f>
        <v>agree</v>
      </c>
      <c r="R139" s="3" t="str">
        <f>IFERROR(__xludf.DUMMYFUNCTION("""COMPUTED_VALUE"""),"agree")</f>
        <v>agree</v>
      </c>
      <c r="S139" s="3" t="str">
        <f>IFERROR(__xludf.DUMMYFUNCTION("""COMPUTED_VALUE"""),"agree")</f>
        <v>agree</v>
      </c>
      <c r="T139" s="3" t="str">
        <f>IFERROR(__xludf.DUMMYFUNCTION("""COMPUTED_VALUE"""),"agree")</f>
        <v>agree</v>
      </c>
      <c r="U139" s="3"/>
      <c r="V139" s="3" t="str">
        <f>IFERROR(__xludf.DUMMYFUNCTION("""COMPUTED_VALUE"""),"agree")</f>
        <v>agree</v>
      </c>
      <c r="W139" s="3" t="str">
        <f>IFERROR(__xludf.DUMMYFUNCTION("""COMPUTED_VALUE"""),"agree")</f>
        <v>agree</v>
      </c>
      <c r="X139" s="3" t="str">
        <f>IFERROR(__xludf.DUMMYFUNCTION("""COMPUTED_VALUE"""),"Gold")</f>
        <v>Gold</v>
      </c>
      <c r="Y139" s="3" t="str">
        <f>IFERROR(__xludf.DUMMYFUNCTION("""COMPUTED_VALUE"""),"prepaid")</f>
        <v>prepaid</v>
      </c>
      <c r="Z139" s="3"/>
      <c r="AA139" s="3">
        <f>IFERROR(__xludf.DUMMYFUNCTION("""COMPUTED_VALUE"""),100.0)</f>
        <v>100</v>
      </c>
      <c r="AB139" s="3" t="str">
        <f>IFERROR(__xludf.DUMMYFUNCTION("""COMPUTED_VALUE"""),"assisted")</f>
        <v>assisted</v>
      </c>
      <c r="AC139" s="3" t="str">
        <f>IFERROR(__xludf.DUMMYFUNCTION("""COMPUTED_VALUE"""),"No")</f>
        <v>No</v>
      </c>
      <c r="AD139" s="3"/>
      <c r="AE139" s="3"/>
      <c r="AF139" s="3" t="str">
        <f>IFERROR(__xludf.DUMMYFUNCTION("""COMPUTED_VALUE"""),"Yes")</f>
        <v>Yes</v>
      </c>
      <c r="AG139" s="3" t="str">
        <f>IFERROR(__xludf.DUMMYFUNCTION("""COMPUTED_VALUE"""),"Yes")</f>
        <v>Yes</v>
      </c>
      <c r="AH139" s="3">
        <f>IFERROR(__xludf.DUMMYFUNCTION("""COMPUTED_VALUE"""),20.0)</f>
        <v>20</v>
      </c>
      <c r="AI139" s="3">
        <f>IFERROR(__xludf.DUMMYFUNCTION("""COMPUTED_VALUE"""),0.0)</f>
        <v>0</v>
      </c>
      <c r="AJ139" s="3">
        <f>IFERROR(__xludf.DUMMYFUNCTION("""COMPUTED_VALUE"""),0.0)</f>
        <v>0</v>
      </c>
      <c r="AK139" s="3">
        <f>IFERROR(__xludf.DUMMYFUNCTION("""COMPUTED_VALUE"""),0.0)</f>
        <v>0</v>
      </c>
      <c r="AL139" s="3">
        <f>IFERROR(__xludf.DUMMYFUNCTION("""COMPUTED_VALUE"""),1.0)</f>
        <v>1</v>
      </c>
      <c r="AM139" s="3" t="str">
        <f>IFERROR(__xludf.DUMMYFUNCTION("""COMPUTED_VALUE"""),"Yes")</f>
        <v>Yes</v>
      </c>
      <c r="AN139" s="3">
        <f>IFERROR(__xludf.DUMMYFUNCTION("""COMPUTED_VALUE"""),7.04538078E8)</f>
        <v>704538078</v>
      </c>
      <c r="AO139" s="3"/>
      <c r="AP139" s="3">
        <f>IFERROR(__xludf.DUMMYFUNCTION("""COMPUTED_VALUE"""),4.89895622E8)</f>
        <v>489895622</v>
      </c>
      <c r="AQ139" s="3" t="str">
        <f>IFERROR(__xludf.DUMMYFUNCTION("""COMPUTED_VALUE"""),"c610899f-defe-4de5-b949-86f8786c38f3")</f>
        <v>c610899f-defe-4de5-b949-86f8786c38f3</v>
      </c>
      <c r="AR139" s="3">
        <f>IFERROR(__xludf.DUMMYFUNCTION("""COMPUTED_VALUE"""),45808.34820601852)</f>
        <v>45808.34821</v>
      </c>
      <c r="AS139" s="3"/>
      <c r="AT139" s="3"/>
      <c r="AU139" s="3" t="str">
        <f>IFERROR(__xludf.DUMMYFUNCTION("""COMPUTED_VALUE"""),"submitted_via_web")</f>
        <v>submitted_via_web</v>
      </c>
      <c r="AV139" s="3"/>
      <c r="AW139" s="3" t="str">
        <f>IFERROR(__xludf.DUMMYFUNCTION("""COMPUTED_VALUE"""),"vckVTgNzM4XXtKAKNnsHpB")</f>
        <v>vckVTgNzM4XXtKAKNnsHpB</v>
      </c>
      <c r="AX139" s="3"/>
      <c r="AY139" s="3">
        <f>IFERROR(__xludf.DUMMYFUNCTION("""COMPUTED_VALUE"""),138.0)</f>
        <v>138</v>
      </c>
    </row>
    <row r="140">
      <c r="A140" s="3" t="str">
        <f>IFERROR(__xludf.DUMMYFUNCTION("""COMPUTED_VALUE"""),"Yes")</f>
        <v>Yes</v>
      </c>
      <c r="B140" s="3"/>
      <c r="C140" s="3" t="str">
        <f>IFERROR(__xludf.DUMMYFUNCTION("""COMPUTED_VALUE"""),"south_africa")</f>
        <v>south_africa</v>
      </c>
      <c r="D140" s="3"/>
      <c r="E140" s="3" t="str">
        <f>IFERROR(__xludf.DUMMYFUNCTION("""COMPUTED_VALUE"""),"Other")</f>
        <v>Other</v>
      </c>
      <c r="F140" s="3"/>
      <c r="G140" s="3">
        <f>IFERROR(__xludf.DUMMYFUNCTION("""COMPUTED_VALUE"""),48.0)</f>
        <v>48</v>
      </c>
      <c r="H140" s="3" t="str">
        <f>IFERROR(__xludf.DUMMYFUNCTION("""COMPUTED_VALUE"""),"female")</f>
        <v>female</v>
      </c>
      <c r="I140" s="3"/>
      <c r="J140" s="3" t="str">
        <f>IFERROR(__xludf.DUMMYFUNCTION("""COMPUTED_VALUE"""),"formal")</f>
        <v>formal</v>
      </c>
      <c r="K140" s="3" t="str">
        <f>IFERROR(__xludf.DUMMYFUNCTION("""COMPUTED_VALUE"""),"tertiary")</f>
        <v>tertiary</v>
      </c>
      <c r="L140" s="3"/>
      <c r="M140" s="3" t="str">
        <f>IFERROR(__xludf.DUMMYFUNCTION("""COMPUTED_VALUE"""),"agree")</f>
        <v>agree</v>
      </c>
      <c r="N140" s="3" t="str">
        <f>IFERROR(__xludf.DUMMYFUNCTION("""COMPUTED_VALUE"""),"disagree")</f>
        <v>disagree</v>
      </c>
      <c r="O140" s="3" t="str">
        <f>IFERROR(__xludf.DUMMYFUNCTION("""COMPUTED_VALUE"""),"agree")</f>
        <v>agree</v>
      </c>
      <c r="P140" s="3"/>
      <c r="Q140" s="3" t="str">
        <f>IFERROR(__xludf.DUMMYFUNCTION("""COMPUTED_VALUE"""),"agree")</f>
        <v>agree</v>
      </c>
      <c r="R140" s="3" t="str">
        <f>IFERROR(__xludf.DUMMYFUNCTION("""COMPUTED_VALUE"""),"agree")</f>
        <v>agree</v>
      </c>
      <c r="S140" s="3" t="str">
        <f>IFERROR(__xludf.DUMMYFUNCTION("""COMPUTED_VALUE"""),"agree")</f>
        <v>agree</v>
      </c>
      <c r="T140" s="3" t="str">
        <f>IFERROR(__xludf.DUMMYFUNCTION("""COMPUTED_VALUE"""),"agree")</f>
        <v>agree</v>
      </c>
      <c r="U140" s="3" t="str">
        <f>IFERROR(__xludf.DUMMYFUNCTION("""COMPUTED_VALUE"""),"agree")</f>
        <v>agree</v>
      </c>
      <c r="V140" s="3" t="str">
        <f>IFERROR(__xludf.DUMMYFUNCTION("""COMPUTED_VALUE"""),"agree")</f>
        <v>agree</v>
      </c>
      <c r="W140" s="3" t="str">
        <f>IFERROR(__xludf.DUMMYFUNCTION("""COMPUTED_VALUE"""),"agree")</f>
        <v>agree</v>
      </c>
      <c r="X140" s="3" t="str">
        <f>IFERROR(__xludf.DUMMYFUNCTION("""COMPUTED_VALUE"""),"Gold")</f>
        <v>Gold</v>
      </c>
      <c r="Y140" s="3" t="str">
        <f>IFERROR(__xludf.DUMMYFUNCTION("""COMPUTED_VALUE"""),"insurance")</f>
        <v>insurance</v>
      </c>
      <c r="Z140" s="3" t="str">
        <f>IFERROR(__xludf.DUMMYFUNCTION("""COMPUTED_VALUE"""),"monthly")</f>
        <v>monthly</v>
      </c>
      <c r="AA140" s="3">
        <f>IFERROR(__xludf.DUMMYFUNCTION("""COMPUTED_VALUE"""),20.0)</f>
        <v>20</v>
      </c>
      <c r="AB140" s="3" t="str">
        <f>IFERROR(__xludf.DUMMYFUNCTION("""COMPUTED_VALUE"""),"assisted")</f>
        <v>assisted</v>
      </c>
      <c r="AC140" s="3" t="str">
        <f>IFERROR(__xludf.DUMMYFUNCTION("""COMPUTED_VALUE"""),"Yes")</f>
        <v>Yes</v>
      </c>
      <c r="AD140" s="3" t="str">
        <f>IFERROR(__xludf.DUMMYFUNCTION("""COMPUTED_VALUE"""),"Gold")</f>
        <v>Gold</v>
      </c>
      <c r="AE140" s="3" t="str">
        <f>IFERROR(__xludf.DUMMYFUNCTION("""COMPUTED_VALUE"""),"Yes")</f>
        <v>Yes</v>
      </c>
      <c r="AF140" s="3" t="str">
        <f>IFERROR(__xludf.DUMMYFUNCTION("""COMPUTED_VALUE"""),"Yes")</f>
        <v>Yes</v>
      </c>
      <c r="AG140" s="3" t="str">
        <f>IFERROR(__xludf.DUMMYFUNCTION("""COMPUTED_VALUE"""),"No")</f>
        <v>No</v>
      </c>
      <c r="AH140" s="3"/>
      <c r="AI140" s="3">
        <f>IFERROR(__xludf.DUMMYFUNCTION("""COMPUTED_VALUE"""),1.0)</f>
        <v>1</v>
      </c>
      <c r="AJ140" s="3">
        <f>IFERROR(__xludf.DUMMYFUNCTION("""COMPUTED_VALUE"""),0.0)</f>
        <v>0</v>
      </c>
      <c r="AK140" s="3">
        <f>IFERROR(__xludf.DUMMYFUNCTION("""COMPUTED_VALUE"""),0.0)</f>
        <v>0</v>
      </c>
      <c r="AL140" s="3">
        <f>IFERROR(__xludf.DUMMYFUNCTION("""COMPUTED_VALUE"""),0.0)</f>
        <v>0</v>
      </c>
      <c r="AM140" s="3"/>
      <c r="AN140" s="3"/>
      <c r="AO140" s="3"/>
      <c r="AP140" s="3">
        <f>IFERROR(__xludf.DUMMYFUNCTION("""COMPUTED_VALUE"""),4.89899236E8)</f>
        <v>489899236</v>
      </c>
      <c r="AQ140" s="3" t="str">
        <f>IFERROR(__xludf.DUMMYFUNCTION("""COMPUTED_VALUE"""),"6e30cf69-b72b-4da1-8619-c0bbd18e28c8")</f>
        <v>6e30cf69-b72b-4da1-8619-c0bbd18e28c8</v>
      </c>
      <c r="AR140" s="3">
        <f>IFERROR(__xludf.DUMMYFUNCTION("""COMPUTED_VALUE"""),45808.35460648148)</f>
        <v>45808.35461</v>
      </c>
      <c r="AS140" s="3"/>
      <c r="AT140" s="3"/>
      <c r="AU140" s="3" t="str">
        <f>IFERROR(__xludf.DUMMYFUNCTION("""COMPUTED_VALUE"""),"submitted_via_web")</f>
        <v>submitted_via_web</v>
      </c>
      <c r="AV140" s="3"/>
      <c r="AW140" s="3" t="str">
        <f>IFERROR(__xludf.DUMMYFUNCTION("""COMPUTED_VALUE"""),"vckVTgNzM4XXtKAKNnsHpB")</f>
        <v>vckVTgNzM4XXtKAKNnsHpB</v>
      </c>
      <c r="AX140" s="3"/>
      <c r="AY140" s="3">
        <f>IFERROR(__xludf.DUMMYFUNCTION("""COMPUTED_VALUE"""),139.0)</f>
        <v>139</v>
      </c>
    </row>
    <row r="141">
      <c r="A141" s="3" t="str">
        <f>IFERROR(__xludf.DUMMYFUNCTION("""COMPUTED_VALUE"""),"Yes")</f>
        <v>Yes</v>
      </c>
      <c r="B141" s="3"/>
      <c r="C141" s="3" t="str">
        <f>IFERROR(__xludf.DUMMYFUNCTION("""COMPUTED_VALUE"""),"tanzania")</f>
        <v>tanzania</v>
      </c>
      <c r="D141" s="3"/>
      <c r="E141" s="3" t="str">
        <f>IFERROR(__xludf.DUMMYFUNCTION("""COMPUTED_VALUE"""),"Other")</f>
        <v>Other</v>
      </c>
      <c r="F141" s="3"/>
      <c r="G141" s="3">
        <f>IFERROR(__xludf.DUMMYFUNCTION("""COMPUTED_VALUE"""),37.0)</f>
        <v>37</v>
      </c>
      <c r="H141" s="3" t="str">
        <f>IFERROR(__xludf.DUMMYFUNCTION("""COMPUTED_VALUE"""),"female")</f>
        <v>female</v>
      </c>
      <c r="I141" s="3"/>
      <c r="J141" s="3" t="str">
        <f>IFERROR(__xludf.DUMMYFUNCTION("""COMPUTED_VALUE"""),"formal")</f>
        <v>formal</v>
      </c>
      <c r="K141" s="3" t="str">
        <f>IFERROR(__xludf.DUMMYFUNCTION("""COMPUTED_VALUE"""),"tertiary")</f>
        <v>tertiary</v>
      </c>
      <c r="L141" s="3"/>
      <c r="M141" s="3" t="str">
        <f>IFERROR(__xludf.DUMMYFUNCTION("""COMPUTED_VALUE"""),"agree")</f>
        <v>agree</v>
      </c>
      <c r="N141" s="3" t="str">
        <f>IFERROR(__xludf.DUMMYFUNCTION("""COMPUTED_VALUE"""),"agree")</f>
        <v>agree</v>
      </c>
      <c r="O141" s="3" t="str">
        <f>IFERROR(__xludf.DUMMYFUNCTION("""COMPUTED_VALUE"""),"agree")</f>
        <v>agree</v>
      </c>
      <c r="P141" s="3"/>
      <c r="Q141" s="3" t="str">
        <f>IFERROR(__xludf.DUMMYFUNCTION("""COMPUTED_VALUE"""),"disagree")</f>
        <v>disagree</v>
      </c>
      <c r="R141" s="3" t="str">
        <f>IFERROR(__xludf.DUMMYFUNCTION("""COMPUTED_VALUE"""),"agree")</f>
        <v>agree</v>
      </c>
      <c r="S141" s="3" t="str">
        <f>IFERROR(__xludf.DUMMYFUNCTION("""COMPUTED_VALUE"""),"agree")</f>
        <v>agree</v>
      </c>
      <c r="T141" s="3" t="str">
        <f>IFERROR(__xludf.DUMMYFUNCTION("""COMPUTED_VALUE"""),"dontknow")</f>
        <v>dontknow</v>
      </c>
      <c r="U141" s="3" t="str">
        <f>IFERROR(__xludf.DUMMYFUNCTION("""COMPUTED_VALUE"""),"dontknow")</f>
        <v>dontknow</v>
      </c>
      <c r="V141" s="3" t="str">
        <f>IFERROR(__xludf.DUMMYFUNCTION("""COMPUTED_VALUE"""),"agree")</f>
        <v>agree</v>
      </c>
      <c r="W141" s="3" t="str">
        <f>IFERROR(__xludf.DUMMYFUNCTION("""COMPUTED_VALUE"""),"disagree")</f>
        <v>disagree</v>
      </c>
      <c r="X141" s="3" t="str">
        <f>IFERROR(__xludf.DUMMYFUNCTION("""COMPUTED_VALUE"""),"Platinum")</f>
        <v>Platinum</v>
      </c>
      <c r="Y141" s="3" t="str">
        <f>IFERROR(__xludf.DUMMYFUNCTION("""COMPUTED_VALUE"""),"insurance")</f>
        <v>insurance</v>
      </c>
      <c r="Z141" s="3" t="str">
        <f>IFERROR(__xludf.DUMMYFUNCTION("""COMPUTED_VALUE"""),"annual")</f>
        <v>annual</v>
      </c>
      <c r="AA141" s="3">
        <f>IFERROR(__xludf.DUMMYFUNCTION("""COMPUTED_VALUE"""),50.0)</f>
        <v>50</v>
      </c>
      <c r="AB141" s="3" t="str">
        <f>IFERROR(__xludf.DUMMYFUNCTION("""COMPUTED_VALUE"""),"assisted")</f>
        <v>assisted</v>
      </c>
      <c r="AC141" s="3" t="str">
        <f>IFERROR(__xludf.DUMMYFUNCTION("""COMPUTED_VALUE"""),"I am not an employer")</f>
        <v>I am not an employer</v>
      </c>
      <c r="AD141" s="3"/>
      <c r="AE141" s="3"/>
      <c r="AF141" s="3" t="str">
        <f>IFERROR(__xludf.DUMMYFUNCTION("""COMPUTED_VALUE"""),"Yes")</f>
        <v>Yes</v>
      </c>
      <c r="AG141" s="3" t="str">
        <f>IFERROR(__xludf.DUMMYFUNCTION("""COMPUTED_VALUE"""),"No")</f>
        <v>No</v>
      </c>
      <c r="AH141" s="3"/>
      <c r="AI141" s="3">
        <f>IFERROR(__xludf.DUMMYFUNCTION("""COMPUTED_VALUE"""),0.0)</f>
        <v>0</v>
      </c>
      <c r="AJ141" s="3">
        <f>IFERROR(__xludf.DUMMYFUNCTION("""COMPUTED_VALUE"""),0.0)</f>
        <v>0</v>
      </c>
      <c r="AK141" s="3">
        <f>IFERROR(__xludf.DUMMYFUNCTION("""COMPUTED_VALUE"""),0.0)</f>
        <v>0</v>
      </c>
      <c r="AL141" s="3">
        <f>IFERROR(__xludf.DUMMYFUNCTION("""COMPUTED_VALUE"""),1.0)</f>
        <v>1</v>
      </c>
      <c r="AM141" s="3"/>
      <c r="AN141" s="3"/>
      <c r="AO141" s="3"/>
      <c r="AP141" s="3">
        <f>IFERROR(__xludf.DUMMYFUNCTION("""COMPUTED_VALUE"""),4.89908744E8)</f>
        <v>489908744</v>
      </c>
      <c r="AQ141" s="3" t="str">
        <f>IFERROR(__xludf.DUMMYFUNCTION("""COMPUTED_VALUE"""),"d3d0863a-1233-42fb-bc9e-a93b08689c75")</f>
        <v>d3d0863a-1233-42fb-bc9e-a93b08689c75</v>
      </c>
      <c r="AR141" s="3">
        <f>IFERROR(__xludf.DUMMYFUNCTION("""COMPUTED_VALUE"""),45808.36929398148)</f>
        <v>45808.36929</v>
      </c>
      <c r="AS141" s="3"/>
      <c r="AT141" s="3"/>
      <c r="AU141" s="3" t="str">
        <f>IFERROR(__xludf.DUMMYFUNCTION("""COMPUTED_VALUE"""),"submitted_via_web")</f>
        <v>submitted_via_web</v>
      </c>
      <c r="AV141" s="3"/>
      <c r="AW141" s="3" t="str">
        <f>IFERROR(__xludf.DUMMYFUNCTION("""COMPUTED_VALUE"""),"vckVTgNzM4XXtKAKNnsHpB")</f>
        <v>vckVTgNzM4XXtKAKNnsHpB</v>
      </c>
      <c r="AX141" s="3"/>
      <c r="AY141" s="3">
        <f>IFERROR(__xludf.DUMMYFUNCTION("""COMPUTED_VALUE"""),140.0)</f>
        <v>140</v>
      </c>
    </row>
    <row r="142">
      <c r="A142" s="3" t="str">
        <f>IFERROR(__xludf.DUMMYFUNCTION("""COMPUTED_VALUE"""),"Yes")</f>
        <v>Yes</v>
      </c>
      <c r="B142" s="3"/>
      <c r="C142" s="3" t="str">
        <f>IFERROR(__xludf.DUMMYFUNCTION("""COMPUTED_VALUE"""),"lesotho")</f>
        <v>lesotho</v>
      </c>
      <c r="D142" s="3"/>
      <c r="E142" s="3" t="str">
        <f>IFERROR(__xludf.DUMMYFUNCTION("""COMPUTED_VALUE"""),"lesotho")</f>
        <v>lesotho</v>
      </c>
      <c r="F142" s="3"/>
      <c r="G142" s="3">
        <f>IFERROR(__xludf.DUMMYFUNCTION("""COMPUTED_VALUE"""),19.0)</f>
        <v>19</v>
      </c>
      <c r="H142" s="3" t="str">
        <f>IFERROR(__xludf.DUMMYFUNCTION("""COMPUTED_VALUE"""),"female")</f>
        <v>female</v>
      </c>
      <c r="I142" s="3"/>
      <c r="J142" s="3" t="str">
        <f>IFERROR(__xludf.DUMMYFUNCTION("""COMPUTED_VALUE"""),"unemployed")</f>
        <v>unemployed</v>
      </c>
      <c r="K142" s="3" t="str">
        <f>IFERROR(__xludf.DUMMYFUNCTION("""COMPUTED_VALUE"""),"secondary")</f>
        <v>secondary</v>
      </c>
      <c r="L142" s="3"/>
      <c r="M142" s="3" t="str">
        <f>IFERROR(__xludf.DUMMYFUNCTION("""COMPUTED_VALUE"""),"agree")</f>
        <v>agree</v>
      </c>
      <c r="N142" s="3" t="str">
        <f>IFERROR(__xludf.DUMMYFUNCTION("""COMPUTED_VALUE"""),"agree")</f>
        <v>agree</v>
      </c>
      <c r="O142" s="3" t="str">
        <f>IFERROR(__xludf.DUMMYFUNCTION("""COMPUTED_VALUE"""),"agree")</f>
        <v>agree</v>
      </c>
      <c r="P142" s="3"/>
      <c r="Q142" s="3" t="str">
        <f>IFERROR(__xludf.DUMMYFUNCTION("""COMPUTED_VALUE"""),"dontknow")</f>
        <v>dontknow</v>
      </c>
      <c r="R142" s="3" t="str">
        <f>IFERROR(__xludf.DUMMYFUNCTION("""COMPUTED_VALUE"""),"dontknow")</f>
        <v>dontknow</v>
      </c>
      <c r="S142" s="3" t="str">
        <f>IFERROR(__xludf.DUMMYFUNCTION("""COMPUTED_VALUE"""),"disagree")</f>
        <v>disagree</v>
      </c>
      <c r="T142" s="3" t="str">
        <f>IFERROR(__xludf.DUMMYFUNCTION("""COMPUTED_VALUE"""),"disagree")</f>
        <v>disagree</v>
      </c>
      <c r="U142" s="3" t="str">
        <f>IFERROR(__xludf.DUMMYFUNCTION("""COMPUTED_VALUE"""),"agree")</f>
        <v>agree</v>
      </c>
      <c r="V142" s="3" t="str">
        <f>IFERROR(__xludf.DUMMYFUNCTION("""COMPUTED_VALUE"""),"agree")</f>
        <v>agree</v>
      </c>
      <c r="W142" s="3" t="str">
        <f>IFERROR(__xludf.DUMMYFUNCTION("""COMPUTED_VALUE"""),"disagree")</f>
        <v>disagree</v>
      </c>
      <c r="X142" s="3" t="str">
        <f>IFERROR(__xludf.DUMMYFUNCTION("""COMPUTED_VALUE"""),"Gold")</f>
        <v>Gold</v>
      </c>
      <c r="Y142" s="3" t="str">
        <f>IFERROR(__xludf.DUMMYFUNCTION("""COMPUTED_VALUE"""),"cash")</f>
        <v>cash</v>
      </c>
      <c r="Z142" s="3" t="str">
        <f>IFERROR(__xludf.DUMMYFUNCTION("""COMPUTED_VALUE"""),"once")</f>
        <v>once</v>
      </c>
      <c r="AA142" s="3">
        <f>IFERROR(__xludf.DUMMYFUNCTION("""COMPUTED_VALUE"""),10.0)</f>
        <v>10</v>
      </c>
      <c r="AB142" s="3" t="str">
        <f>IFERROR(__xludf.DUMMYFUNCTION("""COMPUTED_VALUE"""),"assisted")</f>
        <v>assisted</v>
      </c>
      <c r="AC142" s="3" t="str">
        <f>IFERROR(__xludf.DUMMYFUNCTION("""COMPUTED_VALUE"""),"I am not an employer")</f>
        <v>I am not an employer</v>
      </c>
      <c r="AD142" s="3"/>
      <c r="AE142" s="3"/>
      <c r="AF142" s="3" t="str">
        <f>IFERROR(__xludf.DUMMYFUNCTION("""COMPUTED_VALUE"""),"Yes")</f>
        <v>Yes</v>
      </c>
      <c r="AG142" s="3" t="str">
        <f>IFERROR(__xludf.DUMMYFUNCTION("""COMPUTED_VALUE"""),"Yes")</f>
        <v>Yes</v>
      </c>
      <c r="AH142" s="3">
        <f>IFERROR(__xludf.DUMMYFUNCTION("""COMPUTED_VALUE"""),500.0)</f>
        <v>500</v>
      </c>
      <c r="AI142" s="3">
        <f>IFERROR(__xludf.DUMMYFUNCTION("""COMPUTED_VALUE"""),1.0)</f>
        <v>1</v>
      </c>
      <c r="AJ142" s="3">
        <f>IFERROR(__xludf.DUMMYFUNCTION("""COMPUTED_VALUE"""),1.0)</f>
        <v>1</v>
      </c>
      <c r="AK142" s="3">
        <f>IFERROR(__xludf.DUMMYFUNCTION("""COMPUTED_VALUE"""),1.0)</f>
        <v>1</v>
      </c>
      <c r="AL142" s="3">
        <f>IFERROR(__xludf.DUMMYFUNCTION("""COMPUTED_VALUE"""),1.0)</f>
        <v>1</v>
      </c>
      <c r="AM142" s="3"/>
      <c r="AN142" s="3"/>
      <c r="AO142" s="3"/>
      <c r="AP142" s="3">
        <f>IFERROR(__xludf.DUMMYFUNCTION("""COMPUTED_VALUE"""),4.89927291E8)</f>
        <v>489927291</v>
      </c>
      <c r="AQ142" s="3" t="str">
        <f>IFERROR(__xludf.DUMMYFUNCTION("""COMPUTED_VALUE"""),"be4419ed-3f3d-4e94-a43c-72aa83062874")</f>
        <v>be4419ed-3f3d-4e94-a43c-72aa83062874</v>
      </c>
      <c r="AR142" s="3">
        <f>IFERROR(__xludf.DUMMYFUNCTION("""COMPUTED_VALUE"""),45808.39879629629)</f>
        <v>45808.3988</v>
      </c>
      <c r="AS142" s="3"/>
      <c r="AT142" s="3"/>
      <c r="AU142" s="3" t="str">
        <f>IFERROR(__xludf.DUMMYFUNCTION("""COMPUTED_VALUE"""),"submitted_via_web")</f>
        <v>submitted_via_web</v>
      </c>
      <c r="AV142" s="3"/>
      <c r="AW142" s="3" t="str">
        <f>IFERROR(__xludf.DUMMYFUNCTION("""COMPUTED_VALUE"""),"vckVTgNzM4XXtKAKNnsHpB")</f>
        <v>vckVTgNzM4XXtKAKNnsHpB</v>
      </c>
      <c r="AX142" s="3"/>
      <c r="AY142" s="3">
        <f>IFERROR(__xludf.DUMMYFUNCTION("""COMPUTED_VALUE"""),141.0)</f>
        <v>141</v>
      </c>
    </row>
    <row r="143">
      <c r="A143" s="3" t="str">
        <f>IFERROR(__xludf.DUMMYFUNCTION("""COMPUTED_VALUE"""),"Yes")</f>
        <v>Yes</v>
      </c>
      <c r="B143" s="3"/>
      <c r="C143" s="3" t="str">
        <f>IFERROR(__xludf.DUMMYFUNCTION("""COMPUTED_VALUE"""),"mozambique")</f>
        <v>mozambique</v>
      </c>
      <c r="D143" s="3"/>
      <c r="E143" s="3" t="str">
        <f>IFERROR(__xludf.DUMMYFUNCTION("""COMPUTED_VALUE"""),"south_africa")</f>
        <v>south_africa</v>
      </c>
      <c r="F143" s="3" t="str">
        <f>IFERROR(__xludf.DUMMYFUNCTION("""COMPUTED_VALUE"""),"Capetown")</f>
        <v>Capetown</v>
      </c>
      <c r="G143" s="3">
        <f>IFERROR(__xludf.DUMMYFUNCTION("""COMPUTED_VALUE"""),24.0)</f>
        <v>24</v>
      </c>
      <c r="H143" s="3" t="str">
        <f>IFERROR(__xludf.DUMMYFUNCTION("""COMPUTED_VALUE"""),"female")</f>
        <v>female</v>
      </c>
      <c r="I143" s="3" t="str">
        <f>IFERROR(__xludf.DUMMYFUNCTION("""COMPUTED_VALUE"""),"1to5")</f>
        <v>1to5</v>
      </c>
      <c r="J143" s="3" t="str">
        <f>IFERROR(__xludf.DUMMYFUNCTION("""COMPUTED_VALUE"""),"unemployed")</f>
        <v>unemployed</v>
      </c>
      <c r="K143" s="3" t="str">
        <f>IFERROR(__xludf.DUMMYFUNCTION("""COMPUTED_VALUE"""),"secondary")</f>
        <v>secondary</v>
      </c>
      <c r="L143" s="3"/>
      <c r="M143" s="3" t="str">
        <f>IFERROR(__xludf.DUMMYFUNCTION("""COMPUTED_VALUE"""),"agree")</f>
        <v>agree</v>
      </c>
      <c r="N143" s="3" t="str">
        <f>IFERROR(__xludf.DUMMYFUNCTION("""COMPUTED_VALUE"""),"agree")</f>
        <v>agree</v>
      </c>
      <c r="O143" s="3" t="str">
        <f>IFERROR(__xludf.DUMMYFUNCTION("""COMPUTED_VALUE"""),"agree")</f>
        <v>agree</v>
      </c>
      <c r="P143" s="3"/>
      <c r="Q143" s="3" t="str">
        <f>IFERROR(__xludf.DUMMYFUNCTION("""COMPUTED_VALUE"""),"agree")</f>
        <v>agree</v>
      </c>
      <c r="R143" s="3" t="str">
        <f>IFERROR(__xludf.DUMMYFUNCTION("""COMPUTED_VALUE"""),"agree")</f>
        <v>agree</v>
      </c>
      <c r="S143" s="3" t="str">
        <f>IFERROR(__xludf.DUMMYFUNCTION("""COMPUTED_VALUE"""),"agree")</f>
        <v>agree</v>
      </c>
      <c r="T143" s="3" t="str">
        <f>IFERROR(__xludf.DUMMYFUNCTION("""COMPUTED_VALUE"""),"agree")</f>
        <v>agree</v>
      </c>
      <c r="U143" s="3" t="str">
        <f>IFERROR(__xludf.DUMMYFUNCTION("""COMPUTED_VALUE"""),"agree")</f>
        <v>agree</v>
      </c>
      <c r="V143" s="3" t="str">
        <f>IFERROR(__xludf.DUMMYFUNCTION("""COMPUTED_VALUE"""),"agree")</f>
        <v>agree</v>
      </c>
      <c r="W143" s="3" t="str">
        <f>IFERROR(__xludf.DUMMYFUNCTION("""COMPUTED_VALUE"""),"agree")</f>
        <v>agree</v>
      </c>
      <c r="X143" s="3" t="str">
        <f>IFERROR(__xludf.DUMMYFUNCTION("""COMPUTED_VALUE"""),"Gold")</f>
        <v>Gold</v>
      </c>
      <c r="Y143" s="3" t="str">
        <f>IFERROR(__xludf.DUMMYFUNCTION("""COMPUTED_VALUE"""),"card")</f>
        <v>card</v>
      </c>
      <c r="Z143" s="3" t="str">
        <f>IFERROR(__xludf.DUMMYFUNCTION("""COMPUTED_VALUE"""),"annual")</f>
        <v>annual</v>
      </c>
      <c r="AA143" s="3">
        <f>IFERROR(__xludf.DUMMYFUNCTION("""COMPUTED_VALUE"""),20.0)</f>
        <v>20</v>
      </c>
      <c r="AB143" s="3" t="str">
        <f>IFERROR(__xludf.DUMMYFUNCTION("""COMPUTED_VALUE"""),"assisted")</f>
        <v>assisted</v>
      </c>
      <c r="AC143" s="3" t="str">
        <f>IFERROR(__xludf.DUMMYFUNCTION("""COMPUTED_VALUE"""),"Yes")</f>
        <v>Yes</v>
      </c>
      <c r="AD143" s="3" t="str">
        <f>IFERROR(__xludf.DUMMYFUNCTION("""COMPUTED_VALUE"""),"Gold")</f>
        <v>Gold</v>
      </c>
      <c r="AE143" s="3" t="str">
        <f>IFERROR(__xludf.DUMMYFUNCTION("""COMPUTED_VALUE"""),"Yes")</f>
        <v>Yes</v>
      </c>
      <c r="AF143" s="3" t="str">
        <f>IFERROR(__xludf.DUMMYFUNCTION("""COMPUTED_VALUE"""),"Yes")</f>
        <v>Yes</v>
      </c>
      <c r="AG143" s="3" t="str">
        <f>IFERROR(__xludf.DUMMYFUNCTION("""COMPUTED_VALUE"""),"Yes")</f>
        <v>Yes</v>
      </c>
      <c r="AH143" s="3">
        <f>IFERROR(__xludf.DUMMYFUNCTION("""COMPUTED_VALUE"""),200.0)</f>
        <v>200</v>
      </c>
      <c r="AI143" s="3">
        <f>IFERROR(__xludf.DUMMYFUNCTION("""COMPUTED_VALUE"""),1.0)</f>
        <v>1</v>
      </c>
      <c r="AJ143" s="3">
        <f>IFERROR(__xludf.DUMMYFUNCTION("""COMPUTED_VALUE"""),0.0)</f>
        <v>0</v>
      </c>
      <c r="AK143" s="3">
        <f>IFERROR(__xludf.DUMMYFUNCTION("""COMPUTED_VALUE"""),0.0)</f>
        <v>0</v>
      </c>
      <c r="AL143" s="3">
        <f>IFERROR(__xludf.DUMMYFUNCTION("""COMPUTED_VALUE"""),0.0)</f>
        <v>0</v>
      </c>
      <c r="AM143" s="3" t="str">
        <f>IFERROR(__xludf.DUMMYFUNCTION("""COMPUTED_VALUE"""),"Yes")</f>
        <v>Yes</v>
      </c>
      <c r="AN143" s="3">
        <f>IFERROR(__xludf.DUMMYFUNCTION("""COMPUTED_VALUE"""),7.16325173E8)</f>
        <v>716325173</v>
      </c>
      <c r="AO143" s="3"/>
      <c r="AP143" s="3">
        <f>IFERROR(__xludf.DUMMYFUNCTION("""COMPUTED_VALUE"""),4.89931787E8)</f>
        <v>489931787</v>
      </c>
      <c r="AQ143" s="3" t="str">
        <f>IFERROR(__xludf.DUMMYFUNCTION("""COMPUTED_VALUE"""),"1e30b668-6f3c-40f3-897b-569d8cc4492e")</f>
        <v>1e30b668-6f3c-40f3-897b-569d8cc4492e</v>
      </c>
      <c r="AR143" s="3">
        <f>IFERROR(__xludf.DUMMYFUNCTION("""COMPUTED_VALUE"""),45808.40630787037)</f>
        <v>45808.40631</v>
      </c>
      <c r="AS143" s="3"/>
      <c r="AT143" s="3"/>
      <c r="AU143" s="3" t="str">
        <f>IFERROR(__xludf.DUMMYFUNCTION("""COMPUTED_VALUE"""),"submitted_via_web")</f>
        <v>submitted_via_web</v>
      </c>
      <c r="AV143" s="3"/>
      <c r="AW143" s="3" t="str">
        <f>IFERROR(__xludf.DUMMYFUNCTION("""COMPUTED_VALUE"""),"vckVTgNzM4XXtKAKNnsHpB")</f>
        <v>vckVTgNzM4XXtKAKNnsHpB</v>
      </c>
      <c r="AX143" s="3"/>
      <c r="AY143" s="3">
        <f>IFERROR(__xludf.DUMMYFUNCTION("""COMPUTED_VALUE"""),142.0)</f>
        <v>142</v>
      </c>
    </row>
    <row r="144">
      <c r="A144" s="3" t="str">
        <f>IFERROR(__xludf.DUMMYFUNCTION("""COMPUTED_VALUE"""),"Yes")</f>
        <v>Yes</v>
      </c>
      <c r="B144" s="3"/>
      <c r="C144" s="3" t="str">
        <f>IFERROR(__xludf.DUMMYFUNCTION("""COMPUTED_VALUE"""),"south_africa")</f>
        <v>south_africa</v>
      </c>
      <c r="D144" s="3"/>
      <c r="E144" s="3" t="str">
        <f>IFERROR(__xludf.DUMMYFUNCTION("""COMPUTED_VALUE"""),"mozambique")</f>
        <v>mozambique</v>
      </c>
      <c r="F144" s="3"/>
      <c r="G144" s="3">
        <f>IFERROR(__xludf.DUMMYFUNCTION("""COMPUTED_VALUE"""),27.0)</f>
        <v>27</v>
      </c>
      <c r="H144" s="3" t="str">
        <f>IFERROR(__xludf.DUMMYFUNCTION("""COMPUTED_VALUE"""),"female")</f>
        <v>female</v>
      </c>
      <c r="I144" s="3"/>
      <c r="J144" s="3" t="str">
        <f>IFERROR(__xludf.DUMMYFUNCTION("""COMPUTED_VALUE"""),"unemployed")</f>
        <v>unemployed</v>
      </c>
      <c r="K144" s="3" t="str">
        <f>IFERROR(__xludf.DUMMYFUNCTION("""COMPUTED_VALUE"""),"primary")</f>
        <v>primary</v>
      </c>
      <c r="L144" s="3"/>
      <c r="M144" s="3" t="str">
        <f>IFERROR(__xludf.DUMMYFUNCTION("""COMPUTED_VALUE"""),"agree")</f>
        <v>agree</v>
      </c>
      <c r="N144" s="3" t="str">
        <f>IFERROR(__xludf.DUMMYFUNCTION("""COMPUTED_VALUE"""),"agree")</f>
        <v>agree</v>
      </c>
      <c r="O144" s="3" t="str">
        <f>IFERROR(__xludf.DUMMYFUNCTION("""COMPUTED_VALUE"""),"agree")</f>
        <v>agree</v>
      </c>
      <c r="P144" s="3"/>
      <c r="Q144" s="3" t="str">
        <f>IFERROR(__xludf.DUMMYFUNCTION("""COMPUTED_VALUE"""),"agree")</f>
        <v>agree</v>
      </c>
      <c r="R144" s="3" t="str">
        <f>IFERROR(__xludf.DUMMYFUNCTION("""COMPUTED_VALUE"""),"agree")</f>
        <v>agree</v>
      </c>
      <c r="S144" s="3" t="str">
        <f>IFERROR(__xludf.DUMMYFUNCTION("""COMPUTED_VALUE"""),"agree")</f>
        <v>agree</v>
      </c>
      <c r="T144" s="3" t="str">
        <f>IFERROR(__xludf.DUMMYFUNCTION("""COMPUTED_VALUE"""),"agree")</f>
        <v>agree</v>
      </c>
      <c r="U144" s="3" t="str">
        <f>IFERROR(__xludf.DUMMYFUNCTION("""COMPUTED_VALUE"""),"agree")</f>
        <v>agree</v>
      </c>
      <c r="V144" s="3" t="str">
        <f>IFERROR(__xludf.DUMMYFUNCTION("""COMPUTED_VALUE"""),"agree")</f>
        <v>agree</v>
      </c>
      <c r="W144" s="3" t="str">
        <f>IFERROR(__xludf.DUMMYFUNCTION("""COMPUTED_VALUE"""),"agree")</f>
        <v>agree</v>
      </c>
      <c r="X144" s="3" t="str">
        <f>IFERROR(__xludf.DUMMYFUNCTION("""COMPUTED_VALUE"""),"Lithium")</f>
        <v>Lithium</v>
      </c>
      <c r="Y144" s="3" t="str">
        <f>IFERROR(__xludf.DUMMYFUNCTION("""COMPUTED_VALUE"""),"cash")</f>
        <v>cash</v>
      </c>
      <c r="Z144" s="3" t="str">
        <f>IFERROR(__xludf.DUMMYFUNCTION("""COMPUTED_VALUE"""),"monthly")</f>
        <v>monthly</v>
      </c>
      <c r="AA144" s="3">
        <f>IFERROR(__xludf.DUMMYFUNCTION("""COMPUTED_VALUE"""),30.0)</f>
        <v>30</v>
      </c>
      <c r="AB144" s="3" t="str">
        <f>IFERROR(__xludf.DUMMYFUNCTION("""COMPUTED_VALUE"""),"online")</f>
        <v>online</v>
      </c>
      <c r="AC144" s="3" t="str">
        <f>IFERROR(__xludf.DUMMYFUNCTION("""COMPUTED_VALUE"""),"Yes")</f>
        <v>Yes</v>
      </c>
      <c r="AD144" s="3" t="str">
        <f>IFERROR(__xludf.DUMMYFUNCTION("""COMPUTED_VALUE"""),"Gold")</f>
        <v>Gold</v>
      </c>
      <c r="AE144" s="3" t="str">
        <f>IFERROR(__xludf.DUMMYFUNCTION("""COMPUTED_VALUE"""),"Yes")</f>
        <v>Yes</v>
      </c>
      <c r="AF144" s="3" t="str">
        <f>IFERROR(__xludf.DUMMYFUNCTION("""COMPUTED_VALUE"""),"Yes")</f>
        <v>Yes</v>
      </c>
      <c r="AG144" s="3" t="str">
        <f>IFERROR(__xludf.DUMMYFUNCTION("""COMPUTED_VALUE"""),"Yes")</f>
        <v>Yes</v>
      </c>
      <c r="AH144" s="3">
        <f>IFERROR(__xludf.DUMMYFUNCTION("""COMPUTED_VALUE"""),50.0)</f>
        <v>50</v>
      </c>
      <c r="AI144" s="3">
        <f>IFERROR(__xludf.DUMMYFUNCTION("""COMPUTED_VALUE"""),0.0)</f>
        <v>0</v>
      </c>
      <c r="AJ144" s="3">
        <f>IFERROR(__xludf.DUMMYFUNCTION("""COMPUTED_VALUE"""),1.0)</f>
        <v>1</v>
      </c>
      <c r="AK144" s="3">
        <f>IFERROR(__xludf.DUMMYFUNCTION("""COMPUTED_VALUE"""),0.0)</f>
        <v>0</v>
      </c>
      <c r="AL144" s="3">
        <f>IFERROR(__xludf.DUMMYFUNCTION("""COMPUTED_VALUE"""),1.0)</f>
        <v>1</v>
      </c>
      <c r="AM144" s="3"/>
      <c r="AN144" s="3"/>
      <c r="AO144" s="3"/>
      <c r="AP144" s="3">
        <f>IFERROR(__xludf.DUMMYFUNCTION("""COMPUTED_VALUE"""),4.89933658E8)</f>
        <v>489933658</v>
      </c>
      <c r="AQ144" s="3" t="str">
        <f>IFERROR(__xludf.DUMMYFUNCTION("""COMPUTED_VALUE"""),"7b660a2a-07f1-4bd1-88de-e394b8a74f58")</f>
        <v>7b660a2a-07f1-4bd1-88de-e394b8a74f58</v>
      </c>
      <c r="AR144" s="3">
        <f>IFERROR(__xludf.DUMMYFUNCTION("""COMPUTED_VALUE"""),45808.40959490741)</f>
        <v>45808.40959</v>
      </c>
      <c r="AS144" s="3"/>
      <c r="AT144" s="3"/>
      <c r="AU144" s="3" t="str">
        <f>IFERROR(__xludf.DUMMYFUNCTION("""COMPUTED_VALUE"""),"submitted_via_web")</f>
        <v>submitted_via_web</v>
      </c>
      <c r="AV144" s="3"/>
      <c r="AW144" s="3" t="str">
        <f>IFERROR(__xludf.DUMMYFUNCTION("""COMPUTED_VALUE"""),"vckVTgNzM4XXtKAKNnsHpB")</f>
        <v>vckVTgNzM4XXtKAKNnsHpB</v>
      </c>
      <c r="AX144" s="3"/>
      <c r="AY144" s="3">
        <f>IFERROR(__xludf.DUMMYFUNCTION("""COMPUTED_VALUE"""),143.0)</f>
        <v>143</v>
      </c>
    </row>
    <row r="145">
      <c r="A145" s="3" t="str">
        <f>IFERROR(__xludf.DUMMYFUNCTION("""COMPUTED_VALUE"""),"Yes")</f>
        <v>Yes</v>
      </c>
      <c r="B145" s="3"/>
      <c r="C145" s="3" t="str">
        <f>IFERROR(__xludf.DUMMYFUNCTION("""COMPUTED_VALUE"""),"south_africa")</f>
        <v>south_africa</v>
      </c>
      <c r="D145" s="3"/>
      <c r="E145" s="3" t="str">
        <f>IFERROR(__xludf.DUMMYFUNCTION("""COMPUTED_VALUE"""),"mozambique")</f>
        <v>mozambique</v>
      </c>
      <c r="F145" s="3"/>
      <c r="G145" s="3">
        <f>IFERROR(__xludf.DUMMYFUNCTION("""COMPUTED_VALUE"""),27.0)</f>
        <v>27</v>
      </c>
      <c r="H145" s="3" t="str">
        <f>IFERROR(__xludf.DUMMYFUNCTION("""COMPUTED_VALUE"""),"male")</f>
        <v>male</v>
      </c>
      <c r="I145" s="3"/>
      <c r="J145" s="3" t="str">
        <f>IFERROR(__xludf.DUMMYFUNCTION("""COMPUTED_VALUE"""),"formal")</f>
        <v>formal</v>
      </c>
      <c r="K145" s="3" t="str">
        <f>IFERROR(__xludf.DUMMYFUNCTION("""COMPUTED_VALUE"""),"primary")</f>
        <v>primary</v>
      </c>
      <c r="L145" s="3"/>
      <c r="M145" s="3" t="str">
        <f>IFERROR(__xludf.DUMMYFUNCTION("""COMPUTED_VALUE"""),"agree")</f>
        <v>agree</v>
      </c>
      <c r="N145" s="3" t="str">
        <f>IFERROR(__xludf.DUMMYFUNCTION("""COMPUTED_VALUE"""),"agree")</f>
        <v>agree</v>
      </c>
      <c r="O145" s="3" t="str">
        <f>IFERROR(__xludf.DUMMYFUNCTION("""COMPUTED_VALUE"""),"agree")</f>
        <v>agree</v>
      </c>
      <c r="P145" s="3"/>
      <c r="Q145" s="3" t="str">
        <f>IFERROR(__xludf.DUMMYFUNCTION("""COMPUTED_VALUE"""),"agree")</f>
        <v>agree</v>
      </c>
      <c r="R145" s="3" t="str">
        <f>IFERROR(__xludf.DUMMYFUNCTION("""COMPUTED_VALUE"""),"agree")</f>
        <v>agree</v>
      </c>
      <c r="S145" s="3" t="str">
        <f>IFERROR(__xludf.DUMMYFUNCTION("""COMPUTED_VALUE"""),"agree")</f>
        <v>agree</v>
      </c>
      <c r="T145" s="3" t="str">
        <f>IFERROR(__xludf.DUMMYFUNCTION("""COMPUTED_VALUE"""),"agree")</f>
        <v>agree</v>
      </c>
      <c r="U145" s="3" t="str">
        <f>IFERROR(__xludf.DUMMYFUNCTION("""COMPUTED_VALUE"""),"agree")</f>
        <v>agree</v>
      </c>
      <c r="V145" s="3" t="str">
        <f>IFERROR(__xludf.DUMMYFUNCTION("""COMPUTED_VALUE"""),"agree")</f>
        <v>agree</v>
      </c>
      <c r="W145" s="3" t="str">
        <f>IFERROR(__xludf.DUMMYFUNCTION("""COMPUTED_VALUE"""),"agree")</f>
        <v>agree</v>
      </c>
      <c r="X145" s="3" t="str">
        <f>IFERROR(__xludf.DUMMYFUNCTION("""COMPUTED_VALUE"""),"Gold")</f>
        <v>Gold</v>
      </c>
      <c r="Y145" s="3" t="str">
        <f>IFERROR(__xludf.DUMMYFUNCTION("""COMPUTED_VALUE"""),"card")</f>
        <v>card</v>
      </c>
      <c r="Z145" s="3" t="str">
        <f>IFERROR(__xludf.DUMMYFUNCTION("""COMPUTED_VALUE"""),"monthly")</f>
        <v>monthly</v>
      </c>
      <c r="AA145" s="3">
        <f>IFERROR(__xludf.DUMMYFUNCTION("""COMPUTED_VALUE"""),30.0)</f>
        <v>30</v>
      </c>
      <c r="AB145" s="3" t="str">
        <f>IFERROR(__xludf.DUMMYFUNCTION("""COMPUTED_VALUE"""),"online")</f>
        <v>online</v>
      </c>
      <c r="AC145" s="3" t="str">
        <f>IFERROR(__xludf.DUMMYFUNCTION("""COMPUTED_VALUE"""),"Yes")</f>
        <v>Yes</v>
      </c>
      <c r="AD145" s="3" t="str">
        <f>IFERROR(__xludf.DUMMYFUNCTION("""COMPUTED_VALUE"""),"Gold")</f>
        <v>Gold</v>
      </c>
      <c r="AE145" s="3" t="str">
        <f>IFERROR(__xludf.DUMMYFUNCTION("""COMPUTED_VALUE"""),"Yes")</f>
        <v>Yes</v>
      </c>
      <c r="AF145" s="3" t="str">
        <f>IFERROR(__xludf.DUMMYFUNCTION("""COMPUTED_VALUE"""),"Yes")</f>
        <v>Yes</v>
      </c>
      <c r="AG145" s="3" t="str">
        <f>IFERROR(__xludf.DUMMYFUNCTION("""COMPUTED_VALUE"""),"Yes")</f>
        <v>Yes</v>
      </c>
      <c r="AH145" s="3">
        <f>IFERROR(__xludf.DUMMYFUNCTION("""COMPUTED_VALUE"""),50.0)</f>
        <v>50</v>
      </c>
      <c r="AI145" s="3">
        <f>IFERROR(__xludf.DUMMYFUNCTION("""COMPUTED_VALUE"""),0.0)</f>
        <v>0</v>
      </c>
      <c r="AJ145" s="3">
        <f>IFERROR(__xludf.DUMMYFUNCTION("""COMPUTED_VALUE"""),1.0)</f>
        <v>1</v>
      </c>
      <c r="AK145" s="3">
        <f>IFERROR(__xludf.DUMMYFUNCTION("""COMPUTED_VALUE"""),0.0)</f>
        <v>0</v>
      </c>
      <c r="AL145" s="3">
        <f>IFERROR(__xludf.DUMMYFUNCTION("""COMPUTED_VALUE"""),0.0)</f>
        <v>0</v>
      </c>
      <c r="AM145" s="3"/>
      <c r="AN145" s="3"/>
      <c r="AO145" s="3"/>
      <c r="AP145" s="3">
        <f>IFERROR(__xludf.DUMMYFUNCTION("""COMPUTED_VALUE"""),4.89935516E8)</f>
        <v>489935516</v>
      </c>
      <c r="AQ145" s="3" t="str">
        <f>IFERROR(__xludf.DUMMYFUNCTION("""COMPUTED_VALUE"""),"1386bc60-54aa-422c-a161-a9ee396525b5")</f>
        <v>1386bc60-54aa-422c-a161-a9ee396525b5</v>
      </c>
      <c r="AR145" s="3">
        <f>IFERROR(__xludf.DUMMYFUNCTION("""COMPUTED_VALUE"""),45808.41211805555)</f>
        <v>45808.41212</v>
      </c>
      <c r="AS145" s="3"/>
      <c r="AT145" s="3"/>
      <c r="AU145" s="3" t="str">
        <f>IFERROR(__xludf.DUMMYFUNCTION("""COMPUTED_VALUE"""),"submitted_via_web")</f>
        <v>submitted_via_web</v>
      </c>
      <c r="AV145" s="3"/>
      <c r="AW145" s="3" t="str">
        <f>IFERROR(__xludf.DUMMYFUNCTION("""COMPUTED_VALUE"""),"vckVTgNzM4XXtKAKNnsHpB")</f>
        <v>vckVTgNzM4XXtKAKNnsHpB</v>
      </c>
      <c r="AX145" s="3"/>
      <c r="AY145" s="3">
        <f>IFERROR(__xludf.DUMMYFUNCTION("""COMPUTED_VALUE"""),144.0)</f>
        <v>144</v>
      </c>
    </row>
    <row r="146">
      <c r="A146" s="3" t="str">
        <f>IFERROR(__xludf.DUMMYFUNCTION("""COMPUTED_VALUE"""),"Yes")</f>
        <v>Yes</v>
      </c>
      <c r="B146" s="3"/>
      <c r="C146" s="3" t="str">
        <f>IFERROR(__xludf.DUMMYFUNCTION("""COMPUTED_VALUE"""),"mozambique")</f>
        <v>mozambique</v>
      </c>
      <c r="D146" s="3"/>
      <c r="E146" s="3" t="str">
        <f>IFERROR(__xludf.DUMMYFUNCTION("""COMPUTED_VALUE"""),"mozambique")</f>
        <v>mozambique</v>
      </c>
      <c r="F146" s="3"/>
      <c r="G146" s="3">
        <f>IFERROR(__xludf.DUMMYFUNCTION("""COMPUTED_VALUE"""),33.0)</f>
        <v>33</v>
      </c>
      <c r="H146" s="3" t="str">
        <f>IFERROR(__xludf.DUMMYFUNCTION("""COMPUTED_VALUE"""),"male")</f>
        <v>male</v>
      </c>
      <c r="I146" s="3"/>
      <c r="J146" s="3" t="str">
        <f>IFERROR(__xludf.DUMMYFUNCTION("""COMPUTED_VALUE"""),"formal")</f>
        <v>formal</v>
      </c>
      <c r="K146" s="3" t="str">
        <f>IFERROR(__xludf.DUMMYFUNCTION("""COMPUTED_VALUE"""),"primary")</f>
        <v>primary</v>
      </c>
      <c r="L146" s="3"/>
      <c r="M146" s="3" t="str">
        <f>IFERROR(__xludf.DUMMYFUNCTION("""COMPUTED_VALUE"""),"agree")</f>
        <v>agree</v>
      </c>
      <c r="N146" s="3" t="str">
        <f>IFERROR(__xludf.DUMMYFUNCTION("""COMPUTED_VALUE"""),"agree")</f>
        <v>agree</v>
      </c>
      <c r="O146" s="3" t="str">
        <f>IFERROR(__xludf.DUMMYFUNCTION("""COMPUTED_VALUE"""),"disagree")</f>
        <v>disagree</v>
      </c>
      <c r="P146" s="3"/>
      <c r="Q146" s="3" t="str">
        <f>IFERROR(__xludf.DUMMYFUNCTION("""COMPUTED_VALUE"""),"agree")</f>
        <v>agree</v>
      </c>
      <c r="R146" s="3" t="str">
        <f>IFERROR(__xludf.DUMMYFUNCTION("""COMPUTED_VALUE"""),"agree")</f>
        <v>agree</v>
      </c>
      <c r="S146" s="3" t="str">
        <f>IFERROR(__xludf.DUMMYFUNCTION("""COMPUTED_VALUE"""),"agree")</f>
        <v>agree</v>
      </c>
      <c r="T146" s="3" t="str">
        <f>IFERROR(__xludf.DUMMYFUNCTION("""COMPUTED_VALUE"""),"dontknow")</f>
        <v>dontknow</v>
      </c>
      <c r="U146" s="3" t="str">
        <f>IFERROR(__xludf.DUMMYFUNCTION("""COMPUTED_VALUE"""),"dontknow")</f>
        <v>dontknow</v>
      </c>
      <c r="V146" s="3" t="str">
        <f>IFERROR(__xludf.DUMMYFUNCTION("""COMPUTED_VALUE"""),"disagree")</f>
        <v>disagree</v>
      </c>
      <c r="W146" s="3" t="str">
        <f>IFERROR(__xludf.DUMMYFUNCTION("""COMPUTED_VALUE"""),"disagree")</f>
        <v>disagree</v>
      </c>
      <c r="X146" s="3" t="str">
        <f>IFERROR(__xludf.DUMMYFUNCTION("""COMPUTED_VALUE"""),"Silver")</f>
        <v>Silver</v>
      </c>
      <c r="Y146" s="3" t="str">
        <f>IFERROR(__xludf.DUMMYFUNCTION("""COMPUTED_VALUE"""),"prepaid")</f>
        <v>prepaid</v>
      </c>
      <c r="Z146" s="3" t="str">
        <f>IFERROR(__xludf.DUMMYFUNCTION("""COMPUTED_VALUE"""),"quarterly")</f>
        <v>quarterly</v>
      </c>
      <c r="AA146" s="3">
        <f>IFERROR(__xludf.DUMMYFUNCTION("""COMPUTED_VALUE"""),100.0)</f>
        <v>100</v>
      </c>
      <c r="AB146" s="3" t="str">
        <f>IFERROR(__xludf.DUMMYFUNCTION("""COMPUTED_VALUE"""),"assisted")</f>
        <v>assisted</v>
      </c>
      <c r="AC146" s="3" t="str">
        <f>IFERROR(__xludf.DUMMYFUNCTION("""COMPUTED_VALUE"""),"No")</f>
        <v>No</v>
      </c>
      <c r="AD146" s="3"/>
      <c r="AE146" s="3"/>
      <c r="AF146" s="3" t="str">
        <f>IFERROR(__xludf.DUMMYFUNCTION("""COMPUTED_VALUE"""),"Yes")</f>
        <v>Yes</v>
      </c>
      <c r="AG146" s="3" t="str">
        <f>IFERROR(__xludf.DUMMYFUNCTION("""COMPUTED_VALUE"""),"Yes")</f>
        <v>Yes</v>
      </c>
      <c r="AH146" s="3">
        <f>IFERROR(__xludf.DUMMYFUNCTION("""COMPUTED_VALUE"""),10.0)</f>
        <v>10</v>
      </c>
      <c r="AI146" s="3">
        <f>IFERROR(__xludf.DUMMYFUNCTION("""COMPUTED_VALUE"""),0.0)</f>
        <v>0</v>
      </c>
      <c r="AJ146" s="3">
        <f>IFERROR(__xludf.DUMMYFUNCTION("""COMPUTED_VALUE"""),0.0)</f>
        <v>0</v>
      </c>
      <c r="AK146" s="3">
        <f>IFERROR(__xludf.DUMMYFUNCTION("""COMPUTED_VALUE"""),0.0)</f>
        <v>0</v>
      </c>
      <c r="AL146" s="3">
        <f>IFERROR(__xludf.DUMMYFUNCTION("""COMPUTED_VALUE"""),1.0)</f>
        <v>1</v>
      </c>
      <c r="AM146" s="3"/>
      <c r="AN146" s="3"/>
      <c r="AO146" s="3"/>
      <c r="AP146" s="3">
        <f>IFERROR(__xludf.DUMMYFUNCTION("""COMPUTED_VALUE"""),4.89936782E8)</f>
        <v>489936782</v>
      </c>
      <c r="AQ146" s="3" t="str">
        <f>IFERROR(__xludf.DUMMYFUNCTION("""COMPUTED_VALUE"""),"ba81fdef-9708-4792-9bef-d4727dc643d0")</f>
        <v>ba81fdef-9708-4792-9bef-d4727dc643d0</v>
      </c>
      <c r="AR146" s="3">
        <f>IFERROR(__xludf.DUMMYFUNCTION("""COMPUTED_VALUE"""),45808.41376157408)</f>
        <v>45808.41376</v>
      </c>
      <c r="AS146" s="3"/>
      <c r="AT146" s="3"/>
      <c r="AU146" s="3" t="str">
        <f>IFERROR(__xludf.DUMMYFUNCTION("""COMPUTED_VALUE"""),"submitted_via_web")</f>
        <v>submitted_via_web</v>
      </c>
      <c r="AV146" s="3"/>
      <c r="AW146" s="3" t="str">
        <f>IFERROR(__xludf.DUMMYFUNCTION("""COMPUTED_VALUE"""),"vckVTgNzM4XXtKAKNnsHpB")</f>
        <v>vckVTgNzM4XXtKAKNnsHpB</v>
      </c>
      <c r="AX146" s="3"/>
      <c r="AY146" s="3">
        <f>IFERROR(__xludf.DUMMYFUNCTION("""COMPUTED_VALUE"""),145.0)</f>
        <v>145</v>
      </c>
    </row>
    <row r="147">
      <c r="A147" s="3" t="str">
        <f>IFERROR(__xludf.DUMMYFUNCTION("""COMPUTED_VALUE"""),"Yes")</f>
        <v>Yes</v>
      </c>
      <c r="B147" s="3"/>
      <c r="C147" s="3" t="str">
        <f>IFERROR(__xludf.DUMMYFUNCTION("""COMPUTED_VALUE"""),"mozambique")</f>
        <v>mozambique</v>
      </c>
      <c r="D147" s="3"/>
      <c r="E147" s="3" t="str">
        <f>IFERROR(__xludf.DUMMYFUNCTION("""COMPUTED_VALUE"""),"south_africa")</f>
        <v>south_africa</v>
      </c>
      <c r="F147" s="3" t="str">
        <f>IFERROR(__xludf.DUMMYFUNCTION("""COMPUTED_VALUE"""),"City of Johannesburg Metropolitan Municipality")</f>
        <v>City of Johannesburg Metropolitan Municipality</v>
      </c>
      <c r="G147" s="3">
        <f>IFERROR(__xludf.DUMMYFUNCTION("""COMPUTED_VALUE"""),31.0)</f>
        <v>31</v>
      </c>
      <c r="H147" s="3" t="str">
        <f>IFERROR(__xludf.DUMMYFUNCTION("""COMPUTED_VALUE"""),"male")</f>
        <v>male</v>
      </c>
      <c r="I147" s="3" t="str">
        <f>IFERROR(__xludf.DUMMYFUNCTION("""COMPUTED_VALUE"""),"over5")</f>
        <v>over5</v>
      </c>
      <c r="J147" s="3" t="str">
        <f>IFERROR(__xludf.DUMMYFUNCTION("""COMPUTED_VALUE"""),"formal")</f>
        <v>formal</v>
      </c>
      <c r="K147" s="3" t="str">
        <f>IFERROR(__xludf.DUMMYFUNCTION("""COMPUTED_VALUE"""),"primary")</f>
        <v>primary</v>
      </c>
      <c r="L147" s="3"/>
      <c r="M147" s="3" t="str">
        <f>IFERROR(__xludf.DUMMYFUNCTION("""COMPUTED_VALUE"""),"agree")</f>
        <v>agree</v>
      </c>
      <c r="N147" s="3" t="str">
        <f>IFERROR(__xludf.DUMMYFUNCTION("""COMPUTED_VALUE"""),"agree")</f>
        <v>agree</v>
      </c>
      <c r="O147" s="3" t="str">
        <f>IFERROR(__xludf.DUMMYFUNCTION("""COMPUTED_VALUE"""),"disagree")</f>
        <v>disagree</v>
      </c>
      <c r="P147" s="3"/>
      <c r="Q147" s="3" t="str">
        <f>IFERROR(__xludf.DUMMYFUNCTION("""COMPUTED_VALUE"""),"disagree")</f>
        <v>disagree</v>
      </c>
      <c r="R147" s="3" t="str">
        <f>IFERROR(__xludf.DUMMYFUNCTION("""COMPUTED_VALUE"""),"disagree")</f>
        <v>disagree</v>
      </c>
      <c r="S147" s="3" t="str">
        <f>IFERROR(__xludf.DUMMYFUNCTION("""COMPUTED_VALUE"""),"agree")</f>
        <v>agree</v>
      </c>
      <c r="T147" s="3" t="str">
        <f>IFERROR(__xludf.DUMMYFUNCTION("""COMPUTED_VALUE"""),"disagree")</f>
        <v>disagree</v>
      </c>
      <c r="U147" s="3"/>
      <c r="V147" s="3" t="str">
        <f>IFERROR(__xludf.DUMMYFUNCTION("""COMPUTED_VALUE"""),"disagree")</f>
        <v>disagree</v>
      </c>
      <c r="W147" s="3" t="str">
        <f>IFERROR(__xludf.DUMMYFUNCTION("""COMPUTED_VALUE"""),"disagree")</f>
        <v>disagree</v>
      </c>
      <c r="X147" s="3" t="str">
        <f>IFERROR(__xludf.DUMMYFUNCTION("""COMPUTED_VALUE"""),"Silver")</f>
        <v>Silver</v>
      </c>
      <c r="Y147" s="3" t="str">
        <f>IFERROR(__xludf.DUMMYFUNCTION("""COMPUTED_VALUE"""),"prepaid")</f>
        <v>prepaid</v>
      </c>
      <c r="Z147" s="3" t="str">
        <f>IFERROR(__xludf.DUMMYFUNCTION("""COMPUTED_VALUE"""),"annual")</f>
        <v>annual</v>
      </c>
      <c r="AA147" s="3">
        <f>IFERROR(__xludf.DUMMYFUNCTION("""COMPUTED_VALUE"""),100.0)</f>
        <v>100</v>
      </c>
      <c r="AB147" s="3" t="str">
        <f>IFERROR(__xludf.DUMMYFUNCTION("""COMPUTED_VALUE"""),"assisted")</f>
        <v>assisted</v>
      </c>
      <c r="AC147" s="3" t="str">
        <f>IFERROR(__xludf.DUMMYFUNCTION("""COMPUTED_VALUE"""),"No")</f>
        <v>No</v>
      </c>
      <c r="AD147" s="3"/>
      <c r="AE147" s="3"/>
      <c r="AF147" s="3" t="str">
        <f>IFERROR(__xludf.DUMMYFUNCTION("""COMPUTED_VALUE"""),"Yes")</f>
        <v>Yes</v>
      </c>
      <c r="AG147" s="3" t="str">
        <f>IFERROR(__xludf.DUMMYFUNCTION("""COMPUTED_VALUE"""),"No")</f>
        <v>No</v>
      </c>
      <c r="AH147" s="3"/>
      <c r="AI147" s="3">
        <f>IFERROR(__xludf.DUMMYFUNCTION("""COMPUTED_VALUE"""),0.0)</f>
        <v>0</v>
      </c>
      <c r="AJ147" s="3">
        <f>IFERROR(__xludf.DUMMYFUNCTION("""COMPUTED_VALUE"""),0.0)</f>
        <v>0</v>
      </c>
      <c r="AK147" s="3">
        <f>IFERROR(__xludf.DUMMYFUNCTION("""COMPUTED_VALUE"""),0.0)</f>
        <v>0</v>
      </c>
      <c r="AL147" s="3">
        <f>IFERROR(__xludf.DUMMYFUNCTION("""COMPUTED_VALUE"""),1.0)</f>
        <v>1</v>
      </c>
      <c r="AM147" s="3" t="str">
        <f>IFERROR(__xludf.DUMMYFUNCTION("""COMPUTED_VALUE"""),"Yes")</f>
        <v>Yes</v>
      </c>
      <c r="AN147" s="3">
        <f>IFERROR(__xludf.DUMMYFUNCTION("""COMPUTED_VALUE"""),6.03754007E8)</f>
        <v>603754007</v>
      </c>
      <c r="AO147" s="3"/>
      <c r="AP147" s="3">
        <f>IFERROR(__xludf.DUMMYFUNCTION("""COMPUTED_VALUE"""),4.89939487E8)</f>
        <v>489939487</v>
      </c>
      <c r="AQ147" s="3" t="str">
        <f>IFERROR(__xludf.DUMMYFUNCTION("""COMPUTED_VALUE"""),"8880b2eb-d9e9-4dce-bf3f-27e373c9a856")</f>
        <v>8880b2eb-d9e9-4dce-bf3f-27e373c9a856</v>
      </c>
      <c r="AR147" s="3">
        <f>IFERROR(__xludf.DUMMYFUNCTION("""COMPUTED_VALUE"""),45808.41780092593)</f>
        <v>45808.4178</v>
      </c>
      <c r="AS147" s="3"/>
      <c r="AT147" s="3"/>
      <c r="AU147" s="3" t="str">
        <f>IFERROR(__xludf.DUMMYFUNCTION("""COMPUTED_VALUE"""),"submitted_via_web")</f>
        <v>submitted_via_web</v>
      </c>
      <c r="AV147" s="3"/>
      <c r="AW147" s="3" t="str">
        <f>IFERROR(__xludf.DUMMYFUNCTION("""COMPUTED_VALUE"""),"vckVTgNzM4XXtKAKNnsHpB")</f>
        <v>vckVTgNzM4XXtKAKNnsHpB</v>
      </c>
      <c r="AX147" s="3"/>
      <c r="AY147" s="3">
        <f>IFERROR(__xludf.DUMMYFUNCTION("""COMPUTED_VALUE"""),146.0)</f>
        <v>146</v>
      </c>
    </row>
    <row r="148">
      <c r="A148" s="3" t="str">
        <f>IFERROR(__xludf.DUMMYFUNCTION("""COMPUTED_VALUE"""),"Yes")</f>
        <v>Yes</v>
      </c>
      <c r="B148" s="3"/>
      <c r="C148" s="3" t="str">
        <f>IFERROR(__xludf.DUMMYFUNCTION("""COMPUTED_VALUE"""),"zimbabwe")</f>
        <v>zimbabwe</v>
      </c>
      <c r="D148" s="3"/>
      <c r="E148" s="3" t="str">
        <f>IFERROR(__xludf.DUMMYFUNCTION("""COMPUTED_VALUE"""),"south_africa")</f>
        <v>south_africa</v>
      </c>
      <c r="F148" s="3" t="str">
        <f>IFERROR(__xludf.DUMMYFUNCTION("""COMPUTED_VALUE"""),"City of Johannesburg Metropolitan Municipality")</f>
        <v>City of Johannesburg Metropolitan Municipality</v>
      </c>
      <c r="G148" s="3">
        <f>IFERROR(__xludf.DUMMYFUNCTION("""COMPUTED_VALUE"""),40.0)</f>
        <v>40</v>
      </c>
      <c r="H148" s="3" t="str">
        <f>IFERROR(__xludf.DUMMYFUNCTION("""COMPUTED_VALUE"""),"female")</f>
        <v>female</v>
      </c>
      <c r="I148" s="3" t="str">
        <f>IFERROR(__xludf.DUMMYFUNCTION("""COMPUTED_VALUE"""),"over5")</f>
        <v>over5</v>
      </c>
      <c r="J148" s="3" t="str">
        <f>IFERROR(__xludf.DUMMYFUNCTION("""COMPUTED_VALUE"""),"formal")</f>
        <v>formal</v>
      </c>
      <c r="K148" s="3" t="str">
        <f>IFERROR(__xludf.DUMMYFUNCTION("""COMPUTED_VALUE"""),"secondary")</f>
        <v>secondary</v>
      </c>
      <c r="L148" s="3"/>
      <c r="M148" s="3" t="str">
        <f>IFERROR(__xludf.DUMMYFUNCTION("""COMPUTED_VALUE"""),"agree")</f>
        <v>agree</v>
      </c>
      <c r="N148" s="3" t="str">
        <f>IFERROR(__xludf.DUMMYFUNCTION("""COMPUTED_VALUE"""),"agree")</f>
        <v>agree</v>
      </c>
      <c r="O148" s="3" t="str">
        <f>IFERROR(__xludf.DUMMYFUNCTION("""COMPUTED_VALUE"""),"agree")</f>
        <v>agree</v>
      </c>
      <c r="P148" s="3"/>
      <c r="Q148" s="3" t="str">
        <f>IFERROR(__xludf.DUMMYFUNCTION("""COMPUTED_VALUE"""),"agree")</f>
        <v>agree</v>
      </c>
      <c r="R148" s="3" t="str">
        <f>IFERROR(__xludf.DUMMYFUNCTION("""COMPUTED_VALUE"""),"agree")</f>
        <v>agree</v>
      </c>
      <c r="S148" s="3" t="str">
        <f>IFERROR(__xludf.DUMMYFUNCTION("""COMPUTED_VALUE"""),"agree")</f>
        <v>agree</v>
      </c>
      <c r="T148" s="3" t="str">
        <f>IFERROR(__xludf.DUMMYFUNCTION("""COMPUTED_VALUE"""),"agree")</f>
        <v>agree</v>
      </c>
      <c r="U148" s="3" t="str">
        <f>IFERROR(__xludf.DUMMYFUNCTION("""COMPUTED_VALUE"""),"dontknow")</f>
        <v>dontknow</v>
      </c>
      <c r="V148" s="3" t="str">
        <f>IFERROR(__xludf.DUMMYFUNCTION("""COMPUTED_VALUE"""),"agree")</f>
        <v>agree</v>
      </c>
      <c r="W148" s="3" t="str">
        <f>IFERROR(__xludf.DUMMYFUNCTION("""COMPUTED_VALUE"""),"disagree")</f>
        <v>disagree</v>
      </c>
      <c r="X148" s="3" t="str">
        <f>IFERROR(__xludf.DUMMYFUNCTION("""COMPUTED_VALUE"""),"Silver")</f>
        <v>Silver</v>
      </c>
      <c r="Y148" s="3" t="str">
        <f>IFERROR(__xludf.DUMMYFUNCTION("""COMPUTED_VALUE"""),"cash")</f>
        <v>cash</v>
      </c>
      <c r="Z148" s="3" t="str">
        <f>IFERROR(__xludf.DUMMYFUNCTION("""COMPUTED_VALUE"""),"monthly")</f>
        <v>monthly</v>
      </c>
      <c r="AA148" s="3">
        <f>IFERROR(__xludf.DUMMYFUNCTION("""COMPUTED_VALUE"""),50.0)</f>
        <v>50</v>
      </c>
      <c r="AB148" s="3" t="str">
        <f>IFERROR(__xludf.DUMMYFUNCTION("""COMPUTED_VALUE"""),"online")</f>
        <v>online</v>
      </c>
      <c r="AC148" s="3" t="str">
        <f>IFERROR(__xludf.DUMMYFUNCTION("""COMPUTED_VALUE"""),"No")</f>
        <v>No</v>
      </c>
      <c r="AD148" s="3"/>
      <c r="AE148" s="3"/>
      <c r="AF148" s="3" t="str">
        <f>IFERROR(__xludf.DUMMYFUNCTION("""COMPUTED_VALUE"""),"Yes")</f>
        <v>Yes</v>
      </c>
      <c r="AG148" s="3" t="str">
        <f>IFERROR(__xludf.DUMMYFUNCTION("""COMPUTED_VALUE"""),"Yes")</f>
        <v>Yes</v>
      </c>
      <c r="AH148" s="3">
        <f>IFERROR(__xludf.DUMMYFUNCTION("""COMPUTED_VALUE"""),20.0)</f>
        <v>20</v>
      </c>
      <c r="AI148" s="3">
        <f>IFERROR(__xludf.DUMMYFUNCTION("""COMPUTED_VALUE"""),0.0)</f>
        <v>0</v>
      </c>
      <c r="AJ148" s="3">
        <f>IFERROR(__xludf.DUMMYFUNCTION("""COMPUTED_VALUE"""),0.0)</f>
        <v>0</v>
      </c>
      <c r="AK148" s="3">
        <f>IFERROR(__xludf.DUMMYFUNCTION("""COMPUTED_VALUE"""),0.0)</f>
        <v>0</v>
      </c>
      <c r="AL148" s="3">
        <f>IFERROR(__xludf.DUMMYFUNCTION("""COMPUTED_VALUE"""),1.0)</f>
        <v>1</v>
      </c>
      <c r="AM148" s="3" t="str">
        <f>IFERROR(__xludf.DUMMYFUNCTION("""COMPUTED_VALUE"""),"Yes")</f>
        <v>Yes</v>
      </c>
      <c r="AN148" s="3">
        <f>IFERROR(__xludf.DUMMYFUNCTION("""COMPUTED_VALUE"""),8.46416597E8)</f>
        <v>846416597</v>
      </c>
      <c r="AO148" s="3"/>
      <c r="AP148" s="3">
        <f>IFERROR(__xludf.DUMMYFUNCTION("""COMPUTED_VALUE"""),4.89951561E8)</f>
        <v>489951561</v>
      </c>
      <c r="AQ148" s="3" t="str">
        <f>IFERROR(__xludf.DUMMYFUNCTION("""COMPUTED_VALUE"""),"237d9603-9c32-444a-872b-6501f32dd68c")</f>
        <v>237d9603-9c32-444a-872b-6501f32dd68c</v>
      </c>
      <c r="AR148" s="3">
        <f>IFERROR(__xludf.DUMMYFUNCTION("""COMPUTED_VALUE"""),45808.433796296296)</f>
        <v>45808.4338</v>
      </c>
      <c r="AS148" s="3"/>
      <c r="AT148" s="3"/>
      <c r="AU148" s="3" t="str">
        <f>IFERROR(__xludf.DUMMYFUNCTION("""COMPUTED_VALUE"""),"submitted_via_web")</f>
        <v>submitted_via_web</v>
      </c>
      <c r="AV148" s="3"/>
      <c r="AW148" s="3" t="str">
        <f>IFERROR(__xludf.DUMMYFUNCTION("""COMPUTED_VALUE"""),"vckVTgNzM4XXtKAKNnsHpB")</f>
        <v>vckVTgNzM4XXtKAKNnsHpB</v>
      </c>
      <c r="AX148" s="3"/>
      <c r="AY148" s="3">
        <f>IFERROR(__xludf.DUMMYFUNCTION("""COMPUTED_VALUE"""),147.0)</f>
        <v>147</v>
      </c>
    </row>
    <row r="149">
      <c r="A149" s="3" t="str">
        <f>IFERROR(__xludf.DUMMYFUNCTION("""COMPUTED_VALUE"""),"Yes")</f>
        <v>Yes</v>
      </c>
      <c r="B149" s="3"/>
      <c r="C149" s="3" t="str">
        <f>IFERROR(__xludf.DUMMYFUNCTION("""COMPUTED_VALUE"""),"zimbabwe")</f>
        <v>zimbabwe</v>
      </c>
      <c r="D149" s="3"/>
      <c r="E149" s="3" t="str">
        <f>IFERROR(__xludf.DUMMYFUNCTION("""COMPUTED_VALUE"""),"south_africa")</f>
        <v>south_africa</v>
      </c>
      <c r="F149" s="3" t="str">
        <f>IFERROR(__xludf.DUMMYFUNCTION("""COMPUTED_VALUE"""),"Capetown")</f>
        <v>Capetown</v>
      </c>
      <c r="G149" s="3">
        <f>IFERROR(__xludf.DUMMYFUNCTION("""COMPUTED_VALUE"""),25.0)</f>
        <v>25</v>
      </c>
      <c r="H149" s="3" t="str">
        <f>IFERROR(__xludf.DUMMYFUNCTION("""COMPUTED_VALUE"""),"female")</f>
        <v>female</v>
      </c>
      <c r="I149" s="3" t="str">
        <f>IFERROR(__xludf.DUMMYFUNCTION("""COMPUTED_VALUE"""),"over5")</f>
        <v>over5</v>
      </c>
      <c r="J149" s="3" t="str">
        <f>IFERROR(__xludf.DUMMYFUNCTION("""COMPUTED_VALUE"""),"unemployed")</f>
        <v>unemployed</v>
      </c>
      <c r="K149" s="3" t="str">
        <f>IFERROR(__xludf.DUMMYFUNCTION("""COMPUTED_VALUE"""),"vocational")</f>
        <v>vocational</v>
      </c>
      <c r="L149" s="3"/>
      <c r="M149" s="3" t="str">
        <f>IFERROR(__xludf.DUMMYFUNCTION("""COMPUTED_VALUE"""),"agree")</f>
        <v>agree</v>
      </c>
      <c r="N149" s="3" t="str">
        <f>IFERROR(__xludf.DUMMYFUNCTION("""COMPUTED_VALUE"""),"agree")</f>
        <v>agree</v>
      </c>
      <c r="O149" s="3" t="str">
        <f>IFERROR(__xludf.DUMMYFUNCTION("""COMPUTED_VALUE"""),"agree")</f>
        <v>agree</v>
      </c>
      <c r="P149" s="3"/>
      <c r="Q149" s="3" t="str">
        <f>IFERROR(__xludf.DUMMYFUNCTION("""COMPUTED_VALUE"""),"dontknow")</f>
        <v>dontknow</v>
      </c>
      <c r="R149" s="3" t="str">
        <f>IFERROR(__xludf.DUMMYFUNCTION("""COMPUTED_VALUE"""),"agree")</f>
        <v>agree</v>
      </c>
      <c r="S149" s="3" t="str">
        <f>IFERROR(__xludf.DUMMYFUNCTION("""COMPUTED_VALUE"""),"disagree")</f>
        <v>disagree</v>
      </c>
      <c r="T149" s="3" t="str">
        <f>IFERROR(__xludf.DUMMYFUNCTION("""COMPUTED_VALUE"""),"disagree")</f>
        <v>disagree</v>
      </c>
      <c r="U149" s="3" t="str">
        <f>IFERROR(__xludf.DUMMYFUNCTION("""COMPUTED_VALUE"""),"agree")</f>
        <v>agree</v>
      </c>
      <c r="V149" s="3" t="str">
        <f>IFERROR(__xludf.DUMMYFUNCTION("""COMPUTED_VALUE"""),"disagree")</f>
        <v>disagree</v>
      </c>
      <c r="W149" s="3" t="str">
        <f>IFERROR(__xludf.DUMMYFUNCTION("""COMPUTED_VALUE"""),"disagree")</f>
        <v>disagree</v>
      </c>
      <c r="X149" s="3" t="str">
        <f>IFERROR(__xludf.DUMMYFUNCTION("""COMPUTED_VALUE"""),"Gold")</f>
        <v>Gold</v>
      </c>
      <c r="Y149" s="3" t="str">
        <f>IFERROR(__xludf.DUMMYFUNCTION("""COMPUTED_VALUE"""),"cash")</f>
        <v>cash</v>
      </c>
      <c r="Z149" s="3" t="str">
        <f>IFERROR(__xludf.DUMMYFUNCTION("""COMPUTED_VALUE"""),"once")</f>
        <v>once</v>
      </c>
      <c r="AA149" s="3">
        <f>IFERROR(__xludf.DUMMYFUNCTION("""COMPUTED_VALUE"""),50.0)</f>
        <v>50</v>
      </c>
      <c r="AB149" s="3" t="str">
        <f>IFERROR(__xludf.DUMMYFUNCTION("""COMPUTED_VALUE"""),"employer")</f>
        <v>employer</v>
      </c>
      <c r="AC149" s="3" t="str">
        <f>IFERROR(__xludf.DUMMYFUNCTION("""COMPUTED_VALUE"""),"I am not an employer")</f>
        <v>I am not an employer</v>
      </c>
      <c r="AD149" s="3"/>
      <c r="AE149" s="3"/>
      <c r="AF149" s="3" t="str">
        <f>IFERROR(__xludf.DUMMYFUNCTION("""COMPUTED_VALUE"""),"Yes")</f>
        <v>Yes</v>
      </c>
      <c r="AG149" s="3" t="str">
        <f>IFERROR(__xludf.DUMMYFUNCTION("""COMPUTED_VALUE"""),"No")</f>
        <v>No</v>
      </c>
      <c r="AH149" s="3"/>
      <c r="AI149" s="3">
        <f>IFERROR(__xludf.DUMMYFUNCTION("""COMPUTED_VALUE"""),0.0)</f>
        <v>0</v>
      </c>
      <c r="AJ149" s="3">
        <f>IFERROR(__xludf.DUMMYFUNCTION("""COMPUTED_VALUE"""),0.0)</f>
        <v>0</v>
      </c>
      <c r="AK149" s="3">
        <f>IFERROR(__xludf.DUMMYFUNCTION("""COMPUTED_VALUE"""),0.0)</f>
        <v>0</v>
      </c>
      <c r="AL149" s="3">
        <f>IFERROR(__xludf.DUMMYFUNCTION("""COMPUTED_VALUE"""),1.0)</f>
        <v>1</v>
      </c>
      <c r="AM149" s="3" t="str">
        <f>IFERROR(__xludf.DUMMYFUNCTION("""COMPUTED_VALUE"""),"No")</f>
        <v>No</v>
      </c>
      <c r="AN149" s="3"/>
      <c r="AO149" s="3"/>
      <c r="AP149" s="3">
        <f>IFERROR(__xludf.DUMMYFUNCTION("""COMPUTED_VALUE"""),4.899521E8)</f>
        <v>489952100</v>
      </c>
      <c r="AQ149" s="3" t="str">
        <f>IFERROR(__xludf.DUMMYFUNCTION("""COMPUTED_VALUE"""),"7b7c759b-d2a9-4818-8b94-48b9fdc8f0e7")</f>
        <v>7b7c759b-d2a9-4818-8b94-48b9fdc8f0e7</v>
      </c>
      <c r="AR149" s="3">
        <f>IFERROR(__xludf.DUMMYFUNCTION("""COMPUTED_VALUE"""),45808.4346875)</f>
        <v>45808.43469</v>
      </c>
      <c r="AS149" s="3"/>
      <c r="AT149" s="3"/>
      <c r="AU149" s="3" t="str">
        <f>IFERROR(__xludf.DUMMYFUNCTION("""COMPUTED_VALUE"""),"submitted_via_web")</f>
        <v>submitted_via_web</v>
      </c>
      <c r="AV149" s="3"/>
      <c r="AW149" s="3" t="str">
        <f>IFERROR(__xludf.DUMMYFUNCTION("""COMPUTED_VALUE"""),"vckVTgNzM4XXtKAKNnsHpB")</f>
        <v>vckVTgNzM4XXtKAKNnsHpB</v>
      </c>
      <c r="AX149" s="3"/>
      <c r="AY149" s="3">
        <f>IFERROR(__xludf.DUMMYFUNCTION("""COMPUTED_VALUE"""),148.0)</f>
        <v>148</v>
      </c>
    </row>
    <row r="150">
      <c r="A150" s="3" t="str">
        <f>IFERROR(__xludf.DUMMYFUNCTION("""COMPUTED_VALUE"""),"Yes")</f>
        <v>Yes</v>
      </c>
      <c r="B150" s="3"/>
      <c r="C150" s="3" t="str">
        <f>IFERROR(__xludf.DUMMYFUNCTION("""COMPUTED_VALUE"""),"lesotho")</f>
        <v>lesotho</v>
      </c>
      <c r="D150" s="3"/>
      <c r="E150" s="3" t="str">
        <f>IFERROR(__xludf.DUMMYFUNCTION("""COMPUTED_VALUE"""),"lesotho")</f>
        <v>lesotho</v>
      </c>
      <c r="F150" s="3"/>
      <c r="G150" s="3">
        <f>IFERROR(__xludf.DUMMYFUNCTION("""COMPUTED_VALUE"""),21.0)</f>
        <v>21</v>
      </c>
      <c r="H150" s="3" t="str">
        <f>IFERROR(__xludf.DUMMYFUNCTION("""COMPUTED_VALUE"""),"female")</f>
        <v>female</v>
      </c>
      <c r="I150" s="3"/>
      <c r="J150" s="3" t="str">
        <f>IFERROR(__xludf.DUMMYFUNCTION("""COMPUTED_VALUE"""),"unemployed")</f>
        <v>unemployed</v>
      </c>
      <c r="K150" s="3" t="str">
        <f>IFERROR(__xludf.DUMMYFUNCTION("""COMPUTED_VALUE"""),"tertiary")</f>
        <v>tertiary</v>
      </c>
      <c r="L150" s="3"/>
      <c r="M150" s="3" t="str">
        <f>IFERROR(__xludf.DUMMYFUNCTION("""COMPUTED_VALUE"""),"agree")</f>
        <v>agree</v>
      </c>
      <c r="N150" s="3" t="str">
        <f>IFERROR(__xludf.DUMMYFUNCTION("""COMPUTED_VALUE"""),"agree")</f>
        <v>agree</v>
      </c>
      <c r="O150" s="3"/>
      <c r="P150" s="3"/>
      <c r="Q150" s="3" t="str">
        <f>IFERROR(__xludf.DUMMYFUNCTION("""COMPUTED_VALUE"""),"agree")</f>
        <v>agree</v>
      </c>
      <c r="R150" s="3" t="str">
        <f>IFERROR(__xludf.DUMMYFUNCTION("""COMPUTED_VALUE"""),"agree")</f>
        <v>agree</v>
      </c>
      <c r="S150" s="3" t="str">
        <f>IFERROR(__xludf.DUMMYFUNCTION("""COMPUTED_VALUE"""),"agree")</f>
        <v>agree</v>
      </c>
      <c r="T150" s="3" t="str">
        <f>IFERROR(__xludf.DUMMYFUNCTION("""COMPUTED_VALUE"""),"agree")</f>
        <v>agree</v>
      </c>
      <c r="U150" s="3" t="str">
        <f>IFERROR(__xludf.DUMMYFUNCTION("""COMPUTED_VALUE"""),"agree")</f>
        <v>agree</v>
      </c>
      <c r="V150" s="3" t="str">
        <f>IFERROR(__xludf.DUMMYFUNCTION("""COMPUTED_VALUE"""),"agree")</f>
        <v>agree</v>
      </c>
      <c r="W150" s="3" t="str">
        <f>IFERROR(__xludf.DUMMYFUNCTION("""COMPUTED_VALUE"""),"agree")</f>
        <v>agree</v>
      </c>
      <c r="X150" s="3" t="str">
        <f>IFERROR(__xludf.DUMMYFUNCTION("""COMPUTED_VALUE"""),"Gold")</f>
        <v>Gold</v>
      </c>
      <c r="Y150" s="3" t="str">
        <f>IFERROR(__xludf.DUMMYFUNCTION("""COMPUTED_VALUE"""),"card")</f>
        <v>card</v>
      </c>
      <c r="Z150" s="3" t="str">
        <f>IFERROR(__xludf.DUMMYFUNCTION("""COMPUTED_VALUE"""),"once")</f>
        <v>once</v>
      </c>
      <c r="AA150" s="3">
        <f>IFERROR(__xludf.DUMMYFUNCTION("""COMPUTED_VALUE"""),30.0)</f>
        <v>30</v>
      </c>
      <c r="AB150" s="3" t="str">
        <f>IFERROR(__xludf.DUMMYFUNCTION("""COMPUTED_VALUE"""),"online")</f>
        <v>online</v>
      </c>
      <c r="AC150" s="3" t="str">
        <f>IFERROR(__xludf.DUMMYFUNCTION("""COMPUTED_VALUE"""),"Yes")</f>
        <v>Yes</v>
      </c>
      <c r="AD150" s="3" t="str">
        <f>IFERROR(__xludf.DUMMYFUNCTION("""COMPUTED_VALUE"""),"Gold")</f>
        <v>Gold</v>
      </c>
      <c r="AE150" s="3" t="str">
        <f>IFERROR(__xludf.DUMMYFUNCTION("""COMPUTED_VALUE"""),"Yes")</f>
        <v>Yes</v>
      </c>
      <c r="AF150" s="3" t="str">
        <f>IFERROR(__xludf.DUMMYFUNCTION("""COMPUTED_VALUE"""),"Yes")</f>
        <v>Yes</v>
      </c>
      <c r="AG150" s="3" t="str">
        <f>IFERROR(__xludf.DUMMYFUNCTION("""COMPUTED_VALUE"""),"Yes")</f>
        <v>Yes</v>
      </c>
      <c r="AH150" s="3"/>
      <c r="AI150" s="3">
        <f>IFERROR(__xludf.DUMMYFUNCTION("""COMPUTED_VALUE"""),1.0)</f>
        <v>1</v>
      </c>
      <c r="AJ150" s="3">
        <f>IFERROR(__xludf.DUMMYFUNCTION("""COMPUTED_VALUE"""),0.0)</f>
        <v>0</v>
      </c>
      <c r="AK150" s="3">
        <f>IFERROR(__xludf.DUMMYFUNCTION("""COMPUTED_VALUE"""),0.0)</f>
        <v>0</v>
      </c>
      <c r="AL150" s="3">
        <f>IFERROR(__xludf.DUMMYFUNCTION("""COMPUTED_VALUE"""),0.0)</f>
        <v>0</v>
      </c>
      <c r="AM150" s="3"/>
      <c r="AN150" s="3"/>
      <c r="AO150" s="3"/>
      <c r="AP150" s="3">
        <f>IFERROR(__xludf.DUMMYFUNCTION("""COMPUTED_VALUE"""),4.89973054E8)</f>
        <v>489973054</v>
      </c>
      <c r="AQ150" s="3" t="str">
        <f>IFERROR(__xludf.DUMMYFUNCTION("""COMPUTED_VALUE"""),"1d09fc76-0e17-4ae5-9a77-5a109588ec16")</f>
        <v>1d09fc76-0e17-4ae5-9a77-5a109588ec16</v>
      </c>
      <c r="AR150" s="3">
        <f>IFERROR(__xludf.DUMMYFUNCTION("""COMPUTED_VALUE"""),45808.46388888889)</f>
        <v>45808.46389</v>
      </c>
      <c r="AS150" s="3"/>
      <c r="AT150" s="3"/>
      <c r="AU150" s="3" t="str">
        <f>IFERROR(__xludf.DUMMYFUNCTION("""COMPUTED_VALUE"""),"submitted_via_web")</f>
        <v>submitted_via_web</v>
      </c>
      <c r="AV150" s="3"/>
      <c r="AW150" s="3" t="str">
        <f>IFERROR(__xludf.DUMMYFUNCTION("""COMPUTED_VALUE"""),"vckVTgNzM4XXtKAKNnsHpB")</f>
        <v>vckVTgNzM4XXtKAKNnsHpB</v>
      </c>
      <c r="AX150" s="3"/>
      <c r="AY150" s="3">
        <f>IFERROR(__xludf.DUMMYFUNCTION("""COMPUTED_VALUE"""),149.0)</f>
        <v>149</v>
      </c>
    </row>
    <row r="151">
      <c r="A151" s="3" t="str">
        <f>IFERROR(__xludf.DUMMYFUNCTION("""COMPUTED_VALUE"""),"Yes")</f>
        <v>Yes</v>
      </c>
      <c r="B151" s="3"/>
      <c r="C151" s="3" t="str">
        <f>IFERROR(__xludf.DUMMYFUNCTION("""COMPUTED_VALUE"""),"malawi")</f>
        <v>malawi</v>
      </c>
      <c r="D151" s="3"/>
      <c r="E151" s="3" t="str">
        <f>IFERROR(__xludf.DUMMYFUNCTION("""COMPUTED_VALUE"""),"malawi")</f>
        <v>malawi</v>
      </c>
      <c r="F151" s="3"/>
      <c r="G151" s="3">
        <f>IFERROR(__xludf.DUMMYFUNCTION("""COMPUTED_VALUE"""),42.0)</f>
        <v>42</v>
      </c>
      <c r="H151" s="3" t="str">
        <f>IFERROR(__xludf.DUMMYFUNCTION("""COMPUTED_VALUE"""),"female")</f>
        <v>female</v>
      </c>
      <c r="I151" s="3"/>
      <c r="J151" s="3" t="str">
        <f>IFERROR(__xludf.DUMMYFUNCTION("""COMPUTED_VALUE"""),"informal")</f>
        <v>informal</v>
      </c>
      <c r="K151" s="3" t="str">
        <f>IFERROR(__xludf.DUMMYFUNCTION("""COMPUTED_VALUE"""),"primary")</f>
        <v>primary</v>
      </c>
      <c r="L151" s="3"/>
      <c r="M151" s="3" t="str">
        <f>IFERROR(__xludf.DUMMYFUNCTION("""COMPUTED_VALUE"""),"dontknow")</f>
        <v>dontknow</v>
      </c>
      <c r="N151" s="3" t="str">
        <f>IFERROR(__xludf.DUMMYFUNCTION("""COMPUTED_VALUE"""),"dontknow")</f>
        <v>dontknow</v>
      </c>
      <c r="O151" s="3" t="str">
        <f>IFERROR(__xludf.DUMMYFUNCTION("""COMPUTED_VALUE"""),"agree")</f>
        <v>agree</v>
      </c>
      <c r="P151" s="3"/>
      <c r="Q151" s="3" t="str">
        <f>IFERROR(__xludf.DUMMYFUNCTION("""COMPUTED_VALUE"""),"agree")</f>
        <v>agree</v>
      </c>
      <c r="R151" s="3" t="str">
        <f>IFERROR(__xludf.DUMMYFUNCTION("""COMPUTED_VALUE"""),"agree")</f>
        <v>agree</v>
      </c>
      <c r="S151" s="3" t="str">
        <f>IFERROR(__xludf.DUMMYFUNCTION("""COMPUTED_VALUE"""),"agree")</f>
        <v>agree</v>
      </c>
      <c r="T151" s="3" t="str">
        <f>IFERROR(__xludf.DUMMYFUNCTION("""COMPUTED_VALUE"""),"agree")</f>
        <v>agree</v>
      </c>
      <c r="U151" s="3" t="str">
        <f>IFERROR(__xludf.DUMMYFUNCTION("""COMPUTED_VALUE"""),"agree")</f>
        <v>agree</v>
      </c>
      <c r="V151" s="3" t="str">
        <f>IFERROR(__xludf.DUMMYFUNCTION("""COMPUTED_VALUE"""),"agree")</f>
        <v>agree</v>
      </c>
      <c r="W151" s="3" t="str">
        <f>IFERROR(__xludf.DUMMYFUNCTION("""COMPUTED_VALUE"""),"agree")</f>
        <v>agree</v>
      </c>
      <c r="X151" s="3" t="str">
        <f>IFERROR(__xludf.DUMMYFUNCTION("""COMPUTED_VALUE"""),"Silver")</f>
        <v>Silver</v>
      </c>
      <c r="Y151" s="3" t="str">
        <f>IFERROR(__xludf.DUMMYFUNCTION("""COMPUTED_VALUE"""),"cash")</f>
        <v>cash</v>
      </c>
      <c r="Z151" s="3" t="str">
        <f>IFERROR(__xludf.DUMMYFUNCTION("""COMPUTED_VALUE"""),"once")</f>
        <v>once</v>
      </c>
      <c r="AA151" s="3">
        <f>IFERROR(__xludf.DUMMYFUNCTION("""COMPUTED_VALUE"""),10.0)</f>
        <v>10</v>
      </c>
      <c r="AB151" s="3" t="str">
        <f>IFERROR(__xludf.DUMMYFUNCTION("""COMPUTED_VALUE"""),"assisted")</f>
        <v>assisted</v>
      </c>
      <c r="AC151" s="3" t="str">
        <f>IFERROR(__xludf.DUMMYFUNCTION("""COMPUTED_VALUE"""),"Yes")</f>
        <v>Yes</v>
      </c>
      <c r="AD151" s="3" t="str">
        <f>IFERROR(__xludf.DUMMYFUNCTION("""COMPUTED_VALUE"""),"Silver")</f>
        <v>Silver</v>
      </c>
      <c r="AE151" s="3" t="str">
        <f>IFERROR(__xludf.DUMMYFUNCTION("""COMPUTED_VALUE"""),"No")</f>
        <v>No</v>
      </c>
      <c r="AF151" s="3" t="str">
        <f>IFERROR(__xludf.DUMMYFUNCTION("""COMPUTED_VALUE"""),"Yes")</f>
        <v>Yes</v>
      </c>
      <c r="AG151" s="3" t="str">
        <f>IFERROR(__xludf.DUMMYFUNCTION("""COMPUTED_VALUE"""),"Yes")</f>
        <v>Yes</v>
      </c>
      <c r="AH151" s="3"/>
      <c r="AI151" s="3">
        <f>IFERROR(__xludf.DUMMYFUNCTION("""COMPUTED_VALUE"""),0.0)</f>
        <v>0</v>
      </c>
      <c r="AJ151" s="3">
        <f>IFERROR(__xludf.DUMMYFUNCTION("""COMPUTED_VALUE"""),0.0)</f>
        <v>0</v>
      </c>
      <c r="AK151" s="3">
        <f>IFERROR(__xludf.DUMMYFUNCTION("""COMPUTED_VALUE"""),1.0)</f>
        <v>1</v>
      </c>
      <c r="AL151" s="3">
        <f>IFERROR(__xludf.DUMMYFUNCTION("""COMPUTED_VALUE"""),0.0)</f>
        <v>0</v>
      </c>
      <c r="AM151" s="3"/>
      <c r="AN151" s="3"/>
      <c r="AO151" s="3"/>
      <c r="AP151" s="3">
        <f>IFERROR(__xludf.DUMMYFUNCTION("""COMPUTED_VALUE"""),4.8998635E8)</f>
        <v>489986350</v>
      </c>
      <c r="AQ151" s="3" t="str">
        <f>IFERROR(__xludf.DUMMYFUNCTION("""COMPUTED_VALUE"""),"8ae9698d-1c9e-461e-8d93-dd044a5e895b")</f>
        <v>8ae9698d-1c9e-461e-8d93-dd044a5e895b</v>
      </c>
      <c r="AR151" s="3">
        <f>IFERROR(__xludf.DUMMYFUNCTION("""COMPUTED_VALUE"""),45808.481724537036)</f>
        <v>45808.48172</v>
      </c>
      <c r="AS151" s="3"/>
      <c r="AT151" s="3"/>
      <c r="AU151" s="3" t="str">
        <f>IFERROR(__xludf.DUMMYFUNCTION("""COMPUTED_VALUE"""),"submitted_via_web")</f>
        <v>submitted_via_web</v>
      </c>
      <c r="AV151" s="3"/>
      <c r="AW151" s="3" t="str">
        <f>IFERROR(__xludf.DUMMYFUNCTION("""COMPUTED_VALUE"""),"vckVTgNzM4XXtKAKNnsHpB")</f>
        <v>vckVTgNzM4XXtKAKNnsHpB</v>
      </c>
      <c r="AX151" s="3"/>
      <c r="AY151" s="3">
        <f>IFERROR(__xludf.DUMMYFUNCTION("""COMPUTED_VALUE"""),150.0)</f>
        <v>150</v>
      </c>
    </row>
    <row r="152">
      <c r="A152" s="3" t="str">
        <f>IFERROR(__xludf.DUMMYFUNCTION("""COMPUTED_VALUE"""),"Yes")</f>
        <v>Yes</v>
      </c>
      <c r="B152" s="3"/>
      <c r="C152" s="3" t="str">
        <f>IFERROR(__xludf.DUMMYFUNCTION("""COMPUTED_VALUE"""),"lesotho")</f>
        <v>lesotho</v>
      </c>
      <c r="D152" s="3"/>
      <c r="E152" s="3" t="str">
        <f>IFERROR(__xludf.DUMMYFUNCTION("""COMPUTED_VALUE"""),"lesotho")</f>
        <v>lesotho</v>
      </c>
      <c r="F152" s="3"/>
      <c r="G152" s="3">
        <f>IFERROR(__xludf.DUMMYFUNCTION("""COMPUTED_VALUE"""),30.0)</f>
        <v>30</v>
      </c>
      <c r="H152" s="3" t="str">
        <f>IFERROR(__xludf.DUMMYFUNCTION("""COMPUTED_VALUE"""),"male")</f>
        <v>male</v>
      </c>
      <c r="I152" s="3"/>
      <c r="J152" s="3" t="str">
        <f>IFERROR(__xludf.DUMMYFUNCTION("""COMPUTED_VALUE"""),"formal")</f>
        <v>formal</v>
      </c>
      <c r="K152" s="3" t="str">
        <f>IFERROR(__xludf.DUMMYFUNCTION("""COMPUTED_VALUE"""),"secondary")</f>
        <v>secondary</v>
      </c>
      <c r="L152" s="3"/>
      <c r="M152" s="3" t="str">
        <f>IFERROR(__xludf.DUMMYFUNCTION("""COMPUTED_VALUE"""),"agree")</f>
        <v>agree</v>
      </c>
      <c r="N152" s="3" t="str">
        <f>IFERROR(__xludf.DUMMYFUNCTION("""COMPUTED_VALUE"""),"agree")</f>
        <v>agree</v>
      </c>
      <c r="O152" s="3" t="str">
        <f>IFERROR(__xludf.DUMMYFUNCTION("""COMPUTED_VALUE"""),"disagree")</f>
        <v>disagree</v>
      </c>
      <c r="P152" s="3"/>
      <c r="Q152" s="3" t="str">
        <f>IFERROR(__xludf.DUMMYFUNCTION("""COMPUTED_VALUE"""),"agree")</f>
        <v>agree</v>
      </c>
      <c r="R152" s="3" t="str">
        <f>IFERROR(__xludf.DUMMYFUNCTION("""COMPUTED_VALUE"""),"disagree")</f>
        <v>disagree</v>
      </c>
      <c r="S152" s="3" t="str">
        <f>IFERROR(__xludf.DUMMYFUNCTION("""COMPUTED_VALUE"""),"disagree")</f>
        <v>disagree</v>
      </c>
      <c r="T152" s="3" t="str">
        <f>IFERROR(__xludf.DUMMYFUNCTION("""COMPUTED_VALUE"""),"agree")</f>
        <v>agree</v>
      </c>
      <c r="U152" s="3" t="str">
        <f>IFERROR(__xludf.DUMMYFUNCTION("""COMPUTED_VALUE"""),"agree")</f>
        <v>agree</v>
      </c>
      <c r="V152" s="3" t="str">
        <f>IFERROR(__xludf.DUMMYFUNCTION("""COMPUTED_VALUE"""),"agree")</f>
        <v>agree</v>
      </c>
      <c r="W152" s="3" t="str">
        <f>IFERROR(__xludf.DUMMYFUNCTION("""COMPUTED_VALUE"""),"disagree")</f>
        <v>disagree</v>
      </c>
      <c r="X152" s="3" t="str">
        <f>IFERROR(__xludf.DUMMYFUNCTION("""COMPUTED_VALUE"""),"Gold")</f>
        <v>Gold</v>
      </c>
      <c r="Y152" s="3" t="str">
        <f>IFERROR(__xludf.DUMMYFUNCTION("""COMPUTED_VALUE"""),"na")</f>
        <v>na</v>
      </c>
      <c r="Z152" s="3" t="str">
        <f>IFERROR(__xludf.DUMMYFUNCTION("""COMPUTED_VALUE"""),"once")</f>
        <v>once</v>
      </c>
      <c r="AA152" s="3">
        <f>IFERROR(__xludf.DUMMYFUNCTION("""COMPUTED_VALUE"""),50.0)</f>
        <v>50</v>
      </c>
      <c r="AB152" s="3" t="str">
        <f>IFERROR(__xludf.DUMMYFUNCTION("""COMPUTED_VALUE"""),"assisted")</f>
        <v>assisted</v>
      </c>
      <c r="AC152" s="3" t="str">
        <f>IFERROR(__xludf.DUMMYFUNCTION("""COMPUTED_VALUE"""),"Yes")</f>
        <v>Yes</v>
      </c>
      <c r="AD152" s="3" t="str">
        <f>IFERROR(__xludf.DUMMYFUNCTION("""COMPUTED_VALUE"""),"Gold")</f>
        <v>Gold</v>
      </c>
      <c r="AE152" s="3" t="str">
        <f>IFERROR(__xludf.DUMMYFUNCTION("""COMPUTED_VALUE"""),"Yes")</f>
        <v>Yes</v>
      </c>
      <c r="AF152" s="3" t="str">
        <f>IFERROR(__xludf.DUMMYFUNCTION("""COMPUTED_VALUE"""),"Yes")</f>
        <v>Yes</v>
      </c>
      <c r="AG152" s="3" t="str">
        <f>IFERROR(__xludf.DUMMYFUNCTION("""COMPUTED_VALUE"""),"Yes")</f>
        <v>Yes</v>
      </c>
      <c r="AH152" s="3">
        <f>IFERROR(__xludf.DUMMYFUNCTION("""COMPUTED_VALUE"""),300.0)</f>
        <v>300</v>
      </c>
      <c r="AI152" s="3">
        <f>IFERROR(__xludf.DUMMYFUNCTION("""COMPUTED_VALUE"""),1.0)</f>
        <v>1</v>
      </c>
      <c r="AJ152" s="3">
        <f>IFERROR(__xludf.DUMMYFUNCTION("""COMPUTED_VALUE"""),0.0)</f>
        <v>0</v>
      </c>
      <c r="AK152" s="3">
        <f>IFERROR(__xludf.DUMMYFUNCTION("""COMPUTED_VALUE"""),0.0)</f>
        <v>0</v>
      </c>
      <c r="AL152" s="3">
        <f>IFERROR(__xludf.DUMMYFUNCTION("""COMPUTED_VALUE"""),0.0)</f>
        <v>0</v>
      </c>
      <c r="AM152" s="3"/>
      <c r="AN152" s="3"/>
      <c r="AO152" s="3"/>
      <c r="AP152" s="3">
        <f>IFERROR(__xludf.DUMMYFUNCTION("""COMPUTED_VALUE"""),4.89995757E8)</f>
        <v>489995757</v>
      </c>
      <c r="AQ152" s="3" t="str">
        <f>IFERROR(__xludf.DUMMYFUNCTION("""COMPUTED_VALUE"""),"6111c5d2-e16c-4e9e-b86f-f7cd2488b0e0")</f>
        <v>6111c5d2-e16c-4e9e-b86f-f7cd2488b0e0</v>
      </c>
      <c r="AR152" s="3">
        <f>IFERROR(__xludf.DUMMYFUNCTION("""COMPUTED_VALUE"""),45808.49559027778)</f>
        <v>45808.49559</v>
      </c>
      <c r="AS152" s="3"/>
      <c r="AT152" s="3"/>
      <c r="AU152" s="3" t="str">
        <f>IFERROR(__xludf.DUMMYFUNCTION("""COMPUTED_VALUE"""),"submitted_via_web")</f>
        <v>submitted_via_web</v>
      </c>
      <c r="AV152" s="3"/>
      <c r="AW152" s="3" t="str">
        <f>IFERROR(__xludf.DUMMYFUNCTION("""COMPUTED_VALUE"""),"vgUJxCcLkhbxcmcrDMVzkY")</f>
        <v>vgUJxCcLkhbxcmcrDMVzkY</v>
      </c>
      <c r="AX152" s="3"/>
      <c r="AY152" s="3">
        <f>IFERROR(__xludf.DUMMYFUNCTION("""COMPUTED_VALUE"""),151.0)</f>
        <v>151</v>
      </c>
    </row>
    <row r="153">
      <c r="A153" s="3" t="str">
        <f>IFERROR(__xludf.DUMMYFUNCTION("""COMPUTED_VALUE"""),"Yes")</f>
        <v>Yes</v>
      </c>
      <c r="B153" s="3"/>
      <c r="C153" s="3" t="str">
        <f>IFERROR(__xludf.DUMMYFUNCTION("""COMPUTED_VALUE"""),"south_africa")</f>
        <v>south_africa</v>
      </c>
      <c r="D153" s="3"/>
      <c r="E153" s="3" t="str">
        <f>IFERROR(__xludf.DUMMYFUNCTION("""COMPUTED_VALUE"""),"mozambique")</f>
        <v>mozambique</v>
      </c>
      <c r="F153" s="3"/>
      <c r="G153" s="3">
        <f>IFERROR(__xludf.DUMMYFUNCTION("""COMPUTED_VALUE"""),27.0)</f>
        <v>27</v>
      </c>
      <c r="H153" s="3" t="str">
        <f>IFERROR(__xludf.DUMMYFUNCTION("""COMPUTED_VALUE"""),"male")</f>
        <v>male</v>
      </c>
      <c r="I153" s="3"/>
      <c r="J153" s="3" t="str">
        <f>IFERROR(__xludf.DUMMYFUNCTION("""COMPUTED_VALUE"""),"formal")</f>
        <v>formal</v>
      </c>
      <c r="K153" s="3" t="str">
        <f>IFERROR(__xludf.DUMMYFUNCTION("""COMPUTED_VALUE"""),"primary")</f>
        <v>primary</v>
      </c>
      <c r="L153" s="3"/>
      <c r="M153" s="3" t="str">
        <f>IFERROR(__xludf.DUMMYFUNCTION("""COMPUTED_VALUE"""),"agree")</f>
        <v>agree</v>
      </c>
      <c r="N153" s="3" t="str">
        <f>IFERROR(__xludf.DUMMYFUNCTION("""COMPUTED_VALUE"""),"agree")</f>
        <v>agree</v>
      </c>
      <c r="O153" s="3" t="str">
        <f>IFERROR(__xludf.DUMMYFUNCTION("""COMPUTED_VALUE"""),"agree")</f>
        <v>agree</v>
      </c>
      <c r="P153" s="3"/>
      <c r="Q153" s="3" t="str">
        <f>IFERROR(__xludf.DUMMYFUNCTION("""COMPUTED_VALUE"""),"agree")</f>
        <v>agree</v>
      </c>
      <c r="R153" s="3" t="str">
        <f>IFERROR(__xludf.DUMMYFUNCTION("""COMPUTED_VALUE"""),"agree")</f>
        <v>agree</v>
      </c>
      <c r="S153" s="3" t="str">
        <f>IFERROR(__xludf.DUMMYFUNCTION("""COMPUTED_VALUE"""),"agree")</f>
        <v>agree</v>
      </c>
      <c r="T153" s="3" t="str">
        <f>IFERROR(__xludf.DUMMYFUNCTION("""COMPUTED_VALUE"""),"agree")</f>
        <v>agree</v>
      </c>
      <c r="U153" s="3" t="str">
        <f>IFERROR(__xludf.DUMMYFUNCTION("""COMPUTED_VALUE"""),"agree")</f>
        <v>agree</v>
      </c>
      <c r="V153" s="3" t="str">
        <f>IFERROR(__xludf.DUMMYFUNCTION("""COMPUTED_VALUE"""),"agree")</f>
        <v>agree</v>
      </c>
      <c r="W153" s="3" t="str">
        <f>IFERROR(__xludf.DUMMYFUNCTION("""COMPUTED_VALUE"""),"agree")</f>
        <v>agree</v>
      </c>
      <c r="X153" s="3" t="str">
        <f>IFERROR(__xludf.DUMMYFUNCTION("""COMPUTED_VALUE"""),"Gold")</f>
        <v>Gold</v>
      </c>
      <c r="Y153" s="3" t="str">
        <f>IFERROR(__xludf.DUMMYFUNCTION("""COMPUTED_VALUE"""),"card")</f>
        <v>card</v>
      </c>
      <c r="Z153" s="3" t="str">
        <f>IFERROR(__xludf.DUMMYFUNCTION("""COMPUTED_VALUE"""),"monthly")</f>
        <v>monthly</v>
      </c>
      <c r="AA153" s="3">
        <f>IFERROR(__xludf.DUMMYFUNCTION("""COMPUTED_VALUE"""),20.0)</f>
        <v>20</v>
      </c>
      <c r="AB153" s="3" t="str">
        <f>IFERROR(__xludf.DUMMYFUNCTION("""COMPUTED_VALUE"""),"online")</f>
        <v>online</v>
      </c>
      <c r="AC153" s="3" t="str">
        <f>IFERROR(__xludf.DUMMYFUNCTION("""COMPUTED_VALUE"""),"Yes")</f>
        <v>Yes</v>
      </c>
      <c r="AD153" s="3" t="str">
        <f>IFERROR(__xludf.DUMMYFUNCTION("""COMPUTED_VALUE"""),"Gold")</f>
        <v>Gold</v>
      </c>
      <c r="AE153" s="3" t="str">
        <f>IFERROR(__xludf.DUMMYFUNCTION("""COMPUTED_VALUE"""),"Yes")</f>
        <v>Yes</v>
      </c>
      <c r="AF153" s="3" t="str">
        <f>IFERROR(__xludf.DUMMYFUNCTION("""COMPUTED_VALUE"""),"Yes")</f>
        <v>Yes</v>
      </c>
      <c r="AG153" s="3" t="str">
        <f>IFERROR(__xludf.DUMMYFUNCTION("""COMPUTED_VALUE"""),"Yes")</f>
        <v>Yes</v>
      </c>
      <c r="AH153" s="3">
        <f>IFERROR(__xludf.DUMMYFUNCTION("""COMPUTED_VALUE"""),50.0)</f>
        <v>50</v>
      </c>
      <c r="AI153" s="3">
        <f>IFERROR(__xludf.DUMMYFUNCTION("""COMPUTED_VALUE"""),0.0)</f>
        <v>0</v>
      </c>
      <c r="AJ153" s="3">
        <f>IFERROR(__xludf.DUMMYFUNCTION("""COMPUTED_VALUE"""),1.0)</f>
        <v>1</v>
      </c>
      <c r="AK153" s="3">
        <f>IFERROR(__xludf.DUMMYFUNCTION("""COMPUTED_VALUE"""),0.0)</f>
        <v>0</v>
      </c>
      <c r="AL153" s="3">
        <f>IFERROR(__xludf.DUMMYFUNCTION("""COMPUTED_VALUE"""),0.0)</f>
        <v>0</v>
      </c>
      <c r="AM153" s="3"/>
      <c r="AN153" s="3"/>
      <c r="AO153" s="3"/>
      <c r="AP153" s="3">
        <f>IFERROR(__xludf.DUMMYFUNCTION("""COMPUTED_VALUE"""),4.89995822E8)</f>
        <v>489995822</v>
      </c>
      <c r="AQ153" s="3" t="str">
        <f>IFERROR(__xludf.DUMMYFUNCTION("""COMPUTED_VALUE"""),"f973ad5e-6610-4b4a-b014-54546b5f7b21")</f>
        <v>f973ad5e-6610-4b4a-b014-54546b5f7b21</v>
      </c>
      <c r="AR153" s="3">
        <f>IFERROR(__xludf.DUMMYFUNCTION("""COMPUTED_VALUE"""),45808.49568287037)</f>
        <v>45808.49568</v>
      </c>
      <c r="AS153" s="3"/>
      <c r="AT153" s="3"/>
      <c r="AU153" s="3" t="str">
        <f>IFERROR(__xludf.DUMMYFUNCTION("""COMPUTED_VALUE"""),"submitted_via_web")</f>
        <v>submitted_via_web</v>
      </c>
      <c r="AV153" s="3"/>
      <c r="AW153" s="3" t="str">
        <f>IFERROR(__xludf.DUMMYFUNCTION("""COMPUTED_VALUE"""),"vckVTgNzM4XXtKAKNnsHpB")</f>
        <v>vckVTgNzM4XXtKAKNnsHpB</v>
      </c>
      <c r="AX153" s="3"/>
      <c r="AY153" s="3">
        <f>IFERROR(__xludf.DUMMYFUNCTION("""COMPUTED_VALUE"""),152.0)</f>
        <v>152</v>
      </c>
    </row>
    <row r="154">
      <c r="A154" s="3" t="str">
        <f>IFERROR(__xludf.DUMMYFUNCTION("""COMPUTED_VALUE"""),"Yes")</f>
        <v>Yes</v>
      </c>
      <c r="B154" s="3"/>
      <c r="C154" s="3" t="str">
        <f>IFERROR(__xludf.DUMMYFUNCTION("""COMPUTED_VALUE"""),"south_africa")</f>
        <v>south_africa</v>
      </c>
      <c r="D154" s="3"/>
      <c r="E154" s="3" t="str">
        <f>IFERROR(__xludf.DUMMYFUNCTION("""COMPUTED_VALUE"""),"mozambique")</f>
        <v>mozambique</v>
      </c>
      <c r="F154" s="3"/>
      <c r="G154" s="3">
        <f>IFERROR(__xludf.DUMMYFUNCTION("""COMPUTED_VALUE"""),27.0)</f>
        <v>27</v>
      </c>
      <c r="H154" s="3" t="str">
        <f>IFERROR(__xludf.DUMMYFUNCTION("""COMPUTED_VALUE"""),"male")</f>
        <v>male</v>
      </c>
      <c r="I154" s="3"/>
      <c r="J154" s="3" t="str">
        <f>IFERROR(__xludf.DUMMYFUNCTION("""COMPUTED_VALUE"""),"formal")</f>
        <v>formal</v>
      </c>
      <c r="K154" s="3" t="str">
        <f>IFERROR(__xludf.DUMMYFUNCTION("""COMPUTED_VALUE"""),"primary")</f>
        <v>primary</v>
      </c>
      <c r="L154" s="3"/>
      <c r="M154" s="3" t="str">
        <f>IFERROR(__xludf.DUMMYFUNCTION("""COMPUTED_VALUE"""),"agree")</f>
        <v>agree</v>
      </c>
      <c r="N154" s="3" t="str">
        <f>IFERROR(__xludf.DUMMYFUNCTION("""COMPUTED_VALUE"""),"agree")</f>
        <v>agree</v>
      </c>
      <c r="O154" s="3" t="str">
        <f>IFERROR(__xludf.DUMMYFUNCTION("""COMPUTED_VALUE"""),"agree")</f>
        <v>agree</v>
      </c>
      <c r="P154" s="3"/>
      <c r="Q154" s="3" t="str">
        <f>IFERROR(__xludf.DUMMYFUNCTION("""COMPUTED_VALUE"""),"agree")</f>
        <v>agree</v>
      </c>
      <c r="R154" s="3" t="str">
        <f>IFERROR(__xludf.DUMMYFUNCTION("""COMPUTED_VALUE"""),"agree")</f>
        <v>agree</v>
      </c>
      <c r="S154" s="3" t="str">
        <f>IFERROR(__xludf.DUMMYFUNCTION("""COMPUTED_VALUE"""),"agree")</f>
        <v>agree</v>
      </c>
      <c r="T154" s="3" t="str">
        <f>IFERROR(__xludf.DUMMYFUNCTION("""COMPUTED_VALUE"""),"agree")</f>
        <v>agree</v>
      </c>
      <c r="U154" s="3" t="str">
        <f>IFERROR(__xludf.DUMMYFUNCTION("""COMPUTED_VALUE"""),"agree")</f>
        <v>agree</v>
      </c>
      <c r="V154" s="3" t="str">
        <f>IFERROR(__xludf.DUMMYFUNCTION("""COMPUTED_VALUE"""),"agree")</f>
        <v>agree</v>
      </c>
      <c r="W154" s="3" t="str">
        <f>IFERROR(__xludf.DUMMYFUNCTION("""COMPUTED_VALUE"""),"agree")</f>
        <v>agree</v>
      </c>
      <c r="X154" s="3" t="str">
        <f>IFERROR(__xludf.DUMMYFUNCTION("""COMPUTED_VALUE"""),"Gold")</f>
        <v>Gold</v>
      </c>
      <c r="Y154" s="3" t="str">
        <f>IFERROR(__xludf.DUMMYFUNCTION("""COMPUTED_VALUE"""),"card")</f>
        <v>card</v>
      </c>
      <c r="Z154" s="3" t="str">
        <f>IFERROR(__xludf.DUMMYFUNCTION("""COMPUTED_VALUE"""),"monthly")</f>
        <v>monthly</v>
      </c>
      <c r="AA154" s="3">
        <f>IFERROR(__xludf.DUMMYFUNCTION("""COMPUTED_VALUE"""),30.0)</f>
        <v>30</v>
      </c>
      <c r="AB154" s="3" t="str">
        <f>IFERROR(__xludf.DUMMYFUNCTION("""COMPUTED_VALUE"""),"online")</f>
        <v>online</v>
      </c>
      <c r="AC154" s="3" t="str">
        <f>IFERROR(__xludf.DUMMYFUNCTION("""COMPUTED_VALUE"""),"Yes")</f>
        <v>Yes</v>
      </c>
      <c r="AD154" s="3"/>
      <c r="AE154" s="3"/>
      <c r="AF154" s="3" t="str">
        <f>IFERROR(__xludf.DUMMYFUNCTION("""COMPUTED_VALUE"""),"Yes")</f>
        <v>Yes</v>
      </c>
      <c r="AG154" s="3" t="str">
        <f>IFERROR(__xludf.DUMMYFUNCTION("""COMPUTED_VALUE"""),"Yes")</f>
        <v>Yes</v>
      </c>
      <c r="AH154" s="3"/>
      <c r="AI154" s="3">
        <f>IFERROR(__xludf.DUMMYFUNCTION("""COMPUTED_VALUE"""),0.0)</f>
        <v>0</v>
      </c>
      <c r="AJ154" s="3">
        <f>IFERROR(__xludf.DUMMYFUNCTION("""COMPUTED_VALUE"""),1.0)</f>
        <v>1</v>
      </c>
      <c r="AK154" s="3">
        <f>IFERROR(__xludf.DUMMYFUNCTION("""COMPUTED_VALUE"""),0.0)</f>
        <v>0</v>
      </c>
      <c r="AL154" s="3">
        <f>IFERROR(__xludf.DUMMYFUNCTION("""COMPUTED_VALUE"""),0.0)</f>
        <v>0</v>
      </c>
      <c r="AM154" s="3"/>
      <c r="AN154" s="3"/>
      <c r="AO154" s="3"/>
      <c r="AP154" s="3">
        <f>IFERROR(__xludf.DUMMYFUNCTION("""COMPUTED_VALUE"""),4.89999395E8)</f>
        <v>489999395</v>
      </c>
      <c r="AQ154" s="3" t="str">
        <f>IFERROR(__xludf.DUMMYFUNCTION("""COMPUTED_VALUE"""),"18554141-8bfb-4c09-95a0-061e358958a8")</f>
        <v>18554141-8bfb-4c09-95a0-061e358958a8</v>
      </c>
      <c r="AR154" s="3">
        <f>IFERROR(__xludf.DUMMYFUNCTION("""COMPUTED_VALUE"""),45808.50059027778)</f>
        <v>45808.50059</v>
      </c>
      <c r="AS154" s="3"/>
      <c r="AT154" s="3"/>
      <c r="AU154" s="3" t="str">
        <f>IFERROR(__xludf.DUMMYFUNCTION("""COMPUTED_VALUE"""),"submitted_via_web")</f>
        <v>submitted_via_web</v>
      </c>
      <c r="AV154" s="3"/>
      <c r="AW154" s="3" t="str">
        <f>IFERROR(__xludf.DUMMYFUNCTION("""COMPUTED_VALUE"""),"vckVTgNzM4XXtKAKNnsHpB")</f>
        <v>vckVTgNzM4XXtKAKNnsHpB</v>
      </c>
      <c r="AX154" s="3"/>
      <c r="AY154" s="3">
        <f>IFERROR(__xludf.DUMMYFUNCTION("""COMPUTED_VALUE"""),153.0)</f>
        <v>153</v>
      </c>
    </row>
    <row r="155">
      <c r="A155" s="3" t="str">
        <f>IFERROR(__xludf.DUMMYFUNCTION("""COMPUTED_VALUE"""),"Yes")</f>
        <v>Yes</v>
      </c>
      <c r="B155" s="3"/>
      <c r="C155" s="3" t="str">
        <f>IFERROR(__xludf.DUMMYFUNCTION("""COMPUTED_VALUE"""),"south_africa")</f>
        <v>south_africa</v>
      </c>
      <c r="D155" s="3"/>
      <c r="E155" s="3" t="str">
        <f>IFERROR(__xludf.DUMMYFUNCTION("""COMPUTED_VALUE"""),"mozambique")</f>
        <v>mozambique</v>
      </c>
      <c r="F155" s="3"/>
      <c r="G155" s="3">
        <f>IFERROR(__xludf.DUMMYFUNCTION("""COMPUTED_VALUE"""),28.0)</f>
        <v>28</v>
      </c>
      <c r="H155" s="3" t="str">
        <f>IFERROR(__xludf.DUMMYFUNCTION("""COMPUTED_VALUE"""),"female")</f>
        <v>female</v>
      </c>
      <c r="I155" s="3"/>
      <c r="J155" s="3" t="str">
        <f>IFERROR(__xludf.DUMMYFUNCTION("""COMPUTED_VALUE"""),"formal")</f>
        <v>formal</v>
      </c>
      <c r="K155" s="3" t="str">
        <f>IFERROR(__xludf.DUMMYFUNCTION("""COMPUTED_VALUE"""),"primary")</f>
        <v>primary</v>
      </c>
      <c r="L155" s="3"/>
      <c r="M155" s="3" t="str">
        <f>IFERROR(__xludf.DUMMYFUNCTION("""COMPUTED_VALUE"""),"agree")</f>
        <v>agree</v>
      </c>
      <c r="N155" s="3" t="str">
        <f>IFERROR(__xludf.DUMMYFUNCTION("""COMPUTED_VALUE"""),"agree")</f>
        <v>agree</v>
      </c>
      <c r="O155" s="3" t="str">
        <f>IFERROR(__xludf.DUMMYFUNCTION("""COMPUTED_VALUE"""),"agree")</f>
        <v>agree</v>
      </c>
      <c r="P155" s="3"/>
      <c r="Q155" s="3" t="str">
        <f>IFERROR(__xludf.DUMMYFUNCTION("""COMPUTED_VALUE"""),"agree")</f>
        <v>agree</v>
      </c>
      <c r="R155" s="3" t="str">
        <f>IFERROR(__xludf.DUMMYFUNCTION("""COMPUTED_VALUE"""),"agree")</f>
        <v>agree</v>
      </c>
      <c r="S155" s="3" t="str">
        <f>IFERROR(__xludf.DUMMYFUNCTION("""COMPUTED_VALUE"""),"agree")</f>
        <v>agree</v>
      </c>
      <c r="T155" s="3" t="str">
        <f>IFERROR(__xludf.DUMMYFUNCTION("""COMPUTED_VALUE"""),"agree")</f>
        <v>agree</v>
      </c>
      <c r="U155" s="3" t="str">
        <f>IFERROR(__xludf.DUMMYFUNCTION("""COMPUTED_VALUE"""),"agree")</f>
        <v>agree</v>
      </c>
      <c r="V155" s="3" t="str">
        <f>IFERROR(__xludf.DUMMYFUNCTION("""COMPUTED_VALUE"""),"agree")</f>
        <v>agree</v>
      </c>
      <c r="W155" s="3"/>
      <c r="X155" s="3" t="str">
        <f>IFERROR(__xludf.DUMMYFUNCTION("""COMPUTED_VALUE"""),"Gold")</f>
        <v>Gold</v>
      </c>
      <c r="Y155" s="3" t="str">
        <f>IFERROR(__xludf.DUMMYFUNCTION("""COMPUTED_VALUE"""),"cash")</f>
        <v>cash</v>
      </c>
      <c r="Z155" s="3" t="str">
        <f>IFERROR(__xludf.DUMMYFUNCTION("""COMPUTED_VALUE"""),"monthly")</f>
        <v>monthly</v>
      </c>
      <c r="AA155" s="3">
        <f>IFERROR(__xludf.DUMMYFUNCTION("""COMPUTED_VALUE"""),40.0)</f>
        <v>40</v>
      </c>
      <c r="AB155" s="3" t="str">
        <f>IFERROR(__xludf.DUMMYFUNCTION("""COMPUTED_VALUE"""),"assisted")</f>
        <v>assisted</v>
      </c>
      <c r="AC155" s="3" t="str">
        <f>IFERROR(__xludf.DUMMYFUNCTION("""COMPUTED_VALUE"""),"Yes")</f>
        <v>Yes</v>
      </c>
      <c r="AD155" s="3" t="str">
        <f>IFERROR(__xludf.DUMMYFUNCTION("""COMPUTED_VALUE"""),"Gold")</f>
        <v>Gold</v>
      </c>
      <c r="AE155" s="3" t="str">
        <f>IFERROR(__xludf.DUMMYFUNCTION("""COMPUTED_VALUE"""),"Yes")</f>
        <v>Yes</v>
      </c>
      <c r="AF155" s="3" t="str">
        <f>IFERROR(__xludf.DUMMYFUNCTION("""COMPUTED_VALUE"""),"Yes")</f>
        <v>Yes</v>
      </c>
      <c r="AG155" s="3" t="str">
        <f>IFERROR(__xludf.DUMMYFUNCTION("""COMPUTED_VALUE"""),"Yes")</f>
        <v>Yes</v>
      </c>
      <c r="AH155" s="3">
        <f>IFERROR(__xludf.DUMMYFUNCTION("""COMPUTED_VALUE"""),50.0)</f>
        <v>50</v>
      </c>
      <c r="AI155" s="3">
        <f>IFERROR(__xludf.DUMMYFUNCTION("""COMPUTED_VALUE"""),0.0)</f>
        <v>0</v>
      </c>
      <c r="AJ155" s="3">
        <f>IFERROR(__xludf.DUMMYFUNCTION("""COMPUTED_VALUE"""),1.0)</f>
        <v>1</v>
      </c>
      <c r="AK155" s="3">
        <f>IFERROR(__xludf.DUMMYFUNCTION("""COMPUTED_VALUE"""),0.0)</f>
        <v>0</v>
      </c>
      <c r="AL155" s="3">
        <f>IFERROR(__xludf.DUMMYFUNCTION("""COMPUTED_VALUE"""),0.0)</f>
        <v>0</v>
      </c>
      <c r="AM155" s="3"/>
      <c r="AN155" s="3"/>
      <c r="AO155" s="3"/>
      <c r="AP155" s="3">
        <f>IFERROR(__xludf.DUMMYFUNCTION("""COMPUTED_VALUE"""),4.90001163E8)</f>
        <v>490001163</v>
      </c>
      <c r="AQ155" s="3" t="str">
        <f>IFERROR(__xludf.DUMMYFUNCTION("""COMPUTED_VALUE"""),"12a33d5b-8a32-4523-b853-7dc2f4fa0964")</f>
        <v>12a33d5b-8a32-4523-b853-7dc2f4fa0964</v>
      </c>
      <c r="AR155" s="3">
        <f>IFERROR(__xludf.DUMMYFUNCTION("""COMPUTED_VALUE"""),45808.50234953704)</f>
        <v>45808.50235</v>
      </c>
      <c r="AS155" s="3"/>
      <c r="AT155" s="3"/>
      <c r="AU155" s="3" t="str">
        <f>IFERROR(__xludf.DUMMYFUNCTION("""COMPUTED_VALUE"""),"submitted_via_web")</f>
        <v>submitted_via_web</v>
      </c>
      <c r="AV155" s="3"/>
      <c r="AW155" s="3" t="str">
        <f>IFERROR(__xludf.DUMMYFUNCTION("""COMPUTED_VALUE"""),"vckVTgNzM4XXtKAKNnsHpB")</f>
        <v>vckVTgNzM4XXtKAKNnsHpB</v>
      </c>
      <c r="AX155" s="3"/>
      <c r="AY155" s="3">
        <f>IFERROR(__xludf.DUMMYFUNCTION("""COMPUTED_VALUE"""),154.0)</f>
        <v>154</v>
      </c>
    </row>
    <row r="156">
      <c r="A156" s="3" t="str">
        <f>IFERROR(__xludf.DUMMYFUNCTION("""COMPUTED_VALUE"""),"Yes")</f>
        <v>Yes</v>
      </c>
      <c r="B156" s="3"/>
      <c r="C156" s="3" t="str">
        <f>IFERROR(__xludf.DUMMYFUNCTION("""COMPUTED_VALUE"""),"mozambique")</f>
        <v>mozambique</v>
      </c>
      <c r="D156" s="3"/>
      <c r="E156" s="3" t="str">
        <f>IFERROR(__xludf.DUMMYFUNCTION("""COMPUTED_VALUE"""),"south_africa")</f>
        <v>south_africa</v>
      </c>
      <c r="F156" s="3" t="str">
        <f>IFERROR(__xludf.DUMMYFUNCTION("""COMPUTED_VALUE"""),"Capetown")</f>
        <v>Capetown</v>
      </c>
      <c r="G156" s="3">
        <f>IFERROR(__xludf.DUMMYFUNCTION("""COMPUTED_VALUE"""),28.0)</f>
        <v>28</v>
      </c>
      <c r="H156" s="3" t="str">
        <f>IFERROR(__xludf.DUMMYFUNCTION("""COMPUTED_VALUE"""),"female")</f>
        <v>female</v>
      </c>
      <c r="I156" s="3" t="str">
        <f>IFERROR(__xludf.DUMMYFUNCTION("""COMPUTED_VALUE"""),"1to5")</f>
        <v>1to5</v>
      </c>
      <c r="J156" s="3" t="str">
        <f>IFERROR(__xludf.DUMMYFUNCTION("""COMPUTED_VALUE"""),"formal")</f>
        <v>formal</v>
      </c>
      <c r="K156" s="3" t="str">
        <f>IFERROR(__xludf.DUMMYFUNCTION("""COMPUTED_VALUE"""),"primary")</f>
        <v>primary</v>
      </c>
      <c r="L156" s="3"/>
      <c r="M156" s="3" t="str">
        <f>IFERROR(__xludf.DUMMYFUNCTION("""COMPUTED_VALUE"""),"agree")</f>
        <v>agree</v>
      </c>
      <c r="N156" s="3" t="str">
        <f>IFERROR(__xludf.DUMMYFUNCTION("""COMPUTED_VALUE"""),"agree")</f>
        <v>agree</v>
      </c>
      <c r="O156" s="3" t="str">
        <f>IFERROR(__xludf.DUMMYFUNCTION("""COMPUTED_VALUE"""),"agree")</f>
        <v>agree</v>
      </c>
      <c r="P156" s="3"/>
      <c r="Q156" s="3" t="str">
        <f>IFERROR(__xludf.DUMMYFUNCTION("""COMPUTED_VALUE"""),"agree")</f>
        <v>agree</v>
      </c>
      <c r="R156" s="3" t="str">
        <f>IFERROR(__xludf.DUMMYFUNCTION("""COMPUTED_VALUE"""),"agree")</f>
        <v>agree</v>
      </c>
      <c r="S156" s="3" t="str">
        <f>IFERROR(__xludf.DUMMYFUNCTION("""COMPUTED_VALUE"""),"agree")</f>
        <v>agree</v>
      </c>
      <c r="T156" s="3" t="str">
        <f>IFERROR(__xludf.DUMMYFUNCTION("""COMPUTED_VALUE"""),"agree")</f>
        <v>agree</v>
      </c>
      <c r="U156" s="3" t="str">
        <f>IFERROR(__xludf.DUMMYFUNCTION("""COMPUTED_VALUE"""),"agree")</f>
        <v>agree</v>
      </c>
      <c r="V156" s="3" t="str">
        <f>IFERROR(__xludf.DUMMYFUNCTION("""COMPUTED_VALUE"""),"agree")</f>
        <v>agree</v>
      </c>
      <c r="W156" s="3" t="str">
        <f>IFERROR(__xludf.DUMMYFUNCTION("""COMPUTED_VALUE"""),"agree")</f>
        <v>agree</v>
      </c>
      <c r="X156" s="3" t="str">
        <f>IFERROR(__xludf.DUMMYFUNCTION("""COMPUTED_VALUE"""),"Gold")</f>
        <v>Gold</v>
      </c>
      <c r="Y156" s="3" t="str">
        <f>IFERROR(__xludf.DUMMYFUNCTION("""COMPUTED_VALUE"""),"card")</f>
        <v>card</v>
      </c>
      <c r="Z156" s="3" t="str">
        <f>IFERROR(__xludf.DUMMYFUNCTION("""COMPUTED_VALUE"""),"monthly")</f>
        <v>monthly</v>
      </c>
      <c r="AA156" s="3">
        <f>IFERROR(__xludf.DUMMYFUNCTION("""COMPUTED_VALUE"""),30.0)</f>
        <v>30</v>
      </c>
      <c r="AB156" s="3" t="str">
        <f>IFERROR(__xludf.DUMMYFUNCTION("""COMPUTED_VALUE"""),"online")</f>
        <v>online</v>
      </c>
      <c r="AC156" s="3" t="str">
        <f>IFERROR(__xludf.DUMMYFUNCTION("""COMPUTED_VALUE"""),"Yes")</f>
        <v>Yes</v>
      </c>
      <c r="AD156" s="3"/>
      <c r="AE156" s="3"/>
      <c r="AF156" s="3" t="str">
        <f>IFERROR(__xludf.DUMMYFUNCTION("""COMPUTED_VALUE"""),"Yes")</f>
        <v>Yes</v>
      </c>
      <c r="AG156" s="3" t="str">
        <f>IFERROR(__xludf.DUMMYFUNCTION("""COMPUTED_VALUE"""),"Yes")</f>
        <v>Yes</v>
      </c>
      <c r="AH156" s="3"/>
      <c r="AI156" s="3">
        <f>IFERROR(__xludf.DUMMYFUNCTION("""COMPUTED_VALUE"""),0.0)</f>
        <v>0</v>
      </c>
      <c r="AJ156" s="3">
        <f>IFERROR(__xludf.DUMMYFUNCTION("""COMPUTED_VALUE"""),1.0)</f>
        <v>1</v>
      </c>
      <c r="AK156" s="3">
        <f>IFERROR(__xludf.DUMMYFUNCTION("""COMPUTED_VALUE"""),0.0)</f>
        <v>0</v>
      </c>
      <c r="AL156" s="3">
        <f>IFERROR(__xludf.DUMMYFUNCTION("""COMPUTED_VALUE"""),0.0)</f>
        <v>0</v>
      </c>
      <c r="AM156" s="3" t="str">
        <f>IFERROR(__xludf.DUMMYFUNCTION("""COMPUTED_VALUE"""),"Yes")</f>
        <v>Yes</v>
      </c>
      <c r="AN156" s="3">
        <f>IFERROR(__xludf.DUMMYFUNCTION("""COMPUTED_VALUE"""),7.3408723E8)</f>
        <v>734087230</v>
      </c>
      <c r="AO156" s="3"/>
      <c r="AP156" s="3">
        <f>IFERROR(__xludf.DUMMYFUNCTION("""COMPUTED_VALUE"""),4.90002951E8)</f>
        <v>490002951</v>
      </c>
      <c r="AQ156" s="3" t="str">
        <f>IFERROR(__xludf.DUMMYFUNCTION("""COMPUTED_VALUE"""),"f05a1be0-8186-40b2-8888-d506cfcbc356")</f>
        <v>f05a1be0-8186-40b2-8888-d506cfcbc356</v>
      </c>
      <c r="AR156" s="3">
        <f>IFERROR(__xludf.DUMMYFUNCTION("""COMPUTED_VALUE"""),45808.50498842593)</f>
        <v>45808.50499</v>
      </c>
      <c r="AS156" s="3"/>
      <c r="AT156" s="3"/>
      <c r="AU156" s="3" t="str">
        <f>IFERROR(__xludf.DUMMYFUNCTION("""COMPUTED_VALUE"""),"submitted_via_web")</f>
        <v>submitted_via_web</v>
      </c>
      <c r="AV156" s="3"/>
      <c r="AW156" s="3" t="str">
        <f>IFERROR(__xludf.DUMMYFUNCTION("""COMPUTED_VALUE"""),"vckVTgNzM4XXtKAKNnsHpB")</f>
        <v>vckVTgNzM4XXtKAKNnsHpB</v>
      </c>
      <c r="AX156" s="3"/>
      <c r="AY156" s="3">
        <f>IFERROR(__xludf.DUMMYFUNCTION("""COMPUTED_VALUE"""),155.0)</f>
        <v>155</v>
      </c>
    </row>
    <row r="157">
      <c r="A157" s="3" t="str">
        <f>IFERROR(__xludf.DUMMYFUNCTION("""COMPUTED_VALUE"""),"Yes")</f>
        <v>Yes</v>
      </c>
      <c r="B157" s="3"/>
      <c r="C157" s="3" t="str">
        <f>IFERROR(__xludf.DUMMYFUNCTION("""COMPUTED_VALUE"""),"ghana")</f>
        <v>ghana</v>
      </c>
      <c r="D157" s="3"/>
      <c r="E157" s="3" t="str">
        <f>IFERROR(__xludf.DUMMYFUNCTION("""COMPUTED_VALUE"""),"south_africa")</f>
        <v>south_africa</v>
      </c>
      <c r="F157" s="3" t="str">
        <f>IFERROR(__xludf.DUMMYFUNCTION("""COMPUTED_VALUE"""),"City of Johannesburg Metropolitan Municipality")</f>
        <v>City of Johannesburg Metropolitan Municipality</v>
      </c>
      <c r="G157" s="3">
        <f>IFERROR(__xludf.DUMMYFUNCTION("""COMPUTED_VALUE"""),35.0)</f>
        <v>35</v>
      </c>
      <c r="H157" s="3" t="str">
        <f>IFERROR(__xludf.DUMMYFUNCTION("""COMPUTED_VALUE"""),"female")</f>
        <v>female</v>
      </c>
      <c r="I157" s="3" t="str">
        <f>IFERROR(__xludf.DUMMYFUNCTION("""COMPUTED_VALUE"""),"6to12")</f>
        <v>6to12</v>
      </c>
      <c r="J157" s="3" t="str">
        <f>IFERROR(__xludf.DUMMYFUNCTION("""COMPUTED_VALUE"""),"informal")</f>
        <v>informal</v>
      </c>
      <c r="K157" s="3" t="str">
        <f>IFERROR(__xludf.DUMMYFUNCTION("""COMPUTED_VALUE"""),"none")</f>
        <v>none</v>
      </c>
      <c r="L157" s="3"/>
      <c r="M157" s="3" t="str">
        <f>IFERROR(__xludf.DUMMYFUNCTION("""COMPUTED_VALUE"""),"agree")</f>
        <v>agree</v>
      </c>
      <c r="N157" s="3" t="str">
        <f>IFERROR(__xludf.DUMMYFUNCTION("""COMPUTED_VALUE"""),"dontknow")</f>
        <v>dontknow</v>
      </c>
      <c r="O157" s="3" t="str">
        <f>IFERROR(__xludf.DUMMYFUNCTION("""COMPUTED_VALUE"""),"disagree")</f>
        <v>disagree</v>
      </c>
      <c r="P157" s="3"/>
      <c r="Q157" s="3" t="str">
        <f>IFERROR(__xludf.DUMMYFUNCTION("""COMPUTED_VALUE"""),"agree")</f>
        <v>agree</v>
      </c>
      <c r="R157" s="3" t="str">
        <f>IFERROR(__xludf.DUMMYFUNCTION("""COMPUTED_VALUE"""),"agree")</f>
        <v>agree</v>
      </c>
      <c r="S157" s="3" t="str">
        <f>IFERROR(__xludf.DUMMYFUNCTION("""COMPUTED_VALUE"""),"disagree")</f>
        <v>disagree</v>
      </c>
      <c r="T157" s="3" t="str">
        <f>IFERROR(__xludf.DUMMYFUNCTION("""COMPUTED_VALUE"""),"disagree")</f>
        <v>disagree</v>
      </c>
      <c r="U157" s="3" t="str">
        <f>IFERROR(__xludf.DUMMYFUNCTION("""COMPUTED_VALUE"""),"disagree")</f>
        <v>disagree</v>
      </c>
      <c r="V157" s="3" t="str">
        <f>IFERROR(__xludf.DUMMYFUNCTION("""COMPUTED_VALUE"""),"disagree")</f>
        <v>disagree</v>
      </c>
      <c r="W157" s="3" t="str">
        <f>IFERROR(__xludf.DUMMYFUNCTION("""COMPUTED_VALUE"""),"disagree")</f>
        <v>disagree</v>
      </c>
      <c r="X157" s="3" t="str">
        <f>IFERROR(__xludf.DUMMYFUNCTION("""COMPUTED_VALUE"""),"Gold")</f>
        <v>Gold</v>
      </c>
      <c r="Y157" s="3" t="str">
        <f>IFERROR(__xludf.DUMMYFUNCTION("""COMPUTED_VALUE"""),"prepaid")</f>
        <v>prepaid</v>
      </c>
      <c r="Z157" s="3" t="str">
        <f>IFERROR(__xludf.DUMMYFUNCTION("""COMPUTED_VALUE"""),"monthly")</f>
        <v>monthly</v>
      </c>
      <c r="AA157" s="3">
        <f>IFERROR(__xludf.DUMMYFUNCTION("""COMPUTED_VALUE"""),10.0)</f>
        <v>10</v>
      </c>
      <c r="AB157" s="3" t="str">
        <f>IFERROR(__xludf.DUMMYFUNCTION("""COMPUTED_VALUE"""),"employer")</f>
        <v>employer</v>
      </c>
      <c r="AC157" s="3" t="str">
        <f>IFERROR(__xludf.DUMMYFUNCTION("""COMPUTED_VALUE"""),"I am not an employer")</f>
        <v>I am not an employer</v>
      </c>
      <c r="AD157" s="3"/>
      <c r="AE157" s="3"/>
      <c r="AF157" s="3" t="str">
        <f>IFERROR(__xludf.DUMMYFUNCTION("""COMPUTED_VALUE"""),"Yes")</f>
        <v>Yes</v>
      </c>
      <c r="AG157" s="3" t="str">
        <f>IFERROR(__xludf.DUMMYFUNCTION("""COMPUTED_VALUE"""),"Yes")</f>
        <v>Yes</v>
      </c>
      <c r="AH157" s="3">
        <f>IFERROR(__xludf.DUMMYFUNCTION("""COMPUTED_VALUE"""),20.0)</f>
        <v>20</v>
      </c>
      <c r="AI157" s="3">
        <f>IFERROR(__xludf.DUMMYFUNCTION("""COMPUTED_VALUE"""),0.0)</f>
        <v>0</v>
      </c>
      <c r="AJ157" s="3">
        <f>IFERROR(__xludf.DUMMYFUNCTION("""COMPUTED_VALUE"""),0.0)</f>
        <v>0</v>
      </c>
      <c r="AK157" s="3">
        <f>IFERROR(__xludf.DUMMYFUNCTION("""COMPUTED_VALUE"""),0.0)</f>
        <v>0</v>
      </c>
      <c r="AL157" s="3">
        <f>IFERROR(__xludf.DUMMYFUNCTION("""COMPUTED_VALUE"""),1.0)</f>
        <v>1</v>
      </c>
      <c r="AM157" s="3" t="str">
        <f>IFERROR(__xludf.DUMMYFUNCTION("""COMPUTED_VALUE"""),"No")</f>
        <v>No</v>
      </c>
      <c r="AN157" s="3"/>
      <c r="AO157" s="3"/>
      <c r="AP157" s="3">
        <f>IFERROR(__xludf.DUMMYFUNCTION("""COMPUTED_VALUE"""),4.90003314E8)</f>
        <v>490003314</v>
      </c>
      <c r="AQ157" s="3" t="str">
        <f>IFERROR(__xludf.DUMMYFUNCTION("""COMPUTED_VALUE"""),"cb67983c-c63a-461d-83e5-895e5f075126")</f>
        <v>cb67983c-c63a-461d-83e5-895e5f075126</v>
      </c>
      <c r="AR157" s="3">
        <f>IFERROR(__xludf.DUMMYFUNCTION("""COMPUTED_VALUE"""),45808.50548611111)</f>
        <v>45808.50549</v>
      </c>
      <c r="AS157" s="3"/>
      <c r="AT157" s="3"/>
      <c r="AU157" s="3" t="str">
        <f>IFERROR(__xludf.DUMMYFUNCTION("""COMPUTED_VALUE"""),"submitted_via_web")</f>
        <v>submitted_via_web</v>
      </c>
      <c r="AV157" s="3"/>
      <c r="AW157" s="3" t="str">
        <f>IFERROR(__xludf.DUMMYFUNCTION("""COMPUTED_VALUE"""),"vckVTgNzM4XXtKAKNnsHpB")</f>
        <v>vckVTgNzM4XXtKAKNnsHpB</v>
      </c>
      <c r="AX157" s="3"/>
      <c r="AY157" s="3">
        <f>IFERROR(__xludf.DUMMYFUNCTION("""COMPUTED_VALUE"""),156.0)</f>
        <v>156</v>
      </c>
    </row>
    <row r="158">
      <c r="A158" s="3" t="str">
        <f>IFERROR(__xludf.DUMMYFUNCTION("""COMPUTED_VALUE"""),"Yes")</f>
        <v>Yes</v>
      </c>
      <c r="B158" s="3"/>
      <c r="C158" s="3" t="str">
        <f>IFERROR(__xludf.DUMMYFUNCTION("""COMPUTED_VALUE"""),"south_africa")</f>
        <v>south_africa</v>
      </c>
      <c r="D158" s="3"/>
      <c r="E158" s="3" t="str">
        <f>IFERROR(__xludf.DUMMYFUNCTION("""COMPUTED_VALUE"""),"mozambique")</f>
        <v>mozambique</v>
      </c>
      <c r="F158" s="3"/>
      <c r="G158" s="3">
        <f>IFERROR(__xludf.DUMMYFUNCTION("""COMPUTED_VALUE"""),29.0)</f>
        <v>29</v>
      </c>
      <c r="H158" s="3" t="str">
        <f>IFERROR(__xludf.DUMMYFUNCTION("""COMPUTED_VALUE"""),"male")</f>
        <v>male</v>
      </c>
      <c r="I158" s="3"/>
      <c r="J158" s="3" t="str">
        <f>IFERROR(__xludf.DUMMYFUNCTION("""COMPUTED_VALUE"""),"formal")</f>
        <v>formal</v>
      </c>
      <c r="K158" s="3" t="str">
        <f>IFERROR(__xludf.DUMMYFUNCTION("""COMPUTED_VALUE"""),"none")</f>
        <v>none</v>
      </c>
      <c r="L158" s="3"/>
      <c r="M158" s="3" t="str">
        <f>IFERROR(__xludf.DUMMYFUNCTION("""COMPUTED_VALUE"""),"agree")</f>
        <v>agree</v>
      </c>
      <c r="N158" s="3" t="str">
        <f>IFERROR(__xludf.DUMMYFUNCTION("""COMPUTED_VALUE"""),"agree")</f>
        <v>agree</v>
      </c>
      <c r="O158" s="3" t="str">
        <f>IFERROR(__xludf.DUMMYFUNCTION("""COMPUTED_VALUE"""),"agree")</f>
        <v>agree</v>
      </c>
      <c r="P158" s="3"/>
      <c r="Q158" s="3" t="str">
        <f>IFERROR(__xludf.DUMMYFUNCTION("""COMPUTED_VALUE"""),"agree")</f>
        <v>agree</v>
      </c>
      <c r="R158" s="3" t="str">
        <f>IFERROR(__xludf.DUMMYFUNCTION("""COMPUTED_VALUE"""),"agree")</f>
        <v>agree</v>
      </c>
      <c r="S158" s="3" t="str">
        <f>IFERROR(__xludf.DUMMYFUNCTION("""COMPUTED_VALUE"""),"agree")</f>
        <v>agree</v>
      </c>
      <c r="T158" s="3" t="str">
        <f>IFERROR(__xludf.DUMMYFUNCTION("""COMPUTED_VALUE"""),"agree")</f>
        <v>agree</v>
      </c>
      <c r="U158" s="3" t="str">
        <f>IFERROR(__xludf.DUMMYFUNCTION("""COMPUTED_VALUE"""),"agree")</f>
        <v>agree</v>
      </c>
      <c r="V158" s="3" t="str">
        <f>IFERROR(__xludf.DUMMYFUNCTION("""COMPUTED_VALUE"""),"agree")</f>
        <v>agree</v>
      </c>
      <c r="W158" s="3" t="str">
        <f>IFERROR(__xludf.DUMMYFUNCTION("""COMPUTED_VALUE"""),"agree")</f>
        <v>agree</v>
      </c>
      <c r="X158" s="3" t="str">
        <f>IFERROR(__xludf.DUMMYFUNCTION("""COMPUTED_VALUE"""),"Gold")</f>
        <v>Gold</v>
      </c>
      <c r="Y158" s="3" t="str">
        <f>IFERROR(__xludf.DUMMYFUNCTION("""COMPUTED_VALUE"""),"card")</f>
        <v>card</v>
      </c>
      <c r="Z158" s="3" t="str">
        <f>IFERROR(__xludf.DUMMYFUNCTION("""COMPUTED_VALUE"""),"monthly")</f>
        <v>monthly</v>
      </c>
      <c r="AA158" s="3">
        <f>IFERROR(__xludf.DUMMYFUNCTION("""COMPUTED_VALUE"""),50.0)</f>
        <v>50</v>
      </c>
      <c r="AB158" s="3" t="str">
        <f>IFERROR(__xludf.DUMMYFUNCTION("""COMPUTED_VALUE"""),"assisted")</f>
        <v>assisted</v>
      </c>
      <c r="AC158" s="3" t="str">
        <f>IFERROR(__xludf.DUMMYFUNCTION("""COMPUTED_VALUE"""),"Yes")</f>
        <v>Yes</v>
      </c>
      <c r="AD158" s="3" t="str">
        <f>IFERROR(__xludf.DUMMYFUNCTION("""COMPUTED_VALUE"""),"Gold")</f>
        <v>Gold</v>
      </c>
      <c r="AE158" s="3" t="str">
        <f>IFERROR(__xludf.DUMMYFUNCTION("""COMPUTED_VALUE"""),"Yes")</f>
        <v>Yes</v>
      </c>
      <c r="AF158" s="3" t="str">
        <f>IFERROR(__xludf.DUMMYFUNCTION("""COMPUTED_VALUE"""),"Yes")</f>
        <v>Yes</v>
      </c>
      <c r="AG158" s="3" t="str">
        <f>IFERROR(__xludf.DUMMYFUNCTION("""COMPUTED_VALUE"""),"Yes")</f>
        <v>Yes</v>
      </c>
      <c r="AH158" s="3"/>
      <c r="AI158" s="3">
        <f>IFERROR(__xludf.DUMMYFUNCTION("""COMPUTED_VALUE"""),0.0)</f>
        <v>0</v>
      </c>
      <c r="AJ158" s="3">
        <f>IFERROR(__xludf.DUMMYFUNCTION("""COMPUTED_VALUE"""),1.0)</f>
        <v>1</v>
      </c>
      <c r="AK158" s="3">
        <f>IFERROR(__xludf.DUMMYFUNCTION("""COMPUTED_VALUE"""),0.0)</f>
        <v>0</v>
      </c>
      <c r="AL158" s="3">
        <f>IFERROR(__xludf.DUMMYFUNCTION("""COMPUTED_VALUE"""),0.0)</f>
        <v>0</v>
      </c>
      <c r="AM158" s="3"/>
      <c r="AN158" s="3"/>
      <c r="AO158" s="3"/>
      <c r="AP158" s="3">
        <f>IFERROR(__xludf.DUMMYFUNCTION("""COMPUTED_VALUE"""),4.90004742E8)</f>
        <v>490004742</v>
      </c>
      <c r="AQ158" s="3" t="str">
        <f>IFERROR(__xludf.DUMMYFUNCTION("""COMPUTED_VALUE"""),"0539a0fc-e8ea-4f8b-8987-d63d22c3e131")</f>
        <v>0539a0fc-e8ea-4f8b-8987-d63d22c3e131</v>
      </c>
      <c r="AR158" s="3">
        <f>IFERROR(__xludf.DUMMYFUNCTION("""COMPUTED_VALUE"""),45808.50743055555)</f>
        <v>45808.50743</v>
      </c>
      <c r="AS158" s="3"/>
      <c r="AT158" s="3"/>
      <c r="AU158" s="3" t="str">
        <f>IFERROR(__xludf.DUMMYFUNCTION("""COMPUTED_VALUE"""),"submitted_via_web")</f>
        <v>submitted_via_web</v>
      </c>
      <c r="AV158" s="3"/>
      <c r="AW158" s="3" t="str">
        <f>IFERROR(__xludf.DUMMYFUNCTION("""COMPUTED_VALUE"""),"vckVTgNzM4XXtKAKNnsHpB")</f>
        <v>vckVTgNzM4XXtKAKNnsHpB</v>
      </c>
      <c r="AX158" s="3"/>
      <c r="AY158" s="3">
        <f>IFERROR(__xludf.DUMMYFUNCTION("""COMPUTED_VALUE"""),157.0)</f>
        <v>157</v>
      </c>
    </row>
    <row r="159">
      <c r="A159" s="3" t="str">
        <f>IFERROR(__xludf.DUMMYFUNCTION("""COMPUTED_VALUE"""),"Yes")</f>
        <v>Yes</v>
      </c>
      <c r="B159" s="3"/>
      <c r="C159" s="3" t="str">
        <f>IFERROR(__xludf.DUMMYFUNCTION("""COMPUTED_VALUE"""),"mozambique")</f>
        <v>mozambique</v>
      </c>
      <c r="D159" s="3"/>
      <c r="E159" s="3" t="str">
        <f>IFERROR(__xludf.DUMMYFUNCTION("""COMPUTED_VALUE"""),"south_africa")</f>
        <v>south_africa</v>
      </c>
      <c r="F159" s="3" t="str">
        <f>IFERROR(__xludf.DUMMYFUNCTION("""COMPUTED_VALUE"""),"Capetown")</f>
        <v>Capetown</v>
      </c>
      <c r="G159" s="3">
        <f>IFERROR(__xludf.DUMMYFUNCTION("""COMPUTED_VALUE"""),28.0)</f>
        <v>28</v>
      </c>
      <c r="H159" s="3" t="str">
        <f>IFERROR(__xludf.DUMMYFUNCTION("""COMPUTED_VALUE"""),"female")</f>
        <v>female</v>
      </c>
      <c r="I159" s="3" t="str">
        <f>IFERROR(__xludf.DUMMYFUNCTION("""COMPUTED_VALUE"""),"1to5")</f>
        <v>1to5</v>
      </c>
      <c r="J159" s="3" t="str">
        <f>IFERROR(__xludf.DUMMYFUNCTION("""COMPUTED_VALUE"""),"formal")</f>
        <v>formal</v>
      </c>
      <c r="K159" s="3" t="str">
        <f>IFERROR(__xludf.DUMMYFUNCTION("""COMPUTED_VALUE"""),"secondary")</f>
        <v>secondary</v>
      </c>
      <c r="L159" s="3"/>
      <c r="M159" s="3" t="str">
        <f>IFERROR(__xludf.DUMMYFUNCTION("""COMPUTED_VALUE"""),"agree")</f>
        <v>agree</v>
      </c>
      <c r="N159" s="3" t="str">
        <f>IFERROR(__xludf.DUMMYFUNCTION("""COMPUTED_VALUE"""),"agree")</f>
        <v>agree</v>
      </c>
      <c r="O159" s="3" t="str">
        <f>IFERROR(__xludf.DUMMYFUNCTION("""COMPUTED_VALUE"""),"agree")</f>
        <v>agree</v>
      </c>
      <c r="P159" s="3"/>
      <c r="Q159" s="3" t="str">
        <f>IFERROR(__xludf.DUMMYFUNCTION("""COMPUTED_VALUE"""),"agree")</f>
        <v>agree</v>
      </c>
      <c r="R159" s="3"/>
      <c r="S159" s="3" t="str">
        <f>IFERROR(__xludf.DUMMYFUNCTION("""COMPUTED_VALUE"""),"agree")</f>
        <v>agree</v>
      </c>
      <c r="T159" s="3" t="str">
        <f>IFERROR(__xludf.DUMMYFUNCTION("""COMPUTED_VALUE"""),"agree")</f>
        <v>agree</v>
      </c>
      <c r="U159" s="3" t="str">
        <f>IFERROR(__xludf.DUMMYFUNCTION("""COMPUTED_VALUE"""),"agree")</f>
        <v>agree</v>
      </c>
      <c r="V159" s="3" t="str">
        <f>IFERROR(__xludf.DUMMYFUNCTION("""COMPUTED_VALUE"""),"agree")</f>
        <v>agree</v>
      </c>
      <c r="W159" s="3" t="str">
        <f>IFERROR(__xludf.DUMMYFUNCTION("""COMPUTED_VALUE"""),"agree")</f>
        <v>agree</v>
      </c>
      <c r="X159" s="3" t="str">
        <f>IFERROR(__xludf.DUMMYFUNCTION("""COMPUTED_VALUE"""),"Gold")</f>
        <v>Gold</v>
      </c>
      <c r="Y159" s="3" t="str">
        <f>IFERROR(__xludf.DUMMYFUNCTION("""COMPUTED_VALUE"""),"cash")</f>
        <v>cash</v>
      </c>
      <c r="Z159" s="3" t="str">
        <f>IFERROR(__xludf.DUMMYFUNCTION("""COMPUTED_VALUE"""),"biannual")</f>
        <v>biannual</v>
      </c>
      <c r="AA159" s="3">
        <f>IFERROR(__xludf.DUMMYFUNCTION("""COMPUTED_VALUE"""),10.0)</f>
        <v>10</v>
      </c>
      <c r="AB159" s="3" t="str">
        <f>IFERROR(__xludf.DUMMYFUNCTION("""COMPUTED_VALUE"""),"assisted")</f>
        <v>assisted</v>
      </c>
      <c r="AC159" s="3" t="str">
        <f>IFERROR(__xludf.DUMMYFUNCTION("""COMPUTED_VALUE"""),"Yes")</f>
        <v>Yes</v>
      </c>
      <c r="AD159" s="3"/>
      <c r="AE159" s="3"/>
      <c r="AF159" s="3" t="str">
        <f>IFERROR(__xludf.DUMMYFUNCTION("""COMPUTED_VALUE"""),"Yes")</f>
        <v>Yes</v>
      </c>
      <c r="AG159" s="3" t="str">
        <f>IFERROR(__xludf.DUMMYFUNCTION("""COMPUTED_VALUE"""),"Yes")</f>
        <v>Yes</v>
      </c>
      <c r="AH159" s="3"/>
      <c r="AI159" s="3">
        <f>IFERROR(__xludf.DUMMYFUNCTION("""COMPUTED_VALUE"""),1.0)</f>
        <v>1</v>
      </c>
      <c r="AJ159" s="3">
        <f>IFERROR(__xludf.DUMMYFUNCTION("""COMPUTED_VALUE"""),0.0)</f>
        <v>0</v>
      </c>
      <c r="AK159" s="3">
        <f>IFERROR(__xludf.DUMMYFUNCTION("""COMPUTED_VALUE"""),0.0)</f>
        <v>0</v>
      </c>
      <c r="AL159" s="3">
        <f>IFERROR(__xludf.DUMMYFUNCTION("""COMPUTED_VALUE"""),0.0)</f>
        <v>0</v>
      </c>
      <c r="AM159" s="3" t="str">
        <f>IFERROR(__xludf.DUMMYFUNCTION("""COMPUTED_VALUE"""),"Yes")</f>
        <v>Yes</v>
      </c>
      <c r="AN159" s="3">
        <f>IFERROR(__xludf.DUMMYFUNCTION("""COMPUTED_VALUE"""),6.40004045E8)</f>
        <v>640004045</v>
      </c>
      <c r="AO159" s="3"/>
      <c r="AP159" s="3">
        <f>IFERROR(__xludf.DUMMYFUNCTION("""COMPUTED_VALUE"""),4.90013637E8)</f>
        <v>490013637</v>
      </c>
      <c r="AQ159" s="3" t="str">
        <f>IFERROR(__xludf.DUMMYFUNCTION("""COMPUTED_VALUE"""),"90d8fc13-b3c5-4344-a059-f79f2d3a20b9")</f>
        <v>90d8fc13-b3c5-4344-a059-f79f2d3a20b9</v>
      </c>
      <c r="AR159" s="3">
        <f>IFERROR(__xludf.DUMMYFUNCTION("""COMPUTED_VALUE"""),45808.51943287037)</f>
        <v>45808.51943</v>
      </c>
      <c r="AS159" s="3"/>
      <c r="AT159" s="3"/>
      <c r="AU159" s="3" t="str">
        <f>IFERROR(__xludf.DUMMYFUNCTION("""COMPUTED_VALUE"""),"submitted_via_web")</f>
        <v>submitted_via_web</v>
      </c>
      <c r="AV159" s="3"/>
      <c r="AW159" s="3" t="str">
        <f>IFERROR(__xludf.DUMMYFUNCTION("""COMPUTED_VALUE"""),"vckVTgNzM4XXtKAKNnsHpB")</f>
        <v>vckVTgNzM4XXtKAKNnsHpB</v>
      </c>
      <c r="AX159" s="3"/>
      <c r="AY159" s="3">
        <f>IFERROR(__xludf.DUMMYFUNCTION("""COMPUTED_VALUE"""),158.0)</f>
        <v>158</v>
      </c>
    </row>
    <row r="160">
      <c r="A160" s="3" t="str">
        <f>IFERROR(__xludf.DUMMYFUNCTION("""COMPUTED_VALUE"""),"Yes")</f>
        <v>Yes</v>
      </c>
      <c r="B160" s="3"/>
      <c r="C160" s="3" t="str">
        <f>IFERROR(__xludf.DUMMYFUNCTION("""COMPUTED_VALUE"""),"mozambique")</f>
        <v>mozambique</v>
      </c>
      <c r="D160" s="3"/>
      <c r="E160" s="3" t="str">
        <f>IFERROR(__xludf.DUMMYFUNCTION("""COMPUTED_VALUE"""),"south_africa")</f>
        <v>south_africa</v>
      </c>
      <c r="F160" s="3" t="str">
        <f>IFERROR(__xludf.DUMMYFUNCTION("""COMPUTED_VALUE"""),"Capetown")</f>
        <v>Capetown</v>
      </c>
      <c r="G160" s="3">
        <f>IFERROR(__xludf.DUMMYFUNCTION("""COMPUTED_VALUE"""),22.0)</f>
        <v>22</v>
      </c>
      <c r="H160" s="3" t="str">
        <f>IFERROR(__xludf.DUMMYFUNCTION("""COMPUTED_VALUE"""),"male")</f>
        <v>male</v>
      </c>
      <c r="I160" s="3" t="str">
        <f>IFERROR(__xludf.DUMMYFUNCTION("""COMPUTED_VALUE"""),"1to5")</f>
        <v>1to5</v>
      </c>
      <c r="J160" s="3" t="str">
        <f>IFERROR(__xludf.DUMMYFUNCTION("""COMPUTED_VALUE"""),"formal")</f>
        <v>formal</v>
      </c>
      <c r="K160" s="3" t="str">
        <f>IFERROR(__xludf.DUMMYFUNCTION("""COMPUTED_VALUE"""),"primary")</f>
        <v>primary</v>
      </c>
      <c r="L160" s="3"/>
      <c r="M160" s="3" t="str">
        <f>IFERROR(__xludf.DUMMYFUNCTION("""COMPUTED_VALUE"""),"agree")</f>
        <v>agree</v>
      </c>
      <c r="N160" s="3" t="str">
        <f>IFERROR(__xludf.DUMMYFUNCTION("""COMPUTED_VALUE"""),"agree")</f>
        <v>agree</v>
      </c>
      <c r="O160" s="3" t="str">
        <f>IFERROR(__xludf.DUMMYFUNCTION("""COMPUTED_VALUE"""),"agree")</f>
        <v>agree</v>
      </c>
      <c r="P160" s="3"/>
      <c r="Q160" s="3" t="str">
        <f>IFERROR(__xludf.DUMMYFUNCTION("""COMPUTED_VALUE"""),"agree")</f>
        <v>agree</v>
      </c>
      <c r="R160" s="3" t="str">
        <f>IFERROR(__xludf.DUMMYFUNCTION("""COMPUTED_VALUE"""),"agree")</f>
        <v>agree</v>
      </c>
      <c r="S160" s="3" t="str">
        <f>IFERROR(__xludf.DUMMYFUNCTION("""COMPUTED_VALUE"""),"agree")</f>
        <v>agree</v>
      </c>
      <c r="T160" s="3" t="str">
        <f>IFERROR(__xludf.DUMMYFUNCTION("""COMPUTED_VALUE"""),"agree")</f>
        <v>agree</v>
      </c>
      <c r="U160" s="3" t="str">
        <f>IFERROR(__xludf.DUMMYFUNCTION("""COMPUTED_VALUE"""),"agree")</f>
        <v>agree</v>
      </c>
      <c r="V160" s="3" t="str">
        <f>IFERROR(__xludf.DUMMYFUNCTION("""COMPUTED_VALUE"""),"agree")</f>
        <v>agree</v>
      </c>
      <c r="W160" s="3" t="str">
        <f>IFERROR(__xludf.DUMMYFUNCTION("""COMPUTED_VALUE"""),"agree")</f>
        <v>agree</v>
      </c>
      <c r="X160" s="3" t="str">
        <f>IFERROR(__xludf.DUMMYFUNCTION("""COMPUTED_VALUE"""),"Gold")</f>
        <v>Gold</v>
      </c>
      <c r="Y160" s="3" t="str">
        <f>IFERROR(__xludf.DUMMYFUNCTION("""COMPUTED_VALUE"""),"cash")</f>
        <v>cash</v>
      </c>
      <c r="Z160" s="3" t="str">
        <f>IFERROR(__xludf.DUMMYFUNCTION("""COMPUTED_VALUE"""),"biannual")</f>
        <v>biannual</v>
      </c>
      <c r="AA160" s="3">
        <f>IFERROR(__xludf.DUMMYFUNCTION("""COMPUTED_VALUE"""),30.0)</f>
        <v>30</v>
      </c>
      <c r="AB160" s="3" t="str">
        <f>IFERROR(__xludf.DUMMYFUNCTION("""COMPUTED_VALUE"""),"assisted")</f>
        <v>assisted</v>
      </c>
      <c r="AC160" s="3" t="str">
        <f>IFERROR(__xludf.DUMMYFUNCTION("""COMPUTED_VALUE"""),"Yes")</f>
        <v>Yes</v>
      </c>
      <c r="AD160" s="3" t="str">
        <f>IFERROR(__xludf.DUMMYFUNCTION("""COMPUTED_VALUE"""),"Gold")</f>
        <v>Gold</v>
      </c>
      <c r="AE160" s="3" t="str">
        <f>IFERROR(__xludf.DUMMYFUNCTION("""COMPUTED_VALUE"""),"Yes")</f>
        <v>Yes</v>
      </c>
      <c r="AF160" s="3" t="str">
        <f>IFERROR(__xludf.DUMMYFUNCTION("""COMPUTED_VALUE"""),"Yes")</f>
        <v>Yes</v>
      </c>
      <c r="AG160" s="3" t="str">
        <f>IFERROR(__xludf.DUMMYFUNCTION("""COMPUTED_VALUE"""),"Yes")</f>
        <v>Yes</v>
      </c>
      <c r="AH160" s="3">
        <f>IFERROR(__xludf.DUMMYFUNCTION("""COMPUTED_VALUE"""),50.0)</f>
        <v>50</v>
      </c>
      <c r="AI160" s="3">
        <f>IFERROR(__xludf.DUMMYFUNCTION("""COMPUTED_VALUE"""),0.0)</f>
        <v>0</v>
      </c>
      <c r="AJ160" s="3">
        <f>IFERROR(__xludf.DUMMYFUNCTION("""COMPUTED_VALUE"""),1.0)</f>
        <v>1</v>
      </c>
      <c r="AK160" s="3">
        <f>IFERROR(__xludf.DUMMYFUNCTION("""COMPUTED_VALUE"""),0.0)</f>
        <v>0</v>
      </c>
      <c r="AL160" s="3">
        <f>IFERROR(__xludf.DUMMYFUNCTION("""COMPUTED_VALUE"""),0.0)</f>
        <v>0</v>
      </c>
      <c r="AM160" s="3" t="str">
        <f>IFERROR(__xludf.DUMMYFUNCTION("""COMPUTED_VALUE"""),"Yes")</f>
        <v>Yes</v>
      </c>
      <c r="AN160" s="3">
        <f>IFERROR(__xludf.DUMMYFUNCTION("""COMPUTED_VALUE"""),6.73748437E8)</f>
        <v>673748437</v>
      </c>
      <c r="AO160" s="3"/>
      <c r="AP160" s="3">
        <f>IFERROR(__xludf.DUMMYFUNCTION("""COMPUTED_VALUE"""),4.90015156E8)</f>
        <v>490015156</v>
      </c>
      <c r="AQ160" s="3" t="str">
        <f>IFERROR(__xludf.DUMMYFUNCTION("""COMPUTED_VALUE"""),"6977841a-1fa0-429b-b410-f4b77f33e4a2")</f>
        <v>6977841a-1fa0-429b-b410-f4b77f33e4a2</v>
      </c>
      <c r="AR160" s="3">
        <f>IFERROR(__xludf.DUMMYFUNCTION("""COMPUTED_VALUE"""),45808.52165509259)</f>
        <v>45808.52166</v>
      </c>
      <c r="AS160" s="3"/>
      <c r="AT160" s="3"/>
      <c r="AU160" s="3" t="str">
        <f>IFERROR(__xludf.DUMMYFUNCTION("""COMPUTED_VALUE"""),"submitted_via_web")</f>
        <v>submitted_via_web</v>
      </c>
      <c r="AV160" s="3"/>
      <c r="AW160" s="3" t="str">
        <f>IFERROR(__xludf.DUMMYFUNCTION("""COMPUTED_VALUE"""),"vckVTgNzM4XXtKAKNnsHpB")</f>
        <v>vckVTgNzM4XXtKAKNnsHpB</v>
      </c>
      <c r="AX160" s="3"/>
      <c r="AY160" s="3">
        <f>IFERROR(__xludf.DUMMYFUNCTION("""COMPUTED_VALUE"""),159.0)</f>
        <v>159</v>
      </c>
    </row>
    <row r="161">
      <c r="A161" s="3" t="str">
        <f>IFERROR(__xludf.DUMMYFUNCTION("""COMPUTED_VALUE"""),"Yes")</f>
        <v>Yes</v>
      </c>
      <c r="B161" s="3"/>
      <c r="C161" s="3" t="str">
        <f>IFERROR(__xludf.DUMMYFUNCTION("""COMPUTED_VALUE"""),"mozambique")</f>
        <v>mozambique</v>
      </c>
      <c r="D161" s="3"/>
      <c r="E161" s="3" t="str">
        <f>IFERROR(__xludf.DUMMYFUNCTION("""COMPUTED_VALUE"""),"south_africa")</f>
        <v>south_africa</v>
      </c>
      <c r="F161" s="3" t="str">
        <f>IFERROR(__xludf.DUMMYFUNCTION("""COMPUTED_VALUE"""),"Chris Hani District")</f>
        <v>Chris Hani District</v>
      </c>
      <c r="G161" s="3">
        <f>IFERROR(__xludf.DUMMYFUNCTION("""COMPUTED_VALUE"""),24.0)</f>
        <v>24</v>
      </c>
      <c r="H161" s="3" t="str">
        <f>IFERROR(__xludf.DUMMYFUNCTION("""COMPUTED_VALUE"""),"male")</f>
        <v>male</v>
      </c>
      <c r="I161" s="3" t="str">
        <f>IFERROR(__xludf.DUMMYFUNCTION("""COMPUTED_VALUE"""),"1to5")</f>
        <v>1to5</v>
      </c>
      <c r="J161" s="3" t="str">
        <f>IFERROR(__xludf.DUMMYFUNCTION("""COMPUTED_VALUE"""),"formal")</f>
        <v>formal</v>
      </c>
      <c r="K161" s="3" t="str">
        <f>IFERROR(__xludf.DUMMYFUNCTION("""COMPUTED_VALUE"""),"primary")</f>
        <v>primary</v>
      </c>
      <c r="L161" s="3"/>
      <c r="M161" s="3" t="str">
        <f>IFERROR(__xludf.DUMMYFUNCTION("""COMPUTED_VALUE"""),"agree")</f>
        <v>agree</v>
      </c>
      <c r="N161" s="3" t="str">
        <f>IFERROR(__xludf.DUMMYFUNCTION("""COMPUTED_VALUE"""),"agree")</f>
        <v>agree</v>
      </c>
      <c r="O161" s="3" t="str">
        <f>IFERROR(__xludf.DUMMYFUNCTION("""COMPUTED_VALUE"""),"agree")</f>
        <v>agree</v>
      </c>
      <c r="P161" s="3"/>
      <c r="Q161" s="3" t="str">
        <f>IFERROR(__xludf.DUMMYFUNCTION("""COMPUTED_VALUE"""),"agree")</f>
        <v>agree</v>
      </c>
      <c r="R161" s="3" t="str">
        <f>IFERROR(__xludf.DUMMYFUNCTION("""COMPUTED_VALUE"""),"agree")</f>
        <v>agree</v>
      </c>
      <c r="S161" s="3" t="str">
        <f>IFERROR(__xludf.DUMMYFUNCTION("""COMPUTED_VALUE"""),"agree")</f>
        <v>agree</v>
      </c>
      <c r="T161" s="3" t="str">
        <f>IFERROR(__xludf.DUMMYFUNCTION("""COMPUTED_VALUE"""),"agree")</f>
        <v>agree</v>
      </c>
      <c r="U161" s="3" t="str">
        <f>IFERROR(__xludf.DUMMYFUNCTION("""COMPUTED_VALUE"""),"agree")</f>
        <v>agree</v>
      </c>
      <c r="V161" s="3" t="str">
        <f>IFERROR(__xludf.DUMMYFUNCTION("""COMPUTED_VALUE"""),"agree")</f>
        <v>agree</v>
      </c>
      <c r="W161" s="3" t="str">
        <f>IFERROR(__xludf.DUMMYFUNCTION("""COMPUTED_VALUE"""),"agree")</f>
        <v>agree</v>
      </c>
      <c r="X161" s="3" t="str">
        <f>IFERROR(__xludf.DUMMYFUNCTION("""COMPUTED_VALUE"""),"Gold")</f>
        <v>Gold</v>
      </c>
      <c r="Y161" s="3" t="str">
        <f>IFERROR(__xludf.DUMMYFUNCTION("""COMPUTED_VALUE"""),"card")</f>
        <v>card</v>
      </c>
      <c r="Z161" s="3" t="str">
        <f>IFERROR(__xludf.DUMMYFUNCTION("""COMPUTED_VALUE"""),"quarterly")</f>
        <v>quarterly</v>
      </c>
      <c r="AA161" s="3">
        <f>IFERROR(__xludf.DUMMYFUNCTION("""COMPUTED_VALUE"""),20.0)</f>
        <v>20</v>
      </c>
      <c r="AB161" s="3" t="str">
        <f>IFERROR(__xludf.DUMMYFUNCTION("""COMPUTED_VALUE"""),"online")</f>
        <v>online</v>
      </c>
      <c r="AC161" s="3" t="str">
        <f>IFERROR(__xludf.DUMMYFUNCTION("""COMPUTED_VALUE"""),"Yes")</f>
        <v>Yes</v>
      </c>
      <c r="AD161" s="3" t="str">
        <f>IFERROR(__xludf.DUMMYFUNCTION("""COMPUTED_VALUE"""),"Gold")</f>
        <v>Gold</v>
      </c>
      <c r="AE161" s="3" t="str">
        <f>IFERROR(__xludf.DUMMYFUNCTION("""COMPUTED_VALUE"""),"Yes")</f>
        <v>Yes</v>
      </c>
      <c r="AF161" s="3" t="str">
        <f>IFERROR(__xludf.DUMMYFUNCTION("""COMPUTED_VALUE"""),"Yes")</f>
        <v>Yes</v>
      </c>
      <c r="AG161" s="3" t="str">
        <f>IFERROR(__xludf.DUMMYFUNCTION("""COMPUTED_VALUE"""),"Yes")</f>
        <v>Yes</v>
      </c>
      <c r="AH161" s="3">
        <f>IFERROR(__xludf.DUMMYFUNCTION("""COMPUTED_VALUE"""),2.0)</f>
        <v>2</v>
      </c>
      <c r="AI161" s="3">
        <f>IFERROR(__xludf.DUMMYFUNCTION("""COMPUTED_VALUE"""),0.0)</f>
        <v>0</v>
      </c>
      <c r="AJ161" s="3">
        <f>IFERROR(__xludf.DUMMYFUNCTION("""COMPUTED_VALUE"""),1.0)</f>
        <v>1</v>
      </c>
      <c r="AK161" s="3">
        <f>IFERROR(__xludf.DUMMYFUNCTION("""COMPUTED_VALUE"""),0.0)</f>
        <v>0</v>
      </c>
      <c r="AL161" s="3">
        <f>IFERROR(__xludf.DUMMYFUNCTION("""COMPUTED_VALUE"""),0.0)</f>
        <v>0</v>
      </c>
      <c r="AM161" s="3" t="str">
        <f>IFERROR(__xludf.DUMMYFUNCTION("""COMPUTED_VALUE"""),"Yes")</f>
        <v>Yes</v>
      </c>
      <c r="AN161" s="3">
        <f>IFERROR(__xludf.DUMMYFUNCTION("""COMPUTED_VALUE"""),6.92541294E8)</f>
        <v>692541294</v>
      </c>
      <c r="AO161" s="3"/>
      <c r="AP161" s="3">
        <f>IFERROR(__xludf.DUMMYFUNCTION("""COMPUTED_VALUE"""),4.90021647E8)</f>
        <v>490021647</v>
      </c>
      <c r="AQ161" s="3" t="str">
        <f>IFERROR(__xludf.DUMMYFUNCTION("""COMPUTED_VALUE"""),"bf393eae-3a16-47ce-8c85-17ff3072ec04")</f>
        <v>bf393eae-3a16-47ce-8c85-17ff3072ec04</v>
      </c>
      <c r="AR161" s="3">
        <f>IFERROR(__xludf.DUMMYFUNCTION("""COMPUTED_VALUE"""),45808.52943287037)</f>
        <v>45808.52943</v>
      </c>
      <c r="AS161" s="3"/>
      <c r="AT161" s="3"/>
      <c r="AU161" s="3" t="str">
        <f>IFERROR(__xludf.DUMMYFUNCTION("""COMPUTED_VALUE"""),"submitted_via_web")</f>
        <v>submitted_via_web</v>
      </c>
      <c r="AV161" s="3"/>
      <c r="AW161" s="3" t="str">
        <f>IFERROR(__xludf.DUMMYFUNCTION("""COMPUTED_VALUE"""),"vckVTgNzM4XXtKAKNnsHpB")</f>
        <v>vckVTgNzM4XXtKAKNnsHpB</v>
      </c>
      <c r="AX161" s="3"/>
      <c r="AY161" s="3">
        <f>IFERROR(__xludf.DUMMYFUNCTION("""COMPUTED_VALUE"""),160.0)</f>
        <v>160</v>
      </c>
    </row>
    <row r="162">
      <c r="A162" s="3" t="str">
        <f>IFERROR(__xludf.DUMMYFUNCTION("""COMPUTED_VALUE"""),"Yes")</f>
        <v>Yes</v>
      </c>
      <c r="B162" s="3"/>
      <c r="C162" s="3" t="str">
        <f>IFERROR(__xludf.DUMMYFUNCTION("""COMPUTED_VALUE"""),"mozambique")</f>
        <v>mozambique</v>
      </c>
      <c r="D162" s="3"/>
      <c r="E162" s="3" t="str">
        <f>IFERROR(__xludf.DUMMYFUNCTION("""COMPUTED_VALUE"""),"south_africa")</f>
        <v>south_africa</v>
      </c>
      <c r="F162" s="3" t="str">
        <f>IFERROR(__xludf.DUMMYFUNCTION("""COMPUTED_VALUE"""),"Chris Hani District")</f>
        <v>Chris Hani District</v>
      </c>
      <c r="G162" s="3">
        <f>IFERROR(__xludf.DUMMYFUNCTION("""COMPUTED_VALUE"""),23.0)</f>
        <v>23</v>
      </c>
      <c r="H162" s="3" t="str">
        <f>IFERROR(__xludf.DUMMYFUNCTION("""COMPUTED_VALUE"""),"female")</f>
        <v>female</v>
      </c>
      <c r="I162" s="3" t="str">
        <f>IFERROR(__xludf.DUMMYFUNCTION("""COMPUTED_VALUE"""),"1to5")</f>
        <v>1to5</v>
      </c>
      <c r="J162" s="3" t="str">
        <f>IFERROR(__xludf.DUMMYFUNCTION("""COMPUTED_VALUE"""),"formal")</f>
        <v>formal</v>
      </c>
      <c r="K162" s="3" t="str">
        <f>IFERROR(__xludf.DUMMYFUNCTION("""COMPUTED_VALUE"""),"primary")</f>
        <v>primary</v>
      </c>
      <c r="L162" s="3"/>
      <c r="M162" s="3" t="str">
        <f>IFERROR(__xludf.DUMMYFUNCTION("""COMPUTED_VALUE"""),"agree")</f>
        <v>agree</v>
      </c>
      <c r="N162" s="3" t="str">
        <f>IFERROR(__xludf.DUMMYFUNCTION("""COMPUTED_VALUE"""),"agree")</f>
        <v>agree</v>
      </c>
      <c r="O162" s="3" t="str">
        <f>IFERROR(__xludf.DUMMYFUNCTION("""COMPUTED_VALUE"""),"agree")</f>
        <v>agree</v>
      </c>
      <c r="P162" s="3"/>
      <c r="Q162" s="3" t="str">
        <f>IFERROR(__xludf.DUMMYFUNCTION("""COMPUTED_VALUE"""),"agree")</f>
        <v>agree</v>
      </c>
      <c r="R162" s="3" t="str">
        <f>IFERROR(__xludf.DUMMYFUNCTION("""COMPUTED_VALUE"""),"agree")</f>
        <v>agree</v>
      </c>
      <c r="S162" s="3" t="str">
        <f>IFERROR(__xludf.DUMMYFUNCTION("""COMPUTED_VALUE"""),"agree")</f>
        <v>agree</v>
      </c>
      <c r="T162" s="3" t="str">
        <f>IFERROR(__xludf.DUMMYFUNCTION("""COMPUTED_VALUE"""),"agree")</f>
        <v>agree</v>
      </c>
      <c r="U162" s="3" t="str">
        <f>IFERROR(__xludf.DUMMYFUNCTION("""COMPUTED_VALUE"""),"agree")</f>
        <v>agree</v>
      </c>
      <c r="V162" s="3" t="str">
        <f>IFERROR(__xludf.DUMMYFUNCTION("""COMPUTED_VALUE"""),"agree")</f>
        <v>agree</v>
      </c>
      <c r="W162" s="3" t="str">
        <f>IFERROR(__xludf.DUMMYFUNCTION("""COMPUTED_VALUE"""),"agree")</f>
        <v>agree</v>
      </c>
      <c r="X162" s="3" t="str">
        <f>IFERROR(__xludf.DUMMYFUNCTION("""COMPUTED_VALUE"""),"Silver")</f>
        <v>Silver</v>
      </c>
      <c r="Y162" s="3" t="str">
        <f>IFERROR(__xludf.DUMMYFUNCTION("""COMPUTED_VALUE"""),"card")</f>
        <v>card</v>
      </c>
      <c r="Z162" s="3" t="str">
        <f>IFERROR(__xludf.DUMMYFUNCTION("""COMPUTED_VALUE"""),"quarterly")</f>
        <v>quarterly</v>
      </c>
      <c r="AA162" s="3">
        <f>IFERROR(__xludf.DUMMYFUNCTION("""COMPUTED_VALUE"""),20.0)</f>
        <v>20</v>
      </c>
      <c r="AB162" s="3" t="str">
        <f>IFERROR(__xludf.DUMMYFUNCTION("""COMPUTED_VALUE"""),"assisted")</f>
        <v>assisted</v>
      </c>
      <c r="AC162" s="3" t="str">
        <f>IFERROR(__xludf.DUMMYFUNCTION("""COMPUTED_VALUE"""),"Yes")</f>
        <v>Yes</v>
      </c>
      <c r="AD162" s="3" t="str">
        <f>IFERROR(__xludf.DUMMYFUNCTION("""COMPUTED_VALUE"""),"Silver")</f>
        <v>Silver</v>
      </c>
      <c r="AE162" s="3" t="str">
        <f>IFERROR(__xludf.DUMMYFUNCTION("""COMPUTED_VALUE"""),"Yes")</f>
        <v>Yes</v>
      </c>
      <c r="AF162" s="3" t="str">
        <f>IFERROR(__xludf.DUMMYFUNCTION("""COMPUTED_VALUE"""),"Yes")</f>
        <v>Yes</v>
      </c>
      <c r="AG162" s="3" t="str">
        <f>IFERROR(__xludf.DUMMYFUNCTION("""COMPUTED_VALUE"""),"Yes")</f>
        <v>Yes</v>
      </c>
      <c r="AH162" s="3">
        <f>IFERROR(__xludf.DUMMYFUNCTION("""COMPUTED_VALUE"""),3.0)</f>
        <v>3</v>
      </c>
      <c r="AI162" s="3">
        <f>IFERROR(__xludf.DUMMYFUNCTION("""COMPUTED_VALUE"""),0.0)</f>
        <v>0</v>
      </c>
      <c r="AJ162" s="3">
        <f>IFERROR(__xludf.DUMMYFUNCTION("""COMPUTED_VALUE"""),1.0)</f>
        <v>1</v>
      </c>
      <c r="AK162" s="3">
        <f>IFERROR(__xludf.DUMMYFUNCTION("""COMPUTED_VALUE"""),0.0)</f>
        <v>0</v>
      </c>
      <c r="AL162" s="3">
        <f>IFERROR(__xludf.DUMMYFUNCTION("""COMPUTED_VALUE"""),0.0)</f>
        <v>0</v>
      </c>
      <c r="AM162" s="3" t="str">
        <f>IFERROR(__xludf.DUMMYFUNCTION("""COMPUTED_VALUE"""),"Yes")</f>
        <v>Yes</v>
      </c>
      <c r="AN162" s="3">
        <f>IFERROR(__xludf.DUMMYFUNCTION("""COMPUTED_VALUE"""),7.32109955E8)</f>
        <v>732109955</v>
      </c>
      <c r="AO162" s="3"/>
      <c r="AP162" s="3">
        <f>IFERROR(__xludf.DUMMYFUNCTION("""COMPUTED_VALUE"""),4.90023205E8)</f>
        <v>490023205</v>
      </c>
      <c r="AQ162" s="3" t="str">
        <f>IFERROR(__xludf.DUMMYFUNCTION("""COMPUTED_VALUE"""),"61f370b8-7872-4f44-935c-2f24bd1107b4")</f>
        <v>61f370b8-7872-4f44-935c-2f24bd1107b4</v>
      </c>
      <c r="AR162" s="3">
        <f>IFERROR(__xludf.DUMMYFUNCTION("""COMPUTED_VALUE"""),45808.531331018516)</f>
        <v>45808.53133</v>
      </c>
      <c r="AS162" s="3"/>
      <c r="AT162" s="3"/>
      <c r="AU162" s="3" t="str">
        <f>IFERROR(__xludf.DUMMYFUNCTION("""COMPUTED_VALUE"""),"submitted_via_web")</f>
        <v>submitted_via_web</v>
      </c>
      <c r="AV162" s="3"/>
      <c r="AW162" s="3" t="str">
        <f>IFERROR(__xludf.DUMMYFUNCTION("""COMPUTED_VALUE"""),"vckVTgNzM4XXtKAKNnsHpB")</f>
        <v>vckVTgNzM4XXtKAKNnsHpB</v>
      </c>
      <c r="AX162" s="3"/>
      <c r="AY162" s="3">
        <f>IFERROR(__xludf.DUMMYFUNCTION("""COMPUTED_VALUE"""),161.0)</f>
        <v>161</v>
      </c>
    </row>
    <row r="163">
      <c r="A163" s="3" t="str">
        <f>IFERROR(__xludf.DUMMYFUNCTION("""COMPUTED_VALUE"""),"Yes")</f>
        <v>Yes</v>
      </c>
      <c r="B163" s="3"/>
      <c r="C163" s="3" t="str">
        <f>IFERROR(__xludf.DUMMYFUNCTION("""COMPUTED_VALUE"""),"mozambique")</f>
        <v>mozambique</v>
      </c>
      <c r="D163" s="3"/>
      <c r="E163" s="3" t="str">
        <f>IFERROR(__xludf.DUMMYFUNCTION("""COMPUTED_VALUE"""),"south_africa")</f>
        <v>south_africa</v>
      </c>
      <c r="F163" s="3" t="str">
        <f>IFERROR(__xludf.DUMMYFUNCTION("""COMPUTED_VALUE"""),"Chris Hani District")</f>
        <v>Chris Hani District</v>
      </c>
      <c r="G163" s="3">
        <f>IFERROR(__xludf.DUMMYFUNCTION("""COMPUTED_VALUE"""),20.0)</f>
        <v>20</v>
      </c>
      <c r="H163" s="3" t="str">
        <f>IFERROR(__xludf.DUMMYFUNCTION("""COMPUTED_VALUE"""),"female")</f>
        <v>female</v>
      </c>
      <c r="I163" s="3" t="str">
        <f>IFERROR(__xludf.DUMMYFUNCTION("""COMPUTED_VALUE"""),"6to12")</f>
        <v>6to12</v>
      </c>
      <c r="J163" s="3" t="str">
        <f>IFERROR(__xludf.DUMMYFUNCTION("""COMPUTED_VALUE"""),"formal")</f>
        <v>formal</v>
      </c>
      <c r="K163" s="3" t="str">
        <f>IFERROR(__xludf.DUMMYFUNCTION("""COMPUTED_VALUE"""),"none")</f>
        <v>none</v>
      </c>
      <c r="L163" s="3"/>
      <c r="M163" s="3" t="str">
        <f>IFERROR(__xludf.DUMMYFUNCTION("""COMPUTED_VALUE"""),"agree")</f>
        <v>agree</v>
      </c>
      <c r="N163" s="3" t="str">
        <f>IFERROR(__xludf.DUMMYFUNCTION("""COMPUTED_VALUE"""),"agree")</f>
        <v>agree</v>
      </c>
      <c r="O163" s="3" t="str">
        <f>IFERROR(__xludf.DUMMYFUNCTION("""COMPUTED_VALUE"""),"agree")</f>
        <v>agree</v>
      </c>
      <c r="P163" s="3"/>
      <c r="Q163" s="3" t="str">
        <f>IFERROR(__xludf.DUMMYFUNCTION("""COMPUTED_VALUE"""),"agree")</f>
        <v>agree</v>
      </c>
      <c r="R163" s="3" t="str">
        <f>IFERROR(__xludf.DUMMYFUNCTION("""COMPUTED_VALUE"""),"agree")</f>
        <v>agree</v>
      </c>
      <c r="S163" s="3" t="str">
        <f>IFERROR(__xludf.DUMMYFUNCTION("""COMPUTED_VALUE"""),"agree")</f>
        <v>agree</v>
      </c>
      <c r="T163" s="3" t="str">
        <f>IFERROR(__xludf.DUMMYFUNCTION("""COMPUTED_VALUE"""),"agree")</f>
        <v>agree</v>
      </c>
      <c r="U163" s="3" t="str">
        <f>IFERROR(__xludf.DUMMYFUNCTION("""COMPUTED_VALUE"""),"agree")</f>
        <v>agree</v>
      </c>
      <c r="V163" s="3" t="str">
        <f>IFERROR(__xludf.DUMMYFUNCTION("""COMPUTED_VALUE"""),"agree")</f>
        <v>agree</v>
      </c>
      <c r="W163" s="3" t="str">
        <f>IFERROR(__xludf.DUMMYFUNCTION("""COMPUTED_VALUE"""),"agree")</f>
        <v>agree</v>
      </c>
      <c r="X163" s="3" t="str">
        <f>IFERROR(__xludf.DUMMYFUNCTION("""COMPUTED_VALUE"""),"Platinum")</f>
        <v>Platinum</v>
      </c>
      <c r="Y163" s="3" t="str">
        <f>IFERROR(__xludf.DUMMYFUNCTION("""COMPUTED_VALUE"""),"cash")</f>
        <v>cash</v>
      </c>
      <c r="Z163" s="3" t="str">
        <f>IFERROR(__xludf.DUMMYFUNCTION("""COMPUTED_VALUE"""),"monthly")</f>
        <v>monthly</v>
      </c>
      <c r="AA163" s="3">
        <f>IFERROR(__xludf.DUMMYFUNCTION("""COMPUTED_VALUE"""),30.0)</f>
        <v>30</v>
      </c>
      <c r="AB163" s="3" t="str">
        <f>IFERROR(__xludf.DUMMYFUNCTION("""COMPUTED_VALUE"""),"online")</f>
        <v>online</v>
      </c>
      <c r="AC163" s="3" t="str">
        <f>IFERROR(__xludf.DUMMYFUNCTION("""COMPUTED_VALUE"""),"Yes")</f>
        <v>Yes</v>
      </c>
      <c r="AD163" s="3" t="str">
        <f>IFERROR(__xludf.DUMMYFUNCTION("""COMPUTED_VALUE"""),"Platinum")</f>
        <v>Platinum</v>
      </c>
      <c r="AE163" s="3" t="str">
        <f>IFERROR(__xludf.DUMMYFUNCTION("""COMPUTED_VALUE"""),"Yes")</f>
        <v>Yes</v>
      </c>
      <c r="AF163" s="3" t="str">
        <f>IFERROR(__xludf.DUMMYFUNCTION("""COMPUTED_VALUE"""),"Yes")</f>
        <v>Yes</v>
      </c>
      <c r="AG163" s="3" t="str">
        <f>IFERROR(__xludf.DUMMYFUNCTION("""COMPUTED_VALUE"""),"Yes")</f>
        <v>Yes</v>
      </c>
      <c r="AH163" s="3">
        <f>IFERROR(__xludf.DUMMYFUNCTION("""COMPUTED_VALUE"""),2.0)</f>
        <v>2</v>
      </c>
      <c r="AI163" s="3">
        <f>IFERROR(__xludf.DUMMYFUNCTION("""COMPUTED_VALUE"""),0.0)</f>
        <v>0</v>
      </c>
      <c r="AJ163" s="3">
        <f>IFERROR(__xludf.DUMMYFUNCTION("""COMPUTED_VALUE"""),1.0)</f>
        <v>1</v>
      </c>
      <c r="AK163" s="3">
        <f>IFERROR(__xludf.DUMMYFUNCTION("""COMPUTED_VALUE"""),0.0)</f>
        <v>0</v>
      </c>
      <c r="AL163" s="3">
        <f>IFERROR(__xludf.DUMMYFUNCTION("""COMPUTED_VALUE"""),0.0)</f>
        <v>0</v>
      </c>
      <c r="AM163" s="3" t="str">
        <f>IFERROR(__xludf.DUMMYFUNCTION("""COMPUTED_VALUE"""),"Yes")</f>
        <v>Yes</v>
      </c>
      <c r="AN163" s="3">
        <f>IFERROR(__xludf.DUMMYFUNCTION("""COMPUTED_VALUE"""),7.3293382E7)</f>
        <v>73293382</v>
      </c>
      <c r="AO163" s="3"/>
      <c r="AP163" s="3">
        <f>IFERROR(__xludf.DUMMYFUNCTION("""COMPUTED_VALUE"""),4.90024645E8)</f>
        <v>490024645</v>
      </c>
      <c r="AQ163" s="3" t="str">
        <f>IFERROR(__xludf.DUMMYFUNCTION("""COMPUTED_VALUE"""),"e774f3ee-a86b-46cd-beb0-7f38a7ed7fbb")</f>
        <v>e774f3ee-a86b-46cd-beb0-7f38a7ed7fbb</v>
      </c>
      <c r="AR163" s="3">
        <f>IFERROR(__xludf.DUMMYFUNCTION("""COMPUTED_VALUE"""),45808.53369212963)</f>
        <v>45808.53369</v>
      </c>
      <c r="AS163" s="3"/>
      <c r="AT163" s="3"/>
      <c r="AU163" s="3" t="str">
        <f>IFERROR(__xludf.DUMMYFUNCTION("""COMPUTED_VALUE"""),"submitted_via_web")</f>
        <v>submitted_via_web</v>
      </c>
      <c r="AV163" s="3"/>
      <c r="AW163" s="3" t="str">
        <f>IFERROR(__xludf.DUMMYFUNCTION("""COMPUTED_VALUE"""),"vckVTgNzM4XXtKAKNnsHpB")</f>
        <v>vckVTgNzM4XXtKAKNnsHpB</v>
      </c>
      <c r="AX163" s="3"/>
      <c r="AY163" s="3">
        <f>IFERROR(__xludf.DUMMYFUNCTION("""COMPUTED_VALUE"""),162.0)</f>
        <v>162</v>
      </c>
    </row>
    <row r="164">
      <c r="A164" s="3" t="str">
        <f>IFERROR(__xludf.DUMMYFUNCTION("""COMPUTED_VALUE"""),"Yes")</f>
        <v>Yes</v>
      </c>
      <c r="B164" s="3"/>
      <c r="C164" s="3" t="str">
        <f>IFERROR(__xludf.DUMMYFUNCTION("""COMPUTED_VALUE"""),"mozambique")</f>
        <v>mozambique</v>
      </c>
      <c r="D164" s="3"/>
      <c r="E164" s="3" t="str">
        <f>IFERROR(__xludf.DUMMYFUNCTION("""COMPUTED_VALUE"""),"south_africa")</f>
        <v>south_africa</v>
      </c>
      <c r="F164" s="3" t="str">
        <f>IFERROR(__xludf.DUMMYFUNCTION("""COMPUTED_VALUE"""),"Chris Hani District")</f>
        <v>Chris Hani District</v>
      </c>
      <c r="G164" s="3">
        <f>IFERROR(__xludf.DUMMYFUNCTION("""COMPUTED_VALUE"""),21.0)</f>
        <v>21</v>
      </c>
      <c r="H164" s="3" t="str">
        <f>IFERROR(__xludf.DUMMYFUNCTION("""COMPUTED_VALUE"""),"male")</f>
        <v>male</v>
      </c>
      <c r="I164" s="3" t="str">
        <f>IFERROR(__xludf.DUMMYFUNCTION("""COMPUTED_VALUE"""),"over5")</f>
        <v>over5</v>
      </c>
      <c r="J164" s="3" t="str">
        <f>IFERROR(__xludf.DUMMYFUNCTION("""COMPUTED_VALUE"""),"formal")</f>
        <v>formal</v>
      </c>
      <c r="K164" s="3" t="str">
        <f>IFERROR(__xludf.DUMMYFUNCTION("""COMPUTED_VALUE"""),"secondary")</f>
        <v>secondary</v>
      </c>
      <c r="L164" s="3"/>
      <c r="M164" s="3" t="str">
        <f>IFERROR(__xludf.DUMMYFUNCTION("""COMPUTED_VALUE"""),"agree")</f>
        <v>agree</v>
      </c>
      <c r="N164" s="3" t="str">
        <f>IFERROR(__xludf.DUMMYFUNCTION("""COMPUTED_VALUE"""),"agree")</f>
        <v>agree</v>
      </c>
      <c r="O164" s="3" t="str">
        <f>IFERROR(__xludf.DUMMYFUNCTION("""COMPUTED_VALUE"""),"agree")</f>
        <v>agree</v>
      </c>
      <c r="P164" s="3"/>
      <c r="Q164" s="3" t="str">
        <f>IFERROR(__xludf.DUMMYFUNCTION("""COMPUTED_VALUE"""),"agree")</f>
        <v>agree</v>
      </c>
      <c r="R164" s="3" t="str">
        <f>IFERROR(__xludf.DUMMYFUNCTION("""COMPUTED_VALUE"""),"agree")</f>
        <v>agree</v>
      </c>
      <c r="S164" s="3" t="str">
        <f>IFERROR(__xludf.DUMMYFUNCTION("""COMPUTED_VALUE"""),"agree")</f>
        <v>agree</v>
      </c>
      <c r="T164" s="3" t="str">
        <f>IFERROR(__xludf.DUMMYFUNCTION("""COMPUTED_VALUE"""),"agree")</f>
        <v>agree</v>
      </c>
      <c r="U164" s="3" t="str">
        <f>IFERROR(__xludf.DUMMYFUNCTION("""COMPUTED_VALUE"""),"agree")</f>
        <v>agree</v>
      </c>
      <c r="V164" s="3" t="str">
        <f>IFERROR(__xludf.DUMMYFUNCTION("""COMPUTED_VALUE"""),"agree")</f>
        <v>agree</v>
      </c>
      <c r="W164" s="3" t="str">
        <f>IFERROR(__xludf.DUMMYFUNCTION("""COMPUTED_VALUE"""),"agree")</f>
        <v>agree</v>
      </c>
      <c r="X164" s="3" t="str">
        <f>IFERROR(__xludf.DUMMYFUNCTION("""COMPUTED_VALUE"""),"Silver")</f>
        <v>Silver</v>
      </c>
      <c r="Y164" s="3" t="str">
        <f>IFERROR(__xludf.DUMMYFUNCTION("""COMPUTED_VALUE"""),"cash")</f>
        <v>cash</v>
      </c>
      <c r="Z164" s="3" t="str">
        <f>IFERROR(__xludf.DUMMYFUNCTION("""COMPUTED_VALUE"""),"quarterly")</f>
        <v>quarterly</v>
      </c>
      <c r="AA164" s="3">
        <f>IFERROR(__xludf.DUMMYFUNCTION("""COMPUTED_VALUE"""),30.0)</f>
        <v>30</v>
      </c>
      <c r="AB164" s="3" t="str">
        <f>IFERROR(__xludf.DUMMYFUNCTION("""COMPUTED_VALUE"""),"online")</f>
        <v>online</v>
      </c>
      <c r="AC164" s="3" t="str">
        <f>IFERROR(__xludf.DUMMYFUNCTION("""COMPUTED_VALUE"""),"Yes")</f>
        <v>Yes</v>
      </c>
      <c r="AD164" s="3" t="str">
        <f>IFERROR(__xludf.DUMMYFUNCTION("""COMPUTED_VALUE"""),"Silver")</f>
        <v>Silver</v>
      </c>
      <c r="AE164" s="3" t="str">
        <f>IFERROR(__xludf.DUMMYFUNCTION("""COMPUTED_VALUE"""),"Yes")</f>
        <v>Yes</v>
      </c>
      <c r="AF164" s="3" t="str">
        <f>IFERROR(__xludf.DUMMYFUNCTION("""COMPUTED_VALUE"""),"Yes")</f>
        <v>Yes</v>
      </c>
      <c r="AG164" s="3" t="str">
        <f>IFERROR(__xludf.DUMMYFUNCTION("""COMPUTED_VALUE"""),"Yes")</f>
        <v>Yes</v>
      </c>
      <c r="AH164" s="3">
        <f>IFERROR(__xludf.DUMMYFUNCTION("""COMPUTED_VALUE"""),3.0)</f>
        <v>3</v>
      </c>
      <c r="AI164" s="3">
        <f>IFERROR(__xludf.DUMMYFUNCTION("""COMPUTED_VALUE"""),0.0)</f>
        <v>0</v>
      </c>
      <c r="AJ164" s="3">
        <f>IFERROR(__xludf.DUMMYFUNCTION("""COMPUTED_VALUE"""),1.0)</f>
        <v>1</v>
      </c>
      <c r="AK164" s="3">
        <f>IFERROR(__xludf.DUMMYFUNCTION("""COMPUTED_VALUE"""),0.0)</f>
        <v>0</v>
      </c>
      <c r="AL164" s="3">
        <f>IFERROR(__xludf.DUMMYFUNCTION("""COMPUTED_VALUE"""),0.0)</f>
        <v>0</v>
      </c>
      <c r="AM164" s="3" t="str">
        <f>IFERROR(__xludf.DUMMYFUNCTION("""COMPUTED_VALUE"""),"Yes")</f>
        <v>Yes</v>
      </c>
      <c r="AN164" s="3">
        <f>IFERROR(__xludf.DUMMYFUNCTION("""COMPUTED_VALUE"""),8.37472508E8)</f>
        <v>837472508</v>
      </c>
      <c r="AO164" s="3"/>
      <c r="AP164" s="3">
        <f>IFERROR(__xludf.DUMMYFUNCTION("""COMPUTED_VALUE"""),4.90025968E8)</f>
        <v>490025968</v>
      </c>
      <c r="AQ164" s="3" t="str">
        <f>IFERROR(__xludf.DUMMYFUNCTION("""COMPUTED_VALUE"""),"a4a537d3-1c2f-4168-86d5-808108a4da72")</f>
        <v>a4a537d3-1c2f-4168-86d5-808108a4da72</v>
      </c>
      <c r="AR164" s="3">
        <f>IFERROR(__xludf.DUMMYFUNCTION("""COMPUTED_VALUE"""),45808.53591435185)</f>
        <v>45808.53591</v>
      </c>
      <c r="AS164" s="3"/>
      <c r="AT164" s="3"/>
      <c r="AU164" s="3" t="str">
        <f>IFERROR(__xludf.DUMMYFUNCTION("""COMPUTED_VALUE"""),"submitted_via_web")</f>
        <v>submitted_via_web</v>
      </c>
      <c r="AV164" s="3"/>
      <c r="AW164" s="3" t="str">
        <f>IFERROR(__xludf.DUMMYFUNCTION("""COMPUTED_VALUE"""),"vckVTgNzM4XXtKAKNnsHpB")</f>
        <v>vckVTgNzM4XXtKAKNnsHpB</v>
      </c>
      <c r="AX164" s="3"/>
      <c r="AY164" s="3">
        <f>IFERROR(__xludf.DUMMYFUNCTION("""COMPUTED_VALUE"""),163.0)</f>
        <v>163</v>
      </c>
    </row>
    <row r="165">
      <c r="A165" s="3" t="str">
        <f>IFERROR(__xludf.DUMMYFUNCTION("""COMPUTED_VALUE"""),"Yes")</f>
        <v>Yes</v>
      </c>
      <c r="B165" s="3"/>
      <c r="C165" s="3" t="str">
        <f>IFERROR(__xludf.DUMMYFUNCTION("""COMPUTED_VALUE"""),"mozambique")</f>
        <v>mozambique</v>
      </c>
      <c r="D165" s="3"/>
      <c r="E165" s="3" t="str">
        <f>IFERROR(__xludf.DUMMYFUNCTION("""COMPUTED_VALUE"""),"south_africa")</f>
        <v>south_africa</v>
      </c>
      <c r="F165" s="3" t="str">
        <f>IFERROR(__xludf.DUMMYFUNCTION("""COMPUTED_VALUE"""),"Chris Hani District")</f>
        <v>Chris Hani District</v>
      </c>
      <c r="G165" s="3">
        <f>IFERROR(__xludf.DUMMYFUNCTION("""COMPUTED_VALUE"""),21.0)</f>
        <v>21</v>
      </c>
      <c r="H165" s="3" t="str">
        <f>IFERROR(__xludf.DUMMYFUNCTION("""COMPUTED_VALUE"""),"male")</f>
        <v>male</v>
      </c>
      <c r="I165" s="3" t="str">
        <f>IFERROR(__xludf.DUMMYFUNCTION("""COMPUTED_VALUE"""),"over5")</f>
        <v>over5</v>
      </c>
      <c r="J165" s="3" t="str">
        <f>IFERROR(__xludf.DUMMYFUNCTION("""COMPUTED_VALUE"""),"formal")</f>
        <v>formal</v>
      </c>
      <c r="K165" s="3" t="str">
        <f>IFERROR(__xludf.DUMMYFUNCTION("""COMPUTED_VALUE"""),"secondary")</f>
        <v>secondary</v>
      </c>
      <c r="L165" s="3"/>
      <c r="M165" s="3" t="str">
        <f>IFERROR(__xludf.DUMMYFUNCTION("""COMPUTED_VALUE"""),"agree")</f>
        <v>agree</v>
      </c>
      <c r="N165" s="3" t="str">
        <f>IFERROR(__xludf.DUMMYFUNCTION("""COMPUTED_VALUE"""),"agree")</f>
        <v>agree</v>
      </c>
      <c r="O165" s="3" t="str">
        <f>IFERROR(__xludf.DUMMYFUNCTION("""COMPUTED_VALUE"""),"agree")</f>
        <v>agree</v>
      </c>
      <c r="P165" s="3"/>
      <c r="Q165" s="3" t="str">
        <f>IFERROR(__xludf.DUMMYFUNCTION("""COMPUTED_VALUE"""),"agree")</f>
        <v>agree</v>
      </c>
      <c r="R165" s="3" t="str">
        <f>IFERROR(__xludf.DUMMYFUNCTION("""COMPUTED_VALUE"""),"agree")</f>
        <v>agree</v>
      </c>
      <c r="S165" s="3" t="str">
        <f>IFERROR(__xludf.DUMMYFUNCTION("""COMPUTED_VALUE"""),"agree")</f>
        <v>agree</v>
      </c>
      <c r="T165" s="3" t="str">
        <f>IFERROR(__xludf.DUMMYFUNCTION("""COMPUTED_VALUE"""),"agree")</f>
        <v>agree</v>
      </c>
      <c r="U165" s="3" t="str">
        <f>IFERROR(__xludf.DUMMYFUNCTION("""COMPUTED_VALUE"""),"agree")</f>
        <v>agree</v>
      </c>
      <c r="V165" s="3" t="str">
        <f>IFERROR(__xludf.DUMMYFUNCTION("""COMPUTED_VALUE"""),"agree")</f>
        <v>agree</v>
      </c>
      <c r="W165" s="3" t="str">
        <f>IFERROR(__xludf.DUMMYFUNCTION("""COMPUTED_VALUE"""),"agree")</f>
        <v>agree</v>
      </c>
      <c r="X165" s="3" t="str">
        <f>IFERROR(__xludf.DUMMYFUNCTION("""COMPUTED_VALUE"""),"Silver")</f>
        <v>Silver</v>
      </c>
      <c r="Y165" s="3" t="str">
        <f>IFERROR(__xludf.DUMMYFUNCTION("""COMPUTED_VALUE"""),"cash")</f>
        <v>cash</v>
      </c>
      <c r="Z165" s="3" t="str">
        <f>IFERROR(__xludf.DUMMYFUNCTION("""COMPUTED_VALUE"""),"quarterly")</f>
        <v>quarterly</v>
      </c>
      <c r="AA165" s="3">
        <f>IFERROR(__xludf.DUMMYFUNCTION("""COMPUTED_VALUE"""),40.0)</f>
        <v>40</v>
      </c>
      <c r="AB165" s="3" t="str">
        <f>IFERROR(__xludf.DUMMYFUNCTION("""COMPUTED_VALUE"""),"online")</f>
        <v>online</v>
      </c>
      <c r="AC165" s="3" t="str">
        <f>IFERROR(__xludf.DUMMYFUNCTION("""COMPUTED_VALUE"""),"Yes")</f>
        <v>Yes</v>
      </c>
      <c r="AD165" s="3" t="str">
        <f>IFERROR(__xludf.DUMMYFUNCTION("""COMPUTED_VALUE"""),"Silver")</f>
        <v>Silver</v>
      </c>
      <c r="AE165" s="3" t="str">
        <f>IFERROR(__xludf.DUMMYFUNCTION("""COMPUTED_VALUE"""),"Yes")</f>
        <v>Yes</v>
      </c>
      <c r="AF165" s="3" t="str">
        <f>IFERROR(__xludf.DUMMYFUNCTION("""COMPUTED_VALUE"""),"Yes")</f>
        <v>Yes</v>
      </c>
      <c r="AG165" s="3" t="str">
        <f>IFERROR(__xludf.DUMMYFUNCTION("""COMPUTED_VALUE"""),"Yes")</f>
        <v>Yes</v>
      </c>
      <c r="AH165" s="3">
        <f>IFERROR(__xludf.DUMMYFUNCTION("""COMPUTED_VALUE"""),2.0)</f>
        <v>2</v>
      </c>
      <c r="AI165" s="3">
        <f>IFERROR(__xludf.DUMMYFUNCTION("""COMPUTED_VALUE"""),1.0)</f>
        <v>1</v>
      </c>
      <c r="AJ165" s="3">
        <f>IFERROR(__xludf.DUMMYFUNCTION("""COMPUTED_VALUE"""),0.0)</f>
        <v>0</v>
      </c>
      <c r="AK165" s="3">
        <f>IFERROR(__xludf.DUMMYFUNCTION("""COMPUTED_VALUE"""),0.0)</f>
        <v>0</v>
      </c>
      <c r="AL165" s="3">
        <f>IFERROR(__xludf.DUMMYFUNCTION("""COMPUTED_VALUE"""),0.0)</f>
        <v>0</v>
      </c>
      <c r="AM165" s="3" t="str">
        <f>IFERROR(__xludf.DUMMYFUNCTION("""COMPUTED_VALUE"""),"Yes")</f>
        <v>Yes</v>
      </c>
      <c r="AN165" s="3">
        <f>IFERROR(__xludf.DUMMYFUNCTION("""COMPUTED_VALUE"""),6.04141344E8)</f>
        <v>604141344</v>
      </c>
      <c r="AO165" s="3"/>
      <c r="AP165" s="3">
        <f>IFERROR(__xludf.DUMMYFUNCTION("""COMPUTED_VALUE"""),4.90028048E8)</f>
        <v>490028048</v>
      </c>
      <c r="AQ165" s="3" t="str">
        <f>IFERROR(__xludf.DUMMYFUNCTION("""COMPUTED_VALUE"""),"f10fe9b7-7b3f-40be-98b9-6579fef6e8b0")</f>
        <v>f10fe9b7-7b3f-40be-98b9-6579fef6e8b0</v>
      </c>
      <c r="AR165" s="3">
        <f>IFERROR(__xludf.DUMMYFUNCTION("""COMPUTED_VALUE"""),45808.53858796296)</f>
        <v>45808.53859</v>
      </c>
      <c r="AS165" s="3"/>
      <c r="AT165" s="3"/>
      <c r="AU165" s="3" t="str">
        <f>IFERROR(__xludf.DUMMYFUNCTION("""COMPUTED_VALUE"""),"submitted_via_web")</f>
        <v>submitted_via_web</v>
      </c>
      <c r="AV165" s="3"/>
      <c r="AW165" s="3" t="str">
        <f>IFERROR(__xludf.DUMMYFUNCTION("""COMPUTED_VALUE"""),"vckVTgNzM4XXtKAKNnsHpB")</f>
        <v>vckVTgNzM4XXtKAKNnsHpB</v>
      </c>
      <c r="AX165" s="3"/>
      <c r="AY165" s="3">
        <f>IFERROR(__xludf.DUMMYFUNCTION("""COMPUTED_VALUE"""),164.0)</f>
        <v>164</v>
      </c>
    </row>
    <row r="166">
      <c r="A166" s="3" t="str">
        <f>IFERROR(__xludf.DUMMYFUNCTION("""COMPUTED_VALUE"""),"Yes")</f>
        <v>Yes</v>
      </c>
      <c r="B166" s="3"/>
      <c r="C166" s="3" t="str">
        <f>IFERROR(__xludf.DUMMYFUNCTION("""COMPUTED_VALUE"""),"mozambique")</f>
        <v>mozambique</v>
      </c>
      <c r="D166" s="3"/>
      <c r="E166" s="3" t="str">
        <f>IFERROR(__xludf.DUMMYFUNCTION("""COMPUTED_VALUE"""),"south_africa")</f>
        <v>south_africa</v>
      </c>
      <c r="F166" s="3" t="str">
        <f>IFERROR(__xludf.DUMMYFUNCTION("""COMPUTED_VALUE"""),"Capetown")</f>
        <v>Capetown</v>
      </c>
      <c r="G166" s="3">
        <f>IFERROR(__xludf.DUMMYFUNCTION("""COMPUTED_VALUE"""),22.0)</f>
        <v>22</v>
      </c>
      <c r="H166" s="3" t="str">
        <f>IFERROR(__xludf.DUMMYFUNCTION("""COMPUTED_VALUE"""),"male")</f>
        <v>male</v>
      </c>
      <c r="I166" s="3" t="str">
        <f>IFERROR(__xludf.DUMMYFUNCTION("""COMPUTED_VALUE"""),"6to12")</f>
        <v>6to12</v>
      </c>
      <c r="J166" s="3" t="str">
        <f>IFERROR(__xludf.DUMMYFUNCTION("""COMPUTED_VALUE"""),"ownbusiness")</f>
        <v>ownbusiness</v>
      </c>
      <c r="K166" s="3" t="str">
        <f>IFERROR(__xludf.DUMMYFUNCTION("""COMPUTED_VALUE"""),"primary")</f>
        <v>primary</v>
      </c>
      <c r="L166" s="3"/>
      <c r="M166" s="3" t="str">
        <f>IFERROR(__xludf.DUMMYFUNCTION("""COMPUTED_VALUE"""),"agree")</f>
        <v>agree</v>
      </c>
      <c r="N166" s="3" t="str">
        <f>IFERROR(__xludf.DUMMYFUNCTION("""COMPUTED_VALUE"""),"agree")</f>
        <v>agree</v>
      </c>
      <c r="O166" s="3" t="str">
        <f>IFERROR(__xludf.DUMMYFUNCTION("""COMPUTED_VALUE"""),"agree")</f>
        <v>agree</v>
      </c>
      <c r="P166" s="3"/>
      <c r="Q166" s="3" t="str">
        <f>IFERROR(__xludf.DUMMYFUNCTION("""COMPUTED_VALUE"""),"agree")</f>
        <v>agree</v>
      </c>
      <c r="R166" s="3" t="str">
        <f>IFERROR(__xludf.DUMMYFUNCTION("""COMPUTED_VALUE"""),"agree")</f>
        <v>agree</v>
      </c>
      <c r="S166" s="3" t="str">
        <f>IFERROR(__xludf.DUMMYFUNCTION("""COMPUTED_VALUE"""),"agree")</f>
        <v>agree</v>
      </c>
      <c r="T166" s="3" t="str">
        <f>IFERROR(__xludf.DUMMYFUNCTION("""COMPUTED_VALUE"""),"agree")</f>
        <v>agree</v>
      </c>
      <c r="U166" s="3" t="str">
        <f>IFERROR(__xludf.DUMMYFUNCTION("""COMPUTED_VALUE"""),"agree")</f>
        <v>agree</v>
      </c>
      <c r="V166" s="3" t="str">
        <f>IFERROR(__xludf.DUMMYFUNCTION("""COMPUTED_VALUE"""),"agree")</f>
        <v>agree</v>
      </c>
      <c r="W166" s="3" t="str">
        <f>IFERROR(__xludf.DUMMYFUNCTION("""COMPUTED_VALUE"""),"agree")</f>
        <v>agree</v>
      </c>
      <c r="X166" s="3" t="str">
        <f>IFERROR(__xludf.DUMMYFUNCTION("""COMPUTED_VALUE"""),"Silver")</f>
        <v>Silver</v>
      </c>
      <c r="Y166" s="3" t="str">
        <f>IFERROR(__xludf.DUMMYFUNCTION("""COMPUTED_VALUE"""),"cash")</f>
        <v>cash</v>
      </c>
      <c r="Z166" s="3" t="str">
        <f>IFERROR(__xludf.DUMMYFUNCTION("""COMPUTED_VALUE"""),"quarterly")</f>
        <v>quarterly</v>
      </c>
      <c r="AA166" s="3">
        <f>IFERROR(__xludf.DUMMYFUNCTION("""COMPUTED_VALUE"""),20.0)</f>
        <v>20</v>
      </c>
      <c r="AB166" s="3" t="str">
        <f>IFERROR(__xludf.DUMMYFUNCTION("""COMPUTED_VALUE"""),"online")</f>
        <v>online</v>
      </c>
      <c r="AC166" s="3" t="str">
        <f>IFERROR(__xludf.DUMMYFUNCTION("""COMPUTED_VALUE"""),"Yes")</f>
        <v>Yes</v>
      </c>
      <c r="AD166" s="3" t="str">
        <f>IFERROR(__xludf.DUMMYFUNCTION("""COMPUTED_VALUE"""),"Silver")</f>
        <v>Silver</v>
      </c>
      <c r="AE166" s="3" t="str">
        <f>IFERROR(__xludf.DUMMYFUNCTION("""COMPUTED_VALUE"""),"Yes")</f>
        <v>Yes</v>
      </c>
      <c r="AF166" s="3" t="str">
        <f>IFERROR(__xludf.DUMMYFUNCTION("""COMPUTED_VALUE"""),"Yes")</f>
        <v>Yes</v>
      </c>
      <c r="AG166" s="3" t="str">
        <f>IFERROR(__xludf.DUMMYFUNCTION("""COMPUTED_VALUE"""),"Yes")</f>
        <v>Yes</v>
      </c>
      <c r="AH166" s="3">
        <f>IFERROR(__xludf.DUMMYFUNCTION("""COMPUTED_VALUE"""),2.0)</f>
        <v>2</v>
      </c>
      <c r="AI166" s="3">
        <f>IFERROR(__xludf.DUMMYFUNCTION("""COMPUTED_VALUE"""),0.0)</f>
        <v>0</v>
      </c>
      <c r="AJ166" s="3">
        <f>IFERROR(__xludf.DUMMYFUNCTION("""COMPUTED_VALUE"""),1.0)</f>
        <v>1</v>
      </c>
      <c r="AK166" s="3">
        <f>IFERROR(__xludf.DUMMYFUNCTION("""COMPUTED_VALUE"""),0.0)</f>
        <v>0</v>
      </c>
      <c r="AL166" s="3">
        <f>IFERROR(__xludf.DUMMYFUNCTION("""COMPUTED_VALUE"""),0.0)</f>
        <v>0</v>
      </c>
      <c r="AM166" s="3" t="str">
        <f>IFERROR(__xludf.DUMMYFUNCTION("""COMPUTED_VALUE"""),"Yes")</f>
        <v>Yes</v>
      </c>
      <c r="AN166" s="3">
        <f>IFERROR(__xludf.DUMMYFUNCTION("""COMPUTED_VALUE"""),7.86258839E8)</f>
        <v>786258839</v>
      </c>
      <c r="AO166" s="3"/>
      <c r="AP166" s="3">
        <f>IFERROR(__xludf.DUMMYFUNCTION("""COMPUTED_VALUE"""),4.90029902E8)</f>
        <v>490029902</v>
      </c>
      <c r="AQ166" s="3" t="str">
        <f>IFERROR(__xludf.DUMMYFUNCTION("""COMPUTED_VALUE"""),"2a0db7e8-ceaf-4bbf-b602-1fd613e90463")</f>
        <v>2a0db7e8-ceaf-4bbf-b602-1fd613e90463</v>
      </c>
      <c r="AR166" s="3">
        <f>IFERROR(__xludf.DUMMYFUNCTION("""COMPUTED_VALUE"""),45808.54121527778)</f>
        <v>45808.54122</v>
      </c>
      <c r="AS166" s="3"/>
      <c r="AT166" s="3"/>
      <c r="AU166" s="3" t="str">
        <f>IFERROR(__xludf.DUMMYFUNCTION("""COMPUTED_VALUE"""),"submitted_via_web")</f>
        <v>submitted_via_web</v>
      </c>
      <c r="AV166" s="3"/>
      <c r="AW166" s="3" t="str">
        <f>IFERROR(__xludf.DUMMYFUNCTION("""COMPUTED_VALUE"""),"vckVTgNzM4XXtKAKNnsHpB")</f>
        <v>vckVTgNzM4XXtKAKNnsHpB</v>
      </c>
      <c r="AX166" s="3"/>
      <c r="AY166" s="3">
        <f>IFERROR(__xludf.DUMMYFUNCTION("""COMPUTED_VALUE"""),165.0)</f>
        <v>165</v>
      </c>
    </row>
    <row r="167">
      <c r="A167" s="3" t="str">
        <f>IFERROR(__xludf.DUMMYFUNCTION("""COMPUTED_VALUE"""),"Yes")</f>
        <v>Yes</v>
      </c>
      <c r="B167" s="3"/>
      <c r="C167" s="3" t="str">
        <f>IFERROR(__xludf.DUMMYFUNCTION("""COMPUTED_VALUE"""),"zimbabwe")</f>
        <v>zimbabwe</v>
      </c>
      <c r="D167" s="3"/>
      <c r="E167" s="3" t="str">
        <f>IFERROR(__xludf.DUMMYFUNCTION("""COMPUTED_VALUE"""),"south_africa")</f>
        <v>south_africa</v>
      </c>
      <c r="F167" s="3" t="str">
        <f>IFERROR(__xludf.DUMMYFUNCTION("""COMPUTED_VALUE"""),"City of Johannesburg Metropolitan Municipality")</f>
        <v>City of Johannesburg Metropolitan Municipality</v>
      </c>
      <c r="G167" s="3">
        <f>IFERROR(__xludf.DUMMYFUNCTION("""COMPUTED_VALUE"""),40.0)</f>
        <v>40</v>
      </c>
      <c r="H167" s="3" t="str">
        <f>IFERROR(__xludf.DUMMYFUNCTION("""COMPUTED_VALUE"""),"female")</f>
        <v>female</v>
      </c>
      <c r="I167" s="3" t="str">
        <f>IFERROR(__xludf.DUMMYFUNCTION("""COMPUTED_VALUE"""),"1to5")</f>
        <v>1to5</v>
      </c>
      <c r="J167" s="3" t="str">
        <f>IFERROR(__xludf.DUMMYFUNCTION("""COMPUTED_VALUE"""),"ownbusiness")</f>
        <v>ownbusiness</v>
      </c>
      <c r="K167" s="3" t="str">
        <f>IFERROR(__xludf.DUMMYFUNCTION("""COMPUTED_VALUE"""),"tertiary")</f>
        <v>tertiary</v>
      </c>
      <c r="L167" s="3"/>
      <c r="M167" s="3" t="str">
        <f>IFERROR(__xludf.DUMMYFUNCTION("""COMPUTED_VALUE"""),"agree")</f>
        <v>agree</v>
      </c>
      <c r="N167" s="3" t="str">
        <f>IFERROR(__xludf.DUMMYFUNCTION("""COMPUTED_VALUE"""),"agree")</f>
        <v>agree</v>
      </c>
      <c r="O167" s="3" t="str">
        <f>IFERROR(__xludf.DUMMYFUNCTION("""COMPUTED_VALUE"""),"dontknow")</f>
        <v>dontknow</v>
      </c>
      <c r="P167" s="3"/>
      <c r="Q167" s="3" t="str">
        <f>IFERROR(__xludf.DUMMYFUNCTION("""COMPUTED_VALUE"""),"agree")</f>
        <v>agree</v>
      </c>
      <c r="R167" s="3" t="str">
        <f>IFERROR(__xludf.DUMMYFUNCTION("""COMPUTED_VALUE"""),"agree")</f>
        <v>agree</v>
      </c>
      <c r="S167" s="3" t="str">
        <f>IFERROR(__xludf.DUMMYFUNCTION("""COMPUTED_VALUE"""),"dontknow")</f>
        <v>dontknow</v>
      </c>
      <c r="T167" s="3" t="str">
        <f>IFERROR(__xludf.DUMMYFUNCTION("""COMPUTED_VALUE"""),"dontknow")</f>
        <v>dontknow</v>
      </c>
      <c r="U167" s="3" t="str">
        <f>IFERROR(__xludf.DUMMYFUNCTION("""COMPUTED_VALUE"""),"agree")</f>
        <v>agree</v>
      </c>
      <c r="V167" s="3" t="str">
        <f>IFERROR(__xludf.DUMMYFUNCTION("""COMPUTED_VALUE"""),"agree")</f>
        <v>agree</v>
      </c>
      <c r="W167" s="3" t="str">
        <f>IFERROR(__xludf.DUMMYFUNCTION("""COMPUTED_VALUE"""),"agree")</f>
        <v>agree</v>
      </c>
      <c r="X167" s="3"/>
      <c r="Y167" s="3" t="str">
        <f>IFERROR(__xludf.DUMMYFUNCTION("""COMPUTED_VALUE"""),"insurance")</f>
        <v>insurance</v>
      </c>
      <c r="Z167" s="3" t="str">
        <f>IFERROR(__xludf.DUMMYFUNCTION("""COMPUTED_VALUE"""),"monthly")</f>
        <v>monthly</v>
      </c>
      <c r="AA167" s="3">
        <f>IFERROR(__xludf.DUMMYFUNCTION("""COMPUTED_VALUE"""),100.0)</f>
        <v>100</v>
      </c>
      <c r="AB167" s="3" t="str">
        <f>IFERROR(__xludf.DUMMYFUNCTION("""COMPUTED_VALUE"""),"assisted")</f>
        <v>assisted</v>
      </c>
      <c r="AC167" s="3" t="str">
        <f>IFERROR(__xludf.DUMMYFUNCTION("""COMPUTED_VALUE"""),"I am not an employer")</f>
        <v>I am not an employer</v>
      </c>
      <c r="AD167" s="3"/>
      <c r="AE167" s="3"/>
      <c r="AF167" s="3" t="str">
        <f>IFERROR(__xludf.DUMMYFUNCTION("""COMPUTED_VALUE"""),"Yes")</f>
        <v>Yes</v>
      </c>
      <c r="AG167" s="3" t="str">
        <f>IFERROR(__xludf.DUMMYFUNCTION("""COMPUTED_VALUE"""),"No")</f>
        <v>No</v>
      </c>
      <c r="AH167" s="3"/>
      <c r="AI167" s="3">
        <f>IFERROR(__xludf.DUMMYFUNCTION("""COMPUTED_VALUE"""),0.0)</f>
        <v>0</v>
      </c>
      <c r="AJ167" s="3">
        <f>IFERROR(__xludf.DUMMYFUNCTION("""COMPUTED_VALUE"""),0.0)</f>
        <v>0</v>
      </c>
      <c r="AK167" s="3">
        <f>IFERROR(__xludf.DUMMYFUNCTION("""COMPUTED_VALUE"""),0.0)</f>
        <v>0</v>
      </c>
      <c r="AL167" s="3">
        <f>IFERROR(__xludf.DUMMYFUNCTION("""COMPUTED_VALUE"""),1.0)</f>
        <v>1</v>
      </c>
      <c r="AM167" s="3" t="str">
        <f>IFERROR(__xludf.DUMMYFUNCTION("""COMPUTED_VALUE"""),"Yes")</f>
        <v>Yes</v>
      </c>
      <c r="AN167" s="3">
        <f>IFERROR(__xludf.DUMMYFUNCTION("""COMPUTED_VALUE"""),6.12535762E8)</f>
        <v>612535762</v>
      </c>
      <c r="AO167" s="3"/>
      <c r="AP167" s="3">
        <f>IFERROR(__xludf.DUMMYFUNCTION("""COMPUTED_VALUE"""),4.90034639E8)</f>
        <v>490034639</v>
      </c>
      <c r="AQ167" s="3" t="str">
        <f>IFERROR(__xludf.DUMMYFUNCTION("""COMPUTED_VALUE"""),"423cbb30-aad7-450d-8ee7-8ebf68495464")</f>
        <v>423cbb30-aad7-450d-8ee7-8ebf68495464</v>
      </c>
      <c r="AR167" s="3">
        <f>IFERROR(__xludf.DUMMYFUNCTION("""COMPUTED_VALUE"""),45808.5465625)</f>
        <v>45808.54656</v>
      </c>
      <c r="AS167" s="3"/>
      <c r="AT167" s="3"/>
      <c r="AU167" s="3" t="str">
        <f>IFERROR(__xludf.DUMMYFUNCTION("""COMPUTED_VALUE"""),"submitted_via_web")</f>
        <v>submitted_via_web</v>
      </c>
      <c r="AV167" s="3"/>
      <c r="AW167" s="3" t="str">
        <f>IFERROR(__xludf.DUMMYFUNCTION("""COMPUTED_VALUE"""),"vckVTgNzM4XXtKAKNnsHpB")</f>
        <v>vckVTgNzM4XXtKAKNnsHpB</v>
      </c>
      <c r="AX167" s="3"/>
      <c r="AY167" s="3">
        <f>IFERROR(__xludf.DUMMYFUNCTION("""COMPUTED_VALUE"""),166.0)</f>
        <v>166</v>
      </c>
    </row>
    <row r="168">
      <c r="A168" s="3" t="str">
        <f>IFERROR(__xludf.DUMMYFUNCTION("""COMPUTED_VALUE"""),"Yes")</f>
        <v>Yes</v>
      </c>
      <c r="B168" s="3"/>
      <c r="C168" s="3" t="str">
        <f>IFERROR(__xludf.DUMMYFUNCTION("""COMPUTED_VALUE"""),"zimbabwe")</f>
        <v>zimbabwe</v>
      </c>
      <c r="D168" s="3"/>
      <c r="E168" s="3" t="str">
        <f>IFERROR(__xludf.DUMMYFUNCTION("""COMPUTED_VALUE"""),"south_africa")</f>
        <v>south_africa</v>
      </c>
      <c r="F168" s="3" t="str">
        <f>IFERROR(__xludf.DUMMYFUNCTION("""COMPUTED_VALUE"""),"City of Johannesburg Metropolitan Municipality")</f>
        <v>City of Johannesburg Metropolitan Municipality</v>
      </c>
      <c r="G168" s="3">
        <f>IFERROR(__xludf.DUMMYFUNCTION("""COMPUTED_VALUE"""),43.0)</f>
        <v>43</v>
      </c>
      <c r="H168" s="3" t="str">
        <f>IFERROR(__xludf.DUMMYFUNCTION("""COMPUTED_VALUE"""),"female")</f>
        <v>female</v>
      </c>
      <c r="I168" s="3" t="str">
        <f>IFERROR(__xludf.DUMMYFUNCTION("""COMPUTED_VALUE"""),"over5")</f>
        <v>over5</v>
      </c>
      <c r="J168" s="3" t="str">
        <f>IFERROR(__xludf.DUMMYFUNCTION("""COMPUTED_VALUE"""),"formal")</f>
        <v>formal</v>
      </c>
      <c r="K168" s="3" t="str">
        <f>IFERROR(__xludf.DUMMYFUNCTION("""COMPUTED_VALUE"""),"tertiary")</f>
        <v>tertiary</v>
      </c>
      <c r="L168" s="3"/>
      <c r="M168" s="3" t="str">
        <f>IFERROR(__xludf.DUMMYFUNCTION("""COMPUTED_VALUE"""),"agree")</f>
        <v>agree</v>
      </c>
      <c r="N168" s="3" t="str">
        <f>IFERROR(__xludf.DUMMYFUNCTION("""COMPUTED_VALUE"""),"dontknow")</f>
        <v>dontknow</v>
      </c>
      <c r="O168" s="3" t="str">
        <f>IFERROR(__xludf.DUMMYFUNCTION("""COMPUTED_VALUE"""),"agree")</f>
        <v>agree</v>
      </c>
      <c r="P168" s="3"/>
      <c r="Q168" s="3" t="str">
        <f>IFERROR(__xludf.DUMMYFUNCTION("""COMPUTED_VALUE"""),"disagree")</f>
        <v>disagree</v>
      </c>
      <c r="R168" s="3" t="str">
        <f>IFERROR(__xludf.DUMMYFUNCTION("""COMPUTED_VALUE"""),"disagree")</f>
        <v>disagree</v>
      </c>
      <c r="S168" s="3" t="str">
        <f>IFERROR(__xludf.DUMMYFUNCTION("""COMPUTED_VALUE"""),"disagree")</f>
        <v>disagree</v>
      </c>
      <c r="T168" s="3" t="str">
        <f>IFERROR(__xludf.DUMMYFUNCTION("""COMPUTED_VALUE"""),"disagree")</f>
        <v>disagree</v>
      </c>
      <c r="U168" s="3" t="str">
        <f>IFERROR(__xludf.DUMMYFUNCTION("""COMPUTED_VALUE"""),"dontknow")</f>
        <v>dontknow</v>
      </c>
      <c r="V168" s="3" t="str">
        <f>IFERROR(__xludf.DUMMYFUNCTION("""COMPUTED_VALUE"""),"agree")</f>
        <v>agree</v>
      </c>
      <c r="W168" s="3" t="str">
        <f>IFERROR(__xludf.DUMMYFUNCTION("""COMPUTED_VALUE"""),"dontknow")</f>
        <v>dontknow</v>
      </c>
      <c r="X168" s="3" t="str">
        <f>IFERROR(__xludf.DUMMYFUNCTION("""COMPUTED_VALUE"""),"Platinum")</f>
        <v>Platinum</v>
      </c>
      <c r="Y168" s="3" t="str">
        <f>IFERROR(__xludf.DUMMYFUNCTION("""COMPUTED_VALUE"""),"card")</f>
        <v>card</v>
      </c>
      <c r="Z168" s="3" t="str">
        <f>IFERROR(__xludf.DUMMYFUNCTION("""COMPUTED_VALUE"""),"once")</f>
        <v>once</v>
      </c>
      <c r="AA168" s="3">
        <f>IFERROR(__xludf.DUMMYFUNCTION("""COMPUTED_VALUE"""),100.0)</f>
        <v>100</v>
      </c>
      <c r="AB168" s="3" t="str">
        <f>IFERROR(__xludf.DUMMYFUNCTION("""COMPUTED_VALUE"""),"online")</f>
        <v>online</v>
      </c>
      <c r="AC168" s="3" t="str">
        <f>IFERROR(__xludf.DUMMYFUNCTION("""COMPUTED_VALUE"""),"I am not an employer")</f>
        <v>I am not an employer</v>
      </c>
      <c r="AD168" s="3"/>
      <c r="AE168" s="3"/>
      <c r="AF168" s="3" t="str">
        <f>IFERROR(__xludf.DUMMYFUNCTION("""COMPUTED_VALUE"""),"Yes")</f>
        <v>Yes</v>
      </c>
      <c r="AG168" s="3" t="str">
        <f>IFERROR(__xludf.DUMMYFUNCTION("""COMPUTED_VALUE"""),"Yes")</f>
        <v>Yes</v>
      </c>
      <c r="AH168" s="3">
        <f>IFERROR(__xludf.DUMMYFUNCTION("""COMPUTED_VALUE"""),3000.0)</f>
        <v>3000</v>
      </c>
      <c r="AI168" s="3">
        <f>IFERROR(__xludf.DUMMYFUNCTION("""COMPUTED_VALUE"""),0.0)</f>
        <v>0</v>
      </c>
      <c r="AJ168" s="3">
        <f>IFERROR(__xludf.DUMMYFUNCTION("""COMPUTED_VALUE"""),0.0)</f>
        <v>0</v>
      </c>
      <c r="AK168" s="3">
        <f>IFERROR(__xludf.DUMMYFUNCTION("""COMPUTED_VALUE"""),0.0)</f>
        <v>0</v>
      </c>
      <c r="AL168" s="3">
        <f>IFERROR(__xludf.DUMMYFUNCTION("""COMPUTED_VALUE"""),1.0)</f>
        <v>1</v>
      </c>
      <c r="AM168" s="3" t="str">
        <f>IFERROR(__xludf.DUMMYFUNCTION("""COMPUTED_VALUE"""),"Yes")</f>
        <v>Yes</v>
      </c>
      <c r="AN168" s="3">
        <f>IFERROR(__xludf.DUMMYFUNCTION("""COMPUTED_VALUE"""),7.94237527E8)</f>
        <v>794237527</v>
      </c>
      <c r="AO168" s="3"/>
      <c r="AP168" s="3">
        <f>IFERROR(__xludf.DUMMYFUNCTION("""COMPUTED_VALUE"""),4.90035398E8)</f>
        <v>490035398</v>
      </c>
      <c r="AQ168" s="3" t="str">
        <f>IFERROR(__xludf.DUMMYFUNCTION("""COMPUTED_VALUE"""),"6a90a0e0-9249-488f-a88e-e3186b25102c")</f>
        <v>6a90a0e0-9249-488f-a88e-e3186b25102c</v>
      </c>
      <c r="AR168" s="3">
        <f>IFERROR(__xludf.DUMMYFUNCTION("""COMPUTED_VALUE"""),45808.54729166667)</f>
        <v>45808.54729</v>
      </c>
      <c r="AS168" s="3"/>
      <c r="AT168" s="3"/>
      <c r="AU168" s="3" t="str">
        <f>IFERROR(__xludf.DUMMYFUNCTION("""COMPUTED_VALUE"""),"submitted_via_web")</f>
        <v>submitted_via_web</v>
      </c>
      <c r="AV168" s="3"/>
      <c r="AW168" s="3" t="str">
        <f>IFERROR(__xludf.DUMMYFUNCTION("""COMPUTED_VALUE"""),"vckVTgNzM4XXtKAKNnsHpB")</f>
        <v>vckVTgNzM4XXtKAKNnsHpB</v>
      </c>
      <c r="AX168" s="3"/>
      <c r="AY168" s="3">
        <f>IFERROR(__xludf.DUMMYFUNCTION("""COMPUTED_VALUE"""),167.0)</f>
        <v>167</v>
      </c>
    </row>
    <row r="169">
      <c r="A169" s="3" t="str">
        <f>IFERROR(__xludf.DUMMYFUNCTION("""COMPUTED_VALUE"""),"Yes")</f>
        <v>Yes</v>
      </c>
      <c r="B169" s="3"/>
      <c r="C169" s="3" t="str">
        <f>IFERROR(__xludf.DUMMYFUNCTION("""COMPUTED_VALUE"""),"zimbabwe")</f>
        <v>zimbabwe</v>
      </c>
      <c r="D169" s="3"/>
      <c r="E169" s="3" t="str">
        <f>IFERROR(__xludf.DUMMYFUNCTION("""COMPUTED_VALUE"""),"south_africa")</f>
        <v>south_africa</v>
      </c>
      <c r="F169" s="3" t="str">
        <f>IFERROR(__xludf.DUMMYFUNCTION("""COMPUTED_VALUE"""),"City of Ekurhuleni Metropolitan Municipality")</f>
        <v>City of Ekurhuleni Metropolitan Municipality</v>
      </c>
      <c r="G169" s="3">
        <f>IFERROR(__xludf.DUMMYFUNCTION("""COMPUTED_VALUE"""),51.0)</f>
        <v>51</v>
      </c>
      <c r="H169" s="3" t="str">
        <f>IFERROR(__xludf.DUMMYFUNCTION("""COMPUTED_VALUE"""),"male")</f>
        <v>male</v>
      </c>
      <c r="I169" s="3" t="str">
        <f>IFERROR(__xludf.DUMMYFUNCTION("""COMPUTED_VALUE"""),"over5")</f>
        <v>over5</v>
      </c>
      <c r="J169" s="3" t="str">
        <f>IFERROR(__xludf.DUMMYFUNCTION("""COMPUTED_VALUE"""),"informal")</f>
        <v>informal</v>
      </c>
      <c r="K169" s="3" t="str">
        <f>IFERROR(__xludf.DUMMYFUNCTION("""COMPUTED_VALUE"""),"vocational")</f>
        <v>vocational</v>
      </c>
      <c r="L169" s="3"/>
      <c r="M169" s="3" t="str">
        <f>IFERROR(__xludf.DUMMYFUNCTION("""COMPUTED_VALUE"""),"agree")</f>
        <v>agree</v>
      </c>
      <c r="N169" s="3" t="str">
        <f>IFERROR(__xludf.DUMMYFUNCTION("""COMPUTED_VALUE"""),"agree")</f>
        <v>agree</v>
      </c>
      <c r="O169" s="3" t="str">
        <f>IFERROR(__xludf.DUMMYFUNCTION("""COMPUTED_VALUE"""),"disagree")</f>
        <v>disagree</v>
      </c>
      <c r="P169" s="3"/>
      <c r="Q169" s="3" t="str">
        <f>IFERROR(__xludf.DUMMYFUNCTION("""COMPUTED_VALUE"""),"agree")</f>
        <v>agree</v>
      </c>
      <c r="R169" s="3" t="str">
        <f>IFERROR(__xludf.DUMMYFUNCTION("""COMPUTED_VALUE"""),"agree")</f>
        <v>agree</v>
      </c>
      <c r="S169" s="3" t="str">
        <f>IFERROR(__xludf.DUMMYFUNCTION("""COMPUTED_VALUE"""),"disagree")</f>
        <v>disagree</v>
      </c>
      <c r="T169" s="3" t="str">
        <f>IFERROR(__xludf.DUMMYFUNCTION("""COMPUTED_VALUE"""),"agree")</f>
        <v>agree</v>
      </c>
      <c r="U169" s="3" t="str">
        <f>IFERROR(__xludf.DUMMYFUNCTION("""COMPUTED_VALUE"""),"agree")</f>
        <v>agree</v>
      </c>
      <c r="V169" s="3" t="str">
        <f>IFERROR(__xludf.DUMMYFUNCTION("""COMPUTED_VALUE"""),"agree")</f>
        <v>agree</v>
      </c>
      <c r="W169" s="3" t="str">
        <f>IFERROR(__xludf.DUMMYFUNCTION("""COMPUTED_VALUE"""),"agree")</f>
        <v>agree</v>
      </c>
      <c r="X169" s="3" t="str">
        <f>IFERROR(__xludf.DUMMYFUNCTION("""COMPUTED_VALUE"""),"Platinum")</f>
        <v>Platinum</v>
      </c>
      <c r="Y169" s="3" t="str">
        <f>IFERROR(__xludf.DUMMYFUNCTION("""COMPUTED_VALUE"""),"card")</f>
        <v>card</v>
      </c>
      <c r="Z169" s="3" t="str">
        <f>IFERROR(__xludf.DUMMYFUNCTION("""COMPUTED_VALUE"""),"monthly")</f>
        <v>monthly</v>
      </c>
      <c r="AA169" s="3">
        <f>IFERROR(__xludf.DUMMYFUNCTION("""COMPUTED_VALUE"""),100.0)</f>
        <v>100</v>
      </c>
      <c r="AB169" s="3" t="str">
        <f>IFERROR(__xludf.DUMMYFUNCTION("""COMPUTED_VALUE"""),"assisted")</f>
        <v>assisted</v>
      </c>
      <c r="AC169" s="3" t="str">
        <f>IFERROR(__xludf.DUMMYFUNCTION("""COMPUTED_VALUE"""),"I am not an employer")</f>
        <v>I am not an employer</v>
      </c>
      <c r="AD169" s="3"/>
      <c r="AE169" s="3"/>
      <c r="AF169" s="3" t="str">
        <f>IFERROR(__xludf.DUMMYFUNCTION("""COMPUTED_VALUE"""),"Yes")</f>
        <v>Yes</v>
      </c>
      <c r="AG169" s="3" t="str">
        <f>IFERROR(__xludf.DUMMYFUNCTION("""COMPUTED_VALUE"""),"Yes")</f>
        <v>Yes</v>
      </c>
      <c r="AH169" s="3">
        <f>IFERROR(__xludf.DUMMYFUNCTION("""COMPUTED_VALUE"""),500.0)</f>
        <v>500</v>
      </c>
      <c r="AI169" s="3">
        <f>IFERROR(__xludf.DUMMYFUNCTION("""COMPUTED_VALUE"""),0.0)</f>
        <v>0</v>
      </c>
      <c r="AJ169" s="3">
        <f>IFERROR(__xludf.DUMMYFUNCTION("""COMPUTED_VALUE"""),1.0)</f>
        <v>1</v>
      </c>
      <c r="AK169" s="3">
        <f>IFERROR(__xludf.DUMMYFUNCTION("""COMPUTED_VALUE"""),1.0)</f>
        <v>1</v>
      </c>
      <c r="AL169" s="3">
        <f>IFERROR(__xludf.DUMMYFUNCTION("""COMPUTED_VALUE"""),1.0)</f>
        <v>1</v>
      </c>
      <c r="AM169" s="3" t="str">
        <f>IFERROR(__xludf.DUMMYFUNCTION("""COMPUTED_VALUE"""),"Yes")</f>
        <v>Yes</v>
      </c>
      <c r="AN169" s="3">
        <f>IFERROR(__xludf.DUMMYFUNCTION("""COMPUTED_VALUE"""),7.61652799E8)</f>
        <v>761652799</v>
      </c>
      <c r="AO169" s="3"/>
      <c r="AP169" s="3">
        <f>IFERROR(__xludf.DUMMYFUNCTION("""COMPUTED_VALUE"""),4.90050303E8)</f>
        <v>490050303</v>
      </c>
      <c r="AQ169" s="3" t="str">
        <f>IFERROR(__xludf.DUMMYFUNCTION("""COMPUTED_VALUE"""),"f5385070-fdec-4faf-8404-aa7c19f852e6")</f>
        <v>f5385070-fdec-4faf-8404-aa7c19f852e6</v>
      </c>
      <c r="AR169" s="3">
        <f>IFERROR(__xludf.DUMMYFUNCTION("""COMPUTED_VALUE"""),45808.5659375)</f>
        <v>45808.56594</v>
      </c>
      <c r="AS169" s="3"/>
      <c r="AT169" s="3"/>
      <c r="AU169" s="3" t="str">
        <f>IFERROR(__xludf.DUMMYFUNCTION("""COMPUTED_VALUE"""),"submitted_via_web")</f>
        <v>submitted_via_web</v>
      </c>
      <c r="AV169" s="3"/>
      <c r="AW169" s="3" t="str">
        <f>IFERROR(__xludf.DUMMYFUNCTION("""COMPUTED_VALUE"""),"vckVTgNzM4XXtKAKNnsHpB")</f>
        <v>vckVTgNzM4XXtKAKNnsHpB</v>
      </c>
      <c r="AX169" s="3"/>
      <c r="AY169" s="3">
        <f>IFERROR(__xludf.DUMMYFUNCTION("""COMPUTED_VALUE"""),168.0)</f>
        <v>168</v>
      </c>
    </row>
    <row r="170">
      <c r="A170" s="3" t="str">
        <f>IFERROR(__xludf.DUMMYFUNCTION("""COMPUTED_VALUE"""),"Yes")</f>
        <v>Yes</v>
      </c>
      <c r="B170" s="3"/>
      <c r="C170" s="3" t="str">
        <f>IFERROR(__xludf.DUMMYFUNCTION("""COMPUTED_VALUE"""),"zimbabwe")</f>
        <v>zimbabwe</v>
      </c>
      <c r="D170" s="3"/>
      <c r="E170" s="3" t="str">
        <f>IFERROR(__xludf.DUMMYFUNCTION("""COMPUTED_VALUE"""),"south_africa")</f>
        <v>south_africa</v>
      </c>
      <c r="F170" s="3" t="str">
        <f>IFERROR(__xludf.DUMMYFUNCTION("""COMPUTED_VALUE"""),"uMzinyathi District")</f>
        <v>uMzinyathi District</v>
      </c>
      <c r="G170" s="3">
        <f>IFERROR(__xludf.DUMMYFUNCTION("""COMPUTED_VALUE"""),26.0)</f>
        <v>26</v>
      </c>
      <c r="H170" s="3" t="str">
        <f>IFERROR(__xludf.DUMMYFUNCTION("""COMPUTED_VALUE"""),"female")</f>
        <v>female</v>
      </c>
      <c r="I170" s="3" t="str">
        <f>IFERROR(__xludf.DUMMYFUNCTION("""COMPUTED_VALUE"""),"1to5")</f>
        <v>1to5</v>
      </c>
      <c r="J170" s="3" t="str">
        <f>IFERROR(__xludf.DUMMYFUNCTION("""COMPUTED_VALUE"""),"unemployed")</f>
        <v>unemployed</v>
      </c>
      <c r="K170" s="3" t="str">
        <f>IFERROR(__xludf.DUMMYFUNCTION("""COMPUTED_VALUE"""),"tertiary")</f>
        <v>tertiary</v>
      </c>
      <c r="L170" s="3"/>
      <c r="M170" s="3" t="str">
        <f>IFERROR(__xludf.DUMMYFUNCTION("""COMPUTED_VALUE"""),"agree")</f>
        <v>agree</v>
      </c>
      <c r="N170" s="3" t="str">
        <f>IFERROR(__xludf.DUMMYFUNCTION("""COMPUTED_VALUE"""),"agree")</f>
        <v>agree</v>
      </c>
      <c r="O170" s="3" t="str">
        <f>IFERROR(__xludf.DUMMYFUNCTION("""COMPUTED_VALUE"""),"agree")</f>
        <v>agree</v>
      </c>
      <c r="P170" s="3"/>
      <c r="Q170" s="3" t="str">
        <f>IFERROR(__xludf.DUMMYFUNCTION("""COMPUTED_VALUE"""),"disagree")</f>
        <v>disagree</v>
      </c>
      <c r="R170" s="3" t="str">
        <f>IFERROR(__xludf.DUMMYFUNCTION("""COMPUTED_VALUE"""),"agree")</f>
        <v>agree</v>
      </c>
      <c r="S170" s="3" t="str">
        <f>IFERROR(__xludf.DUMMYFUNCTION("""COMPUTED_VALUE"""),"disagree")</f>
        <v>disagree</v>
      </c>
      <c r="T170" s="3" t="str">
        <f>IFERROR(__xludf.DUMMYFUNCTION("""COMPUTED_VALUE"""),"agree")</f>
        <v>agree</v>
      </c>
      <c r="U170" s="3" t="str">
        <f>IFERROR(__xludf.DUMMYFUNCTION("""COMPUTED_VALUE"""),"agree")</f>
        <v>agree</v>
      </c>
      <c r="V170" s="3" t="str">
        <f>IFERROR(__xludf.DUMMYFUNCTION("""COMPUTED_VALUE"""),"agree")</f>
        <v>agree</v>
      </c>
      <c r="W170" s="3" t="str">
        <f>IFERROR(__xludf.DUMMYFUNCTION("""COMPUTED_VALUE"""),"disagree")</f>
        <v>disagree</v>
      </c>
      <c r="X170" s="3" t="str">
        <f>IFERROR(__xludf.DUMMYFUNCTION("""COMPUTED_VALUE"""),"Platinum")</f>
        <v>Platinum</v>
      </c>
      <c r="Y170" s="3" t="str">
        <f>IFERROR(__xludf.DUMMYFUNCTION("""COMPUTED_VALUE"""),"insurance")</f>
        <v>insurance</v>
      </c>
      <c r="Z170" s="3" t="str">
        <f>IFERROR(__xludf.DUMMYFUNCTION("""COMPUTED_VALUE"""),"annual")</f>
        <v>annual</v>
      </c>
      <c r="AA170" s="3">
        <f>IFERROR(__xludf.DUMMYFUNCTION("""COMPUTED_VALUE"""),100.0)</f>
        <v>100</v>
      </c>
      <c r="AB170" s="3" t="str">
        <f>IFERROR(__xludf.DUMMYFUNCTION("""COMPUTED_VALUE"""),"online")</f>
        <v>online</v>
      </c>
      <c r="AC170" s="3" t="str">
        <f>IFERROR(__xludf.DUMMYFUNCTION("""COMPUTED_VALUE"""),"I am not an employer")</f>
        <v>I am not an employer</v>
      </c>
      <c r="AD170" s="3"/>
      <c r="AE170" s="3"/>
      <c r="AF170" s="3" t="str">
        <f>IFERROR(__xludf.DUMMYFUNCTION("""COMPUTED_VALUE"""),"Yes")</f>
        <v>Yes</v>
      </c>
      <c r="AG170" s="3" t="str">
        <f>IFERROR(__xludf.DUMMYFUNCTION("""COMPUTED_VALUE"""),"No")</f>
        <v>No</v>
      </c>
      <c r="AH170" s="3"/>
      <c r="AI170" s="3">
        <f>IFERROR(__xludf.DUMMYFUNCTION("""COMPUTED_VALUE"""),0.0)</f>
        <v>0</v>
      </c>
      <c r="AJ170" s="3">
        <f>IFERROR(__xludf.DUMMYFUNCTION("""COMPUTED_VALUE"""),0.0)</f>
        <v>0</v>
      </c>
      <c r="AK170" s="3">
        <f>IFERROR(__xludf.DUMMYFUNCTION("""COMPUTED_VALUE"""),1.0)</f>
        <v>1</v>
      </c>
      <c r="AL170" s="3">
        <f>IFERROR(__xludf.DUMMYFUNCTION("""COMPUTED_VALUE"""),0.0)</f>
        <v>0</v>
      </c>
      <c r="AM170" s="3" t="str">
        <f>IFERROR(__xludf.DUMMYFUNCTION("""COMPUTED_VALUE"""),"Yes")</f>
        <v>Yes</v>
      </c>
      <c r="AN170" s="3"/>
      <c r="AO170" s="3"/>
      <c r="AP170" s="3">
        <f>IFERROR(__xludf.DUMMYFUNCTION("""COMPUTED_VALUE"""),4.90054197E8)</f>
        <v>490054197</v>
      </c>
      <c r="AQ170" s="3" t="str">
        <f>IFERROR(__xludf.DUMMYFUNCTION("""COMPUTED_VALUE"""),"bca36fad-46fe-43a1-9afd-4107c69283b8")</f>
        <v>bca36fad-46fe-43a1-9afd-4107c69283b8</v>
      </c>
      <c r="AR170" s="3">
        <f>IFERROR(__xludf.DUMMYFUNCTION("""COMPUTED_VALUE"""),45808.57083333333)</f>
        <v>45808.57083</v>
      </c>
      <c r="AS170" s="3"/>
      <c r="AT170" s="3"/>
      <c r="AU170" s="3" t="str">
        <f>IFERROR(__xludf.DUMMYFUNCTION("""COMPUTED_VALUE"""),"submitted_via_web")</f>
        <v>submitted_via_web</v>
      </c>
      <c r="AV170" s="3"/>
      <c r="AW170" s="3" t="str">
        <f>IFERROR(__xludf.DUMMYFUNCTION("""COMPUTED_VALUE"""),"vckVTgNzM4XXtKAKNnsHpB")</f>
        <v>vckVTgNzM4XXtKAKNnsHpB</v>
      </c>
      <c r="AX170" s="3"/>
      <c r="AY170" s="3">
        <f>IFERROR(__xludf.DUMMYFUNCTION("""COMPUTED_VALUE"""),169.0)</f>
        <v>169</v>
      </c>
    </row>
    <row r="171">
      <c r="A171" s="3" t="str">
        <f>IFERROR(__xludf.DUMMYFUNCTION("""COMPUTED_VALUE"""),"Yes")</f>
        <v>Yes</v>
      </c>
      <c r="B171" s="3"/>
      <c r="C171" s="3" t="str">
        <f>IFERROR(__xludf.DUMMYFUNCTION("""COMPUTED_VALUE"""),"mozambique")</f>
        <v>mozambique</v>
      </c>
      <c r="D171" s="3"/>
      <c r="E171" s="3" t="str">
        <f>IFERROR(__xludf.DUMMYFUNCTION("""COMPUTED_VALUE"""),"south_africa")</f>
        <v>south_africa</v>
      </c>
      <c r="F171" s="3" t="str">
        <f>IFERROR(__xludf.DUMMYFUNCTION("""COMPUTED_VALUE"""),"City of Tshwane Metropolitan Municipality")</f>
        <v>City of Tshwane Metropolitan Municipality</v>
      </c>
      <c r="G171" s="3">
        <f>IFERROR(__xludf.DUMMYFUNCTION("""COMPUTED_VALUE"""),34.0)</f>
        <v>34</v>
      </c>
      <c r="H171" s="3" t="str">
        <f>IFERROR(__xludf.DUMMYFUNCTION("""COMPUTED_VALUE"""),"male")</f>
        <v>male</v>
      </c>
      <c r="I171" s="3" t="str">
        <f>IFERROR(__xludf.DUMMYFUNCTION("""COMPUTED_VALUE"""),"1to5")</f>
        <v>1to5</v>
      </c>
      <c r="J171" s="3" t="str">
        <f>IFERROR(__xludf.DUMMYFUNCTION("""COMPUTED_VALUE"""),"unemployed")</f>
        <v>unemployed</v>
      </c>
      <c r="K171" s="3" t="str">
        <f>IFERROR(__xludf.DUMMYFUNCTION("""COMPUTED_VALUE"""),"secondary")</f>
        <v>secondary</v>
      </c>
      <c r="L171" s="3"/>
      <c r="M171" s="3" t="str">
        <f>IFERROR(__xludf.DUMMYFUNCTION("""COMPUTED_VALUE"""),"agree")</f>
        <v>agree</v>
      </c>
      <c r="N171" s="3" t="str">
        <f>IFERROR(__xludf.DUMMYFUNCTION("""COMPUTED_VALUE"""),"agree")</f>
        <v>agree</v>
      </c>
      <c r="O171" s="3" t="str">
        <f>IFERROR(__xludf.DUMMYFUNCTION("""COMPUTED_VALUE"""),"disagree")</f>
        <v>disagree</v>
      </c>
      <c r="P171" s="3"/>
      <c r="Q171" s="3" t="str">
        <f>IFERROR(__xludf.DUMMYFUNCTION("""COMPUTED_VALUE"""),"agree")</f>
        <v>agree</v>
      </c>
      <c r="R171" s="3" t="str">
        <f>IFERROR(__xludf.DUMMYFUNCTION("""COMPUTED_VALUE"""),"agree")</f>
        <v>agree</v>
      </c>
      <c r="S171" s="3" t="str">
        <f>IFERROR(__xludf.DUMMYFUNCTION("""COMPUTED_VALUE"""),"agree")</f>
        <v>agree</v>
      </c>
      <c r="T171" s="3" t="str">
        <f>IFERROR(__xludf.DUMMYFUNCTION("""COMPUTED_VALUE"""),"agree")</f>
        <v>agree</v>
      </c>
      <c r="U171" s="3" t="str">
        <f>IFERROR(__xludf.DUMMYFUNCTION("""COMPUTED_VALUE"""),"agree")</f>
        <v>agree</v>
      </c>
      <c r="V171" s="3" t="str">
        <f>IFERROR(__xludf.DUMMYFUNCTION("""COMPUTED_VALUE"""),"agree")</f>
        <v>agree</v>
      </c>
      <c r="W171" s="3" t="str">
        <f>IFERROR(__xludf.DUMMYFUNCTION("""COMPUTED_VALUE"""),"agree")</f>
        <v>agree</v>
      </c>
      <c r="X171" s="3" t="str">
        <f>IFERROR(__xludf.DUMMYFUNCTION("""COMPUTED_VALUE"""),"Gold")</f>
        <v>Gold</v>
      </c>
      <c r="Y171" s="3" t="str">
        <f>IFERROR(__xludf.DUMMYFUNCTION("""COMPUTED_VALUE"""),"cash")</f>
        <v>cash</v>
      </c>
      <c r="Z171" s="3" t="str">
        <f>IFERROR(__xludf.DUMMYFUNCTION("""COMPUTED_VALUE"""),"quarterly")</f>
        <v>quarterly</v>
      </c>
      <c r="AA171" s="3">
        <f>IFERROR(__xludf.DUMMYFUNCTION("""COMPUTED_VALUE"""),50.0)</f>
        <v>50</v>
      </c>
      <c r="AB171" s="3" t="str">
        <f>IFERROR(__xludf.DUMMYFUNCTION("""COMPUTED_VALUE"""),"employer")</f>
        <v>employer</v>
      </c>
      <c r="AC171" s="3" t="str">
        <f>IFERROR(__xludf.DUMMYFUNCTION("""COMPUTED_VALUE"""),"I am not an employer")</f>
        <v>I am not an employer</v>
      </c>
      <c r="AD171" s="3"/>
      <c r="AE171" s="3"/>
      <c r="AF171" s="3" t="str">
        <f>IFERROR(__xludf.DUMMYFUNCTION("""COMPUTED_VALUE"""),"Yes")</f>
        <v>Yes</v>
      </c>
      <c r="AG171" s="3" t="str">
        <f>IFERROR(__xludf.DUMMYFUNCTION("""COMPUTED_VALUE"""),"No")</f>
        <v>No</v>
      </c>
      <c r="AH171" s="3"/>
      <c r="AI171" s="3">
        <f>IFERROR(__xludf.DUMMYFUNCTION("""COMPUTED_VALUE"""),0.0)</f>
        <v>0</v>
      </c>
      <c r="AJ171" s="3">
        <f>IFERROR(__xludf.DUMMYFUNCTION("""COMPUTED_VALUE"""),0.0)</f>
        <v>0</v>
      </c>
      <c r="AK171" s="3">
        <f>IFERROR(__xludf.DUMMYFUNCTION("""COMPUTED_VALUE"""),0.0)</f>
        <v>0</v>
      </c>
      <c r="AL171" s="3">
        <f>IFERROR(__xludf.DUMMYFUNCTION("""COMPUTED_VALUE"""),1.0)</f>
        <v>1</v>
      </c>
      <c r="AM171" s="3" t="str">
        <f>IFERROR(__xludf.DUMMYFUNCTION("""COMPUTED_VALUE"""),"Yes")</f>
        <v>Yes</v>
      </c>
      <c r="AN171" s="3">
        <f>IFERROR(__xludf.DUMMYFUNCTION("""COMPUTED_VALUE"""),7.30603166E8)</f>
        <v>730603166</v>
      </c>
      <c r="AO171" s="3"/>
      <c r="AP171" s="3">
        <f>IFERROR(__xludf.DUMMYFUNCTION("""COMPUTED_VALUE"""),4.90058033E8)</f>
        <v>490058033</v>
      </c>
      <c r="AQ171" s="3" t="str">
        <f>IFERROR(__xludf.DUMMYFUNCTION("""COMPUTED_VALUE"""),"514917de-ee8b-4bcf-a468-36b2beb730c9")</f>
        <v>514917de-ee8b-4bcf-a468-36b2beb730c9</v>
      </c>
      <c r="AR171" s="3">
        <f>IFERROR(__xludf.DUMMYFUNCTION("""COMPUTED_VALUE"""),45808.575162037036)</f>
        <v>45808.57516</v>
      </c>
      <c r="AS171" s="3"/>
      <c r="AT171" s="3"/>
      <c r="AU171" s="3" t="str">
        <f>IFERROR(__xludf.DUMMYFUNCTION("""COMPUTED_VALUE"""),"submitted_via_web")</f>
        <v>submitted_via_web</v>
      </c>
      <c r="AV171" s="3"/>
      <c r="AW171" s="3" t="str">
        <f>IFERROR(__xludf.DUMMYFUNCTION("""COMPUTED_VALUE"""),"vckVTgNzM4XXtKAKNnsHpB")</f>
        <v>vckVTgNzM4XXtKAKNnsHpB</v>
      </c>
      <c r="AX171" s="3"/>
      <c r="AY171" s="3">
        <f>IFERROR(__xludf.DUMMYFUNCTION("""COMPUTED_VALUE"""),170.0)</f>
        <v>170</v>
      </c>
    </row>
    <row r="172">
      <c r="A172" s="3" t="str">
        <f>IFERROR(__xludf.DUMMYFUNCTION("""COMPUTED_VALUE"""),"Yes")</f>
        <v>Yes</v>
      </c>
      <c r="B172" s="3"/>
      <c r="C172" s="3" t="str">
        <f>IFERROR(__xludf.DUMMYFUNCTION("""COMPUTED_VALUE"""),"mozambique")</f>
        <v>mozambique</v>
      </c>
      <c r="D172" s="3"/>
      <c r="E172" s="3" t="str">
        <f>IFERROR(__xludf.DUMMYFUNCTION("""COMPUTED_VALUE"""),"south_africa")</f>
        <v>south_africa</v>
      </c>
      <c r="F172" s="3" t="str">
        <f>IFERROR(__xludf.DUMMYFUNCTION("""COMPUTED_VALUE"""),"City of Tshwane Metropolitan Municipality")</f>
        <v>City of Tshwane Metropolitan Municipality</v>
      </c>
      <c r="G172" s="3">
        <f>IFERROR(__xludf.DUMMYFUNCTION("""COMPUTED_VALUE"""),20.0)</f>
        <v>20</v>
      </c>
      <c r="H172" s="3" t="str">
        <f>IFERROR(__xludf.DUMMYFUNCTION("""COMPUTED_VALUE"""),"male")</f>
        <v>male</v>
      </c>
      <c r="I172" s="3" t="str">
        <f>IFERROR(__xludf.DUMMYFUNCTION("""COMPUTED_VALUE"""),"1to5")</f>
        <v>1to5</v>
      </c>
      <c r="J172" s="3" t="str">
        <f>IFERROR(__xludf.DUMMYFUNCTION("""COMPUTED_VALUE"""),"ownbusiness")</f>
        <v>ownbusiness</v>
      </c>
      <c r="K172" s="3" t="str">
        <f>IFERROR(__xludf.DUMMYFUNCTION("""COMPUTED_VALUE"""),"none")</f>
        <v>none</v>
      </c>
      <c r="L172" s="3"/>
      <c r="M172" s="3" t="str">
        <f>IFERROR(__xludf.DUMMYFUNCTION("""COMPUTED_VALUE"""),"agree")</f>
        <v>agree</v>
      </c>
      <c r="N172" s="3" t="str">
        <f>IFERROR(__xludf.DUMMYFUNCTION("""COMPUTED_VALUE"""),"agree")</f>
        <v>agree</v>
      </c>
      <c r="O172" s="3" t="str">
        <f>IFERROR(__xludf.DUMMYFUNCTION("""COMPUTED_VALUE"""),"agree")</f>
        <v>agree</v>
      </c>
      <c r="P172" s="3"/>
      <c r="Q172" s="3" t="str">
        <f>IFERROR(__xludf.DUMMYFUNCTION("""COMPUTED_VALUE"""),"agree")</f>
        <v>agree</v>
      </c>
      <c r="R172" s="3" t="str">
        <f>IFERROR(__xludf.DUMMYFUNCTION("""COMPUTED_VALUE"""),"agree")</f>
        <v>agree</v>
      </c>
      <c r="S172" s="3" t="str">
        <f>IFERROR(__xludf.DUMMYFUNCTION("""COMPUTED_VALUE"""),"agree")</f>
        <v>agree</v>
      </c>
      <c r="T172" s="3" t="str">
        <f>IFERROR(__xludf.DUMMYFUNCTION("""COMPUTED_VALUE"""),"agree")</f>
        <v>agree</v>
      </c>
      <c r="U172" s="3" t="str">
        <f>IFERROR(__xludf.DUMMYFUNCTION("""COMPUTED_VALUE"""),"agree")</f>
        <v>agree</v>
      </c>
      <c r="V172" s="3" t="str">
        <f>IFERROR(__xludf.DUMMYFUNCTION("""COMPUTED_VALUE"""),"dontknow")</f>
        <v>dontknow</v>
      </c>
      <c r="W172" s="3" t="str">
        <f>IFERROR(__xludf.DUMMYFUNCTION("""COMPUTED_VALUE"""),"agree")</f>
        <v>agree</v>
      </c>
      <c r="X172" s="3" t="str">
        <f>IFERROR(__xludf.DUMMYFUNCTION("""COMPUTED_VALUE"""),"Gold")</f>
        <v>Gold</v>
      </c>
      <c r="Y172" s="3" t="str">
        <f>IFERROR(__xludf.DUMMYFUNCTION("""COMPUTED_VALUE"""),"card")</f>
        <v>card</v>
      </c>
      <c r="Z172" s="3" t="str">
        <f>IFERROR(__xludf.DUMMYFUNCTION("""COMPUTED_VALUE"""),"annual")</f>
        <v>annual</v>
      </c>
      <c r="AA172" s="3">
        <f>IFERROR(__xludf.DUMMYFUNCTION("""COMPUTED_VALUE"""),100.0)</f>
        <v>100</v>
      </c>
      <c r="AB172" s="3" t="str">
        <f>IFERROR(__xludf.DUMMYFUNCTION("""COMPUTED_VALUE"""),"online")</f>
        <v>online</v>
      </c>
      <c r="AC172" s="3" t="str">
        <f>IFERROR(__xludf.DUMMYFUNCTION("""COMPUTED_VALUE"""),"Yes")</f>
        <v>Yes</v>
      </c>
      <c r="AD172" s="3" t="str">
        <f>IFERROR(__xludf.DUMMYFUNCTION("""COMPUTED_VALUE"""),"Gold")</f>
        <v>Gold</v>
      </c>
      <c r="AE172" s="3" t="str">
        <f>IFERROR(__xludf.DUMMYFUNCTION("""COMPUTED_VALUE"""),"No")</f>
        <v>No</v>
      </c>
      <c r="AF172" s="3" t="str">
        <f>IFERROR(__xludf.DUMMYFUNCTION("""COMPUTED_VALUE"""),"Yes")</f>
        <v>Yes</v>
      </c>
      <c r="AG172" s="3" t="str">
        <f>IFERROR(__xludf.DUMMYFUNCTION("""COMPUTED_VALUE"""),"No")</f>
        <v>No</v>
      </c>
      <c r="AH172" s="3"/>
      <c r="AI172" s="3">
        <f>IFERROR(__xludf.DUMMYFUNCTION("""COMPUTED_VALUE"""),0.0)</f>
        <v>0</v>
      </c>
      <c r="AJ172" s="3">
        <f>IFERROR(__xludf.DUMMYFUNCTION("""COMPUTED_VALUE"""),1.0)</f>
        <v>1</v>
      </c>
      <c r="AK172" s="3">
        <f>IFERROR(__xludf.DUMMYFUNCTION("""COMPUTED_VALUE"""),0.0)</f>
        <v>0</v>
      </c>
      <c r="AL172" s="3">
        <f>IFERROR(__xludf.DUMMYFUNCTION("""COMPUTED_VALUE"""),0.0)</f>
        <v>0</v>
      </c>
      <c r="AM172" s="3" t="str">
        <f>IFERROR(__xludf.DUMMYFUNCTION("""COMPUTED_VALUE"""),"Yes")</f>
        <v>Yes</v>
      </c>
      <c r="AN172" s="3"/>
      <c r="AO172" s="3"/>
      <c r="AP172" s="3">
        <f>IFERROR(__xludf.DUMMYFUNCTION("""COMPUTED_VALUE"""),4.90060926E8)</f>
        <v>490060926</v>
      </c>
      <c r="AQ172" s="3" t="str">
        <f>IFERROR(__xludf.DUMMYFUNCTION("""COMPUTED_VALUE"""),"4a266dca-e696-4343-8e20-5da4bf21a734")</f>
        <v>4a266dca-e696-4343-8e20-5da4bf21a734</v>
      </c>
      <c r="AR172" s="3">
        <f>IFERROR(__xludf.DUMMYFUNCTION("""COMPUTED_VALUE"""),45808.57849537037)</f>
        <v>45808.5785</v>
      </c>
      <c r="AS172" s="3"/>
      <c r="AT172" s="3"/>
      <c r="AU172" s="3" t="str">
        <f>IFERROR(__xludf.DUMMYFUNCTION("""COMPUTED_VALUE"""),"submitted_via_web")</f>
        <v>submitted_via_web</v>
      </c>
      <c r="AV172" s="3"/>
      <c r="AW172" s="3" t="str">
        <f>IFERROR(__xludf.DUMMYFUNCTION("""COMPUTED_VALUE"""),"vckVTgNzM4XXtKAKNnsHpB")</f>
        <v>vckVTgNzM4XXtKAKNnsHpB</v>
      </c>
      <c r="AX172" s="3"/>
      <c r="AY172" s="3">
        <f>IFERROR(__xludf.DUMMYFUNCTION("""COMPUTED_VALUE"""),171.0)</f>
        <v>171</v>
      </c>
    </row>
    <row r="173">
      <c r="A173" s="3" t="str">
        <f>IFERROR(__xludf.DUMMYFUNCTION("""COMPUTED_VALUE"""),"Yes")</f>
        <v>Yes</v>
      </c>
      <c r="B173" s="3"/>
      <c r="C173" s="3" t="str">
        <f>IFERROR(__xludf.DUMMYFUNCTION("""COMPUTED_VALUE"""),"mozambique")</f>
        <v>mozambique</v>
      </c>
      <c r="D173" s="3"/>
      <c r="E173" s="3" t="str">
        <f>IFERROR(__xludf.DUMMYFUNCTION("""COMPUTED_VALUE"""),"south_africa")</f>
        <v>south_africa</v>
      </c>
      <c r="F173" s="3" t="str">
        <f>IFERROR(__xludf.DUMMYFUNCTION("""COMPUTED_VALUE"""),"City of Tshwane Metropolitan Municipality")</f>
        <v>City of Tshwane Metropolitan Municipality</v>
      </c>
      <c r="G173" s="3">
        <f>IFERROR(__xludf.DUMMYFUNCTION("""COMPUTED_VALUE"""),27.0)</f>
        <v>27</v>
      </c>
      <c r="H173" s="3" t="str">
        <f>IFERROR(__xludf.DUMMYFUNCTION("""COMPUTED_VALUE"""),"male")</f>
        <v>male</v>
      </c>
      <c r="I173" s="3" t="str">
        <f>IFERROR(__xludf.DUMMYFUNCTION("""COMPUTED_VALUE"""),"over5")</f>
        <v>over5</v>
      </c>
      <c r="J173" s="3" t="str">
        <f>IFERROR(__xludf.DUMMYFUNCTION("""COMPUTED_VALUE"""),"informal")</f>
        <v>informal</v>
      </c>
      <c r="K173" s="3" t="str">
        <f>IFERROR(__xludf.DUMMYFUNCTION("""COMPUTED_VALUE"""),"none")</f>
        <v>none</v>
      </c>
      <c r="L173" s="3"/>
      <c r="M173" s="3" t="str">
        <f>IFERROR(__xludf.DUMMYFUNCTION("""COMPUTED_VALUE"""),"agree")</f>
        <v>agree</v>
      </c>
      <c r="N173" s="3" t="str">
        <f>IFERROR(__xludf.DUMMYFUNCTION("""COMPUTED_VALUE"""),"agree")</f>
        <v>agree</v>
      </c>
      <c r="O173" s="3" t="str">
        <f>IFERROR(__xludf.DUMMYFUNCTION("""COMPUTED_VALUE"""),"agree")</f>
        <v>agree</v>
      </c>
      <c r="P173" s="3"/>
      <c r="Q173" s="3" t="str">
        <f>IFERROR(__xludf.DUMMYFUNCTION("""COMPUTED_VALUE"""),"agree")</f>
        <v>agree</v>
      </c>
      <c r="R173" s="3" t="str">
        <f>IFERROR(__xludf.DUMMYFUNCTION("""COMPUTED_VALUE"""),"agree")</f>
        <v>agree</v>
      </c>
      <c r="S173" s="3" t="str">
        <f>IFERROR(__xludf.DUMMYFUNCTION("""COMPUTED_VALUE"""),"agree")</f>
        <v>agree</v>
      </c>
      <c r="T173" s="3" t="str">
        <f>IFERROR(__xludf.DUMMYFUNCTION("""COMPUTED_VALUE"""),"agree")</f>
        <v>agree</v>
      </c>
      <c r="U173" s="3" t="str">
        <f>IFERROR(__xludf.DUMMYFUNCTION("""COMPUTED_VALUE"""),"agree")</f>
        <v>agree</v>
      </c>
      <c r="V173" s="3" t="str">
        <f>IFERROR(__xludf.DUMMYFUNCTION("""COMPUTED_VALUE"""),"agree")</f>
        <v>agree</v>
      </c>
      <c r="W173" s="3" t="str">
        <f>IFERROR(__xludf.DUMMYFUNCTION("""COMPUTED_VALUE"""),"agree")</f>
        <v>agree</v>
      </c>
      <c r="X173" s="3" t="str">
        <f>IFERROR(__xludf.DUMMYFUNCTION("""COMPUTED_VALUE"""),"Gold")</f>
        <v>Gold</v>
      </c>
      <c r="Y173" s="3" t="str">
        <f>IFERROR(__xludf.DUMMYFUNCTION("""COMPUTED_VALUE"""),"cash")</f>
        <v>cash</v>
      </c>
      <c r="Z173" s="3" t="str">
        <f>IFERROR(__xludf.DUMMYFUNCTION("""COMPUTED_VALUE"""),"monthly")</f>
        <v>monthly</v>
      </c>
      <c r="AA173" s="3">
        <f>IFERROR(__xludf.DUMMYFUNCTION("""COMPUTED_VALUE"""),50.0)</f>
        <v>50</v>
      </c>
      <c r="AB173" s="3" t="str">
        <f>IFERROR(__xludf.DUMMYFUNCTION("""COMPUTED_VALUE"""),"employer")</f>
        <v>employer</v>
      </c>
      <c r="AC173" s="3" t="str">
        <f>IFERROR(__xludf.DUMMYFUNCTION("""COMPUTED_VALUE"""),"Yes")</f>
        <v>Yes</v>
      </c>
      <c r="AD173" s="3"/>
      <c r="AE173" s="3" t="str">
        <f>IFERROR(__xludf.DUMMYFUNCTION("""COMPUTED_VALUE"""),"Yes")</f>
        <v>Yes</v>
      </c>
      <c r="AF173" s="3" t="str">
        <f>IFERROR(__xludf.DUMMYFUNCTION("""COMPUTED_VALUE"""),"Yes")</f>
        <v>Yes</v>
      </c>
      <c r="AG173" s="3" t="str">
        <f>IFERROR(__xludf.DUMMYFUNCTION("""COMPUTED_VALUE"""),"Yes")</f>
        <v>Yes</v>
      </c>
      <c r="AH173" s="3">
        <f>IFERROR(__xludf.DUMMYFUNCTION("""COMPUTED_VALUE"""),200.0)</f>
        <v>200</v>
      </c>
      <c r="AI173" s="3">
        <f>IFERROR(__xludf.DUMMYFUNCTION("""COMPUTED_VALUE"""),0.0)</f>
        <v>0</v>
      </c>
      <c r="AJ173" s="3">
        <f>IFERROR(__xludf.DUMMYFUNCTION("""COMPUTED_VALUE"""),1.0)</f>
        <v>1</v>
      </c>
      <c r="AK173" s="3">
        <f>IFERROR(__xludf.DUMMYFUNCTION("""COMPUTED_VALUE"""),0.0)</f>
        <v>0</v>
      </c>
      <c r="AL173" s="3">
        <f>IFERROR(__xludf.DUMMYFUNCTION("""COMPUTED_VALUE"""),0.0)</f>
        <v>0</v>
      </c>
      <c r="AM173" s="3" t="str">
        <f>IFERROR(__xludf.DUMMYFUNCTION("""COMPUTED_VALUE"""),"Yes")</f>
        <v>Yes</v>
      </c>
      <c r="AN173" s="3">
        <f>IFERROR(__xludf.DUMMYFUNCTION("""COMPUTED_VALUE"""),8.20589777E8)</f>
        <v>820589777</v>
      </c>
      <c r="AO173" s="3"/>
      <c r="AP173" s="3">
        <f>IFERROR(__xludf.DUMMYFUNCTION("""COMPUTED_VALUE"""),4.90062455E8)</f>
        <v>490062455</v>
      </c>
      <c r="AQ173" s="3" t="str">
        <f>IFERROR(__xludf.DUMMYFUNCTION("""COMPUTED_VALUE"""),"8e9e5a85-ed4d-4071-b5e6-4797645ff34f")</f>
        <v>8e9e5a85-ed4d-4071-b5e6-4797645ff34f</v>
      </c>
      <c r="AR173" s="3">
        <f>IFERROR(__xludf.DUMMYFUNCTION("""COMPUTED_VALUE"""),45808.58027777778)</f>
        <v>45808.58028</v>
      </c>
      <c r="AS173" s="3"/>
      <c r="AT173" s="3"/>
      <c r="AU173" s="3" t="str">
        <f>IFERROR(__xludf.DUMMYFUNCTION("""COMPUTED_VALUE"""),"submitted_via_web")</f>
        <v>submitted_via_web</v>
      </c>
      <c r="AV173" s="3"/>
      <c r="AW173" s="3" t="str">
        <f>IFERROR(__xludf.DUMMYFUNCTION("""COMPUTED_VALUE"""),"vckVTgNzM4XXtKAKNnsHpB")</f>
        <v>vckVTgNzM4XXtKAKNnsHpB</v>
      </c>
      <c r="AX173" s="3"/>
      <c r="AY173" s="3">
        <f>IFERROR(__xludf.DUMMYFUNCTION("""COMPUTED_VALUE"""),172.0)</f>
        <v>172</v>
      </c>
    </row>
    <row r="174">
      <c r="A174" s="3" t="str">
        <f>IFERROR(__xludf.DUMMYFUNCTION("""COMPUTED_VALUE"""),"Yes")</f>
        <v>Yes</v>
      </c>
      <c r="B174" s="3"/>
      <c r="C174" s="3" t="str">
        <f>IFERROR(__xludf.DUMMYFUNCTION("""COMPUTED_VALUE"""),"mozambique")</f>
        <v>mozambique</v>
      </c>
      <c r="D174" s="3"/>
      <c r="E174" s="3" t="str">
        <f>IFERROR(__xludf.DUMMYFUNCTION("""COMPUTED_VALUE"""),"south_africa")</f>
        <v>south_africa</v>
      </c>
      <c r="F174" s="3" t="str">
        <f>IFERROR(__xludf.DUMMYFUNCTION("""COMPUTED_VALUE"""),"City of Johannesburg Metropolitan Municipality")</f>
        <v>City of Johannesburg Metropolitan Municipality</v>
      </c>
      <c r="G174" s="3">
        <f>IFERROR(__xludf.DUMMYFUNCTION("""COMPUTED_VALUE"""),33.0)</f>
        <v>33</v>
      </c>
      <c r="H174" s="3" t="str">
        <f>IFERROR(__xludf.DUMMYFUNCTION("""COMPUTED_VALUE"""),"male")</f>
        <v>male</v>
      </c>
      <c r="I174" s="3" t="str">
        <f>IFERROR(__xludf.DUMMYFUNCTION("""COMPUTED_VALUE"""),"over5")</f>
        <v>over5</v>
      </c>
      <c r="J174" s="3" t="str">
        <f>IFERROR(__xludf.DUMMYFUNCTION("""COMPUTED_VALUE"""),"informal")</f>
        <v>informal</v>
      </c>
      <c r="K174" s="3" t="str">
        <f>IFERROR(__xludf.DUMMYFUNCTION("""COMPUTED_VALUE"""),"none")</f>
        <v>none</v>
      </c>
      <c r="L174" s="3"/>
      <c r="M174" s="3" t="str">
        <f>IFERROR(__xludf.DUMMYFUNCTION("""COMPUTED_VALUE"""),"agree")</f>
        <v>agree</v>
      </c>
      <c r="N174" s="3" t="str">
        <f>IFERROR(__xludf.DUMMYFUNCTION("""COMPUTED_VALUE"""),"agree")</f>
        <v>agree</v>
      </c>
      <c r="O174" s="3" t="str">
        <f>IFERROR(__xludf.DUMMYFUNCTION("""COMPUTED_VALUE"""),"agree")</f>
        <v>agree</v>
      </c>
      <c r="P174" s="3"/>
      <c r="Q174" s="3" t="str">
        <f>IFERROR(__xludf.DUMMYFUNCTION("""COMPUTED_VALUE"""),"agree")</f>
        <v>agree</v>
      </c>
      <c r="R174" s="3" t="str">
        <f>IFERROR(__xludf.DUMMYFUNCTION("""COMPUTED_VALUE"""),"agree")</f>
        <v>agree</v>
      </c>
      <c r="S174" s="3" t="str">
        <f>IFERROR(__xludf.DUMMYFUNCTION("""COMPUTED_VALUE"""),"agree")</f>
        <v>agree</v>
      </c>
      <c r="T174" s="3" t="str">
        <f>IFERROR(__xludf.DUMMYFUNCTION("""COMPUTED_VALUE"""),"agree")</f>
        <v>agree</v>
      </c>
      <c r="U174" s="3" t="str">
        <f>IFERROR(__xludf.DUMMYFUNCTION("""COMPUTED_VALUE"""),"agree")</f>
        <v>agree</v>
      </c>
      <c r="V174" s="3" t="str">
        <f>IFERROR(__xludf.DUMMYFUNCTION("""COMPUTED_VALUE"""),"agree")</f>
        <v>agree</v>
      </c>
      <c r="W174" s="3" t="str">
        <f>IFERROR(__xludf.DUMMYFUNCTION("""COMPUTED_VALUE"""),"agree")</f>
        <v>agree</v>
      </c>
      <c r="X174" s="3" t="str">
        <f>IFERROR(__xludf.DUMMYFUNCTION("""COMPUTED_VALUE"""),"Gold")</f>
        <v>Gold</v>
      </c>
      <c r="Y174" s="3" t="str">
        <f>IFERROR(__xludf.DUMMYFUNCTION("""COMPUTED_VALUE"""),"na")</f>
        <v>na</v>
      </c>
      <c r="Z174" s="3" t="str">
        <f>IFERROR(__xludf.DUMMYFUNCTION("""COMPUTED_VALUE"""),"annual")</f>
        <v>annual</v>
      </c>
      <c r="AA174" s="3">
        <f>IFERROR(__xludf.DUMMYFUNCTION("""COMPUTED_VALUE"""),100.0)</f>
        <v>100</v>
      </c>
      <c r="AB174" s="3" t="str">
        <f>IFERROR(__xludf.DUMMYFUNCTION("""COMPUTED_VALUE"""),"online")</f>
        <v>online</v>
      </c>
      <c r="AC174" s="3" t="str">
        <f>IFERROR(__xludf.DUMMYFUNCTION("""COMPUTED_VALUE"""),"Yes")</f>
        <v>Yes</v>
      </c>
      <c r="AD174" s="3" t="str">
        <f>IFERROR(__xludf.DUMMYFUNCTION("""COMPUTED_VALUE"""),"Gold")</f>
        <v>Gold</v>
      </c>
      <c r="AE174" s="3" t="str">
        <f>IFERROR(__xludf.DUMMYFUNCTION("""COMPUTED_VALUE"""),"Yes")</f>
        <v>Yes</v>
      </c>
      <c r="AF174" s="3" t="str">
        <f>IFERROR(__xludf.DUMMYFUNCTION("""COMPUTED_VALUE"""),"Yes")</f>
        <v>Yes</v>
      </c>
      <c r="AG174" s="3" t="str">
        <f>IFERROR(__xludf.DUMMYFUNCTION("""COMPUTED_VALUE"""),"Yes")</f>
        <v>Yes</v>
      </c>
      <c r="AH174" s="3">
        <f>IFERROR(__xludf.DUMMYFUNCTION("""COMPUTED_VALUE"""),100.0)</f>
        <v>100</v>
      </c>
      <c r="AI174" s="3">
        <f>IFERROR(__xludf.DUMMYFUNCTION("""COMPUTED_VALUE"""),0.0)</f>
        <v>0</v>
      </c>
      <c r="AJ174" s="3">
        <f>IFERROR(__xludf.DUMMYFUNCTION("""COMPUTED_VALUE"""),0.0)</f>
        <v>0</v>
      </c>
      <c r="AK174" s="3">
        <f>IFERROR(__xludf.DUMMYFUNCTION("""COMPUTED_VALUE"""),0.0)</f>
        <v>0</v>
      </c>
      <c r="AL174" s="3">
        <f>IFERROR(__xludf.DUMMYFUNCTION("""COMPUTED_VALUE"""),1.0)</f>
        <v>1</v>
      </c>
      <c r="AM174" s="3" t="str">
        <f>IFERROR(__xludf.DUMMYFUNCTION("""COMPUTED_VALUE"""),"Yes")</f>
        <v>Yes</v>
      </c>
      <c r="AN174" s="3" t="str">
        <f>IFERROR(__xludf.DUMMYFUNCTION("""COMPUTED_VALUE"""),"073 689 7791")</f>
        <v>073 689 7791</v>
      </c>
      <c r="AO174" s="3"/>
      <c r="AP174" s="3">
        <f>IFERROR(__xludf.DUMMYFUNCTION("""COMPUTED_VALUE"""),4.90063325E8)</f>
        <v>490063325</v>
      </c>
      <c r="AQ174" s="3" t="str">
        <f>IFERROR(__xludf.DUMMYFUNCTION("""COMPUTED_VALUE"""),"3c728334-4539-4602-968f-7e452712d62d")</f>
        <v>3c728334-4539-4602-968f-7e452712d62d</v>
      </c>
      <c r="AR174" s="3">
        <f>IFERROR(__xludf.DUMMYFUNCTION("""COMPUTED_VALUE"""),45808.58094907407)</f>
        <v>45808.58095</v>
      </c>
      <c r="AS174" s="3"/>
      <c r="AT174" s="3"/>
      <c r="AU174" s="3" t="str">
        <f>IFERROR(__xludf.DUMMYFUNCTION("""COMPUTED_VALUE"""),"submitted_via_web")</f>
        <v>submitted_via_web</v>
      </c>
      <c r="AV174" s="3"/>
      <c r="AW174" s="3" t="str">
        <f>IFERROR(__xludf.DUMMYFUNCTION("""COMPUTED_VALUE"""),"vckVTgNzM4XXtKAKNnsHpB")</f>
        <v>vckVTgNzM4XXtKAKNnsHpB</v>
      </c>
      <c r="AX174" s="3"/>
      <c r="AY174" s="3">
        <f>IFERROR(__xludf.DUMMYFUNCTION("""COMPUTED_VALUE"""),173.0)</f>
        <v>173</v>
      </c>
    </row>
    <row r="175">
      <c r="A175" s="3" t="str">
        <f>IFERROR(__xludf.DUMMYFUNCTION("""COMPUTED_VALUE"""),"Yes")</f>
        <v>Yes</v>
      </c>
      <c r="B175" s="3"/>
      <c r="C175" s="3" t="str">
        <f>IFERROR(__xludf.DUMMYFUNCTION("""COMPUTED_VALUE"""),"mozambique")</f>
        <v>mozambique</v>
      </c>
      <c r="D175" s="3"/>
      <c r="E175" s="3" t="str">
        <f>IFERROR(__xludf.DUMMYFUNCTION("""COMPUTED_VALUE"""),"south_africa")</f>
        <v>south_africa</v>
      </c>
      <c r="F175" s="3" t="str">
        <f>IFERROR(__xludf.DUMMYFUNCTION("""COMPUTED_VALUE"""),"City of Tshwane Metropolitan Municipality")</f>
        <v>City of Tshwane Metropolitan Municipality</v>
      </c>
      <c r="G175" s="3">
        <f>IFERROR(__xludf.DUMMYFUNCTION("""COMPUTED_VALUE"""),27.0)</f>
        <v>27</v>
      </c>
      <c r="H175" s="3" t="str">
        <f>IFERROR(__xludf.DUMMYFUNCTION("""COMPUTED_VALUE"""),"male")</f>
        <v>male</v>
      </c>
      <c r="I175" s="3" t="str">
        <f>IFERROR(__xludf.DUMMYFUNCTION("""COMPUTED_VALUE"""),"1to5")</f>
        <v>1to5</v>
      </c>
      <c r="J175" s="3" t="str">
        <f>IFERROR(__xludf.DUMMYFUNCTION("""COMPUTED_VALUE"""),"ownbusiness")</f>
        <v>ownbusiness</v>
      </c>
      <c r="K175" s="3" t="str">
        <f>IFERROR(__xludf.DUMMYFUNCTION("""COMPUTED_VALUE"""),"primary")</f>
        <v>primary</v>
      </c>
      <c r="L175" s="3"/>
      <c r="M175" s="3" t="str">
        <f>IFERROR(__xludf.DUMMYFUNCTION("""COMPUTED_VALUE"""),"agree")</f>
        <v>agree</v>
      </c>
      <c r="N175" s="3" t="str">
        <f>IFERROR(__xludf.DUMMYFUNCTION("""COMPUTED_VALUE"""),"agree")</f>
        <v>agree</v>
      </c>
      <c r="O175" s="3" t="str">
        <f>IFERROR(__xludf.DUMMYFUNCTION("""COMPUTED_VALUE"""),"agree")</f>
        <v>agree</v>
      </c>
      <c r="P175" s="3"/>
      <c r="Q175" s="3" t="str">
        <f>IFERROR(__xludf.DUMMYFUNCTION("""COMPUTED_VALUE"""),"agree")</f>
        <v>agree</v>
      </c>
      <c r="R175" s="3" t="str">
        <f>IFERROR(__xludf.DUMMYFUNCTION("""COMPUTED_VALUE"""),"agree")</f>
        <v>agree</v>
      </c>
      <c r="S175" s="3" t="str">
        <f>IFERROR(__xludf.DUMMYFUNCTION("""COMPUTED_VALUE"""),"agree")</f>
        <v>agree</v>
      </c>
      <c r="T175" s="3" t="str">
        <f>IFERROR(__xludf.DUMMYFUNCTION("""COMPUTED_VALUE"""),"agree")</f>
        <v>agree</v>
      </c>
      <c r="U175" s="3" t="str">
        <f>IFERROR(__xludf.DUMMYFUNCTION("""COMPUTED_VALUE"""),"agree")</f>
        <v>agree</v>
      </c>
      <c r="V175" s="3" t="str">
        <f>IFERROR(__xludf.DUMMYFUNCTION("""COMPUTED_VALUE"""),"agree")</f>
        <v>agree</v>
      </c>
      <c r="W175" s="3" t="str">
        <f>IFERROR(__xludf.DUMMYFUNCTION("""COMPUTED_VALUE"""),"agree")</f>
        <v>agree</v>
      </c>
      <c r="X175" s="3" t="str">
        <f>IFERROR(__xludf.DUMMYFUNCTION("""COMPUTED_VALUE"""),"Gold")</f>
        <v>Gold</v>
      </c>
      <c r="Y175" s="3" t="str">
        <f>IFERROR(__xludf.DUMMYFUNCTION("""COMPUTED_VALUE"""),"prepaid")</f>
        <v>prepaid</v>
      </c>
      <c r="Z175" s="3" t="str">
        <f>IFERROR(__xludf.DUMMYFUNCTION("""COMPUTED_VALUE"""),"monthly")</f>
        <v>monthly</v>
      </c>
      <c r="AA175" s="3">
        <f>IFERROR(__xludf.DUMMYFUNCTION("""COMPUTED_VALUE"""),30.0)</f>
        <v>30</v>
      </c>
      <c r="AB175" s="3" t="str">
        <f>IFERROR(__xludf.DUMMYFUNCTION("""COMPUTED_VALUE"""),"employer")</f>
        <v>employer</v>
      </c>
      <c r="AC175" s="3" t="str">
        <f>IFERROR(__xludf.DUMMYFUNCTION("""COMPUTED_VALUE"""),"I am not an employer")</f>
        <v>I am not an employer</v>
      </c>
      <c r="AD175" s="3"/>
      <c r="AE175" s="3"/>
      <c r="AF175" s="3" t="str">
        <f>IFERROR(__xludf.DUMMYFUNCTION("""COMPUTED_VALUE"""),"Yes")</f>
        <v>Yes</v>
      </c>
      <c r="AG175" s="3" t="str">
        <f>IFERROR(__xludf.DUMMYFUNCTION("""COMPUTED_VALUE"""),"Yes")</f>
        <v>Yes</v>
      </c>
      <c r="AH175" s="3"/>
      <c r="AI175" s="3">
        <f>IFERROR(__xludf.DUMMYFUNCTION("""COMPUTED_VALUE"""),0.0)</f>
        <v>0</v>
      </c>
      <c r="AJ175" s="3">
        <f>IFERROR(__xludf.DUMMYFUNCTION("""COMPUTED_VALUE"""),0.0)</f>
        <v>0</v>
      </c>
      <c r="AK175" s="3">
        <f>IFERROR(__xludf.DUMMYFUNCTION("""COMPUTED_VALUE"""),0.0)</f>
        <v>0</v>
      </c>
      <c r="AL175" s="3">
        <f>IFERROR(__xludf.DUMMYFUNCTION("""COMPUTED_VALUE"""),1.0)</f>
        <v>1</v>
      </c>
      <c r="AM175" s="3" t="str">
        <f>IFERROR(__xludf.DUMMYFUNCTION("""COMPUTED_VALUE"""),"Yes")</f>
        <v>Yes</v>
      </c>
      <c r="AN175" s="3">
        <f>IFERROR(__xludf.DUMMYFUNCTION("""COMPUTED_VALUE"""),8.33947976E8)</f>
        <v>833947976</v>
      </c>
      <c r="AO175" s="3"/>
      <c r="AP175" s="3">
        <f>IFERROR(__xludf.DUMMYFUNCTION("""COMPUTED_VALUE"""),4.90064388E8)</f>
        <v>490064388</v>
      </c>
      <c r="AQ175" s="3" t="str">
        <f>IFERROR(__xludf.DUMMYFUNCTION("""COMPUTED_VALUE"""),"d71d6972-3189-4bb5-b560-f80006027577")</f>
        <v>d71d6972-3189-4bb5-b560-f80006027577</v>
      </c>
      <c r="AR175" s="3">
        <f>IFERROR(__xludf.DUMMYFUNCTION("""COMPUTED_VALUE"""),45808.582141203704)</f>
        <v>45808.58214</v>
      </c>
      <c r="AS175" s="3"/>
      <c r="AT175" s="3"/>
      <c r="AU175" s="3" t="str">
        <f>IFERROR(__xludf.DUMMYFUNCTION("""COMPUTED_VALUE"""),"submitted_via_web")</f>
        <v>submitted_via_web</v>
      </c>
      <c r="AV175" s="3"/>
      <c r="AW175" s="3" t="str">
        <f>IFERROR(__xludf.DUMMYFUNCTION("""COMPUTED_VALUE"""),"vckVTgNzM4XXtKAKNnsHpB")</f>
        <v>vckVTgNzM4XXtKAKNnsHpB</v>
      </c>
      <c r="AX175" s="3"/>
      <c r="AY175" s="3">
        <f>IFERROR(__xludf.DUMMYFUNCTION("""COMPUTED_VALUE"""),174.0)</f>
        <v>174</v>
      </c>
    </row>
    <row r="176">
      <c r="A176" s="3" t="str">
        <f>IFERROR(__xludf.DUMMYFUNCTION("""COMPUTED_VALUE"""),"Yes")</f>
        <v>Yes</v>
      </c>
      <c r="B176" s="3"/>
      <c r="C176" s="3"/>
      <c r="D176" s="3"/>
      <c r="E176" s="3" t="str">
        <f>IFERROR(__xludf.DUMMYFUNCTION("""COMPUTED_VALUE"""),"south_africa")</f>
        <v>south_africa</v>
      </c>
      <c r="F176" s="3" t="str">
        <f>IFERROR(__xludf.DUMMYFUNCTION("""COMPUTED_VALUE"""),"City of Tshwane Metropolitan Municipality")</f>
        <v>City of Tshwane Metropolitan Municipality</v>
      </c>
      <c r="G176" s="3">
        <f>IFERROR(__xludf.DUMMYFUNCTION("""COMPUTED_VALUE"""),29.0)</f>
        <v>29</v>
      </c>
      <c r="H176" s="3" t="str">
        <f>IFERROR(__xludf.DUMMYFUNCTION("""COMPUTED_VALUE"""),"female")</f>
        <v>female</v>
      </c>
      <c r="I176" s="3" t="str">
        <f>IFERROR(__xludf.DUMMYFUNCTION("""COMPUTED_VALUE"""),"over5")</f>
        <v>over5</v>
      </c>
      <c r="J176" s="3" t="str">
        <f>IFERROR(__xludf.DUMMYFUNCTION("""COMPUTED_VALUE"""),"unemployed")</f>
        <v>unemployed</v>
      </c>
      <c r="K176" s="3" t="str">
        <f>IFERROR(__xludf.DUMMYFUNCTION("""COMPUTED_VALUE"""),"primary")</f>
        <v>primary</v>
      </c>
      <c r="L176" s="3"/>
      <c r="M176" s="3" t="str">
        <f>IFERROR(__xludf.DUMMYFUNCTION("""COMPUTED_VALUE"""),"agree")</f>
        <v>agree</v>
      </c>
      <c r="N176" s="3" t="str">
        <f>IFERROR(__xludf.DUMMYFUNCTION("""COMPUTED_VALUE"""),"agree")</f>
        <v>agree</v>
      </c>
      <c r="O176" s="3" t="str">
        <f>IFERROR(__xludf.DUMMYFUNCTION("""COMPUTED_VALUE"""),"agree")</f>
        <v>agree</v>
      </c>
      <c r="P176" s="3"/>
      <c r="Q176" s="3" t="str">
        <f>IFERROR(__xludf.DUMMYFUNCTION("""COMPUTED_VALUE"""),"agree")</f>
        <v>agree</v>
      </c>
      <c r="R176" s="3" t="str">
        <f>IFERROR(__xludf.DUMMYFUNCTION("""COMPUTED_VALUE"""),"agree")</f>
        <v>agree</v>
      </c>
      <c r="S176" s="3" t="str">
        <f>IFERROR(__xludf.DUMMYFUNCTION("""COMPUTED_VALUE"""),"agree")</f>
        <v>agree</v>
      </c>
      <c r="T176" s="3" t="str">
        <f>IFERROR(__xludf.DUMMYFUNCTION("""COMPUTED_VALUE"""),"agree")</f>
        <v>agree</v>
      </c>
      <c r="U176" s="3" t="str">
        <f>IFERROR(__xludf.DUMMYFUNCTION("""COMPUTED_VALUE"""),"agree")</f>
        <v>agree</v>
      </c>
      <c r="V176" s="3" t="str">
        <f>IFERROR(__xludf.DUMMYFUNCTION("""COMPUTED_VALUE"""),"agree")</f>
        <v>agree</v>
      </c>
      <c r="W176" s="3" t="str">
        <f>IFERROR(__xludf.DUMMYFUNCTION("""COMPUTED_VALUE"""),"agree")</f>
        <v>agree</v>
      </c>
      <c r="X176" s="3" t="str">
        <f>IFERROR(__xludf.DUMMYFUNCTION("""COMPUTED_VALUE"""),"Gold")</f>
        <v>Gold</v>
      </c>
      <c r="Y176" s="3" t="str">
        <f>IFERROR(__xludf.DUMMYFUNCTION("""COMPUTED_VALUE"""),"prepaid")</f>
        <v>prepaid</v>
      </c>
      <c r="Z176" s="3" t="str">
        <f>IFERROR(__xludf.DUMMYFUNCTION("""COMPUTED_VALUE"""),"annual")</f>
        <v>annual</v>
      </c>
      <c r="AA176" s="3">
        <f>IFERROR(__xludf.DUMMYFUNCTION("""COMPUTED_VALUE"""),50.0)</f>
        <v>50</v>
      </c>
      <c r="AB176" s="3" t="str">
        <f>IFERROR(__xludf.DUMMYFUNCTION("""COMPUTED_VALUE"""),"employer")</f>
        <v>employer</v>
      </c>
      <c r="AC176" s="3" t="str">
        <f>IFERROR(__xludf.DUMMYFUNCTION("""COMPUTED_VALUE"""),"I am not an employer")</f>
        <v>I am not an employer</v>
      </c>
      <c r="AD176" s="3"/>
      <c r="AE176" s="3"/>
      <c r="AF176" s="3" t="str">
        <f>IFERROR(__xludf.DUMMYFUNCTION("""COMPUTED_VALUE"""),"Yes")</f>
        <v>Yes</v>
      </c>
      <c r="AG176" s="3" t="str">
        <f>IFERROR(__xludf.DUMMYFUNCTION("""COMPUTED_VALUE"""),"Yes")</f>
        <v>Yes</v>
      </c>
      <c r="AH176" s="3"/>
      <c r="AI176" s="3">
        <f>IFERROR(__xludf.DUMMYFUNCTION("""COMPUTED_VALUE"""),1.0)</f>
        <v>1</v>
      </c>
      <c r="AJ176" s="3">
        <f>IFERROR(__xludf.DUMMYFUNCTION("""COMPUTED_VALUE"""),0.0)</f>
        <v>0</v>
      </c>
      <c r="AK176" s="3">
        <f>IFERROR(__xludf.DUMMYFUNCTION("""COMPUTED_VALUE"""),0.0)</f>
        <v>0</v>
      </c>
      <c r="AL176" s="3">
        <f>IFERROR(__xludf.DUMMYFUNCTION("""COMPUTED_VALUE"""),0.0)</f>
        <v>0</v>
      </c>
      <c r="AM176" s="3" t="str">
        <f>IFERROR(__xludf.DUMMYFUNCTION("""COMPUTED_VALUE"""),"Yes")</f>
        <v>Yes</v>
      </c>
      <c r="AN176" s="3">
        <f>IFERROR(__xludf.DUMMYFUNCTION("""COMPUTED_VALUE"""),7.98581807E8)</f>
        <v>798581807</v>
      </c>
      <c r="AO176" s="3"/>
      <c r="AP176" s="3">
        <f>IFERROR(__xludf.DUMMYFUNCTION("""COMPUTED_VALUE"""),4.90065965E8)</f>
        <v>490065965</v>
      </c>
      <c r="AQ176" s="3" t="str">
        <f>IFERROR(__xludf.DUMMYFUNCTION("""COMPUTED_VALUE"""),"d539199b-2310-4df5-bc38-5845dad9a07a")</f>
        <v>d539199b-2310-4df5-bc38-5845dad9a07a</v>
      </c>
      <c r="AR176" s="3">
        <f>IFERROR(__xludf.DUMMYFUNCTION("""COMPUTED_VALUE"""),45808.58390046296)</f>
        <v>45808.5839</v>
      </c>
      <c r="AS176" s="3"/>
      <c r="AT176" s="3"/>
      <c r="AU176" s="3" t="str">
        <f>IFERROR(__xludf.DUMMYFUNCTION("""COMPUTED_VALUE"""),"submitted_via_web")</f>
        <v>submitted_via_web</v>
      </c>
      <c r="AV176" s="3"/>
      <c r="AW176" s="3" t="str">
        <f>IFERROR(__xludf.DUMMYFUNCTION("""COMPUTED_VALUE"""),"vckVTgNzM4XXtKAKNnsHpB")</f>
        <v>vckVTgNzM4XXtKAKNnsHpB</v>
      </c>
      <c r="AX176" s="3"/>
      <c r="AY176" s="3">
        <f>IFERROR(__xludf.DUMMYFUNCTION("""COMPUTED_VALUE"""),175.0)</f>
        <v>175</v>
      </c>
    </row>
    <row r="177">
      <c r="A177" s="3" t="str">
        <f>IFERROR(__xludf.DUMMYFUNCTION("""COMPUTED_VALUE"""),"Yes")</f>
        <v>Yes</v>
      </c>
      <c r="B177" s="3"/>
      <c r="C177" s="3" t="str">
        <f>IFERROR(__xludf.DUMMYFUNCTION("""COMPUTED_VALUE"""),"mozambique")</f>
        <v>mozambique</v>
      </c>
      <c r="D177" s="3"/>
      <c r="E177" s="3" t="str">
        <f>IFERROR(__xludf.DUMMYFUNCTION("""COMPUTED_VALUE"""),"south_africa")</f>
        <v>south_africa</v>
      </c>
      <c r="F177" s="3" t="str">
        <f>IFERROR(__xludf.DUMMYFUNCTION("""COMPUTED_VALUE"""),"City of Tshwane Metropolitan Municipality")</f>
        <v>City of Tshwane Metropolitan Municipality</v>
      </c>
      <c r="G177" s="3">
        <f>IFERROR(__xludf.DUMMYFUNCTION("""COMPUTED_VALUE"""),30.0)</f>
        <v>30</v>
      </c>
      <c r="H177" s="3" t="str">
        <f>IFERROR(__xludf.DUMMYFUNCTION("""COMPUTED_VALUE"""),"male")</f>
        <v>male</v>
      </c>
      <c r="I177" s="3" t="str">
        <f>IFERROR(__xludf.DUMMYFUNCTION("""COMPUTED_VALUE"""),"1to5")</f>
        <v>1to5</v>
      </c>
      <c r="J177" s="3" t="str">
        <f>IFERROR(__xludf.DUMMYFUNCTION("""COMPUTED_VALUE"""),"unemployed")</f>
        <v>unemployed</v>
      </c>
      <c r="K177" s="3" t="str">
        <f>IFERROR(__xludf.DUMMYFUNCTION("""COMPUTED_VALUE"""),"primary")</f>
        <v>primary</v>
      </c>
      <c r="L177" s="3"/>
      <c r="M177" s="3" t="str">
        <f>IFERROR(__xludf.DUMMYFUNCTION("""COMPUTED_VALUE"""),"agree")</f>
        <v>agree</v>
      </c>
      <c r="N177" s="3" t="str">
        <f>IFERROR(__xludf.DUMMYFUNCTION("""COMPUTED_VALUE"""),"agree")</f>
        <v>agree</v>
      </c>
      <c r="O177" s="3" t="str">
        <f>IFERROR(__xludf.DUMMYFUNCTION("""COMPUTED_VALUE"""),"agree")</f>
        <v>agree</v>
      </c>
      <c r="P177" s="3"/>
      <c r="Q177" s="3" t="str">
        <f>IFERROR(__xludf.DUMMYFUNCTION("""COMPUTED_VALUE"""),"agree")</f>
        <v>agree</v>
      </c>
      <c r="R177" s="3" t="str">
        <f>IFERROR(__xludf.DUMMYFUNCTION("""COMPUTED_VALUE"""),"agree")</f>
        <v>agree</v>
      </c>
      <c r="S177" s="3" t="str">
        <f>IFERROR(__xludf.DUMMYFUNCTION("""COMPUTED_VALUE"""),"agree")</f>
        <v>agree</v>
      </c>
      <c r="T177" s="3" t="str">
        <f>IFERROR(__xludf.DUMMYFUNCTION("""COMPUTED_VALUE"""),"agree")</f>
        <v>agree</v>
      </c>
      <c r="U177" s="3" t="str">
        <f>IFERROR(__xludf.DUMMYFUNCTION("""COMPUTED_VALUE"""),"agree")</f>
        <v>agree</v>
      </c>
      <c r="V177" s="3" t="str">
        <f>IFERROR(__xludf.DUMMYFUNCTION("""COMPUTED_VALUE"""),"agree")</f>
        <v>agree</v>
      </c>
      <c r="W177" s="3" t="str">
        <f>IFERROR(__xludf.DUMMYFUNCTION("""COMPUTED_VALUE"""),"agree")</f>
        <v>agree</v>
      </c>
      <c r="X177" s="3" t="str">
        <f>IFERROR(__xludf.DUMMYFUNCTION("""COMPUTED_VALUE"""),"Gold")</f>
        <v>Gold</v>
      </c>
      <c r="Y177" s="3" t="str">
        <f>IFERROR(__xludf.DUMMYFUNCTION("""COMPUTED_VALUE"""),"cash")</f>
        <v>cash</v>
      </c>
      <c r="Z177" s="3" t="str">
        <f>IFERROR(__xludf.DUMMYFUNCTION("""COMPUTED_VALUE"""),"monthly")</f>
        <v>monthly</v>
      </c>
      <c r="AA177" s="3">
        <f>IFERROR(__xludf.DUMMYFUNCTION("""COMPUTED_VALUE"""),20.0)</f>
        <v>20</v>
      </c>
      <c r="AB177" s="3" t="str">
        <f>IFERROR(__xludf.DUMMYFUNCTION("""COMPUTED_VALUE"""),"employer")</f>
        <v>employer</v>
      </c>
      <c r="AC177" s="3" t="str">
        <f>IFERROR(__xludf.DUMMYFUNCTION("""COMPUTED_VALUE"""),"I am not an employer")</f>
        <v>I am not an employer</v>
      </c>
      <c r="AD177" s="3"/>
      <c r="AE177" s="3"/>
      <c r="AF177" s="3" t="str">
        <f>IFERROR(__xludf.DUMMYFUNCTION("""COMPUTED_VALUE"""),"Yes")</f>
        <v>Yes</v>
      </c>
      <c r="AG177" s="3" t="str">
        <f>IFERROR(__xludf.DUMMYFUNCTION("""COMPUTED_VALUE"""),"Yes")</f>
        <v>Yes</v>
      </c>
      <c r="AH177" s="3"/>
      <c r="AI177" s="3">
        <f>IFERROR(__xludf.DUMMYFUNCTION("""COMPUTED_VALUE"""),1.0)</f>
        <v>1</v>
      </c>
      <c r="AJ177" s="3">
        <f>IFERROR(__xludf.DUMMYFUNCTION("""COMPUTED_VALUE"""),0.0)</f>
        <v>0</v>
      </c>
      <c r="AK177" s="3">
        <f>IFERROR(__xludf.DUMMYFUNCTION("""COMPUTED_VALUE"""),0.0)</f>
        <v>0</v>
      </c>
      <c r="AL177" s="3">
        <f>IFERROR(__xludf.DUMMYFUNCTION("""COMPUTED_VALUE"""),0.0)</f>
        <v>0</v>
      </c>
      <c r="AM177" s="3" t="str">
        <f>IFERROR(__xludf.DUMMYFUNCTION("""COMPUTED_VALUE"""),"Yes")</f>
        <v>Yes</v>
      </c>
      <c r="AN177" s="3">
        <f>IFERROR(__xludf.DUMMYFUNCTION("""COMPUTED_VALUE"""),6.81216241E8)</f>
        <v>681216241</v>
      </c>
      <c r="AO177" s="3"/>
      <c r="AP177" s="3">
        <f>IFERROR(__xludf.DUMMYFUNCTION("""COMPUTED_VALUE"""),4.90067473E8)</f>
        <v>490067473</v>
      </c>
      <c r="AQ177" s="3" t="str">
        <f>IFERROR(__xludf.DUMMYFUNCTION("""COMPUTED_VALUE"""),"a51da5f4-d5b2-4e85-809c-3b6ff1795709")</f>
        <v>a51da5f4-d5b2-4e85-809c-3b6ff1795709</v>
      </c>
      <c r="AR177" s="3">
        <f>IFERROR(__xludf.DUMMYFUNCTION("""COMPUTED_VALUE"""),45808.58574074074)</f>
        <v>45808.58574</v>
      </c>
      <c r="AS177" s="3"/>
      <c r="AT177" s="3"/>
      <c r="AU177" s="3" t="str">
        <f>IFERROR(__xludf.DUMMYFUNCTION("""COMPUTED_VALUE"""),"submitted_via_web")</f>
        <v>submitted_via_web</v>
      </c>
      <c r="AV177" s="3"/>
      <c r="AW177" s="3" t="str">
        <f>IFERROR(__xludf.DUMMYFUNCTION("""COMPUTED_VALUE"""),"vckVTgNzM4XXtKAKNnsHpB")</f>
        <v>vckVTgNzM4XXtKAKNnsHpB</v>
      </c>
      <c r="AX177" s="3"/>
      <c r="AY177" s="3">
        <f>IFERROR(__xludf.DUMMYFUNCTION("""COMPUTED_VALUE"""),176.0)</f>
        <v>176</v>
      </c>
    </row>
    <row r="178">
      <c r="A178" s="3" t="str">
        <f>IFERROR(__xludf.DUMMYFUNCTION("""COMPUTED_VALUE"""),"Yes")</f>
        <v>Yes</v>
      </c>
      <c r="B178" s="3"/>
      <c r="C178" s="3" t="str">
        <f>IFERROR(__xludf.DUMMYFUNCTION("""COMPUTED_VALUE"""),"mozambique")</f>
        <v>mozambique</v>
      </c>
      <c r="D178" s="3"/>
      <c r="E178" s="3" t="str">
        <f>IFERROR(__xludf.DUMMYFUNCTION("""COMPUTED_VALUE"""),"south_africa")</f>
        <v>south_africa</v>
      </c>
      <c r="F178" s="3" t="str">
        <f>IFERROR(__xludf.DUMMYFUNCTION("""COMPUTED_VALUE"""),"City of Tshwane Metropolitan Municipality")</f>
        <v>City of Tshwane Metropolitan Municipality</v>
      </c>
      <c r="G178" s="3">
        <f>IFERROR(__xludf.DUMMYFUNCTION("""COMPUTED_VALUE"""),32.0)</f>
        <v>32</v>
      </c>
      <c r="H178" s="3" t="str">
        <f>IFERROR(__xludf.DUMMYFUNCTION("""COMPUTED_VALUE"""),"male")</f>
        <v>male</v>
      </c>
      <c r="I178" s="3"/>
      <c r="J178" s="3" t="str">
        <f>IFERROR(__xludf.DUMMYFUNCTION("""COMPUTED_VALUE"""),"ownbusiness")</f>
        <v>ownbusiness</v>
      </c>
      <c r="K178" s="3" t="str">
        <f>IFERROR(__xludf.DUMMYFUNCTION("""COMPUTED_VALUE"""),"secondary")</f>
        <v>secondary</v>
      </c>
      <c r="L178" s="3"/>
      <c r="M178" s="3" t="str">
        <f>IFERROR(__xludf.DUMMYFUNCTION("""COMPUTED_VALUE"""),"agree")</f>
        <v>agree</v>
      </c>
      <c r="N178" s="3" t="str">
        <f>IFERROR(__xludf.DUMMYFUNCTION("""COMPUTED_VALUE"""),"agree")</f>
        <v>agree</v>
      </c>
      <c r="O178" s="3" t="str">
        <f>IFERROR(__xludf.DUMMYFUNCTION("""COMPUTED_VALUE"""),"agree")</f>
        <v>agree</v>
      </c>
      <c r="P178" s="3"/>
      <c r="Q178" s="3" t="str">
        <f>IFERROR(__xludf.DUMMYFUNCTION("""COMPUTED_VALUE"""),"agree")</f>
        <v>agree</v>
      </c>
      <c r="R178" s="3" t="str">
        <f>IFERROR(__xludf.DUMMYFUNCTION("""COMPUTED_VALUE"""),"agree")</f>
        <v>agree</v>
      </c>
      <c r="S178" s="3" t="str">
        <f>IFERROR(__xludf.DUMMYFUNCTION("""COMPUTED_VALUE"""),"agree")</f>
        <v>agree</v>
      </c>
      <c r="T178" s="3" t="str">
        <f>IFERROR(__xludf.DUMMYFUNCTION("""COMPUTED_VALUE"""),"agree")</f>
        <v>agree</v>
      </c>
      <c r="U178" s="3" t="str">
        <f>IFERROR(__xludf.DUMMYFUNCTION("""COMPUTED_VALUE"""),"agree")</f>
        <v>agree</v>
      </c>
      <c r="V178" s="3" t="str">
        <f>IFERROR(__xludf.DUMMYFUNCTION("""COMPUTED_VALUE"""),"agree")</f>
        <v>agree</v>
      </c>
      <c r="W178" s="3" t="str">
        <f>IFERROR(__xludf.DUMMYFUNCTION("""COMPUTED_VALUE"""),"agree")</f>
        <v>agree</v>
      </c>
      <c r="X178" s="3" t="str">
        <f>IFERROR(__xludf.DUMMYFUNCTION("""COMPUTED_VALUE"""),"Gold")</f>
        <v>Gold</v>
      </c>
      <c r="Y178" s="3" t="str">
        <f>IFERROR(__xludf.DUMMYFUNCTION("""COMPUTED_VALUE"""),"cash")</f>
        <v>cash</v>
      </c>
      <c r="Z178" s="3" t="str">
        <f>IFERROR(__xludf.DUMMYFUNCTION("""COMPUTED_VALUE"""),"quarterly")</f>
        <v>quarterly</v>
      </c>
      <c r="AA178" s="3">
        <f>IFERROR(__xludf.DUMMYFUNCTION("""COMPUTED_VALUE"""),20.0)</f>
        <v>20</v>
      </c>
      <c r="AB178" s="3" t="str">
        <f>IFERROR(__xludf.DUMMYFUNCTION("""COMPUTED_VALUE"""),"employer")</f>
        <v>employer</v>
      </c>
      <c r="AC178" s="3" t="str">
        <f>IFERROR(__xludf.DUMMYFUNCTION("""COMPUTED_VALUE"""),"I am not an employer")</f>
        <v>I am not an employer</v>
      </c>
      <c r="AD178" s="3"/>
      <c r="AE178" s="3"/>
      <c r="AF178" s="3" t="str">
        <f>IFERROR(__xludf.DUMMYFUNCTION("""COMPUTED_VALUE"""),"Yes")</f>
        <v>Yes</v>
      </c>
      <c r="AG178" s="3" t="str">
        <f>IFERROR(__xludf.DUMMYFUNCTION("""COMPUTED_VALUE"""),"Yes")</f>
        <v>Yes</v>
      </c>
      <c r="AH178" s="3"/>
      <c r="AI178" s="3">
        <f>IFERROR(__xludf.DUMMYFUNCTION("""COMPUTED_VALUE"""),1.0)</f>
        <v>1</v>
      </c>
      <c r="AJ178" s="3">
        <f>IFERROR(__xludf.DUMMYFUNCTION("""COMPUTED_VALUE"""),0.0)</f>
        <v>0</v>
      </c>
      <c r="AK178" s="3">
        <f>IFERROR(__xludf.DUMMYFUNCTION("""COMPUTED_VALUE"""),0.0)</f>
        <v>0</v>
      </c>
      <c r="AL178" s="3">
        <f>IFERROR(__xludf.DUMMYFUNCTION("""COMPUTED_VALUE"""),0.0)</f>
        <v>0</v>
      </c>
      <c r="AM178" s="3" t="str">
        <f>IFERROR(__xludf.DUMMYFUNCTION("""COMPUTED_VALUE"""),"Yes")</f>
        <v>Yes</v>
      </c>
      <c r="AN178" s="3">
        <f>IFERROR(__xludf.DUMMYFUNCTION("""COMPUTED_VALUE"""),7.84739697E8)</f>
        <v>784739697</v>
      </c>
      <c r="AO178" s="3"/>
      <c r="AP178" s="3">
        <f>IFERROR(__xludf.DUMMYFUNCTION("""COMPUTED_VALUE"""),4.9006882E8)</f>
        <v>490068820</v>
      </c>
      <c r="AQ178" s="3" t="str">
        <f>IFERROR(__xludf.DUMMYFUNCTION("""COMPUTED_VALUE"""),"b01272e6-4776-420d-8368-1ea66b022326")</f>
        <v>b01272e6-4776-420d-8368-1ea66b022326</v>
      </c>
      <c r="AR178" s="3">
        <f>IFERROR(__xludf.DUMMYFUNCTION("""COMPUTED_VALUE"""),45808.587164351855)</f>
        <v>45808.58716</v>
      </c>
      <c r="AS178" s="3"/>
      <c r="AT178" s="3"/>
      <c r="AU178" s="3" t="str">
        <f>IFERROR(__xludf.DUMMYFUNCTION("""COMPUTED_VALUE"""),"submitted_via_web")</f>
        <v>submitted_via_web</v>
      </c>
      <c r="AV178" s="3"/>
      <c r="AW178" s="3" t="str">
        <f>IFERROR(__xludf.DUMMYFUNCTION("""COMPUTED_VALUE"""),"vckVTgNzM4XXtKAKNnsHpB")</f>
        <v>vckVTgNzM4XXtKAKNnsHpB</v>
      </c>
      <c r="AX178" s="3"/>
      <c r="AY178" s="3">
        <f>IFERROR(__xludf.DUMMYFUNCTION("""COMPUTED_VALUE"""),177.0)</f>
        <v>177</v>
      </c>
    </row>
    <row r="179">
      <c r="A179" s="3" t="str">
        <f>IFERROR(__xludf.DUMMYFUNCTION("""COMPUTED_VALUE"""),"Yes")</f>
        <v>Yes</v>
      </c>
      <c r="B179" s="3"/>
      <c r="C179" s="3" t="str">
        <f>IFERROR(__xludf.DUMMYFUNCTION("""COMPUTED_VALUE"""),"mozambique")</f>
        <v>mozambique</v>
      </c>
      <c r="D179" s="3"/>
      <c r="E179" s="3" t="str">
        <f>IFERROR(__xludf.DUMMYFUNCTION("""COMPUTED_VALUE"""),"south_africa")</f>
        <v>south_africa</v>
      </c>
      <c r="F179" s="3" t="str">
        <f>IFERROR(__xludf.DUMMYFUNCTION("""COMPUTED_VALUE"""),"City of Tshwane Metropolitan Municipality")</f>
        <v>City of Tshwane Metropolitan Municipality</v>
      </c>
      <c r="G179" s="3">
        <f>IFERROR(__xludf.DUMMYFUNCTION("""COMPUTED_VALUE"""),29.0)</f>
        <v>29</v>
      </c>
      <c r="H179" s="3" t="str">
        <f>IFERROR(__xludf.DUMMYFUNCTION("""COMPUTED_VALUE"""),"female")</f>
        <v>female</v>
      </c>
      <c r="I179" s="3" t="str">
        <f>IFERROR(__xludf.DUMMYFUNCTION("""COMPUTED_VALUE"""),"over5")</f>
        <v>over5</v>
      </c>
      <c r="J179" s="3" t="str">
        <f>IFERROR(__xludf.DUMMYFUNCTION("""COMPUTED_VALUE"""),"informal")</f>
        <v>informal</v>
      </c>
      <c r="K179" s="3" t="str">
        <f>IFERROR(__xludf.DUMMYFUNCTION("""COMPUTED_VALUE"""),"secondary")</f>
        <v>secondary</v>
      </c>
      <c r="L179" s="3"/>
      <c r="M179" s="3" t="str">
        <f>IFERROR(__xludf.DUMMYFUNCTION("""COMPUTED_VALUE"""),"agree")</f>
        <v>agree</v>
      </c>
      <c r="N179" s="3" t="str">
        <f>IFERROR(__xludf.DUMMYFUNCTION("""COMPUTED_VALUE"""),"agree")</f>
        <v>agree</v>
      </c>
      <c r="O179" s="3" t="str">
        <f>IFERROR(__xludf.DUMMYFUNCTION("""COMPUTED_VALUE"""),"agree")</f>
        <v>agree</v>
      </c>
      <c r="P179" s="3"/>
      <c r="Q179" s="3" t="str">
        <f>IFERROR(__xludf.DUMMYFUNCTION("""COMPUTED_VALUE"""),"agree")</f>
        <v>agree</v>
      </c>
      <c r="R179" s="3" t="str">
        <f>IFERROR(__xludf.DUMMYFUNCTION("""COMPUTED_VALUE"""),"agree")</f>
        <v>agree</v>
      </c>
      <c r="S179" s="3" t="str">
        <f>IFERROR(__xludf.DUMMYFUNCTION("""COMPUTED_VALUE"""),"agree")</f>
        <v>agree</v>
      </c>
      <c r="T179" s="3" t="str">
        <f>IFERROR(__xludf.DUMMYFUNCTION("""COMPUTED_VALUE"""),"agree")</f>
        <v>agree</v>
      </c>
      <c r="U179" s="3" t="str">
        <f>IFERROR(__xludf.DUMMYFUNCTION("""COMPUTED_VALUE"""),"agree")</f>
        <v>agree</v>
      </c>
      <c r="V179" s="3" t="str">
        <f>IFERROR(__xludf.DUMMYFUNCTION("""COMPUTED_VALUE"""),"agree")</f>
        <v>agree</v>
      </c>
      <c r="W179" s="3" t="str">
        <f>IFERROR(__xludf.DUMMYFUNCTION("""COMPUTED_VALUE"""),"agree")</f>
        <v>agree</v>
      </c>
      <c r="X179" s="3" t="str">
        <f>IFERROR(__xludf.DUMMYFUNCTION("""COMPUTED_VALUE"""),"Gold")</f>
        <v>Gold</v>
      </c>
      <c r="Y179" s="3" t="str">
        <f>IFERROR(__xludf.DUMMYFUNCTION("""COMPUTED_VALUE"""),"prepaid")</f>
        <v>prepaid</v>
      </c>
      <c r="Z179" s="3" t="str">
        <f>IFERROR(__xludf.DUMMYFUNCTION("""COMPUTED_VALUE"""),"annual")</f>
        <v>annual</v>
      </c>
      <c r="AA179" s="3">
        <f>IFERROR(__xludf.DUMMYFUNCTION("""COMPUTED_VALUE"""),50.0)</f>
        <v>50</v>
      </c>
      <c r="AB179" s="3" t="str">
        <f>IFERROR(__xludf.DUMMYFUNCTION("""COMPUTED_VALUE"""),"online")</f>
        <v>online</v>
      </c>
      <c r="AC179" s="3" t="str">
        <f>IFERROR(__xludf.DUMMYFUNCTION("""COMPUTED_VALUE"""),"Yes")</f>
        <v>Yes</v>
      </c>
      <c r="AD179" s="3" t="str">
        <f>IFERROR(__xludf.DUMMYFUNCTION("""COMPUTED_VALUE"""),"Gold")</f>
        <v>Gold</v>
      </c>
      <c r="AE179" s="3" t="str">
        <f>IFERROR(__xludf.DUMMYFUNCTION("""COMPUTED_VALUE"""),"Yes")</f>
        <v>Yes</v>
      </c>
      <c r="AF179" s="3" t="str">
        <f>IFERROR(__xludf.DUMMYFUNCTION("""COMPUTED_VALUE"""),"Yes")</f>
        <v>Yes</v>
      </c>
      <c r="AG179" s="3" t="str">
        <f>IFERROR(__xludf.DUMMYFUNCTION("""COMPUTED_VALUE"""),"Yes")</f>
        <v>Yes</v>
      </c>
      <c r="AH179" s="3"/>
      <c r="AI179" s="3">
        <f>IFERROR(__xludf.DUMMYFUNCTION("""COMPUTED_VALUE"""),1.0)</f>
        <v>1</v>
      </c>
      <c r="AJ179" s="3">
        <f>IFERROR(__xludf.DUMMYFUNCTION("""COMPUTED_VALUE"""),0.0)</f>
        <v>0</v>
      </c>
      <c r="AK179" s="3">
        <f>IFERROR(__xludf.DUMMYFUNCTION("""COMPUTED_VALUE"""),0.0)</f>
        <v>0</v>
      </c>
      <c r="AL179" s="3">
        <f>IFERROR(__xludf.DUMMYFUNCTION("""COMPUTED_VALUE"""),0.0)</f>
        <v>0</v>
      </c>
      <c r="AM179" s="3" t="str">
        <f>IFERROR(__xludf.DUMMYFUNCTION("""COMPUTED_VALUE"""),"Yes")</f>
        <v>Yes</v>
      </c>
      <c r="AN179" s="3">
        <f>IFERROR(__xludf.DUMMYFUNCTION("""COMPUTED_VALUE"""),8.12338828E8)</f>
        <v>812338828</v>
      </c>
      <c r="AO179" s="3"/>
      <c r="AP179" s="3">
        <f>IFERROR(__xludf.DUMMYFUNCTION("""COMPUTED_VALUE"""),4.90071211E8)</f>
        <v>490071211</v>
      </c>
      <c r="AQ179" s="3" t="str">
        <f>IFERROR(__xludf.DUMMYFUNCTION("""COMPUTED_VALUE"""),"4b71d740-6246-4814-a766-04ddf470c82b")</f>
        <v>4b71d740-6246-4814-a766-04ddf470c82b</v>
      </c>
      <c r="AR179" s="3">
        <f>IFERROR(__xludf.DUMMYFUNCTION("""COMPUTED_VALUE"""),45808.58969907407)</f>
        <v>45808.5897</v>
      </c>
      <c r="AS179" s="3"/>
      <c r="AT179" s="3"/>
      <c r="AU179" s="3" t="str">
        <f>IFERROR(__xludf.DUMMYFUNCTION("""COMPUTED_VALUE"""),"submitted_via_web")</f>
        <v>submitted_via_web</v>
      </c>
      <c r="AV179" s="3"/>
      <c r="AW179" s="3" t="str">
        <f>IFERROR(__xludf.DUMMYFUNCTION("""COMPUTED_VALUE"""),"vckVTgNzM4XXtKAKNnsHpB")</f>
        <v>vckVTgNzM4XXtKAKNnsHpB</v>
      </c>
      <c r="AX179" s="3"/>
      <c r="AY179" s="3">
        <f>IFERROR(__xludf.DUMMYFUNCTION("""COMPUTED_VALUE"""),178.0)</f>
        <v>178</v>
      </c>
    </row>
    <row r="180">
      <c r="A180" s="3" t="str">
        <f>IFERROR(__xludf.DUMMYFUNCTION("""COMPUTED_VALUE"""),"Yes")</f>
        <v>Yes</v>
      </c>
      <c r="B180" s="3"/>
      <c r="C180" s="3" t="str">
        <f>IFERROR(__xludf.DUMMYFUNCTION("""COMPUTED_VALUE"""),"mozambique")</f>
        <v>mozambique</v>
      </c>
      <c r="D180" s="3"/>
      <c r="E180" s="3" t="str">
        <f>IFERROR(__xludf.DUMMYFUNCTION("""COMPUTED_VALUE"""),"south_africa")</f>
        <v>south_africa</v>
      </c>
      <c r="F180" s="3" t="str">
        <f>IFERROR(__xludf.DUMMYFUNCTION("""COMPUTED_VALUE"""),"City of Tshwane Metropolitan Municipality")</f>
        <v>City of Tshwane Metropolitan Municipality</v>
      </c>
      <c r="G180" s="3">
        <f>IFERROR(__xludf.DUMMYFUNCTION("""COMPUTED_VALUE"""),31.0)</f>
        <v>31</v>
      </c>
      <c r="H180" s="3" t="str">
        <f>IFERROR(__xludf.DUMMYFUNCTION("""COMPUTED_VALUE"""),"male")</f>
        <v>male</v>
      </c>
      <c r="I180" s="3" t="str">
        <f>IFERROR(__xludf.DUMMYFUNCTION("""COMPUTED_VALUE"""),"1to5")</f>
        <v>1to5</v>
      </c>
      <c r="J180" s="3" t="str">
        <f>IFERROR(__xludf.DUMMYFUNCTION("""COMPUTED_VALUE"""),"informal")</f>
        <v>informal</v>
      </c>
      <c r="K180" s="3" t="str">
        <f>IFERROR(__xludf.DUMMYFUNCTION("""COMPUTED_VALUE"""),"secondary")</f>
        <v>secondary</v>
      </c>
      <c r="L180" s="3"/>
      <c r="M180" s="3" t="str">
        <f>IFERROR(__xludf.DUMMYFUNCTION("""COMPUTED_VALUE"""),"agree")</f>
        <v>agree</v>
      </c>
      <c r="N180" s="3" t="str">
        <f>IFERROR(__xludf.DUMMYFUNCTION("""COMPUTED_VALUE"""),"agree")</f>
        <v>agree</v>
      </c>
      <c r="O180" s="3" t="str">
        <f>IFERROR(__xludf.DUMMYFUNCTION("""COMPUTED_VALUE"""),"agree")</f>
        <v>agree</v>
      </c>
      <c r="P180" s="3"/>
      <c r="Q180" s="3" t="str">
        <f>IFERROR(__xludf.DUMMYFUNCTION("""COMPUTED_VALUE"""),"agree")</f>
        <v>agree</v>
      </c>
      <c r="R180" s="3" t="str">
        <f>IFERROR(__xludf.DUMMYFUNCTION("""COMPUTED_VALUE"""),"agree")</f>
        <v>agree</v>
      </c>
      <c r="S180" s="3" t="str">
        <f>IFERROR(__xludf.DUMMYFUNCTION("""COMPUTED_VALUE"""),"agree")</f>
        <v>agree</v>
      </c>
      <c r="T180" s="3" t="str">
        <f>IFERROR(__xludf.DUMMYFUNCTION("""COMPUTED_VALUE"""),"agree")</f>
        <v>agree</v>
      </c>
      <c r="U180" s="3" t="str">
        <f>IFERROR(__xludf.DUMMYFUNCTION("""COMPUTED_VALUE"""),"agree")</f>
        <v>agree</v>
      </c>
      <c r="V180" s="3" t="str">
        <f>IFERROR(__xludf.DUMMYFUNCTION("""COMPUTED_VALUE"""),"agree")</f>
        <v>agree</v>
      </c>
      <c r="W180" s="3" t="str">
        <f>IFERROR(__xludf.DUMMYFUNCTION("""COMPUTED_VALUE"""),"agree")</f>
        <v>agree</v>
      </c>
      <c r="X180" s="3" t="str">
        <f>IFERROR(__xludf.DUMMYFUNCTION("""COMPUTED_VALUE"""),"Gold")</f>
        <v>Gold</v>
      </c>
      <c r="Y180" s="3" t="str">
        <f>IFERROR(__xludf.DUMMYFUNCTION("""COMPUTED_VALUE"""),"cash")</f>
        <v>cash</v>
      </c>
      <c r="Z180" s="3" t="str">
        <f>IFERROR(__xludf.DUMMYFUNCTION("""COMPUTED_VALUE"""),"annual")</f>
        <v>annual</v>
      </c>
      <c r="AA180" s="3">
        <f>IFERROR(__xludf.DUMMYFUNCTION("""COMPUTED_VALUE"""),100.0)</f>
        <v>100</v>
      </c>
      <c r="AB180" s="3" t="str">
        <f>IFERROR(__xludf.DUMMYFUNCTION("""COMPUTED_VALUE"""),"online")</f>
        <v>online</v>
      </c>
      <c r="AC180" s="3" t="str">
        <f>IFERROR(__xludf.DUMMYFUNCTION("""COMPUTED_VALUE"""),"I am not an employer")</f>
        <v>I am not an employer</v>
      </c>
      <c r="AD180" s="3"/>
      <c r="AE180" s="3"/>
      <c r="AF180" s="3" t="str">
        <f>IFERROR(__xludf.DUMMYFUNCTION("""COMPUTED_VALUE"""),"Yes")</f>
        <v>Yes</v>
      </c>
      <c r="AG180" s="3" t="str">
        <f>IFERROR(__xludf.DUMMYFUNCTION("""COMPUTED_VALUE"""),"Yes")</f>
        <v>Yes</v>
      </c>
      <c r="AH180" s="3">
        <f>IFERROR(__xludf.DUMMYFUNCTION("""COMPUTED_VALUE"""),7.26534262E8)</f>
        <v>726534262</v>
      </c>
      <c r="AI180" s="3">
        <f>IFERROR(__xludf.DUMMYFUNCTION("""COMPUTED_VALUE"""),1.0)</f>
        <v>1</v>
      </c>
      <c r="AJ180" s="3">
        <f>IFERROR(__xludf.DUMMYFUNCTION("""COMPUTED_VALUE"""),0.0)</f>
        <v>0</v>
      </c>
      <c r="AK180" s="3">
        <f>IFERROR(__xludf.DUMMYFUNCTION("""COMPUTED_VALUE"""),0.0)</f>
        <v>0</v>
      </c>
      <c r="AL180" s="3">
        <f>IFERROR(__xludf.DUMMYFUNCTION("""COMPUTED_VALUE"""),0.0)</f>
        <v>0</v>
      </c>
      <c r="AM180" s="3" t="str">
        <f>IFERROR(__xludf.DUMMYFUNCTION("""COMPUTED_VALUE"""),"Yes")</f>
        <v>Yes</v>
      </c>
      <c r="AN180" s="3">
        <f>IFERROR(__xludf.DUMMYFUNCTION("""COMPUTED_VALUE"""),6.82234632E8)</f>
        <v>682234632</v>
      </c>
      <c r="AO180" s="3"/>
      <c r="AP180" s="3">
        <f>IFERROR(__xludf.DUMMYFUNCTION("""COMPUTED_VALUE"""),4.9007346E8)</f>
        <v>490073460</v>
      </c>
      <c r="AQ180" s="3" t="str">
        <f>IFERROR(__xludf.DUMMYFUNCTION("""COMPUTED_VALUE"""),"16d49024-2a57-410c-b023-ce261b05afe8")</f>
        <v>16d49024-2a57-410c-b023-ce261b05afe8</v>
      </c>
      <c r="AR180" s="3">
        <f>IFERROR(__xludf.DUMMYFUNCTION("""COMPUTED_VALUE"""),45808.59204861111)</f>
        <v>45808.59205</v>
      </c>
      <c r="AS180" s="3"/>
      <c r="AT180" s="3"/>
      <c r="AU180" s="3" t="str">
        <f>IFERROR(__xludf.DUMMYFUNCTION("""COMPUTED_VALUE"""),"submitted_via_web")</f>
        <v>submitted_via_web</v>
      </c>
      <c r="AV180" s="3"/>
      <c r="AW180" s="3" t="str">
        <f>IFERROR(__xludf.DUMMYFUNCTION("""COMPUTED_VALUE"""),"vckVTgNzM4XXtKAKNnsHpB")</f>
        <v>vckVTgNzM4XXtKAKNnsHpB</v>
      </c>
      <c r="AX180" s="3"/>
      <c r="AY180" s="3">
        <f>IFERROR(__xludf.DUMMYFUNCTION("""COMPUTED_VALUE"""),179.0)</f>
        <v>179</v>
      </c>
    </row>
    <row r="181">
      <c r="A181" s="3" t="str">
        <f>IFERROR(__xludf.DUMMYFUNCTION("""COMPUTED_VALUE"""),"Yes")</f>
        <v>Yes</v>
      </c>
      <c r="B181" s="3"/>
      <c r="C181" s="3" t="str">
        <f>IFERROR(__xludf.DUMMYFUNCTION("""COMPUTED_VALUE"""),"mozambique")</f>
        <v>mozambique</v>
      </c>
      <c r="D181" s="3"/>
      <c r="E181" s="3" t="str">
        <f>IFERROR(__xludf.DUMMYFUNCTION("""COMPUTED_VALUE"""),"south_africa")</f>
        <v>south_africa</v>
      </c>
      <c r="F181" s="3" t="str">
        <f>IFERROR(__xludf.DUMMYFUNCTION("""COMPUTED_VALUE"""),"City of Tshwane Metropolitan Municipality")</f>
        <v>City of Tshwane Metropolitan Municipality</v>
      </c>
      <c r="G181" s="3">
        <f>IFERROR(__xludf.DUMMYFUNCTION("""COMPUTED_VALUE"""),30.0)</f>
        <v>30</v>
      </c>
      <c r="H181" s="3" t="str">
        <f>IFERROR(__xludf.DUMMYFUNCTION("""COMPUTED_VALUE"""),"male")</f>
        <v>male</v>
      </c>
      <c r="I181" s="3" t="str">
        <f>IFERROR(__xludf.DUMMYFUNCTION("""COMPUTED_VALUE"""),"1to5")</f>
        <v>1to5</v>
      </c>
      <c r="J181" s="3"/>
      <c r="K181" s="3" t="str">
        <f>IFERROR(__xludf.DUMMYFUNCTION("""COMPUTED_VALUE"""),"secondary")</f>
        <v>secondary</v>
      </c>
      <c r="L181" s="3"/>
      <c r="M181" s="3" t="str">
        <f>IFERROR(__xludf.DUMMYFUNCTION("""COMPUTED_VALUE"""),"agree")</f>
        <v>agree</v>
      </c>
      <c r="N181" s="3" t="str">
        <f>IFERROR(__xludf.DUMMYFUNCTION("""COMPUTED_VALUE"""),"agree")</f>
        <v>agree</v>
      </c>
      <c r="O181" s="3" t="str">
        <f>IFERROR(__xludf.DUMMYFUNCTION("""COMPUTED_VALUE"""),"agree")</f>
        <v>agree</v>
      </c>
      <c r="P181" s="3"/>
      <c r="Q181" s="3" t="str">
        <f>IFERROR(__xludf.DUMMYFUNCTION("""COMPUTED_VALUE"""),"agree")</f>
        <v>agree</v>
      </c>
      <c r="R181" s="3" t="str">
        <f>IFERROR(__xludf.DUMMYFUNCTION("""COMPUTED_VALUE"""),"agree")</f>
        <v>agree</v>
      </c>
      <c r="S181" s="3" t="str">
        <f>IFERROR(__xludf.DUMMYFUNCTION("""COMPUTED_VALUE"""),"agree")</f>
        <v>agree</v>
      </c>
      <c r="T181" s="3" t="str">
        <f>IFERROR(__xludf.DUMMYFUNCTION("""COMPUTED_VALUE"""),"agree")</f>
        <v>agree</v>
      </c>
      <c r="U181" s="3" t="str">
        <f>IFERROR(__xludf.DUMMYFUNCTION("""COMPUTED_VALUE"""),"agree")</f>
        <v>agree</v>
      </c>
      <c r="V181" s="3" t="str">
        <f>IFERROR(__xludf.DUMMYFUNCTION("""COMPUTED_VALUE"""),"agree")</f>
        <v>agree</v>
      </c>
      <c r="W181" s="3" t="str">
        <f>IFERROR(__xludf.DUMMYFUNCTION("""COMPUTED_VALUE"""),"agree")</f>
        <v>agree</v>
      </c>
      <c r="X181" s="3" t="str">
        <f>IFERROR(__xludf.DUMMYFUNCTION("""COMPUTED_VALUE"""),"Gold")</f>
        <v>Gold</v>
      </c>
      <c r="Y181" s="3" t="str">
        <f>IFERROR(__xludf.DUMMYFUNCTION("""COMPUTED_VALUE"""),"prepaid")</f>
        <v>prepaid</v>
      </c>
      <c r="Z181" s="3" t="str">
        <f>IFERROR(__xludf.DUMMYFUNCTION("""COMPUTED_VALUE"""),"annual")</f>
        <v>annual</v>
      </c>
      <c r="AA181" s="3">
        <f>IFERROR(__xludf.DUMMYFUNCTION("""COMPUTED_VALUE"""),100.0)</f>
        <v>100</v>
      </c>
      <c r="AB181" s="3" t="str">
        <f>IFERROR(__xludf.DUMMYFUNCTION("""COMPUTED_VALUE"""),"employer")</f>
        <v>employer</v>
      </c>
      <c r="AC181" s="3" t="str">
        <f>IFERROR(__xludf.DUMMYFUNCTION("""COMPUTED_VALUE"""),"I am not an employer")</f>
        <v>I am not an employer</v>
      </c>
      <c r="AD181" s="3"/>
      <c r="AE181" s="3"/>
      <c r="AF181" s="3" t="str">
        <f>IFERROR(__xludf.DUMMYFUNCTION("""COMPUTED_VALUE"""),"Yes")</f>
        <v>Yes</v>
      </c>
      <c r="AG181" s="3" t="str">
        <f>IFERROR(__xludf.DUMMYFUNCTION("""COMPUTED_VALUE"""),"Yes")</f>
        <v>Yes</v>
      </c>
      <c r="AH181" s="3">
        <f>IFERROR(__xludf.DUMMYFUNCTION("""COMPUTED_VALUE"""),300.0)</f>
        <v>300</v>
      </c>
      <c r="AI181" s="3">
        <f>IFERROR(__xludf.DUMMYFUNCTION("""COMPUTED_VALUE"""),1.0)</f>
        <v>1</v>
      </c>
      <c r="AJ181" s="3">
        <f>IFERROR(__xludf.DUMMYFUNCTION("""COMPUTED_VALUE"""),0.0)</f>
        <v>0</v>
      </c>
      <c r="AK181" s="3">
        <f>IFERROR(__xludf.DUMMYFUNCTION("""COMPUTED_VALUE"""),0.0)</f>
        <v>0</v>
      </c>
      <c r="AL181" s="3">
        <f>IFERROR(__xludf.DUMMYFUNCTION("""COMPUTED_VALUE"""),0.0)</f>
        <v>0</v>
      </c>
      <c r="AM181" s="3" t="str">
        <f>IFERROR(__xludf.DUMMYFUNCTION("""COMPUTED_VALUE"""),"Yes")</f>
        <v>Yes</v>
      </c>
      <c r="AN181" s="3">
        <f>IFERROR(__xludf.DUMMYFUNCTION("""COMPUTED_VALUE"""),6.71652514E8)</f>
        <v>671652514</v>
      </c>
      <c r="AO181" s="3"/>
      <c r="AP181" s="3">
        <f>IFERROR(__xludf.DUMMYFUNCTION("""COMPUTED_VALUE"""),4.90075045E8)</f>
        <v>490075045</v>
      </c>
      <c r="AQ181" s="3" t="str">
        <f>IFERROR(__xludf.DUMMYFUNCTION("""COMPUTED_VALUE"""),"b8c7291e-b6fc-4baa-84ec-15c709fb9c64")</f>
        <v>b8c7291e-b6fc-4baa-84ec-15c709fb9c64</v>
      </c>
      <c r="AR181" s="3">
        <f>IFERROR(__xludf.DUMMYFUNCTION("""COMPUTED_VALUE"""),45808.593680555554)</f>
        <v>45808.59368</v>
      </c>
      <c r="AS181" s="3"/>
      <c r="AT181" s="3"/>
      <c r="AU181" s="3" t="str">
        <f>IFERROR(__xludf.DUMMYFUNCTION("""COMPUTED_VALUE"""),"submitted_via_web")</f>
        <v>submitted_via_web</v>
      </c>
      <c r="AV181" s="3"/>
      <c r="AW181" s="3" t="str">
        <f>IFERROR(__xludf.DUMMYFUNCTION("""COMPUTED_VALUE"""),"vckVTgNzM4XXtKAKNnsHpB")</f>
        <v>vckVTgNzM4XXtKAKNnsHpB</v>
      </c>
      <c r="AX181" s="3"/>
      <c r="AY181" s="3">
        <f>IFERROR(__xludf.DUMMYFUNCTION("""COMPUTED_VALUE"""),180.0)</f>
        <v>180</v>
      </c>
    </row>
    <row r="182">
      <c r="A182" s="3" t="str">
        <f>IFERROR(__xludf.DUMMYFUNCTION("""COMPUTED_VALUE"""),"Yes")</f>
        <v>Yes</v>
      </c>
      <c r="B182" s="3"/>
      <c r="C182" s="3" t="str">
        <f>IFERROR(__xludf.DUMMYFUNCTION("""COMPUTED_VALUE"""),"south_africa")</f>
        <v>south_africa</v>
      </c>
      <c r="D182" s="3"/>
      <c r="E182" s="3" t="str">
        <f>IFERROR(__xludf.DUMMYFUNCTION("""COMPUTED_VALUE"""),"south_africa")</f>
        <v>south_africa</v>
      </c>
      <c r="F182" s="3" t="str">
        <f>IFERROR(__xludf.DUMMYFUNCTION("""COMPUTED_VALUE"""),"City of Tshwane Metropolitan Municipality")</f>
        <v>City of Tshwane Metropolitan Municipality</v>
      </c>
      <c r="G182" s="3">
        <f>IFERROR(__xludf.DUMMYFUNCTION("""COMPUTED_VALUE"""),25.0)</f>
        <v>25</v>
      </c>
      <c r="H182" s="3" t="str">
        <f>IFERROR(__xludf.DUMMYFUNCTION("""COMPUTED_VALUE"""),"male")</f>
        <v>male</v>
      </c>
      <c r="I182" s="3" t="str">
        <f>IFERROR(__xludf.DUMMYFUNCTION("""COMPUTED_VALUE"""),"1to5")</f>
        <v>1to5</v>
      </c>
      <c r="J182" s="3" t="str">
        <f>IFERROR(__xludf.DUMMYFUNCTION("""COMPUTED_VALUE"""),"informal")</f>
        <v>informal</v>
      </c>
      <c r="K182" s="3" t="str">
        <f>IFERROR(__xludf.DUMMYFUNCTION("""COMPUTED_VALUE"""),"primary")</f>
        <v>primary</v>
      </c>
      <c r="L182" s="3"/>
      <c r="M182" s="3" t="str">
        <f>IFERROR(__xludf.DUMMYFUNCTION("""COMPUTED_VALUE"""),"agree")</f>
        <v>agree</v>
      </c>
      <c r="N182" s="3" t="str">
        <f>IFERROR(__xludf.DUMMYFUNCTION("""COMPUTED_VALUE"""),"agree")</f>
        <v>agree</v>
      </c>
      <c r="O182" s="3" t="str">
        <f>IFERROR(__xludf.DUMMYFUNCTION("""COMPUTED_VALUE"""),"dontknow")</f>
        <v>dontknow</v>
      </c>
      <c r="P182" s="3"/>
      <c r="Q182" s="3" t="str">
        <f>IFERROR(__xludf.DUMMYFUNCTION("""COMPUTED_VALUE"""),"agree")</f>
        <v>agree</v>
      </c>
      <c r="R182" s="3" t="str">
        <f>IFERROR(__xludf.DUMMYFUNCTION("""COMPUTED_VALUE"""),"agree")</f>
        <v>agree</v>
      </c>
      <c r="S182" s="3" t="str">
        <f>IFERROR(__xludf.DUMMYFUNCTION("""COMPUTED_VALUE"""),"agree")</f>
        <v>agree</v>
      </c>
      <c r="T182" s="3" t="str">
        <f>IFERROR(__xludf.DUMMYFUNCTION("""COMPUTED_VALUE"""),"agree")</f>
        <v>agree</v>
      </c>
      <c r="U182" s="3" t="str">
        <f>IFERROR(__xludf.DUMMYFUNCTION("""COMPUTED_VALUE"""),"agree")</f>
        <v>agree</v>
      </c>
      <c r="V182" s="3" t="str">
        <f>IFERROR(__xludf.DUMMYFUNCTION("""COMPUTED_VALUE"""),"agree")</f>
        <v>agree</v>
      </c>
      <c r="W182" s="3" t="str">
        <f>IFERROR(__xludf.DUMMYFUNCTION("""COMPUTED_VALUE"""),"agree")</f>
        <v>agree</v>
      </c>
      <c r="X182" s="3" t="str">
        <f>IFERROR(__xludf.DUMMYFUNCTION("""COMPUTED_VALUE"""),"Gold")</f>
        <v>Gold</v>
      </c>
      <c r="Y182" s="3" t="str">
        <f>IFERROR(__xludf.DUMMYFUNCTION("""COMPUTED_VALUE"""),"prepaid")</f>
        <v>prepaid</v>
      </c>
      <c r="Z182" s="3" t="str">
        <f>IFERROR(__xludf.DUMMYFUNCTION("""COMPUTED_VALUE"""),"monthly")</f>
        <v>monthly</v>
      </c>
      <c r="AA182" s="3">
        <f>IFERROR(__xludf.DUMMYFUNCTION("""COMPUTED_VALUE"""),30.0)</f>
        <v>30</v>
      </c>
      <c r="AB182" s="3" t="str">
        <f>IFERROR(__xludf.DUMMYFUNCTION("""COMPUTED_VALUE"""),"online")</f>
        <v>online</v>
      </c>
      <c r="AC182" s="3" t="str">
        <f>IFERROR(__xludf.DUMMYFUNCTION("""COMPUTED_VALUE"""),"I am not an employer")</f>
        <v>I am not an employer</v>
      </c>
      <c r="AD182" s="3"/>
      <c r="AE182" s="3"/>
      <c r="AF182" s="3"/>
      <c r="AG182" s="3"/>
      <c r="AH182" s="3"/>
      <c r="AI182" s="3"/>
      <c r="AJ182" s="3"/>
      <c r="AK182" s="3"/>
      <c r="AL182" s="3"/>
      <c r="AM182" s="3" t="str">
        <f>IFERROR(__xludf.DUMMYFUNCTION("""COMPUTED_VALUE"""),"Yes")</f>
        <v>Yes</v>
      </c>
      <c r="AN182" s="3">
        <f>IFERROR(__xludf.DUMMYFUNCTION("""COMPUTED_VALUE"""),6.58674749E8)</f>
        <v>658674749</v>
      </c>
      <c r="AO182" s="3"/>
      <c r="AP182" s="3">
        <f>IFERROR(__xludf.DUMMYFUNCTION("""COMPUTED_VALUE"""),4.90082004E8)</f>
        <v>490082004</v>
      </c>
      <c r="AQ182" s="3" t="str">
        <f>IFERROR(__xludf.DUMMYFUNCTION("""COMPUTED_VALUE"""),"5ec0d4ab-ce3c-44f9-945b-e559fe0e3f9d")</f>
        <v>5ec0d4ab-ce3c-44f9-945b-e559fe0e3f9d</v>
      </c>
      <c r="AR182" s="3">
        <f>IFERROR(__xludf.DUMMYFUNCTION("""COMPUTED_VALUE"""),45808.60283564815)</f>
        <v>45808.60284</v>
      </c>
      <c r="AS182" s="3"/>
      <c r="AT182" s="3"/>
      <c r="AU182" s="3" t="str">
        <f>IFERROR(__xludf.DUMMYFUNCTION("""COMPUTED_VALUE"""),"submitted_via_web")</f>
        <v>submitted_via_web</v>
      </c>
      <c r="AV182" s="3"/>
      <c r="AW182" s="3" t="str">
        <f>IFERROR(__xludf.DUMMYFUNCTION("""COMPUTED_VALUE"""),"vckVTgNzM4XXtKAKNnsHpB")</f>
        <v>vckVTgNzM4XXtKAKNnsHpB</v>
      </c>
      <c r="AX182" s="3"/>
      <c r="AY182" s="3">
        <f>IFERROR(__xludf.DUMMYFUNCTION("""COMPUTED_VALUE"""),181.0)</f>
        <v>181</v>
      </c>
    </row>
    <row r="183">
      <c r="A183" s="3" t="str">
        <f>IFERROR(__xludf.DUMMYFUNCTION("""COMPUTED_VALUE"""),"Yes")</f>
        <v>Yes</v>
      </c>
      <c r="B183" s="3"/>
      <c r="C183" s="3" t="str">
        <f>IFERROR(__xludf.DUMMYFUNCTION("""COMPUTED_VALUE"""),"mozambique")</f>
        <v>mozambique</v>
      </c>
      <c r="D183" s="3"/>
      <c r="E183" s="3" t="str">
        <f>IFERROR(__xludf.DUMMYFUNCTION("""COMPUTED_VALUE"""),"south_africa")</f>
        <v>south_africa</v>
      </c>
      <c r="F183" s="3" t="str">
        <f>IFERROR(__xludf.DUMMYFUNCTION("""COMPUTED_VALUE"""),"City of Tshwane Metropolitan Municipality")</f>
        <v>City of Tshwane Metropolitan Municipality</v>
      </c>
      <c r="G183" s="3">
        <f>IFERROR(__xludf.DUMMYFUNCTION("""COMPUTED_VALUE"""),26.0)</f>
        <v>26</v>
      </c>
      <c r="H183" s="3" t="str">
        <f>IFERROR(__xludf.DUMMYFUNCTION("""COMPUTED_VALUE"""),"male")</f>
        <v>male</v>
      </c>
      <c r="I183" s="3" t="str">
        <f>IFERROR(__xludf.DUMMYFUNCTION("""COMPUTED_VALUE"""),"1to5")</f>
        <v>1to5</v>
      </c>
      <c r="J183" s="3" t="str">
        <f>IFERROR(__xludf.DUMMYFUNCTION("""COMPUTED_VALUE"""),"ownbusiness")</f>
        <v>ownbusiness</v>
      </c>
      <c r="K183" s="3" t="str">
        <f>IFERROR(__xludf.DUMMYFUNCTION("""COMPUTED_VALUE"""),"primary")</f>
        <v>primary</v>
      </c>
      <c r="L183" s="3"/>
      <c r="M183" s="3" t="str">
        <f>IFERROR(__xludf.DUMMYFUNCTION("""COMPUTED_VALUE"""),"agree")</f>
        <v>agree</v>
      </c>
      <c r="N183" s="3" t="str">
        <f>IFERROR(__xludf.DUMMYFUNCTION("""COMPUTED_VALUE"""),"agree")</f>
        <v>agree</v>
      </c>
      <c r="O183" s="3" t="str">
        <f>IFERROR(__xludf.DUMMYFUNCTION("""COMPUTED_VALUE"""),"agree")</f>
        <v>agree</v>
      </c>
      <c r="P183" s="3"/>
      <c r="Q183" s="3" t="str">
        <f>IFERROR(__xludf.DUMMYFUNCTION("""COMPUTED_VALUE"""),"agree")</f>
        <v>agree</v>
      </c>
      <c r="R183" s="3" t="str">
        <f>IFERROR(__xludf.DUMMYFUNCTION("""COMPUTED_VALUE"""),"agree")</f>
        <v>agree</v>
      </c>
      <c r="S183" s="3" t="str">
        <f>IFERROR(__xludf.DUMMYFUNCTION("""COMPUTED_VALUE"""),"agree")</f>
        <v>agree</v>
      </c>
      <c r="T183" s="3" t="str">
        <f>IFERROR(__xludf.DUMMYFUNCTION("""COMPUTED_VALUE"""),"agree")</f>
        <v>agree</v>
      </c>
      <c r="U183" s="3" t="str">
        <f>IFERROR(__xludf.DUMMYFUNCTION("""COMPUTED_VALUE"""),"agree")</f>
        <v>agree</v>
      </c>
      <c r="V183" s="3" t="str">
        <f>IFERROR(__xludf.DUMMYFUNCTION("""COMPUTED_VALUE"""),"agree")</f>
        <v>agree</v>
      </c>
      <c r="W183" s="3" t="str">
        <f>IFERROR(__xludf.DUMMYFUNCTION("""COMPUTED_VALUE"""),"agree")</f>
        <v>agree</v>
      </c>
      <c r="X183" s="3" t="str">
        <f>IFERROR(__xludf.DUMMYFUNCTION("""COMPUTED_VALUE"""),"Gold")</f>
        <v>Gold</v>
      </c>
      <c r="Y183" s="3" t="str">
        <f>IFERROR(__xludf.DUMMYFUNCTION("""COMPUTED_VALUE"""),"prepaid")</f>
        <v>prepaid</v>
      </c>
      <c r="Z183" s="3" t="str">
        <f>IFERROR(__xludf.DUMMYFUNCTION("""COMPUTED_VALUE"""),"quarterly")</f>
        <v>quarterly</v>
      </c>
      <c r="AA183" s="3">
        <f>IFERROR(__xludf.DUMMYFUNCTION("""COMPUTED_VALUE"""),40.0)</f>
        <v>40</v>
      </c>
      <c r="AB183" s="3" t="str">
        <f>IFERROR(__xludf.DUMMYFUNCTION("""COMPUTED_VALUE"""),"online")</f>
        <v>online</v>
      </c>
      <c r="AC183" s="3" t="str">
        <f>IFERROR(__xludf.DUMMYFUNCTION("""COMPUTED_VALUE"""),"No")</f>
        <v>No</v>
      </c>
      <c r="AD183" s="3"/>
      <c r="AE183" s="3"/>
      <c r="AF183" s="3" t="str">
        <f>IFERROR(__xludf.DUMMYFUNCTION("""COMPUTED_VALUE"""),"Yes")</f>
        <v>Yes</v>
      </c>
      <c r="AG183" s="3" t="str">
        <f>IFERROR(__xludf.DUMMYFUNCTION("""COMPUTED_VALUE"""),"Yes")</f>
        <v>Yes</v>
      </c>
      <c r="AH183" s="3">
        <f>IFERROR(__xludf.DUMMYFUNCTION("""COMPUTED_VALUE"""),350.0)</f>
        <v>350</v>
      </c>
      <c r="AI183" s="3">
        <f>IFERROR(__xludf.DUMMYFUNCTION("""COMPUTED_VALUE"""),1.0)</f>
        <v>1</v>
      </c>
      <c r="AJ183" s="3">
        <f>IFERROR(__xludf.DUMMYFUNCTION("""COMPUTED_VALUE"""),0.0)</f>
        <v>0</v>
      </c>
      <c r="AK183" s="3">
        <f>IFERROR(__xludf.DUMMYFUNCTION("""COMPUTED_VALUE"""),0.0)</f>
        <v>0</v>
      </c>
      <c r="AL183" s="3">
        <f>IFERROR(__xludf.DUMMYFUNCTION("""COMPUTED_VALUE"""),0.0)</f>
        <v>0</v>
      </c>
      <c r="AM183" s="3" t="str">
        <f>IFERROR(__xludf.DUMMYFUNCTION("""COMPUTED_VALUE"""),"Yes")</f>
        <v>Yes</v>
      </c>
      <c r="AN183" s="3">
        <f>IFERROR(__xludf.DUMMYFUNCTION("""COMPUTED_VALUE"""),7.27923016E8)</f>
        <v>727923016</v>
      </c>
      <c r="AO183" s="3"/>
      <c r="AP183" s="3">
        <f>IFERROR(__xludf.DUMMYFUNCTION("""COMPUTED_VALUE"""),4.90091445E8)</f>
        <v>490091445</v>
      </c>
      <c r="AQ183" s="3" t="str">
        <f>IFERROR(__xludf.DUMMYFUNCTION("""COMPUTED_VALUE"""),"a6852e95-12f4-4d5c-8888-1db9fe11344d")</f>
        <v>a6852e95-12f4-4d5c-8888-1db9fe11344d</v>
      </c>
      <c r="AR183" s="3">
        <f>IFERROR(__xludf.DUMMYFUNCTION("""COMPUTED_VALUE"""),45808.61429398148)</f>
        <v>45808.61429</v>
      </c>
      <c r="AS183" s="3"/>
      <c r="AT183" s="3"/>
      <c r="AU183" s="3" t="str">
        <f>IFERROR(__xludf.DUMMYFUNCTION("""COMPUTED_VALUE"""),"submitted_via_web")</f>
        <v>submitted_via_web</v>
      </c>
      <c r="AV183" s="3"/>
      <c r="AW183" s="3" t="str">
        <f>IFERROR(__xludf.DUMMYFUNCTION("""COMPUTED_VALUE"""),"vckVTgNzM4XXtKAKNnsHpB")</f>
        <v>vckVTgNzM4XXtKAKNnsHpB</v>
      </c>
      <c r="AX183" s="3"/>
      <c r="AY183" s="3">
        <f>IFERROR(__xludf.DUMMYFUNCTION("""COMPUTED_VALUE"""),182.0)</f>
        <v>182</v>
      </c>
    </row>
    <row r="184">
      <c r="A184" s="3" t="str">
        <f>IFERROR(__xludf.DUMMYFUNCTION("""COMPUTED_VALUE"""),"Yes")</f>
        <v>Yes</v>
      </c>
      <c r="B184" s="3"/>
      <c r="C184" s="3" t="str">
        <f>IFERROR(__xludf.DUMMYFUNCTION("""COMPUTED_VALUE"""),"mozambique")</f>
        <v>mozambique</v>
      </c>
      <c r="D184" s="3"/>
      <c r="E184" s="3" t="str">
        <f>IFERROR(__xludf.DUMMYFUNCTION("""COMPUTED_VALUE"""),"south_africa")</f>
        <v>south_africa</v>
      </c>
      <c r="F184" s="3" t="str">
        <f>IFERROR(__xludf.DUMMYFUNCTION("""COMPUTED_VALUE"""),"City of Tshwane Metropolitan Municipality")</f>
        <v>City of Tshwane Metropolitan Municipality</v>
      </c>
      <c r="G184" s="3">
        <f>IFERROR(__xludf.DUMMYFUNCTION("""COMPUTED_VALUE"""),36.0)</f>
        <v>36</v>
      </c>
      <c r="H184" s="3" t="str">
        <f>IFERROR(__xludf.DUMMYFUNCTION("""COMPUTED_VALUE"""),"male")</f>
        <v>male</v>
      </c>
      <c r="I184" s="3" t="str">
        <f>IFERROR(__xludf.DUMMYFUNCTION("""COMPUTED_VALUE"""),"1to5")</f>
        <v>1to5</v>
      </c>
      <c r="J184" s="3" t="str">
        <f>IFERROR(__xludf.DUMMYFUNCTION("""COMPUTED_VALUE"""),"ownbusiness")</f>
        <v>ownbusiness</v>
      </c>
      <c r="K184" s="3" t="str">
        <f>IFERROR(__xludf.DUMMYFUNCTION("""COMPUTED_VALUE"""),"primary")</f>
        <v>primary</v>
      </c>
      <c r="L184" s="3"/>
      <c r="M184" s="3" t="str">
        <f>IFERROR(__xludf.DUMMYFUNCTION("""COMPUTED_VALUE"""),"agree")</f>
        <v>agree</v>
      </c>
      <c r="N184" s="3" t="str">
        <f>IFERROR(__xludf.DUMMYFUNCTION("""COMPUTED_VALUE"""),"agree")</f>
        <v>agree</v>
      </c>
      <c r="O184" s="3" t="str">
        <f>IFERROR(__xludf.DUMMYFUNCTION("""COMPUTED_VALUE"""),"dontknow")</f>
        <v>dontknow</v>
      </c>
      <c r="P184" s="3"/>
      <c r="Q184" s="3" t="str">
        <f>IFERROR(__xludf.DUMMYFUNCTION("""COMPUTED_VALUE"""),"agree")</f>
        <v>agree</v>
      </c>
      <c r="R184" s="3" t="str">
        <f>IFERROR(__xludf.DUMMYFUNCTION("""COMPUTED_VALUE"""),"agree")</f>
        <v>agree</v>
      </c>
      <c r="S184" s="3" t="str">
        <f>IFERROR(__xludf.DUMMYFUNCTION("""COMPUTED_VALUE"""),"agree")</f>
        <v>agree</v>
      </c>
      <c r="T184" s="3" t="str">
        <f>IFERROR(__xludf.DUMMYFUNCTION("""COMPUTED_VALUE"""),"agree")</f>
        <v>agree</v>
      </c>
      <c r="U184" s="3" t="str">
        <f>IFERROR(__xludf.DUMMYFUNCTION("""COMPUTED_VALUE"""),"agree")</f>
        <v>agree</v>
      </c>
      <c r="V184" s="3" t="str">
        <f>IFERROR(__xludf.DUMMYFUNCTION("""COMPUTED_VALUE"""),"dontknow")</f>
        <v>dontknow</v>
      </c>
      <c r="W184" s="3" t="str">
        <f>IFERROR(__xludf.DUMMYFUNCTION("""COMPUTED_VALUE"""),"agree")</f>
        <v>agree</v>
      </c>
      <c r="X184" s="3" t="str">
        <f>IFERROR(__xludf.DUMMYFUNCTION("""COMPUTED_VALUE"""),"Gold")</f>
        <v>Gold</v>
      </c>
      <c r="Y184" s="3" t="str">
        <f>IFERROR(__xludf.DUMMYFUNCTION("""COMPUTED_VALUE"""),"cash")</f>
        <v>cash</v>
      </c>
      <c r="Z184" s="3" t="str">
        <f>IFERROR(__xludf.DUMMYFUNCTION("""COMPUTED_VALUE"""),"annual")</f>
        <v>annual</v>
      </c>
      <c r="AA184" s="3">
        <f>IFERROR(__xludf.DUMMYFUNCTION("""COMPUTED_VALUE"""),100.0)</f>
        <v>100</v>
      </c>
      <c r="AB184" s="3" t="str">
        <f>IFERROR(__xludf.DUMMYFUNCTION("""COMPUTED_VALUE"""),"assisted")</f>
        <v>assisted</v>
      </c>
      <c r="AC184" s="3" t="str">
        <f>IFERROR(__xludf.DUMMYFUNCTION("""COMPUTED_VALUE"""),"Yes")</f>
        <v>Yes</v>
      </c>
      <c r="AD184" s="3" t="str">
        <f>IFERROR(__xludf.DUMMYFUNCTION("""COMPUTED_VALUE"""),"Gold")</f>
        <v>Gold</v>
      </c>
      <c r="AE184" s="3" t="str">
        <f>IFERROR(__xludf.DUMMYFUNCTION("""COMPUTED_VALUE"""),"Yes")</f>
        <v>Yes</v>
      </c>
      <c r="AF184" s="3" t="str">
        <f>IFERROR(__xludf.DUMMYFUNCTION("""COMPUTED_VALUE"""),"Yes")</f>
        <v>Yes</v>
      </c>
      <c r="AG184" s="3" t="str">
        <f>IFERROR(__xludf.DUMMYFUNCTION("""COMPUTED_VALUE"""),"Yes")</f>
        <v>Yes</v>
      </c>
      <c r="AH184" s="3"/>
      <c r="AI184" s="3">
        <f>IFERROR(__xludf.DUMMYFUNCTION("""COMPUTED_VALUE"""),1.0)</f>
        <v>1</v>
      </c>
      <c r="AJ184" s="3">
        <f>IFERROR(__xludf.DUMMYFUNCTION("""COMPUTED_VALUE"""),0.0)</f>
        <v>0</v>
      </c>
      <c r="AK184" s="3">
        <f>IFERROR(__xludf.DUMMYFUNCTION("""COMPUTED_VALUE"""),0.0)</f>
        <v>0</v>
      </c>
      <c r="AL184" s="3">
        <f>IFERROR(__xludf.DUMMYFUNCTION("""COMPUTED_VALUE"""),0.0)</f>
        <v>0</v>
      </c>
      <c r="AM184" s="3" t="str">
        <f>IFERROR(__xludf.DUMMYFUNCTION("""COMPUTED_VALUE"""),"Yes")</f>
        <v>Yes</v>
      </c>
      <c r="AN184" s="3">
        <f>IFERROR(__xludf.DUMMYFUNCTION("""COMPUTED_VALUE"""),6.99134499E8)</f>
        <v>699134499</v>
      </c>
      <c r="AO184" s="3"/>
      <c r="AP184" s="3">
        <f>IFERROR(__xludf.DUMMYFUNCTION("""COMPUTED_VALUE"""),4.90093111E8)</f>
        <v>490093111</v>
      </c>
      <c r="AQ184" s="3" t="str">
        <f>IFERROR(__xludf.DUMMYFUNCTION("""COMPUTED_VALUE"""),"2af13874-9437-475f-9be2-41f2053c4687")</f>
        <v>2af13874-9437-475f-9be2-41f2053c4687</v>
      </c>
      <c r="AR184" s="3">
        <f>IFERROR(__xludf.DUMMYFUNCTION("""COMPUTED_VALUE"""),45808.616261574076)</f>
        <v>45808.61626</v>
      </c>
      <c r="AS184" s="3"/>
      <c r="AT184" s="3"/>
      <c r="AU184" s="3" t="str">
        <f>IFERROR(__xludf.DUMMYFUNCTION("""COMPUTED_VALUE"""),"submitted_via_web")</f>
        <v>submitted_via_web</v>
      </c>
      <c r="AV184" s="3"/>
      <c r="AW184" s="3" t="str">
        <f>IFERROR(__xludf.DUMMYFUNCTION("""COMPUTED_VALUE"""),"vckVTgNzM4XXtKAKNnsHpB")</f>
        <v>vckVTgNzM4XXtKAKNnsHpB</v>
      </c>
      <c r="AX184" s="3"/>
      <c r="AY184" s="3">
        <f>IFERROR(__xludf.DUMMYFUNCTION("""COMPUTED_VALUE"""),183.0)</f>
        <v>183</v>
      </c>
    </row>
    <row r="185">
      <c r="A185" s="3" t="str">
        <f>IFERROR(__xludf.DUMMYFUNCTION("""COMPUTED_VALUE"""),"Yes")</f>
        <v>Yes</v>
      </c>
      <c r="B185" s="3"/>
      <c r="C185" s="3" t="str">
        <f>IFERROR(__xludf.DUMMYFUNCTION("""COMPUTED_VALUE"""),"mozambique")</f>
        <v>mozambique</v>
      </c>
      <c r="D185" s="3"/>
      <c r="E185" s="3" t="str">
        <f>IFERROR(__xludf.DUMMYFUNCTION("""COMPUTED_VALUE"""),"south_africa")</f>
        <v>south_africa</v>
      </c>
      <c r="F185" s="3" t="str">
        <f>IFERROR(__xludf.DUMMYFUNCTION("""COMPUTED_VALUE"""),"City of Tshwane Metropolitan Municipality")</f>
        <v>City of Tshwane Metropolitan Municipality</v>
      </c>
      <c r="G185" s="3">
        <f>IFERROR(__xludf.DUMMYFUNCTION("""COMPUTED_VALUE"""),24.0)</f>
        <v>24</v>
      </c>
      <c r="H185" s="3" t="str">
        <f>IFERROR(__xludf.DUMMYFUNCTION("""COMPUTED_VALUE"""),"male")</f>
        <v>male</v>
      </c>
      <c r="I185" s="3" t="str">
        <f>IFERROR(__xludf.DUMMYFUNCTION("""COMPUTED_VALUE"""),"1to5")</f>
        <v>1to5</v>
      </c>
      <c r="J185" s="3" t="str">
        <f>IFERROR(__xludf.DUMMYFUNCTION("""COMPUTED_VALUE"""),"informal")</f>
        <v>informal</v>
      </c>
      <c r="K185" s="3" t="str">
        <f>IFERROR(__xludf.DUMMYFUNCTION("""COMPUTED_VALUE"""),"primary")</f>
        <v>primary</v>
      </c>
      <c r="L185" s="3"/>
      <c r="M185" s="3" t="str">
        <f>IFERROR(__xludf.DUMMYFUNCTION("""COMPUTED_VALUE"""),"agree")</f>
        <v>agree</v>
      </c>
      <c r="N185" s="3" t="str">
        <f>IFERROR(__xludf.DUMMYFUNCTION("""COMPUTED_VALUE"""),"agree")</f>
        <v>agree</v>
      </c>
      <c r="O185" s="3" t="str">
        <f>IFERROR(__xludf.DUMMYFUNCTION("""COMPUTED_VALUE"""),"agree")</f>
        <v>agree</v>
      </c>
      <c r="P185" s="3"/>
      <c r="Q185" s="3" t="str">
        <f>IFERROR(__xludf.DUMMYFUNCTION("""COMPUTED_VALUE"""),"agree")</f>
        <v>agree</v>
      </c>
      <c r="R185" s="3" t="str">
        <f>IFERROR(__xludf.DUMMYFUNCTION("""COMPUTED_VALUE"""),"agree")</f>
        <v>agree</v>
      </c>
      <c r="S185" s="3" t="str">
        <f>IFERROR(__xludf.DUMMYFUNCTION("""COMPUTED_VALUE"""),"agree")</f>
        <v>agree</v>
      </c>
      <c r="T185" s="3" t="str">
        <f>IFERROR(__xludf.DUMMYFUNCTION("""COMPUTED_VALUE"""),"agree")</f>
        <v>agree</v>
      </c>
      <c r="U185" s="3" t="str">
        <f>IFERROR(__xludf.DUMMYFUNCTION("""COMPUTED_VALUE"""),"agree")</f>
        <v>agree</v>
      </c>
      <c r="V185" s="3" t="str">
        <f>IFERROR(__xludf.DUMMYFUNCTION("""COMPUTED_VALUE"""),"agree")</f>
        <v>agree</v>
      </c>
      <c r="W185" s="3" t="str">
        <f>IFERROR(__xludf.DUMMYFUNCTION("""COMPUTED_VALUE"""),"agree")</f>
        <v>agree</v>
      </c>
      <c r="X185" s="3" t="str">
        <f>IFERROR(__xludf.DUMMYFUNCTION("""COMPUTED_VALUE"""),"Gold")</f>
        <v>Gold</v>
      </c>
      <c r="Y185" s="3" t="str">
        <f>IFERROR(__xludf.DUMMYFUNCTION("""COMPUTED_VALUE"""),"card")</f>
        <v>card</v>
      </c>
      <c r="Z185" s="3" t="str">
        <f>IFERROR(__xludf.DUMMYFUNCTION("""COMPUTED_VALUE"""),"annual")</f>
        <v>annual</v>
      </c>
      <c r="AA185" s="3">
        <f>IFERROR(__xludf.DUMMYFUNCTION("""COMPUTED_VALUE"""),50.0)</f>
        <v>50</v>
      </c>
      <c r="AB185" s="3" t="str">
        <f>IFERROR(__xludf.DUMMYFUNCTION("""COMPUTED_VALUE"""),"online")</f>
        <v>online</v>
      </c>
      <c r="AC185" s="3" t="str">
        <f>IFERROR(__xludf.DUMMYFUNCTION("""COMPUTED_VALUE"""),"I am not an employer")</f>
        <v>I am not an employer</v>
      </c>
      <c r="AD185" s="3"/>
      <c r="AE185" s="3"/>
      <c r="AF185" s="3" t="str">
        <f>IFERROR(__xludf.DUMMYFUNCTION("""COMPUTED_VALUE"""),"Yes")</f>
        <v>Yes</v>
      </c>
      <c r="AG185" s="3" t="str">
        <f>IFERROR(__xludf.DUMMYFUNCTION("""COMPUTED_VALUE"""),"Yes")</f>
        <v>Yes</v>
      </c>
      <c r="AH185" s="3">
        <f>IFERROR(__xludf.DUMMYFUNCTION("""COMPUTED_VALUE"""),400.0)</f>
        <v>400</v>
      </c>
      <c r="AI185" s="3">
        <f>IFERROR(__xludf.DUMMYFUNCTION("""COMPUTED_VALUE"""),1.0)</f>
        <v>1</v>
      </c>
      <c r="AJ185" s="3">
        <f>IFERROR(__xludf.DUMMYFUNCTION("""COMPUTED_VALUE"""),0.0)</f>
        <v>0</v>
      </c>
      <c r="AK185" s="3">
        <f>IFERROR(__xludf.DUMMYFUNCTION("""COMPUTED_VALUE"""),0.0)</f>
        <v>0</v>
      </c>
      <c r="AL185" s="3">
        <f>IFERROR(__xludf.DUMMYFUNCTION("""COMPUTED_VALUE"""),0.0)</f>
        <v>0</v>
      </c>
      <c r="AM185" s="3" t="str">
        <f>IFERROR(__xludf.DUMMYFUNCTION("""COMPUTED_VALUE"""),"Yes")</f>
        <v>Yes</v>
      </c>
      <c r="AN185" s="3">
        <f>IFERROR(__xludf.DUMMYFUNCTION("""COMPUTED_VALUE"""),8.13580094E8)</f>
        <v>813580094</v>
      </c>
      <c r="AO185" s="3"/>
      <c r="AP185" s="3">
        <f>IFERROR(__xludf.DUMMYFUNCTION("""COMPUTED_VALUE"""),4.90094558E8)</f>
        <v>490094558</v>
      </c>
      <c r="AQ185" s="3" t="str">
        <f>IFERROR(__xludf.DUMMYFUNCTION("""COMPUTED_VALUE"""),"a5f8b950-0e80-4ddf-9cd8-c02d957204e3")</f>
        <v>a5f8b950-0e80-4ddf-9cd8-c02d957204e3</v>
      </c>
      <c r="AR185" s="3">
        <f>IFERROR(__xludf.DUMMYFUNCTION("""COMPUTED_VALUE"""),45808.618101851855)</f>
        <v>45808.6181</v>
      </c>
      <c r="AS185" s="3"/>
      <c r="AT185" s="3"/>
      <c r="AU185" s="3" t="str">
        <f>IFERROR(__xludf.DUMMYFUNCTION("""COMPUTED_VALUE"""),"submitted_via_web")</f>
        <v>submitted_via_web</v>
      </c>
      <c r="AV185" s="3"/>
      <c r="AW185" s="3" t="str">
        <f>IFERROR(__xludf.DUMMYFUNCTION("""COMPUTED_VALUE"""),"vckVTgNzM4XXtKAKNnsHpB")</f>
        <v>vckVTgNzM4XXtKAKNnsHpB</v>
      </c>
      <c r="AX185" s="3"/>
      <c r="AY185" s="3">
        <f>IFERROR(__xludf.DUMMYFUNCTION("""COMPUTED_VALUE"""),184.0)</f>
        <v>184</v>
      </c>
    </row>
    <row r="186">
      <c r="A186" s="3" t="str">
        <f>IFERROR(__xludf.DUMMYFUNCTION("""COMPUTED_VALUE"""),"Yes")</f>
        <v>Yes</v>
      </c>
      <c r="B186" s="3"/>
      <c r="C186" s="3" t="str">
        <f>IFERROR(__xludf.DUMMYFUNCTION("""COMPUTED_VALUE"""),"mozambique")</f>
        <v>mozambique</v>
      </c>
      <c r="D186" s="3"/>
      <c r="E186" s="3" t="str">
        <f>IFERROR(__xludf.DUMMYFUNCTION("""COMPUTED_VALUE"""),"south_africa")</f>
        <v>south_africa</v>
      </c>
      <c r="F186" s="3" t="str">
        <f>IFERROR(__xludf.DUMMYFUNCTION("""COMPUTED_VALUE"""),"City of Tshwane Metropolitan Municipality")</f>
        <v>City of Tshwane Metropolitan Municipality</v>
      </c>
      <c r="G186" s="3">
        <f>IFERROR(__xludf.DUMMYFUNCTION("""COMPUTED_VALUE"""),23.0)</f>
        <v>23</v>
      </c>
      <c r="H186" s="3" t="str">
        <f>IFERROR(__xludf.DUMMYFUNCTION("""COMPUTED_VALUE"""),"male")</f>
        <v>male</v>
      </c>
      <c r="I186" s="3" t="str">
        <f>IFERROR(__xludf.DUMMYFUNCTION("""COMPUTED_VALUE"""),"1to5")</f>
        <v>1to5</v>
      </c>
      <c r="J186" s="3" t="str">
        <f>IFERROR(__xludf.DUMMYFUNCTION("""COMPUTED_VALUE"""),"informal")</f>
        <v>informal</v>
      </c>
      <c r="K186" s="3" t="str">
        <f>IFERROR(__xludf.DUMMYFUNCTION("""COMPUTED_VALUE"""),"secondary")</f>
        <v>secondary</v>
      </c>
      <c r="L186" s="3"/>
      <c r="M186" s="3" t="str">
        <f>IFERROR(__xludf.DUMMYFUNCTION("""COMPUTED_VALUE"""),"agree")</f>
        <v>agree</v>
      </c>
      <c r="N186" s="3" t="str">
        <f>IFERROR(__xludf.DUMMYFUNCTION("""COMPUTED_VALUE"""),"agree")</f>
        <v>agree</v>
      </c>
      <c r="O186" s="3" t="str">
        <f>IFERROR(__xludf.DUMMYFUNCTION("""COMPUTED_VALUE"""),"dontknow")</f>
        <v>dontknow</v>
      </c>
      <c r="P186" s="3"/>
      <c r="Q186" s="3" t="str">
        <f>IFERROR(__xludf.DUMMYFUNCTION("""COMPUTED_VALUE"""),"agree")</f>
        <v>agree</v>
      </c>
      <c r="R186" s="3" t="str">
        <f>IFERROR(__xludf.DUMMYFUNCTION("""COMPUTED_VALUE"""),"agree")</f>
        <v>agree</v>
      </c>
      <c r="S186" s="3" t="str">
        <f>IFERROR(__xludf.DUMMYFUNCTION("""COMPUTED_VALUE"""),"agree")</f>
        <v>agree</v>
      </c>
      <c r="T186" s="3" t="str">
        <f>IFERROR(__xludf.DUMMYFUNCTION("""COMPUTED_VALUE"""),"agree")</f>
        <v>agree</v>
      </c>
      <c r="U186" s="3" t="str">
        <f>IFERROR(__xludf.DUMMYFUNCTION("""COMPUTED_VALUE"""),"agree")</f>
        <v>agree</v>
      </c>
      <c r="V186" s="3" t="str">
        <f>IFERROR(__xludf.DUMMYFUNCTION("""COMPUTED_VALUE"""),"agree")</f>
        <v>agree</v>
      </c>
      <c r="W186" s="3" t="str">
        <f>IFERROR(__xludf.DUMMYFUNCTION("""COMPUTED_VALUE"""),"agree")</f>
        <v>agree</v>
      </c>
      <c r="X186" s="3" t="str">
        <f>IFERROR(__xludf.DUMMYFUNCTION("""COMPUTED_VALUE"""),"Gold")</f>
        <v>Gold</v>
      </c>
      <c r="Y186" s="3" t="str">
        <f>IFERROR(__xludf.DUMMYFUNCTION("""COMPUTED_VALUE"""),"prepaid")</f>
        <v>prepaid</v>
      </c>
      <c r="Z186" s="3" t="str">
        <f>IFERROR(__xludf.DUMMYFUNCTION("""COMPUTED_VALUE"""),"biannual")</f>
        <v>biannual</v>
      </c>
      <c r="AA186" s="3">
        <f>IFERROR(__xludf.DUMMYFUNCTION("""COMPUTED_VALUE"""),50.0)</f>
        <v>50</v>
      </c>
      <c r="AB186" s="3" t="str">
        <f>IFERROR(__xludf.DUMMYFUNCTION("""COMPUTED_VALUE"""),"assisted")</f>
        <v>assisted</v>
      </c>
      <c r="AC186" s="3" t="str">
        <f>IFERROR(__xludf.DUMMYFUNCTION("""COMPUTED_VALUE"""),"I am not an employer")</f>
        <v>I am not an employer</v>
      </c>
      <c r="AD186" s="3"/>
      <c r="AE186" s="3"/>
      <c r="AF186" s="3" t="str">
        <f>IFERROR(__xludf.DUMMYFUNCTION("""COMPUTED_VALUE"""),"Yes")</f>
        <v>Yes</v>
      </c>
      <c r="AG186" s="3" t="str">
        <f>IFERROR(__xludf.DUMMYFUNCTION("""COMPUTED_VALUE"""),"Yes")</f>
        <v>Yes</v>
      </c>
      <c r="AH186" s="3">
        <f>IFERROR(__xludf.DUMMYFUNCTION("""COMPUTED_VALUE"""),300.0)</f>
        <v>300</v>
      </c>
      <c r="AI186" s="3">
        <f>IFERROR(__xludf.DUMMYFUNCTION("""COMPUTED_VALUE"""),1.0)</f>
        <v>1</v>
      </c>
      <c r="AJ186" s="3">
        <f>IFERROR(__xludf.DUMMYFUNCTION("""COMPUTED_VALUE"""),0.0)</f>
        <v>0</v>
      </c>
      <c r="AK186" s="3">
        <f>IFERROR(__xludf.DUMMYFUNCTION("""COMPUTED_VALUE"""),0.0)</f>
        <v>0</v>
      </c>
      <c r="AL186" s="3">
        <f>IFERROR(__xludf.DUMMYFUNCTION("""COMPUTED_VALUE"""),0.0)</f>
        <v>0</v>
      </c>
      <c r="AM186" s="3" t="str">
        <f>IFERROR(__xludf.DUMMYFUNCTION("""COMPUTED_VALUE"""),"Yes")</f>
        <v>Yes</v>
      </c>
      <c r="AN186" s="3">
        <f>IFERROR(__xludf.DUMMYFUNCTION("""COMPUTED_VALUE"""),8.10851251E8)</f>
        <v>810851251</v>
      </c>
      <c r="AO186" s="3"/>
      <c r="AP186" s="3">
        <f>IFERROR(__xludf.DUMMYFUNCTION("""COMPUTED_VALUE"""),4.90099662E8)</f>
        <v>490099662</v>
      </c>
      <c r="AQ186" s="3" t="str">
        <f>IFERROR(__xludf.DUMMYFUNCTION("""COMPUTED_VALUE"""),"6f7d5aaf-3e1a-4e30-958a-1467aae9b9d9")</f>
        <v>6f7d5aaf-3e1a-4e30-958a-1467aae9b9d9</v>
      </c>
      <c r="AR186" s="3">
        <f>IFERROR(__xludf.DUMMYFUNCTION("""COMPUTED_VALUE"""),45808.624085648145)</f>
        <v>45808.62409</v>
      </c>
      <c r="AS186" s="3"/>
      <c r="AT186" s="3"/>
      <c r="AU186" s="3" t="str">
        <f>IFERROR(__xludf.DUMMYFUNCTION("""COMPUTED_VALUE"""),"submitted_via_web")</f>
        <v>submitted_via_web</v>
      </c>
      <c r="AV186" s="3"/>
      <c r="AW186" s="3" t="str">
        <f>IFERROR(__xludf.DUMMYFUNCTION("""COMPUTED_VALUE"""),"vckVTgNzM4XXtKAKNnsHpB")</f>
        <v>vckVTgNzM4XXtKAKNnsHpB</v>
      </c>
      <c r="AX186" s="3"/>
      <c r="AY186" s="3">
        <f>IFERROR(__xludf.DUMMYFUNCTION("""COMPUTED_VALUE"""),185.0)</f>
        <v>185</v>
      </c>
    </row>
    <row r="187">
      <c r="A187" s="3" t="str">
        <f>IFERROR(__xludf.DUMMYFUNCTION("""COMPUTED_VALUE"""),"Yes")</f>
        <v>Yes</v>
      </c>
      <c r="B187" s="3"/>
      <c r="C187" s="3" t="str">
        <f>IFERROR(__xludf.DUMMYFUNCTION("""COMPUTED_VALUE"""),"mozambique")</f>
        <v>mozambique</v>
      </c>
      <c r="D187" s="3"/>
      <c r="E187" s="3" t="str">
        <f>IFERROR(__xludf.DUMMYFUNCTION("""COMPUTED_VALUE"""),"south_africa")</f>
        <v>south_africa</v>
      </c>
      <c r="F187" s="3" t="str">
        <f>IFERROR(__xludf.DUMMYFUNCTION("""COMPUTED_VALUE"""),"City of Tshwane Metropolitan Municipality")</f>
        <v>City of Tshwane Metropolitan Municipality</v>
      </c>
      <c r="G187" s="3">
        <f>IFERROR(__xludf.DUMMYFUNCTION("""COMPUTED_VALUE"""),34.0)</f>
        <v>34</v>
      </c>
      <c r="H187" s="3" t="str">
        <f>IFERROR(__xludf.DUMMYFUNCTION("""COMPUTED_VALUE"""),"male")</f>
        <v>male</v>
      </c>
      <c r="I187" s="3" t="str">
        <f>IFERROR(__xludf.DUMMYFUNCTION("""COMPUTED_VALUE"""),"1to5")</f>
        <v>1to5</v>
      </c>
      <c r="J187" s="3" t="str">
        <f>IFERROR(__xludf.DUMMYFUNCTION("""COMPUTED_VALUE"""),"informal")</f>
        <v>informal</v>
      </c>
      <c r="K187" s="3" t="str">
        <f>IFERROR(__xludf.DUMMYFUNCTION("""COMPUTED_VALUE"""),"secondary")</f>
        <v>secondary</v>
      </c>
      <c r="L187" s="3"/>
      <c r="M187" s="3" t="str">
        <f>IFERROR(__xludf.DUMMYFUNCTION("""COMPUTED_VALUE"""),"agree")</f>
        <v>agree</v>
      </c>
      <c r="N187" s="3" t="str">
        <f>IFERROR(__xludf.DUMMYFUNCTION("""COMPUTED_VALUE"""),"agree")</f>
        <v>agree</v>
      </c>
      <c r="O187" s="3" t="str">
        <f>IFERROR(__xludf.DUMMYFUNCTION("""COMPUTED_VALUE"""),"agree")</f>
        <v>agree</v>
      </c>
      <c r="P187" s="3"/>
      <c r="Q187" s="3" t="str">
        <f>IFERROR(__xludf.DUMMYFUNCTION("""COMPUTED_VALUE"""),"agree")</f>
        <v>agree</v>
      </c>
      <c r="R187" s="3" t="str">
        <f>IFERROR(__xludf.DUMMYFUNCTION("""COMPUTED_VALUE"""),"agree")</f>
        <v>agree</v>
      </c>
      <c r="S187" s="3" t="str">
        <f>IFERROR(__xludf.DUMMYFUNCTION("""COMPUTED_VALUE"""),"agree")</f>
        <v>agree</v>
      </c>
      <c r="T187" s="3" t="str">
        <f>IFERROR(__xludf.DUMMYFUNCTION("""COMPUTED_VALUE"""),"agree")</f>
        <v>agree</v>
      </c>
      <c r="U187" s="3" t="str">
        <f>IFERROR(__xludf.DUMMYFUNCTION("""COMPUTED_VALUE"""),"agree")</f>
        <v>agree</v>
      </c>
      <c r="V187" s="3" t="str">
        <f>IFERROR(__xludf.DUMMYFUNCTION("""COMPUTED_VALUE"""),"agree")</f>
        <v>agree</v>
      </c>
      <c r="W187" s="3" t="str">
        <f>IFERROR(__xludf.DUMMYFUNCTION("""COMPUTED_VALUE"""),"agree")</f>
        <v>agree</v>
      </c>
      <c r="X187" s="3" t="str">
        <f>IFERROR(__xludf.DUMMYFUNCTION("""COMPUTED_VALUE"""),"Gold")</f>
        <v>Gold</v>
      </c>
      <c r="Y187" s="3" t="str">
        <f>IFERROR(__xludf.DUMMYFUNCTION("""COMPUTED_VALUE"""),"prepaid")</f>
        <v>prepaid</v>
      </c>
      <c r="Z187" s="3" t="str">
        <f>IFERROR(__xludf.DUMMYFUNCTION("""COMPUTED_VALUE"""),"biannual")</f>
        <v>biannual</v>
      </c>
      <c r="AA187" s="3">
        <f>IFERROR(__xludf.DUMMYFUNCTION("""COMPUTED_VALUE"""),50.0)</f>
        <v>50</v>
      </c>
      <c r="AB187" s="3" t="str">
        <f>IFERROR(__xludf.DUMMYFUNCTION("""COMPUTED_VALUE"""),"assisted")</f>
        <v>assisted</v>
      </c>
      <c r="AC187" s="3" t="str">
        <f>IFERROR(__xludf.DUMMYFUNCTION("""COMPUTED_VALUE"""),"I am not an employer")</f>
        <v>I am not an employer</v>
      </c>
      <c r="AD187" s="3"/>
      <c r="AE187" s="3"/>
      <c r="AF187" s="3" t="str">
        <f>IFERROR(__xludf.DUMMYFUNCTION("""COMPUTED_VALUE"""),"Yes")</f>
        <v>Yes</v>
      </c>
      <c r="AG187" s="3" t="str">
        <f>IFERROR(__xludf.DUMMYFUNCTION("""COMPUTED_VALUE"""),"Yes")</f>
        <v>Yes</v>
      </c>
      <c r="AH187" s="3">
        <f>IFERROR(__xludf.DUMMYFUNCTION("""COMPUTED_VALUE"""),200.0)</f>
        <v>200</v>
      </c>
      <c r="AI187" s="3">
        <f>IFERROR(__xludf.DUMMYFUNCTION("""COMPUTED_VALUE"""),1.0)</f>
        <v>1</v>
      </c>
      <c r="AJ187" s="3">
        <f>IFERROR(__xludf.DUMMYFUNCTION("""COMPUTED_VALUE"""),0.0)</f>
        <v>0</v>
      </c>
      <c r="AK187" s="3">
        <f>IFERROR(__xludf.DUMMYFUNCTION("""COMPUTED_VALUE"""),0.0)</f>
        <v>0</v>
      </c>
      <c r="AL187" s="3">
        <f>IFERROR(__xludf.DUMMYFUNCTION("""COMPUTED_VALUE"""),0.0)</f>
        <v>0</v>
      </c>
      <c r="AM187" s="3" t="str">
        <f>IFERROR(__xludf.DUMMYFUNCTION("""COMPUTED_VALUE"""),"Yes")</f>
        <v>Yes</v>
      </c>
      <c r="AN187" s="3">
        <f>IFERROR(__xludf.DUMMYFUNCTION("""COMPUTED_VALUE"""),8.10851251E8)</f>
        <v>810851251</v>
      </c>
      <c r="AO187" s="3"/>
      <c r="AP187" s="3">
        <f>IFERROR(__xludf.DUMMYFUNCTION("""COMPUTED_VALUE"""),4.9010102E8)</f>
        <v>490101020</v>
      </c>
      <c r="AQ187" s="3" t="str">
        <f>IFERROR(__xludf.DUMMYFUNCTION("""COMPUTED_VALUE"""),"fd5950ef-9b41-4dbe-a1a5-9c4f68fb16c3")</f>
        <v>fd5950ef-9b41-4dbe-a1a5-9c4f68fb16c3</v>
      </c>
      <c r="AR187" s="3">
        <f>IFERROR(__xludf.DUMMYFUNCTION("""COMPUTED_VALUE"""),45808.62568287037)</f>
        <v>45808.62568</v>
      </c>
      <c r="AS187" s="3"/>
      <c r="AT187" s="3"/>
      <c r="AU187" s="3" t="str">
        <f>IFERROR(__xludf.DUMMYFUNCTION("""COMPUTED_VALUE"""),"submitted_via_web")</f>
        <v>submitted_via_web</v>
      </c>
      <c r="AV187" s="3"/>
      <c r="AW187" s="3" t="str">
        <f>IFERROR(__xludf.DUMMYFUNCTION("""COMPUTED_VALUE"""),"vckVTgNzM4XXtKAKNnsHpB")</f>
        <v>vckVTgNzM4XXtKAKNnsHpB</v>
      </c>
      <c r="AX187" s="3"/>
      <c r="AY187" s="3">
        <f>IFERROR(__xludf.DUMMYFUNCTION("""COMPUTED_VALUE"""),186.0)</f>
        <v>186</v>
      </c>
    </row>
    <row r="188">
      <c r="A188" s="3" t="str">
        <f>IFERROR(__xludf.DUMMYFUNCTION("""COMPUTED_VALUE"""),"Yes")</f>
        <v>Yes</v>
      </c>
      <c r="B188" s="3"/>
      <c r="C188" s="3" t="str">
        <f>IFERROR(__xludf.DUMMYFUNCTION("""COMPUTED_VALUE"""),"zimbabwe")</f>
        <v>zimbabwe</v>
      </c>
      <c r="D188" s="3"/>
      <c r="E188" s="3" t="str">
        <f>IFERROR(__xludf.DUMMYFUNCTION("""COMPUTED_VALUE"""),"south_africa")</f>
        <v>south_africa</v>
      </c>
      <c r="F188" s="3" t="str">
        <f>IFERROR(__xludf.DUMMYFUNCTION("""COMPUTED_VALUE"""),"City of Tshwane Metropolitan Municipality")</f>
        <v>City of Tshwane Metropolitan Municipality</v>
      </c>
      <c r="G188" s="3">
        <f>IFERROR(__xludf.DUMMYFUNCTION("""COMPUTED_VALUE"""),43.0)</f>
        <v>43</v>
      </c>
      <c r="H188" s="3" t="str">
        <f>IFERROR(__xludf.DUMMYFUNCTION("""COMPUTED_VALUE"""),"female")</f>
        <v>female</v>
      </c>
      <c r="I188" s="3" t="str">
        <f>IFERROR(__xludf.DUMMYFUNCTION("""COMPUTED_VALUE"""),"over5")</f>
        <v>over5</v>
      </c>
      <c r="J188" s="3" t="str">
        <f>IFERROR(__xludf.DUMMYFUNCTION("""COMPUTED_VALUE"""),"ownbusiness")</f>
        <v>ownbusiness</v>
      </c>
      <c r="K188" s="3" t="str">
        <f>IFERROR(__xludf.DUMMYFUNCTION("""COMPUTED_VALUE"""),"secondary")</f>
        <v>secondary</v>
      </c>
      <c r="L188" s="3"/>
      <c r="M188" s="3" t="str">
        <f>IFERROR(__xludf.DUMMYFUNCTION("""COMPUTED_VALUE"""),"agree")</f>
        <v>agree</v>
      </c>
      <c r="N188" s="3" t="str">
        <f>IFERROR(__xludf.DUMMYFUNCTION("""COMPUTED_VALUE"""),"agree")</f>
        <v>agree</v>
      </c>
      <c r="O188" s="3" t="str">
        <f>IFERROR(__xludf.DUMMYFUNCTION("""COMPUTED_VALUE"""),"disagree")</f>
        <v>disagree</v>
      </c>
      <c r="P188" s="3"/>
      <c r="Q188" s="3" t="str">
        <f>IFERROR(__xludf.DUMMYFUNCTION("""COMPUTED_VALUE"""),"agree")</f>
        <v>agree</v>
      </c>
      <c r="R188" s="3" t="str">
        <f>IFERROR(__xludf.DUMMYFUNCTION("""COMPUTED_VALUE"""),"agree")</f>
        <v>agree</v>
      </c>
      <c r="S188" s="3" t="str">
        <f>IFERROR(__xludf.DUMMYFUNCTION("""COMPUTED_VALUE"""),"disagree")</f>
        <v>disagree</v>
      </c>
      <c r="T188" s="3" t="str">
        <f>IFERROR(__xludf.DUMMYFUNCTION("""COMPUTED_VALUE"""),"agree")</f>
        <v>agree</v>
      </c>
      <c r="U188" s="3" t="str">
        <f>IFERROR(__xludf.DUMMYFUNCTION("""COMPUTED_VALUE"""),"agree")</f>
        <v>agree</v>
      </c>
      <c r="V188" s="3" t="str">
        <f>IFERROR(__xludf.DUMMYFUNCTION("""COMPUTED_VALUE"""),"agree")</f>
        <v>agree</v>
      </c>
      <c r="W188" s="3" t="str">
        <f>IFERROR(__xludf.DUMMYFUNCTION("""COMPUTED_VALUE"""),"agree")</f>
        <v>agree</v>
      </c>
      <c r="X188" s="3" t="str">
        <f>IFERROR(__xludf.DUMMYFUNCTION("""COMPUTED_VALUE"""),"Platinum")</f>
        <v>Platinum</v>
      </c>
      <c r="Y188" s="3" t="str">
        <f>IFERROR(__xludf.DUMMYFUNCTION("""COMPUTED_VALUE"""),"card")</f>
        <v>card</v>
      </c>
      <c r="Z188" s="3" t="str">
        <f>IFERROR(__xludf.DUMMYFUNCTION("""COMPUTED_VALUE"""),"monthly")</f>
        <v>monthly</v>
      </c>
      <c r="AA188" s="3">
        <f>IFERROR(__xludf.DUMMYFUNCTION("""COMPUTED_VALUE"""),30.0)</f>
        <v>30</v>
      </c>
      <c r="AB188" s="3" t="str">
        <f>IFERROR(__xludf.DUMMYFUNCTION("""COMPUTED_VALUE"""),"assisted")</f>
        <v>assisted</v>
      </c>
      <c r="AC188" s="3" t="str">
        <f>IFERROR(__xludf.DUMMYFUNCTION("""COMPUTED_VALUE"""),"I am not an employer")</f>
        <v>I am not an employer</v>
      </c>
      <c r="AD188" s="3"/>
      <c r="AE188" s="3"/>
      <c r="AF188" s="3" t="str">
        <f>IFERROR(__xludf.DUMMYFUNCTION("""COMPUTED_VALUE"""),"Yes")</f>
        <v>Yes</v>
      </c>
      <c r="AG188" s="3" t="str">
        <f>IFERROR(__xludf.DUMMYFUNCTION("""COMPUTED_VALUE"""),"Yes")</f>
        <v>Yes</v>
      </c>
      <c r="AH188" s="3">
        <f>IFERROR(__xludf.DUMMYFUNCTION("""COMPUTED_VALUE"""),7000.0)</f>
        <v>7000</v>
      </c>
      <c r="AI188" s="3">
        <f>IFERROR(__xludf.DUMMYFUNCTION("""COMPUTED_VALUE"""),1.0)</f>
        <v>1</v>
      </c>
      <c r="AJ188" s="3">
        <f>IFERROR(__xludf.DUMMYFUNCTION("""COMPUTED_VALUE"""),1.0)</f>
        <v>1</v>
      </c>
      <c r="AK188" s="3">
        <f>IFERROR(__xludf.DUMMYFUNCTION("""COMPUTED_VALUE"""),1.0)</f>
        <v>1</v>
      </c>
      <c r="AL188" s="3">
        <f>IFERROR(__xludf.DUMMYFUNCTION("""COMPUTED_VALUE"""),0.0)</f>
        <v>0</v>
      </c>
      <c r="AM188" s="3" t="str">
        <f>IFERROR(__xludf.DUMMYFUNCTION("""COMPUTED_VALUE"""),"Yes")</f>
        <v>Yes</v>
      </c>
      <c r="AN188" s="3">
        <f>IFERROR(__xludf.DUMMYFUNCTION("""COMPUTED_VALUE"""),6.18065596E8)</f>
        <v>618065596</v>
      </c>
      <c r="AO188" s="3"/>
      <c r="AP188" s="3">
        <f>IFERROR(__xludf.DUMMYFUNCTION("""COMPUTED_VALUE"""),4.90101083E8)</f>
        <v>490101083</v>
      </c>
      <c r="AQ188" s="3" t="str">
        <f>IFERROR(__xludf.DUMMYFUNCTION("""COMPUTED_VALUE"""),"c6226712-112b-4908-bbc3-6062df48dc32")</f>
        <v>c6226712-112b-4908-bbc3-6062df48dc32</v>
      </c>
      <c r="AR188" s="3">
        <f>IFERROR(__xludf.DUMMYFUNCTION("""COMPUTED_VALUE"""),45808.625763888886)</f>
        <v>45808.62576</v>
      </c>
      <c r="AS188" s="3"/>
      <c r="AT188" s="3"/>
      <c r="AU188" s="3" t="str">
        <f>IFERROR(__xludf.DUMMYFUNCTION("""COMPUTED_VALUE"""),"submitted_via_web")</f>
        <v>submitted_via_web</v>
      </c>
      <c r="AV188" s="3"/>
      <c r="AW188" s="3" t="str">
        <f>IFERROR(__xludf.DUMMYFUNCTION("""COMPUTED_VALUE"""),"vckVTgNzM4XXtKAKNnsHpB")</f>
        <v>vckVTgNzM4XXtKAKNnsHpB</v>
      </c>
      <c r="AX188" s="3"/>
      <c r="AY188" s="3">
        <f>IFERROR(__xludf.DUMMYFUNCTION("""COMPUTED_VALUE"""),187.0)</f>
        <v>187</v>
      </c>
    </row>
    <row r="189">
      <c r="A189" s="3" t="str">
        <f>IFERROR(__xludf.DUMMYFUNCTION("""COMPUTED_VALUE"""),"Yes")</f>
        <v>Yes</v>
      </c>
      <c r="B189" s="3"/>
      <c r="C189" s="3" t="str">
        <f>IFERROR(__xludf.DUMMYFUNCTION("""COMPUTED_VALUE"""),"mozambique")</f>
        <v>mozambique</v>
      </c>
      <c r="D189" s="3"/>
      <c r="E189" s="3" t="str">
        <f>IFERROR(__xludf.DUMMYFUNCTION("""COMPUTED_VALUE"""),"south_africa")</f>
        <v>south_africa</v>
      </c>
      <c r="F189" s="3" t="str">
        <f>IFERROR(__xludf.DUMMYFUNCTION("""COMPUTED_VALUE"""),"City of Tshwane Metropolitan Municipality")</f>
        <v>City of Tshwane Metropolitan Municipality</v>
      </c>
      <c r="G189" s="3">
        <f>IFERROR(__xludf.DUMMYFUNCTION("""COMPUTED_VALUE"""),23.0)</f>
        <v>23</v>
      </c>
      <c r="H189" s="3" t="str">
        <f>IFERROR(__xludf.DUMMYFUNCTION("""COMPUTED_VALUE"""),"male")</f>
        <v>male</v>
      </c>
      <c r="I189" s="3" t="str">
        <f>IFERROR(__xludf.DUMMYFUNCTION("""COMPUTED_VALUE"""),"1to5")</f>
        <v>1to5</v>
      </c>
      <c r="J189" s="3" t="str">
        <f>IFERROR(__xludf.DUMMYFUNCTION("""COMPUTED_VALUE"""),"informal")</f>
        <v>informal</v>
      </c>
      <c r="K189" s="3" t="str">
        <f>IFERROR(__xludf.DUMMYFUNCTION("""COMPUTED_VALUE"""),"primary")</f>
        <v>primary</v>
      </c>
      <c r="L189" s="3"/>
      <c r="M189" s="3" t="str">
        <f>IFERROR(__xludf.DUMMYFUNCTION("""COMPUTED_VALUE"""),"agree")</f>
        <v>agree</v>
      </c>
      <c r="N189" s="3" t="str">
        <f>IFERROR(__xludf.DUMMYFUNCTION("""COMPUTED_VALUE"""),"agree")</f>
        <v>agree</v>
      </c>
      <c r="O189" s="3" t="str">
        <f>IFERROR(__xludf.DUMMYFUNCTION("""COMPUTED_VALUE"""),"agree")</f>
        <v>agree</v>
      </c>
      <c r="P189" s="3"/>
      <c r="Q189" s="3" t="str">
        <f>IFERROR(__xludf.DUMMYFUNCTION("""COMPUTED_VALUE"""),"agree")</f>
        <v>agree</v>
      </c>
      <c r="R189" s="3" t="str">
        <f>IFERROR(__xludf.DUMMYFUNCTION("""COMPUTED_VALUE"""),"agree")</f>
        <v>agree</v>
      </c>
      <c r="S189" s="3"/>
      <c r="T189" s="3" t="str">
        <f>IFERROR(__xludf.DUMMYFUNCTION("""COMPUTED_VALUE"""),"agree")</f>
        <v>agree</v>
      </c>
      <c r="U189" s="3" t="str">
        <f>IFERROR(__xludf.DUMMYFUNCTION("""COMPUTED_VALUE"""),"agree")</f>
        <v>agree</v>
      </c>
      <c r="V189" s="3" t="str">
        <f>IFERROR(__xludf.DUMMYFUNCTION("""COMPUTED_VALUE"""),"agree")</f>
        <v>agree</v>
      </c>
      <c r="W189" s="3" t="str">
        <f>IFERROR(__xludf.DUMMYFUNCTION("""COMPUTED_VALUE"""),"agree")</f>
        <v>agree</v>
      </c>
      <c r="X189" s="3" t="str">
        <f>IFERROR(__xludf.DUMMYFUNCTION("""COMPUTED_VALUE"""),"Gold")</f>
        <v>Gold</v>
      </c>
      <c r="Y189" s="3" t="str">
        <f>IFERROR(__xludf.DUMMYFUNCTION("""COMPUTED_VALUE"""),"prepaid")</f>
        <v>prepaid</v>
      </c>
      <c r="Z189" s="3" t="str">
        <f>IFERROR(__xludf.DUMMYFUNCTION("""COMPUTED_VALUE"""),"annual")</f>
        <v>annual</v>
      </c>
      <c r="AA189" s="3">
        <f>IFERROR(__xludf.DUMMYFUNCTION("""COMPUTED_VALUE"""),50.0)</f>
        <v>50</v>
      </c>
      <c r="AB189" s="3" t="str">
        <f>IFERROR(__xludf.DUMMYFUNCTION("""COMPUTED_VALUE"""),"online")</f>
        <v>online</v>
      </c>
      <c r="AC189" s="3" t="str">
        <f>IFERROR(__xludf.DUMMYFUNCTION("""COMPUTED_VALUE"""),"I am not an employer")</f>
        <v>I am not an employer</v>
      </c>
      <c r="AD189" s="3"/>
      <c r="AE189" s="3"/>
      <c r="AF189" s="3" t="str">
        <f>IFERROR(__xludf.DUMMYFUNCTION("""COMPUTED_VALUE"""),"Yes")</f>
        <v>Yes</v>
      </c>
      <c r="AG189" s="3" t="str">
        <f>IFERROR(__xludf.DUMMYFUNCTION("""COMPUTED_VALUE"""),"No")</f>
        <v>No</v>
      </c>
      <c r="AH189" s="3"/>
      <c r="AI189" s="3">
        <f>IFERROR(__xludf.DUMMYFUNCTION("""COMPUTED_VALUE"""),0.0)</f>
        <v>0</v>
      </c>
      <c r="AJ189" s="3">
        <f>IFERROR(__xludf.DUMMYFUNCTION("""COMPUTED_VALUE"""),0.0)</f>
        <v>0</v>
      </c>
      <c r="AK189" s="3">
        <f>IFERROR(__xludf.DUMMYFUNCTION("""COMPUTED_VALUE"""),1.0)</f>
        <v>1</v>
      </c>
      <c r="AL189" s="3">
        <f>IFERROR(__xludf.DUMMYFUNCTION("""COMPUTED_VALUE"""),0.0)</f>
        <v>0</v>
      </c>
      <c r="AM189" s="3"/>
      <c r="AN189" s="3"/>
      <c r="AO189" s="3"/>
      <c r="AP189" s="3">
        <f>IFERROR(__xludf.DUMMYFUNCTION("""COMPUTED_VALUE"""),4.90102926E8)</f>
        <v>490102926</v>
      </c>
      <c r="AQ189" s="3" t="str">
        <f>IFERROR(__xludf.DUMMYFUNCTION("""COMPUTED_VALUE"""),"cd1a2674-629f-4cf7-b8b7-07585a72a06f")</f>
        <v>cd1a2674-629f-4cf7-b8b7-07585a72a06f</v>
      </c>
      <c r="AR189" s="3">
        <f>IFERROR(__xludf.DUMMYFUNCTION("""COMPUTED_VALUE"""),45808.62768518519)</f>
        <v>45808.62769</v>
      </c>
      <c r="AS189" s="3"/>
      <c r="AT189" s="3"/>
      <c r="AU189" s="3" t="str">
        <f>IFERROR(__xludf.DUMMYFUNCTION("""COMPUTED_VALUE"""),"submitted_via_web")</f>
        <v>submitted_via_web</v>
      </c>
      <c r="AV189" s="3"/>
      <c r="AW189" s="3" t="str">
        <f>IFERROR(__xludf.DUMMYFUNCTION("""COMPUTED_VALUE"""),"vckVTgNzM4XXtKAKNnsHpB")</f>
        <v>vckVTgNzM4XXtKAKNnsHpB</v>
      </c>
      <c r="AX189" s="3"/>
      <c r="AY189" s="3">
        <f>IFERROR(__xludf.DUMMYFUNCTION("""COMPUTED_VALUE"""),188.0)</f>
        <v>188</v>
      </c>
    </row>
    <row r="190">
      <c r="A190" s="3" t="str">
        <f>IFERROR(__xludf.DUMMYFUNCTION("""COMPUTED_VALUE"""),"Yes")</f>
        <v>Yes</v>
      </c>
      <c r="B190" s="3"/>
      <c r="C190" s="3" t="str">
        <f>IFERROR(__xludf.DUMMYFUNCTION("""COMPUTED_VALUE"""),"mozambique")</f>
        <v>mozambique</v>
      </c>
      <c r="D190" s="3"/>
      <c r="E190" s="3" t="str">
        <f>IFERROR(__xludf.DUMMYFUNCTION("""COMPUTED_VALUE"""),"south_africa")</f>
        <v>south_africa</v>
      </c>
      <c r="F190" s="3" t="str">
        <f>IFERROR(__xludf.DUMMYFUNCTION("""COMPUTED_VALUE"""),"City of Tshwane Metropolitan Municipality")</f>
        <v>City of Tshwane Metropolitan Municipality</v>
      </c>
      <c r="G190" s="3">
        <f>IFERROR(__xludf.DUMMYFUNCTION("""COMPUTED_VALUE"""),34.0)</f>
        <v>34</v>
      </c>
      <c r="H190" s="3" t="str">
        <f>IFERROR(__xludf.DUMMYFUNCTION("""COMPUTED_VALUE"""),"male")</f>
        <v>male</v>
      </c>
      <c r="I190" s="3" t="str">
        <f>IFERROR(__xludf.DUMMYFUNCTION("""COMPUTED_VALUE"""),"1to5")</f>
        <v>1to5</v>
      </c>
      <c r="J190" s="3" t="str">
        <f>IFERROR(__xludf.DUMMYFUNCTION("""COMPUTED_VALUE"""),"informal")</f>
        <v>informal</v>
      </c>
      <c r="K190" s="3" t="str">
        <f>IFERROR(__xludf.DUMMYFUNCTION("""COMPUTED_VALUE"""),"primary")</f>
        <v>primary</v>
      </c>
      <c r="L190" s="3"/>
      <c r="M190" s="3" t="str">
        <f>IFERROR(__xludf.DUMMYFUNCTION("""COMPUTED_VALUE"""),"agree")</f>
        <v>agree</v>
      </c>
      <c r="N190" s="3" t="str">
        <f>IFERROR(__xludf.DUMMYFUNCTION("""COMPUTED_VALUE"""),"agree")</f>
        <v>agree</v>
      </c>
      <c r="O190" s="3" t="str">
        <f>IFERROR(__xludf.DUMMYFUNCTION("""COMPUTED_VALUE"""),"agree")</f>
        <v>agree</v>
      </c>
      <c r="P190" s="3"/>
      <c r="Q190" s="3" t="str">
        <f>IFERROR(__xludf.DUMMYFUNCTION("""COMPUTED_VALUE"""),"agree")</f>
        <v>agree</v>
      </c>
      <c r="R190" s="3" t="str">
        <f>IFERROR(__xludf.DUMMYFUNCTION("""COMPUTED_VALUE"""),"agree")</f>
        <v>agree</v>
      </c>
      <c r="S190" s="3" t="str">
        <f>IFERROR(__xludf.DUMMYFUNCTION("""COMPUTED_VALUE"""),"agree")</f>
        <v>agree</v>
      </c>
      <c r="T190" s="3" t="str">
        <f>IFERROR(__xludf.DUMMYFUNCTION("""COMPUTED_VALUE"""),"agree")</f>
        <v>agree</v>
      </c>
      <c r="U190" s="3" t="str">
        <f>IFERROR(__xludf.DUMMYFUNCTION("""COMPUTED_VALUE"""),"agree")</f>
        <v>agree</v>
      </c>
      <c r="V190" s="3" t="str">
        <f>IFERROR(__xludf.DUMMYFUNCTION("""COMPUTED_VALUE"""),"agree")</f>
        <v>agree</v>
      </c>
      <c r="W190" s="3" t="str">
        <f>IFERROR(__xludf.DUMMYFUNCTION("""COMPUTED_VALUE"""),"agree")</f>
        <v>agree</v>
      </c>
      <c r="X190" s="3" t="str">
        <f>IFERROR(__xludf.DUMMYFUNCTION("""COMPUTED_VALUE"""),"Gold")</f>
        <v>Gold</v>
      </c>
      <c r="Y190" s="3" t="str">
        <f>IFERROR(__xludf.DUMMYFUNCTION("""COMPUTED_VALUE"""),"prepaid")</f>
        <v>prepaid</v>
      </c>
      <c r="Z190" s="3" t="str">
        <f>IFERROR(__xludf.DUMMYFUNCTION("""COMPUTED_VALUE"""),"annual")</f>
        <v>annual</v>
      </c>
      <c r="AA190" s="3">
        <f>IFERROR(__xludf.DUMMYFUNCTION("""COMPUTED_VALUE"""),100.0)</f>
        <v>100</v>
      </c>
      <c r="AB190" s="3" t="str">
        <f>IFERROR(__xludf.DUMMYFUNCTION("""COMPUTED_VALUE"""),"online")</f>
        <v>online</v>
      </c>
      <c r="AC190" s="3" t="str">
        <f>IFERROR(__xludf.DUMMYFUNCTION("""COMPUTED_VALUE"""),"I am not an employer")</f>
        <v>I am not an employer</v>
      </c>
      <c r="AD190" s="3"/>
      <c r="AE190" s="3"/>
      <c r="AF190" s="3" t="str">
        <f>IFERROR(__xludf.DUMMYFUNCTION("""COMPUTED_VALUE"""),"Yes")</f>
        <v>Yes</v>
      </c>
      <c r="AG190" s="3" t="str">
        <f>IFERROR(__xludf.DUMMYFUNCTION("""COMPUTED_VALUE"""),"Yes")</f>
        <v>Yes</v>
      </c>
      <c r="AH190" s="3">
        <f>IFERROR(__xludf.DUMMYFUNCTION("""COMPUTED_VALUE"""),300.0)</f>
        <v>300</v>
      </c>
      <c r="AI190" s="3">
        <f>IFERROR(__xludf.DUMMYFUNCTION("""COMPUTED_VALUE"""),1.0)</f>
        <v>1</v>
      </c>
      <c r="AJ190" s="3">
        <f>IFERROR(__xludf.DUMMYFUNCTION("""COMPUTED_VALUE"""),0.0)</f>
        <v>0</v>
      </c>
      <c r="AK190" s="3">
        <f>IFERROR(__xludf.DUMMYFUNCTION("""COMPUTED_VALUE"""),0.0)</f>
        <v>0</v>
      </c>
      <c r="AL190" s="3">
        <f>IFERROR(__xludf.DUMMYFUNCTION("""COMPUTED_VALUE"""),0.0)</f>
        <v>0</v>
      </c>
      <c r="AM190" s="3" t="str">
        <f>IFERROR(__xludf.DUMMYFUNCTION("""COMPUTED_VALUE"""),"Yes")</f>
        <v>Yes</v>
      </c>
      <c r="AN190" s="3">
        <f>IFERROR(__xludf.DUMMYFUNCTION("""COMPUTED_VALUE"""),6.37907157E8)</f>
        <v>637907157</v>
      </c>
      <c r="AO190" s="3"/>
      <c r="AP190" s="3">
        <f>IFERROR(__xludf.DUMMYFUNCTION("""COMPUTED_VALUE"""),4.90106648E8)</f>
        <v>490106648</v>
      </c>
      <c r="AQ190" s="3" t="str">
        <f>IFERROR(__xludf.DUMMYFUNCTION("""COMPUTED_VALUE"""),"6434c48a-57bb-43a1-9cdc-42e8d2e0efe9")</f>
        <v>6434c48a-57bb-43a1-9cdc-42e8d2e0efe9</v>
      </c>
      <c r="AR190" s="3">
        <f>IFERROR(__xludf.DUMMYFUNCTION("""COMPUTED_VALUE"""),45808.63197916667)</f>
        <v>45808.63198</v>
      </c>
      <c r="AS190" s="3"/>
      <c r="AT190" s="3"/>
      <c r="AU190" s="3" t="str">
        <f>IFERROR(__xludf.DUMMYFUNCTION("""COMPUTED_VALUE"""),"submitted_via_web")</f>
        <v>submitted_via_web</v>
      </c>
      <c r="AV190" s="3"/>
      <c r="AW190" s="3" t="str">
        <f>IFERROR(__xludf.DUMMYFUNCTION("""COMPUTED_VALUE"""),"vckVTgNzM4XXtKAKNnsHpB")</f>
        <v>vckVTgNzM4XXtKAKNnsHpB</v>
      </c>
      <c r="AX190" s="3"/>
      <c r="AY190" s="3">
        <f>IFERROR(__xludf.DUMMYFUNCTION("""COMPUTED_VALUE"""),189.0)</f>
        <v>189</v>
      </c>
    </row>
    <row r="191">
      <c r="A191" s="3" t="str">
        <f>IFERROR(__xludf.DUMMYFUNCTION("""COMPUTED_VALUE"""),"Yes")</f>
        <v>Yes</v>
      </c>
      <c r="B191" s="3"/>
      <c r="C191" s="3" t="str">
        <f>IFERROR(__xludf.DUMMYFUNCTION("""COMPUTED_VALUE"""),"mozambique")</f>
        <v>mozambique</v>
      </c>
      <c r="D191" s="3"/>
      <c r="E191" s="3" t="str">
        <f>IFERROR(__xludf.DUMMYFUNCTION("""COMPUTED_VALUE"""),"south_africa")</f>
        <v>south_africa</v>
      </c>
      <c r="F191" s="3" t="str">
        <f>IFERROR(__xludf.DUMMYFUNCTION("""COMPUTED_VALUE"""),"City of Tshwane Metropolitan Municipality")</f>
        <v>City of Tshwane Metropolitan Municipality</v>
      </c>
      <c r="G191" s="3">
        <f>IFERROR(__xludf.DUMMYFUNCTION("""COMPUTED_VALUE"""),34.0)</f>
        <v>34</v>
      </c>
      <c r="H191" s="3" t="str">
        <f>IFERROR(__xludf.DUMMYFUNCTION("""COMPUTED_VALUE"""),"male")</f>
        <v>male</v>
      </c>
      <c r="I191" s="3" t="str">
        <f>IFERROR(__xludf.DUMMYFUNCTION("""COMPUTED_VALUE"""),"over5")</f>
        <v>over5</v>
      </c>
      <c r="J191" s="3" t="str">
        <f>IFERROR(__xludf.DUMMYFUNCTION("""COMPUTED_VALUE"""),"informal")</f>
        <v>informal</v>
      </c>
      <c r="K191" s="3" t="str">
        <f>IFERROR(__xludf.DUMMYFUNCTION("""COMPUTED_VALUE"""),"primary")</f>
        <v>primary</v>
      </c>
      <c r="L191" s="3"/>
      <c r="M191" s="3" t="str">
        <f>IFERROR(__xludf.DUMMYFUNCTION("""COMPUTED_VALUE"""),"agree")</f>
        <v>agree</v>
      </c>
      <c r="N191" s="3" t="str">
        <f>IFERROR(__xludf.DUMMYFUNCTION("""COMPUTED_VALUE"""),"agree")</f>
        <v>agree</v>
      </c>
      <c r="O191" s="3" t="str">
        <f>IFERROR(__xludf.DUMMYFUNCTION("""COMPUTED_VALUE"""),"agree")</f>
        <v>agree</v>
      </c>
      <c r="P191" s="3"/>
      <c r="Q191" s="3" t="str">
        <f>IFERROR(__xludf.DUMMYFUNCTION("""COMPUTED_VALUE"""),"agree")</f>
        <v>agree</v>
      </c>
      <c r="R191" s="3" t="str">
        <f>IFERROR(__xludf.DUMMYFUNCTION("""COMPUTED_VALUE"""),"agree")</f>
        <v>agree</v>
      </c>
      <c r="S191" s="3" t="str">
        <f>IFERROR(__xludf.DUMMYFUNCTION("""COMPUTED_VALUE"""),"agree")</f>
        <v>agree</v>
      </c>
      <c r="T191" s="3" t="str">
        <f>IFERROR(__xludf.DUMMYFUNCTION("""COMPUTED_VALUE"""),"agree")</f>
        <v>agree</v>
      </c>
      <c r="U191" s="3" t="str">
        <f>IFERROR(__xludf.DUMMYFUNCTION("""COMPUTED_VALUE"""),"agree")</f>
        <v>agree</v>
      </c>
      <c r="V191" s="3" t="str">
        <f>IFERROR(__xludf.DUMMYFUNCTION("""COMPUTED_VALUE"""),"agree")</f>
        <v>agree</v>
      </c>
      <c r="W191" s="3" t="str">
        <f>IFERROR(__xludf.DUMMYFUNCTION("""COMPUTED_VALUE"""),"agree")</f>
        <v>agree</v>
      </c>
      <c r="X191" s="3" t="str">
        <f>IFERROR(__xludf.DUMMYFUNCTION("""COMPUTED_VALUE"""),"Gold")</f>
        <v>Gold</v>
      </c>
      <c r="Y191" s="3" t="str">
        <f>IFERROR(__xludf.DUMMYFUNCTION("""COMPUTED_VALUE"""),"prepaid")</f>
        <v>prepaid</v>
      </c>
      <c r="Z191" s="3" t="str">
        <f>IFERROR(__xludf.DUMMYFUNCTION("""COMPUTED_VALUE"""),"annual")</f>
        <v>annual</v>
      </c>
      <c r="AA191" s="3">
        <f>IFERROR(__xludf.DUMMYFUNCTION("""COMPUTED_VALUE"""),50.0)</f>
        <v>50</v>
      </c>
      <c r="AB191" s="3" t="str">
        <f>IFERROR(__xludf.DUMMYFUNCTION("""COMPUTED_VALUE"""),"employer")</f>
        <v>employer</v>
      </c>
      <c r="AC191" s="3" t="str">
        <f>IFERROR(__xludf.DUMMYFUNCTION("""COMPUTED_VALUE"""),"I am not an employer")</f>
        <v>I am not an employer</v>
      </c>
      <c r="AD191" s="3"/>
      <c r="AE191" s="3"/>
      <c r="AF191" s="3" t="str">
        <f>IFERROR(__xludf.DUMMYFUNCTION("""COMPUTED_VALUE"""),"Yes")</f>
        <v>Yes</v>
      </c>
      <c r="AG191" s="3" t="str">
        <f>IFERROR(__xludf.DUMMYFUNCTION("""COMPUTED_VALUE"""),"Yes")</f>
        <v>Yes</v>
      </c>
      <c r="AH191" s="3">
        <f>IFERROR(__xludf.DUMMYFUNCTION("""COMPUTED_VALUE"""),250.0)</f>
        <v>250</v>
      </c>
      <c r="AI191" s="3">
        <f>IFERROR(__xludf.DUMMYFUNCTION("""COMPUTED_VALUE"""),0.0)</f>
        <v>0</v>
      </c>
      <c r="AJ191" s="3">
        <f>IFERROR(__xludf.DUMMYFUNCTION("""COMPUTED_VALUE"""),0.0)</f>
        <v>0</v>
      </c>
      <c r="AK191" s="3">
        <f>IFERROR(__xludf.DUMMYFUNCTION("""COMPUTED_VALUE"""),0.0)</f>
        <v>0</v>
      </c>
      <c r="AL191" s="3">
        <f>IFERROR(__xludf.DUMMYFUNCTION("""COMPUTED_VALUE"""),1.0)</f>
        <v>1</v>
      </c>
      <c r="AM191" s="3" t="str">
        <f>IFERROR(__xludf.DUMMYFUNCTION("""COMPUTED_VALUE"""),"Yes")</f>
        <v>Yes</v>
      </c>
      <c r="AN191" s="3">
        <f>IFERROR(__xludf.DUMMYFUNCTION("""COMPUTED_VALUE"""),6.83234535E8)</f>
        <v>683234535</v>
      </c>
      <c r="AO191" s="3"/>
      <c r="AP191" s="3">
        <f>IFERROR(__xludf.DUMMYFUNCTION("""COMPUTED_VALUE"""),4.90108381E8)</f>
        <v>490108381</v>
      </c>
      <c r="AQ191" s="3" t="str">
        <f>IFERROR(__xludf.DUMMYFUNCTION("""COMPUTED_VALUE"""),"0fade4f7-ebb8-4b5f-8718-3a4aeedb733b")</f>
        <v>0fade4f7-ebb8-4b5f-8718-3a4aeedb733b</v>
      </c>
      <c r="AR191" s="3">
        <f>IFERROR(__xludf.DUMMYFUNCTION("""COMPUTED_VALUE"""),45808.63402777778)</f>
        <v>45808.63403</v>
      </c>
      <c r="AS191" s="3"/>
      <c r="AT191" s="3"/>
      <c r="AU191" s="3" t="str">
        <f>IFERROR(__xludf.DUMMYFUNCTION("""COMPUTED_VALUE"""),"submitted_via_web")</f>
        <v>submitted_via_web</v>
      </c>
      <c r="AV191" s="3"/>
      <c r="AW191" s="3" t="str">
        <f>IFERROR(__xludf.DUMMYFUNCTION("""COMPUTED_VALUE"""),"vckVTgNzM4XXtKAKNnsHpB")</f>
        <v>vckVTgNzM4XXtKAKNnsHpB</v>
      </c>
      <c r="AX191" s="3"/>
      <c r="AY191" s="3">
        <f>IFERROR(__xludf.DUMMYFUNCTION("""COMPUTED_VALUE"""),190.0)</f>
        <v>190</v>
      </c>
    </row>
    <row r="192">
      <c r="A192" s="3" t="str">
        <f>IFERROR(__xludf.DUMMYFUNCTION("""COMPUTED_VALUE"""),"Yes")</f>
        <v>Yes</v>
      </c>
      <c r="B192" s="3"/>
      <c r="C192" s="3" t="str">
        <f>IFERROR(__xludf.DUMMYFUNCTION("""COMPUTED_VALUE"""),"mozambique")</f>
        <v>mozambique</v>
      </c>
      <c r="D192" s="3"/>
      <c r="E192" s="3" t="str">
        <f>IFERROR(__xludf.DUMMYFUNCTION("""COMPUTED_VALUE"""),"south_africa")</f>
        <v>south_africa</v>
      </c>
      <c r="F192" s="3" t="str">
        <f>IFERROR(__xludf.DUMMYFUNCTION("""COMPUTED_VALUE"""),"City of Tshwane Metropolitan Municipality")</f>
        <v>City of Tshwane Metropolitan Municipality</v>
      </c>
      <c r="G192" s="3">
        <f>IFERROR(__xludf.DUMMYFUNCTION("""COMPUTED_VALUE"""),23.0)</f>
        <v>23</v>
      </c>
      <c r="H192" s="3" t="str">
        <f>IFERROR(__xludf.DUMMYFUNCTION("""COMPUTED_VALUE"""),"female")</f>
        <v>female</v>
      </c>
      <c r="I192" s="3" t="str">
        <f>IFERROR(__xludf.DUMMYFUNCTION("""COMPUTED_VALUE"""),"1to5")</f>
        <v>1to5</v>
      </c>
      <c r="J192" s="3" t="str">
        <f>IFERROR(__xludf.DUMMYFUNCTION("""COMPUTED_VALUE"""),"ownbusiness")</f>
        <v>ownbusiness</v>
      </c>
      <c r="K192" s="3" t="str">
        <f>IFERROR(__xludf.DUMMYFUNCTION("""COMPUTED_VALUE"""),"primary")</f>
        <v>primary</v>
      </c>
      <c r="L192" s="3"/>
      <c r="M192" s="3" t="str">
        <f>IFERROR(__xludf.DUMMYFUNCTION("""COMPUTED_VALUE"""),"agree")</f>
        <v>agree</v>
      </c>
      <c r="N192" s="3" t="str">
        <f>IFERROR(__xludf.DUMMYFUNCTION("""COMPUTED_VALUE"""),"agree")</f>
        <v>agree</v>
      </c>
      <c r="O192" s="3" t="str">
        <f>IFERROR(__xludf.DUMMYFUNCTION("""COMPUTED_VALUE"""),"agree")</f>
        <v>agree</v>
      </c>
      <c r="P192" s="3"/>
      <c r="Q192" s="3" t="str">
        <f>IFERROR(__xludf.DUMMYFUNCTION("""COMPUTED_VALUE"""),"agree")</f>
        <v>agree</v>
      </c>
      <c r="R192" s="3" t="str">
        <f>IFERROR(__xludf.DUMMYFUNCTION("""COMPUTED_VALUE"""),"agree")</f>
        <v>agree</v>
      </c>
      <c r="S192" s="3" t="str">
        <f>IFERROR(__xludf.DUMMYFUNCTION("""COMPUTED_VALUE"""),"agree")</f>
        <v>agree</v>
      </c>
      <c r="T192" s="3" t="str">
        <f>IFERROR(__xludf.DUMMYFUNCTION("""COMPUTED_VALUE"""),"agree")</f>
        <v>agree</v>
      </c>
      <c r="U192" s="3" t="str">
        <f>IFERROR(__xludf.DUMMYFUNCTION("""COMPUTED_VALUE"""),"agree")</f>
        <v>agree</v>
      </c>
      <c r="V192" s="3" t="str">
        <f>IFERROR(__xludf.DUMMYFUNCTION("""COMPUTED_VALUE"""),"agree")</f>
        <v>agree</v>
      </c>
      <c r="W192" s="3" t="str">
        <f>IFERROR(__xludf.DUMMYFUNCTION("""COMPUTED_VALUE"""),"agree")</f>
        <v>agree</v>
      </c>
      <c r="X192" s="3" t="str">
        <f>IFERROR(__xludf.DUMMYFUNCTION("""COMPUTED_VALUE"""),"Gold")</f>
        <v>Gold</v>
      </c>
      <c r="Y192" s="3" t="str">
        <f>IFERROR(__xludf.DUMMYFUNCTION("""COMPUTED_VALUE"""),"card")</f>
        <v>card</v>
      </c>
      <c r="Z192" s="3" t="str">
        <f>IFERROR(__xludf.DUMMYFUNCTION("""COMPUTED_VALUE"""),"annual")</f>
        <v>annual</v>
      </c>
      <c r="AA192" s="3">
        <f>IFERROR(__xludf.DUMMYFUNCTION("""COMPUTED_VALUE"""),100.0)</f>
        <v>100</v>
      </c>
      <c r="AB192" s="3" t="str">
        <f>IFERROR(__xludf.DUMMYFUNCTION("""COMPUTED_VALUE"""),"assisted")</f>
        <v>assisted</v>
      </c>
      <c r="AC192" s="3" t="str">
        <f>IFERROR(__xludf.DUMMYFUNCTION("""COMPUTED_VALUE"""),"Yes")</f>
        <v>Yes</v>
      </c>
      <c r="AD192" s="3" t="str">
        <f>IFERROR(__xludf.DUMMYFUNCTION("""COMPUTED_VALUE"""),"Gold")</f>
        <v>Gold</v>
      </c>
      <c r="AE192" s="3" t="str">
        <f>IFERROR(__xludf.DUMMYFUNCTION("""COMPUTED_VALUE"""),"Yes")</f>
        <v>Yes</v>
      </c>
      <c r="AF192" s="3" t="str">
        <f>IFERROR(__xludf.DUMMYFUNCTION("""COMPUTED_VALUE"""),"Yes")</f>
        <v>Yes</v>
      </c>
      <c r="AG192" s="3" t="str">
        <f>IFERROR(__xludf.DUMMYFUNCTION("""COMPUTED_VALUE"""),"Yes")</f>
        <v>Yes</v>
      </c>
      <c r="AH192" s="3">
        <f>IFERROR(__xludf.DUMMYFUNCTION("""COMPUTED_VALUE"""),350.0)</f>
        <v>350</v>
      </c>
      <c r="AI192" s="3">
        <f>IFERROR(__xludf.DUMMYFUNCTION("""COMPUTED_VALUE"""),1.0)</f>
        <v>1</v>
      </c>
      <c r="AJ192" s="3">
        <f>IFERROR(__xludf.DUMMYFUNCTION("""COMPUTED_VALUE"""),0.0)</f>
        <v>0</v>
      </c>
      <c r="AK192" s="3">
        <f>IFERROR(__xludf.DUMMYFUNCTION("""COMPUTED_VALUE"""),0.0)</f>
        <v>0</v>
      </c>
      <c r="AL192" s="3">
        <f>IFERROR(__xludf.DUMMYFUNCTION("""COMPUTED_VALUE"""),0.0)</f>
        <v>0</v>
      </c>
      <c r="AM192" s="3" t="str">
        <f>IFERROR(__xludf.DUMMYFUNCTION("""COMPUTED_VALUE"""),"Yes")</f>
        <v>Yes</v>
      </c>
      <c r="AN192" s="3">
        <f>IFERROR(__xludf.DUMMYFUNCTION("""COMPUTED_VALUE"""),6.05896906E8)</f>
        <v>605896906</v>
      </c>
      <c r="AO192" s="3"/>
      <c r="AP192" s="3">
        <f>IFERROR(__xludf.DUMMYFUNCTION("""COMPUTED_VALUE"""),4.90110505E8)</f>
        <v>490110505</v>
      </c>
      <c r="AQ192" s="3" t="str">
        <f>IFERROR(__xludf.DUMMYFUNCTION("""COMPUTED_VALUE"""),"fda17056-f6a9-4e2b-8caa-085bd1379220")</f>
        <v>fda17056-f6a9-4e2b-8caa-085bd1379220</v>
      </c>
      <c r="AR192" s="3">
        <f>IFERROR(__xludf.DUMMYFUNCTION("""COMPUTED_VALUE"""),45808.63599537037)</f>
        <v>45808.636</v>
      </c>
      <c r="AS192" s="3"/>
      <c r="AT192" s="3"/>
      <c r="AU192" s="3" t="str">
        <f>IFERROR(__xludf.DUMMYFUNCTION("""COMPUTED_VALUE"""),"submitted_via_web")</f>
        <v>submitted_via_web</v>
      </c>
      <c r="AV192" s="3"/>
      <c r="AW192" s="3" t="str">
        <f>IFERROR(__xludf.DUMMYFUNCTION("""COMPUTED_VALUE"""),"vckVTgNzM4XXtKAKNnsHpB")</f>
        <v>vckVTgNzM4XXtKAKNnsHpB</v>
      </c>
      <c r="AX192" s="3"/>
      <c r="AY192" s="3">
        <f>IFERROR(__xludf.DUMMYFUNCTION("""COMPUTED_VALUE"""),191.0)</f>
        <v>191</v>
      </c>
    </row>
    <row r="193">
      <c r="A193" s="3" t="str">
        <f>IFERROR(__xludf.DUMMYFUNCTION("""COMPUTED_VALUE"""),"Yes")</f>
        <v>Yes</v>
      </c>
      <c r="B193" s="3"/>
      <c r="C193" s="3" t="str">
        <f>IFERROR(__xludf.DUMMYFUNCTION("""COMPUTED_VALUE"""),"mozambique")</f>
        <v>mozambique</v>
      </c>
      <c r="D193" s="3"/>
      <c r="E193" s="3" t="str">
        <f>IFERROR(__xludf.DUMMYFUNCTION("""COMPUTED_VALUE"""),"south_africa")</f>
        <v>south_africa</v>
      </c>
      <c r="F193" s="3" t="str">
        <f>IFERROR(__xludf.DUMMYFUNCTION("""COMPUTED_VALUE"""),"City of Tshwane Metropolitan Municipality")</f>
        <v>City of Tshwane Metropolitan Municipality</v>
      </c>
      <c r="G193" s="3">
        <f>IFERROR(__xludf.DUMMYFUNCTION("""COMPUTED_VALUE"""),37.0)</f>
        <v>37</v>
      </c>
      <c r="H193" s="3" t="str">
        <f>IFERROR(__xludf.DUMMYFUNCTION("""COMPUTED_VALUE"""),"male")</f>
        <v>male</v>
      </c>
      <c r="I193" s="3" t="str">
        <f>IFERROR(__xludf.DUMMYFUNCTION("""COMPUTED_VALUE"""),"1to5")</f>
        <v>1to5</v>
      </c>
      <c r="J193" s="3" t="str">
        <f>IFERROR(__xludf.DUMMYFUNCTION("""COMPUTED_VALUE"""),"unemployed")</f>
        <v>unemployed</v>
      </c>
      <c r="K193" s="3" t="str">
        <f>IFERROR(__xludf.DUMMYFUNCTION("""COMPUTED_VALUE"""),"secondary")</f>
        <v>secondary</v>
      </c>
      <c r="L193" s="3"/>
      <c r="M193" s="3" t="str">
        <f>IFERROR(__xludf.DUMMYFUNCTION("""COMPUTED_VALUE"""),"agree")</f>
        <v>agree</v>
      </c>
      <c r="N193" s="3" t="str">
        <f>IFERROR(__xludf.DUMMYFUNCTION("""COMPUTED_VALUE"""),"agree")</f>
        <v>agree</v>
      </c>
      <c r="O193" s="3" t="str">
        <f>IFERROR(__xludf.DUMMYFUNCTION("""COMPUTED_VALUE"""),"agree")</f>
        <v>agree</v>
      </c>
      <c r="P193" s="3"/>
      <c r="Q193" s="3" t="str">
        <f>IFERROR(__xludf.DUMMYFUNCTION("""COMPUTED_VALUE"""),"agree")</f>
        <v>agree</v>
      </c>
      <c r="R193" s="3" t="str">
        <f>IFERROR(__xludf.DUMMYFUNCTION("""COMPUTED_VALUE"""),"agree")</f>
        <v>agree</v>
      </c>
      <c r="S193" s="3" t="str">
        <f>IFERROR(__xludf.DUMMYFUNCTION("""COMPUTED_VALUE"""),"agree")</f>
        <v>agree</v>
      </c>
      <c r="T193" s="3" t="str">
        <f>IFERROR(__xludf.DUMMYFUNCTION("""COMPUTED_VALUE"""),"agree")</f>
        <v>agree</v>
      </c>
      <c r="U193" s="3" t="str">
        <f>IFERROR(__xludf.DUMMYFUNCTION("""COMPUTED_VALUE"""),"agree")</f>
        <v>agree</v>
      </c>
      <c r="V193" s="3" t="str">
        <f>IFERROR(__xludf.DUMMYFUNCTION("""COMPUTED_VALUE"""),"agree")</f>
        <v>agree</v>
      </c>
      <c r="W193" s="3" t="str">
        <f>IFERROR(__xludf.DUMMYFUNCTION("""COMPUTED_VALUE"""),"agree")</f>
        <v>agree</v>
      </c>
      <c r="X193" s="3" t="str">
        <f>IFERROR(__xludf.DUMMYFUNCTION("""COMPUTED_VALUE"""),"Gold")</f>
        <v>Gold</v>
      </c>
      <c r="Y193" s="3" t="str">
        <f>IFERROR(__xludf.DUMMYFUNCTION("""COMPUTED_VALUE"""),"prepaid")</f>
        <v>prepaid</v>
      </c>
      <c r="Z193" s="3" t="str">
        <f>IFERROR(__xludf.DUMMYFUNCTION("""COMPUTED_VALUE"""),"annual")</f>
        <v>annual</v>
      </c>
      <c r="AA193" s="3">
        <f>IFERROR(__xludf.DUMMYFUNCTION("""COMPUTED_VALUE"""),100.0)</f>
        <v>100</v>
      </c>
      <c r="AB193" s="3" t="str">
        <f>IFERROR(__xludf.DUMMYFUNCTION("""COMPUTED_VALUE"""),"assisted")</f>
        <v>assisted</v>
      </c>
      <c r="AC193" s="3" t="str">
        <f>IFERROR(__xludf.DUMMYFUNCTION("""COMPUTED_VALUE"""),"Yes")</f>
        <v>Yes</v>
      </c>
      <c r="AD193" s="3" t="str">
        <f>IFERROR(__xludf.DUMMYFUNCTION("""COMPUTED_VALUE"""),"Gold")</f>
        <v>Gold</v>
      </c>
      <c r="AE193" s="3"/>
      <c r="AF193" s="3" t="str">
        <f>IFERROR(__xludf.DUMMYFUNCTION("""COMPUTED_VALUE"""),"Yes")</f>
        <v>Yes</v>
      </c>
      <c r="AG193" s="3" t="str">
        <f>IFERROR(__xludf.DUMMYFUNCTION("""COMPUTED_VALUE"""),"Yes")</f>
        <v>Yes</v>
      </c>
      <c r="AH193" s="3">
        <f>IFERROR(__xludf.DUMMYFUNCTION("""COMPUTED_VALUE"""),300.0)</f>
        <v>300</v>
      </c>
      <c r="AI193" s="3">
        <f>IFERROR(__xludf.DUMMYFUNCTION("""COMPUTED_VALUE"""),1.0)</f>
        <v>1</v>
      </c>
      <c r="AJ193" s="3">
        <f>IFERROR(__xludf.DUMMYFUNCTION("""COMPUTED_VALUE"""),0.0)</f>
        <v>0</v>
      </c>
      <c r="AK193" s="3">
        <f>IFERROR(__xludf.DUMMYFUNCTION("""COMPUTED_VALUE"""),0.0)</f>
        <v>0</v>
      </c>
      <c r="AL193" s="3">
        <f>IFERROR(__xludf.DUMMYFUNCTION("""COMPUTED_VALUE"""),0.0)</f>
        <v>0</v>
      </c>
      <c r="AM193" s="3" t="str">
        <f>IFERROR(__xludf.DUMMYFUNCTION("""COMPUTED_VALUE"""),"Yes")</f>
        <v>Yes</v>
      </c>
      <c r="AN193" s="3">
        <f>IFERROR(__xludf.DUMMYFUNCTION("""COMPUTED_VALUE"""),7.47761012E8)</f>
        <v>747761012</v>
      </c>
      <c r="AO193" s="3"/>
      <c r="AP193" s="3">
        <f>IFERROR(__xludf.DUMMYFUNCTION("""COMPUTED_VALUE"""),4.90112113E8)</f>
        <v>490112113</v>
      </c>
      <c r="AQ193" s="3" t="str">
        <f>IFERROR(__xludf.DUMMYFUNCTION("""COMPUTED_VALUE"""),"19f3f88b-c049-466a-bca4-fc482affe34b")</f>
        <v>19f3f88b-c049-466a-bca4-fc482affe34b</v>
      </c>
      <c r="AR193" s="3">
        <f>IFERROR(__xludf.DUMMYFUNCTION("""COMPUTED_VALUE"""),45808.63810185185)</f>
        <v>45808.6381</v>
      </c>
      <c r="AS193" s="3"/>
      <c r="AT193" s="3"/>
      <c r="AU193" s="3" t="str">
        <f>IFERROR(__xludf.DUMMYFUNCTION("""COMPUTED_VALUE"""),"submitted_via_web")</f>
        <v>submitted_via_web</v>
      </c>
      <c r="AV193" s="3"/>
      <c r="AW193" s="3" t="str">
        <f>IFERROR(__xludf.DUMMYFUNCTION("""COMPUTED_VALUE"""),"vckVTgNzM4XXtKAKNnsHpB")</f>
        <v>vckVTgNzM4XXtKAKNnsHpB</v>
      </c>
      <c r="AX193" s="3"/>
      <c r="AY193" s="3">
        <f>IFERROR(__xludf.DUMMYFUNCTION("""COMPUTED_VALUE"""),192.0)</f>
        <v>192</v>
      </c>
    </row>
    <row r="194">
      <c r="A194" s="3" t="str">
        <f>IFERROR(__xludf.DUMMYFUNCTION("""COMPUTED_VALUE"""),"Yes")</f>
        <v>Yes</v>
      </c>
      <c r="B194" s="3"/>
      <c r="C194" s="3" t="str">
        <f>IFERROR(__xludf.DUMMYFUNCTION("""COMPUTED_VALUE"""),"mozambique")</f>
        <v>mozambique</v>
      </c>
      <c r="D194" s="3"/>
      <c r="E194" s="3" t="str">
        <f>IFERROR(__xludf.DUMMYFUNCTION("""COMPUTED_VALUE"""),"south_africa")</f>
        <v>south_africa</v>
      </c>
      <c r="F194" s="3" t="str">
        <f>IFERROR(__xludf.DUMMYFUNCTION("""COMPUTED_VALUE"""),"City of Tshwane Metropolitan Municipality")</f>
        <v>City of Tshwane Metropolitan Municipality</v>
      </c>
      <c r="G194" s="3">
        <f>IFERROR(__xludf.DUMMYFUNCTION("""COMPUTED_VALUE"""),43.0)</f>
        <v>43</v>
      </c>
      <c r="H194" s="3" t="str">
        <f>IFERROR(__xludf.DUMMYFUNCTION("""COMPUTED_VALUE"""),"male")</f>
        <v>male</v>
      </c>
      <c r="I194" s="3" t="str">
        <f>IFERROR(__xludf.DUMMYFUNCTION("""COMPUTED_VALUE"""),"over5")</f>
        <v>over5</v>
      </c>
      <c r="J194" s="3" t="str">
        <f>IFERROR(__xludf.DUMMYFUNCTION("""COMPUTED_VALUE"""),"informal")</f>
        <v>informal</v>
      </c>
      <c r="K194" s="3" t="str">
        <f>IFERROR(__xludf.DUMMYFUNCTION("""COMPUTED_VALUE"""),"secondary")</f>
        <v>secondary</v>
      </c>
      <c r="L194" s="3"/>
      <c r="M194" s="3" t="str">
        <f>IFERROR(__xludf.DUMMYFUNCTION("""COMPUTED_VALUE"""),"agree")</f>
        <v>agree</v>
      </c>
      <c r="N194" s="3" t="str">
        <f>IFERROR(__xludf.DUMMYFUNCTION("""COMPUTED_VALUE"""),"agree")</f>
        <v>agree</v>
      </c>
      <c r="O194" s="3" t="str">
        <f>IFERROR(__xludf.DUMMYFUNCTION("""COMPUTED_VALUE"""),"agree")</f>
        <v>agree</v>
      </c>
      <c r="P194" s="3"/>
      <c r="Q194" s="3" t="str">
        <f>IFERROR(__xludf.DUMMYFUNCTION("""COMPUTED_VALUE"""),"agree")</f>
        <v>agree</v>
      </c>
      <c r="R194" s="3" t="str">
        <f>IFERROR(__xludf.DUMMYFUNCTION("""COMPUTED_VALUE"""),"agree")</f>
        <v>agree</v>
      </c>
      <c r="S194" s="3" t="str">
        <f>IFERROR(__xludf.DUMMYFUNCTION("""COMPUTED_VALUE"""),"agree")</f>
        <v>agree</v>
      </c>
      <c r="T194" s="3" t="str">
        <f>IFERROR(__xludf.DUMMYFUNCTION("""COMPUTED_VALUE"""),"agree")</f>
        <v>agree</v>
      </c>
      <c r="U194" s="3" t="str">
        <f>IFERROR(__xludf.DUMMYFUNCTION("""COMPUTED_VALUE"""),"agree")</f>
        <v>agree</v>
      </c>
      <c r="V194" s="3" t="str">
        <f>IFERROR(__xludf.DUMMYFUNCTION("""COMPUTED_VALUE"""),"agree")</f>
        <v>agree</v>
      </c>
      <c r="W194" s="3" t="str">
        <f>IFERROR(__xludf.DUMMYFUNCTION("""COMPUTED_VALUE"""),"agree")</f>
        <v>agree</v>
      </c>
      <c r="X194" s="3" t="str">
        <f>IFERROR(__xludf.DUMMYFUNCTION("""COMPUTED_VALUE"""),"Gold")</f>
        <v>Gold</v>
      </c>
      <c r="Y194" s="3" t="str">
        <f>IFERROR(__xludf.DUMMYFUNCTION("""COMPUTED_VALUE"""),"card")</f>
        <v>card</v>
      </c>
      <c r="Z194" s="3" t="str">
        <f>IFERROR(__xludf.DUMMYFUNCTION("""COMPUTED_VALUE"""),"annual")</f>
        <v>annual</v>
      </c>
      <c r="AA194" s="3">
        <f>IFERROR(__xludf.DUMMYFUNCTION("""COMPUTED_VALUE"""),100.0)</f>
        <v>100</v>
      </c>
      <c r="AB194" s="3" t="str">
        <f>IFERROR(__xludf.DUMMYFUNCTION("""COMPUTED_VALUE"""),"employer")</f>
        <v>employer</v>
      </c>
      <c r="AC194" s="3" t="str">
        <f>IFERROR(__xludf.DUMMYFUNCTION("""COMPUTED_VALUE"""),"Yes")</f>
        <v>Yes</v>
      </c>
      <c r="AD194" s="3" t="str">
        <f>IFERROR(__xludf.DUMMYFUNCTION("""COMPUTED_VALUE"""),"Gold")</f>
        <v>Gold</v>
      </c>
      <c r="AE194" s="3" t="str">
        <f>IFERROR(__xludf.DUMMYFUNCTION("""COMPUTED_VALUE"""),"Yes")</f>
        <v>Yes</v>
      </c>
      <c r="AF194" s="3" t="str">
        <f>IFERROR(__xludf.DUMMYFUNCTION("""COMPUTED_VALUE"""),"Yes")</f>
        <v>Yes</v>
      </c>
      <c r="AG194" s="3" t="str">
        <f>IFERROR(__xludf.DUMMYFUNCTION("""COMPUTED_VALUE"""),"Yes")</f>
        <v>Yes</v>
      </c>
      <c r="AH194" s="3"/>
      <c r="AI194" s="3">
        <f>IFERROR(__xludf.DUMMYFUNCTION("""COMPUTED_VALUE"""),0.0)</f>
        <v>0</v>
      </c>
      <c r="AJ194" s="3">
        <f>IFERROR(__xludf.DUMMYFUNCTION("""COMPUTED_VALUE"""),0.0)</f>
        <v>0</v>
      </c>
      <c r="AK194" s="3">
        <f>IFERROR(__xludf.DUMMYFUNCTION("""COMPUTED_VALUE"""),0.0)</f>
        <v>0</v>
      </c>
      <c r="AL194" s="3">
        <f>IFERROR(__xludf.DUMMYFUNCTION("""COMPUTED_VALUE"""),1.0)</f>
        <v>1</v>
      </c>
      <c r="AM194" s="3" t="str">
        <f>IFERROR(__xludf.DUMMYFUNCTION("""COMPUTED_VALUE"""),"Yes")</f>
        <v>Yes</v>
      </c>
      <c r="AN194" s="3">
        <f>IFERROR(__xludf.DUMMYFUNCTION("""COMPUTED_VALUE"""),6.56652996E8)</f>
        <v>656652996</v>
      </c>
      <c r="AO194" s="3"/>
      <c r="AP194" s="3">
        <f>IFERROR(__xludf.DUMMYFUNCTION("""COMPUTED_VALUE"""),4.9011343E8)</f>
        <v>490113430</v>
      </c>
      <c r="AQ194" s="3" t="str">
        <f>IFERROR(__xludf.DUMMYFUNCTION("""COMPUTED_VALUE"""),"fca6d1c4-87b8-4dcc-aa38-cd8cc5bd08ac")</f>
        <v>fca6d1c4-87b8-4dcc-aa38-cd8cc5bd08ac</v>
      </c>
      <c r="AR194" s="3">
        <f>IFERROR(__xludf.DUMMYFUNCTION("""COMPUTED_VALUE"""),45808.639398148145)</f>
        <v>45808.6394</v>
      </c>
      <c r="AS194" s="3"/>
      <c r="AT194" s="3"/>
      <c r="AU194" s="3" t="str">
        <f>IFERROR(__xludf.DUMMYFUNCTION("""COMPUTED_VALUE"""),"submitted_via_web")</f>
        <v>submitted_via_web</v>
      </c>
      <c r="AV194" s="3"/>
      <c r="AW194" s="3" t="str">
        <f>IFERROR(__xludf.DUMMYFUNCTION("""COMPUTED_VALUE"""),"vckVTgNzM4XXtKAKNnsHpB")</f>
        <v>vckVTgNzM4XXtKAKNnsHpB</v>
      </c>
      <c r="AX194" s="3"/>
      <c r="AY194" s="3">
        <f>IFERROR(__xludf.DUMMYFUNCTION("""COMPUTED_VALUE"""),193.0)</f>
        <v>193</v>
      </c>
    </row>
    <row r="195">
      <c r="A195" s="3" t="str">
        <f>IFERROR(__xludf.DUMMYFUNCTION("""COMPUTED_VALUE"""),"Yes")</f>
        <v>Yes</v>
      </c>
      <c r="B195" s="3"/>
      <c r="C195" s="3" t="str">
        <f>IFERROR(__xludf.DUMMYFUNCTION("""COMPUTED_VALUE"""),"mozambique")</f>
        <v>mozambique</v>
      </c>
      <c r="D195" s="3"/>
      <c r="E195" s="3" t="str">
        <f>IFERROR(__xludf.DUMMYFUNCTION("""COMPUTED_VALUE"""),"south_africa")</f>
        <v>south_africa</v>
      </c>
      <c r="F195" s="3" t="str">
        <f>IFERROR(__xludf.DUMMYFUNCTION("""COMPUTED_VALUE"""),"City of Tshwane Metropolitan Municipality")</f>
        <v>City of Tshwane Metropolitan Municipality</v>
      </c>
      <c r="G195" s="3">
        <f>IFERROR(__xludf.DUMMYFUNCTION("""COMPUTED_VALUE"""),32.0)</f>
        <v>32</v>
      </c>
      <c r="H195" s="3" t="str">
        <f>IFERROR(__xludf.DUMMYFUNCTION("""COMPUTED_VALUE"""),"male")</f>
        <v>male</v>
      </c>
      <c r="I195" s="3" t="str">
        <f>IFERROR(__xludf.DUMMYFUNCTION("""COMPUTED_VALUE"""),"1to5")</f>
        <v>1to5</v>
      </c>
      <c r="J195" s="3" t="str">
        <f>IFERROR(__xludf.DUMMYFUNCTION("""COMPUTED_VALUE"""),"informal")</f>
        <v>informal</v>
      </c>
      <c r="K195" s="3" t="str">
        <f>IFERROR(__xludf.DUMMYFUNCTION("""COMPUTED_VALUE"""),"primary")</f>
        <v>primary</v>
      </c>
      <c r="L195" s="3"/>
      <c r="M195" s="3" t="str">
        <f>IFERROR(__xludf.DUMMYFUNCTION("""COMPUTED_VALUE"""),"agree")</f>
        <v>agree</v>
      </c>
      <c r="N195" s="3" t="str">
        <f>IFERROR(__xludf.DUMMYFUNCTION("""COMPUTED_VALUE"""),"agree")</f>
        <v>agree</v>
      </c>
      <c r="O195" s="3" t="str">
        <f>IFERROR(__xludf.DUMMYFUNCTION("""COMPUTED_VALUE"""),"agree")</f>
        <v>agree</v>
      </c>
      <c r="P195" s="3"/>
      <c r="Q195" s="3" t="str">
        <f>IFERROR(__xludf.DUMMYFUNCTION("""COMPUTED_VALUE"""),"agree")</f>
        <v>agree</v>
      </c>
      <c r="R195" s="3" t="str">
        <f>IFERROR(__xludf.DUMMYFUNCTION("""COMPUTED_VALUE"""),"agree")</f>
        <v>agree</v>
      </c>
      <c r="S195" s="3" t="str">
        <f>IFERROR(__xludf.DUMMYFUNCTION("""COMPUTED_VALUE"""),"agree")</f>
        <v>agree</v>
      </c>
      <c r="T195" s="3" t="str">
        <f>IFERROR(__xludf.DUMMYFUNCTION("""COMPUTED_VALUE"""),"agree")</f>
        <v>agree</v>
      </c>
      <c r="U195" s="3" t="str">
        <f>IFERROR(__xludf.DUMMYFUNCTION("""COMPUTED_VALUE"""),"agree")</f>
        <v>agree</v>
      </c>
      <c r="V195" s="3" t="str">
        <f>IFERROR(__xludf.DUMMYFUNCTION("""COMPUTED_VALUE"""),"agree")</f>
        <v>agree</v>
      </c>
      <c r="W195" s="3" t="str">
        <f>IFERROR(__xludf.DUMMYFUNCTION("""COMPUTED_VALUE"""),"agree")</f>
        <v>agree</v>
      </c>
      <c r="X195" s="3" t="str">
        <f>IFERROR(__xludf.DUMMYFUNCTION("""COMPUTED_VALUE"""),"Gold")</f>
        <v>Gold</v>
      </c>
      <c r="Y195" s="3" t="str">
        <f>IFERROR(__xludf.DUMMYFUNCTION("""COMPUTED_VALUE"""),"card")</f>
        <v>card</v>
      </c>
      <c r="Z195" s="3" t="str">
        <f>IFERROR(__xludf.DUMMYFUNCTION("""COMPUTED_VALUE"""),"annual")</f>
        <v>annual</v>
      </c>
      <c r="AA195" s="3">
        <f>IFERROR(__xludf.DUMMYFUNCTION("""COMPUTED_VALUE"""),100.0)</f>
        <v>100</v>
      </c>
      <c r="AB195" s="3" t="str">
        <f>IFERROR(__xludf.DUMMYFUNCTION("""COMPUTED_VALUE"""),"assisted")</f>
        <v>assisted</v>
      </c>
      <c r="AC195" s="3" t="str">
        <f>IFERROR(__xludf.DUMMYFUNCTION("""COMPUTED_VALUE"""),"Yes")</f>
        <v>Yes</v>
      </c>
      <c r="AD195" s="3" t="str">
        <f>IFERROR(__xludf.DUMMYFUNCTION("""COMPUTED_VALUE"""),"Gold")</f>
        <v>Gold</v>
      </c>
      <c r="AE195" s="3" t="str">
        <f>IFERROR(__xludf.DUMMYFUNCTION("""COMPUTED_VALUE"""),"Yes")</f>
        <v>Yes</v>
      </c>
      <c r="AF195" s="3" t="str">
        <f>IFERROR(__xludf.DUMMYFUNCTION("""COMPUTED_VALUE"""),"Yes")</f>
        <v>Yes</v>
      </c>
      <c r="AG195" s="3" t="str">
        <f>IFERROR(__xludf.DUMMYFUNCTION("""COMPUTED_VALUE"""),"Yes")</f>
        <v>Yes</v>
      </c>
      <c r="AH195" s="3"/>
      <c r="AI195" s="3">
        <f>IFERROR(__xludf.DUMMYFUNCTION("""COMPUTED_VALUE"""),0.0)</f>
        <v>0</v>
      </c>
      <c r="AJ195" s="3">
        <f>IFERROR(__xludf.DUMMYFUNCTION("""COMPUTED_VALUE"""),1.0)</f>
        <v>1</v>
      </c>
      <c r="AK195" s="3">
        <f>IFERROR(__xludf.DUMMYFUNCTION("""COMPUTED_VALUE"""),0.0)</f>
        <v>0</v>
      </c>
      <c r="AL195" s="3">
        <f>IFERROR(__xludf.DUMMYFUNCTION("""COMPUTED_VALUE"""),0.0)</f>
        <v>0</v>
      </c>
      <c r="AM195" s="3" t="str">
        <f>IFERROR(__xludf.DUMMYFUNCTION("""COMPUTED_VALUE"""),"Yes")</f>
        <v>Yes</v>
      </c>
      <c r="AN195" s="3">
        <f>IFERROR(__xludf.DUMMYFUNCTION("""COMPUTED_VALUE"""),8.37345408E8)</f>
        <v>837345408</v>
      </c>
      <c r="AO195" s="3"/>
      <c r="AP195" s="3">
        <f>IFERROR(__xludf.DUMMYFUNCTION("""COMPUTED_VALUE"""),4.90115535E8)</f>
        <v>490115535</v>
      </c>
      <c r="AQ195" s="3" t="str">
        <f>IFERROR(__xludf.DUMMYFUNCTION("""COMPUTED_VALUE"""),"b6178e96-4bdb-41dc-ad72-38fb4117cb60")</f>
        <v>b6178e96-4bdb-41dc-ad72-38fb4117cb60</v>
      </c>
      <c r="AR195" s="3">
        <f>IFERROR(__xludf.DUMMYFUNCTION("""COMPUTED_VALUE"""),45808.64135416667)</f>
        <v>45808.64135</v>
      </c>
      <c r="AS195" s="3"/>
      <c r="AT195" s="3"/>
      <c r="AU195" s="3" t="str">
        <f>IFERROR(__xludf.DUMMYFUNCTION("""COMPUTED_VALUE"""),"submitted_via_web")</f>
        <v>submitted_via_web</v>
      </c>
      <c r="AV195" s="3"/>
      <c r="AW195" s="3" t="str">
        <f>IFERROR(__xludf.DUMMYFUNCTION("""COMPUTED_VALUE"""),"vckVTgNzM4XXtKAKNnsHpB")</f>
        <v>vckVTgNzM4XXtKAKNnsHpB</v>
      </c>
      <c r="AX195" s="3"/>
      <c r="AY195" s="3">
        <f>IFERROR(__xludf.DUMMYFUNCTION("""COMPUTED_VALUE"""),194.0)</f>
        <v>194</v>
      </c>
    </row>
    <row r="196">
      <c r="A196" s="3" t="str">
        <f>IFERROR(__xludf.DUMMYFUNCTION("""COMPUTED_VALUE"""),"Yes")</f>
        <v>Yes</v>
      </c>
      <c r="B196" s="3"/>
      <c r="C196" s="3" t="str">
        <f>IFERROR(__xludf.DUMMYFUNCTION("""COMPUTED_VALUE"""),"mozambique")</f>
        <v>mozambique</v>
      </c>
      <c r="D196" s="3"/>
      <c r="E196" s="3" t="str">
        <f>IFERROR(__xludf.DUMMYFUNCTION("""COMPUTED_VALUE"""),"south_africa")</f>
        <v>south_africa</v>
      </c>
      <c r="F196" s="3" t="str">
        <f>IFERROR(__xludf.DUMMYFUNCTION("""COMPUTED_VALUE"""),"City of Tshwane Metropolitan Municipality")</f>
        <v>City of Tshwane Metropolitan Municipality</v>
      </c>
      <c r="G196" s="3">
        <f>IFERROR(__xludf.DUMMYFUNCTION("""COMPUTED_VALUE"""),26.0)</f>
        <v>26</v>
      </c>
      <c r="H196" s="3" t="str">
        <f>IFERROR(__xludf.DUMMYFUNCTION("""COMPUTED_VALUE"""),"female")</f>
        <v>female</v>
      </c>
      <c r="I196" s="3" t="str">
        <f>IFERROR(__xludf.DUMMYFUNCTION("""COMPUTED_VALUE"""),"1to5")</f>
        <v>1to5</v>
      </c>
      <c r="J196" s="3" t="str">
        <f>IFERROR(__xludf.DUMMYFUNCTION("""COMPUTED_VALUE"""),"unemployed")</f>
        <v>unemployed</v>
      </c>
      <c r="K196" s="3" t="str">
        <f>IFERROR(__xludf.DUMMYFUNCTION("""COMPUTED_VALUE"""),"primary")</f>
        <v>primary</v>
      </c>
      <c r="L196" s="3"/>
      <c r="M196" s="3" t="str">
        <f>IFERROR(__xludf.DUMMYFUNCTION("""COMPUTED_VALUE"""),"agree")</f>
        <v>agree</v>
      </c>
      <c r="N196" s="3" t="str">
        <f>IFERROR(__xludf.DUMMYFUNCTION("""COMPUTED_VALUE"""),"agree")</f>
        <v>agree</v>
      </c>
      <c r="O196" s="3" t="str">
        <f>IFERROR(__xludf.DUMMYFUNCTION("""COMPUTED_VALUE"""),"agree")</f>
        <v>agree</v>
      </c>
      <c r="P196" s="3"/>
      <c r="Q196" s="3" t="str">
        <f>IFERROR(__xludf.DUMMYFUNCTION("""COMPUTED_VALUE"""),"agree")</f>
        <v>agree</v>
      </c>
      <c r="R196" s="3" t="str">
        <f>IFERROR(__xludf.DUMMYFUNCTION("""COMPUTED_VALUE"""),"agree")</f>
        <v>agree</v>
      </c>
      <c r="S196" s="3" t="str">
        <f>IFERROR(__xludf.DUMMYFUNCTION("""COMPUTED_VALUE"""),"agree")</f>
        <v>agree</v>
      </c>
      <c r="T196" s="3" t="str">
        <f>IFERROR(__xludf.DUMMYFUNCTION("""COMPUTED_VALUE"""),"agree")</f>
        <v>agree</v>
      </c>
      <c r="U196" s="3" t="str">
        <f>IFERROR(__xludf.DUMMYFUNCTION("""COMPUTED_VALUE"""),"agree")</f>
        <v>agree</v>
      </c>
      <c r="V196" s="3" t="str">
        <f>IFERROR(__xludf.DUMMYFUNCTION("""COMPUTED_VALUE"""),"agree")</f>
        <v>agree</v>
      </c>
      <c r="W196" s="3" t="str">
        <f>IFERROR(__xludf.DUMMYFUNCTION("""COMPUTED_VALUE"""),"agree")</f>
        <v>agree</v>
      </c>
      <c r="X196" s="3" t="str">
        <f>IFERROR(__xludf.DUMMYFUNCTION("""COMPUTED_VALUE"""),"Gold")</f>
        <v>Gold</v>
      </c>
      <c r="Y196" s="3" t="str">
        <f>IFERROR(__xludf.DUMMYFUNCTION("""COMPUTED_VALUE"""),"cash")</f>
        <v>cash</v>
      </c>
      <c r="Z196" s="3" t="str">
        <f>IFERROR(__xludf.DUMMYFUNCTION("""COMPUTED_VALUE"""),"biannual")</f>
        <v>biannual</v>
      </c>
      <c r="AA196" s="3">
        <f>IFERROR(__xludf.DUMMYFUNCTION("""COMPUTED_VALUE"""),50.0)</f>
        <v>50</v>
      </c>
      <c r="AB196" s="3" t="str">
        <f>IFERROR(__xludf.DUMMYFUNCTION("""COMPUTED_VALUE"""),"assisted")</f>
        <v>assisted</v>
      </c>
      <c r="AC196" s="3" t="str">
        <f>IFERROR(__xludf.DUMMYFUNCTION("""COMPUTED_VALUE"""),"I am not an employer")</f>
        <v>I am not an employer</v>
      </c>
      <c r="AD196" s="3"/>
      <c r="AE196" s="3"/>
      <c r="AF196" s="3" t="str">
        <f>IFERROR(__xludf.DUMMYFUNCTION("""COMPUTED_VALUE"""),"Yes")</f>
        <v>Yes</v>
      </c>
      <c r="AG196" s="3" t="str">
        <f>IFERROR(__xludf.DUMMYFUNCTION("""COMPUTED_VALUE"""),"Yes")</f>
        <v>Yes</v>
      </c>
      <c r="AH196" s="3"/>
      <c r="AI196" s="3">
        <f>IFERROR(__xludf.DUMMYFUNCTION("""COMPUTED_VALUE"""),1.0)</f>
        <v>1</v>
      </c>
      <c r="AJ196" s="3">
        <f>IFERROR(__xludf.DUMMYFUNCTION("""COMPUTED_VALUE"""),0.0)</f>
        <v>0</v>
      </c>
      <c r="AK196" s="3">
        <f>IFERROR(__xludf.DUMMYFUNCTION("""COMPUTED_VALUE"""),0.0)</f>
        <v>0</v>
      </c>
      <c r="AL196" s="3">
        <f>IFERROR(__xludf.DUMMYFUNCTION("""COMPUTED_VALUE"""),0.0)</f>
        <v>0</v>
      </c>
      <c r="AM196" s="3" t="str">
        <f>IFERROR(__xludf.DUMMYFUNCTION("""COMPUTED_VALUE"""),"Yes")</f>
        <v>Yes</v>
      </c>
      <c r="AN196" s="3">
        <f>IFERROR(__xludf.DUMMYFUNCTION("""COMPUTED_VALUE"""),8.37345408E8)</f>
        <v>837345408</v>
      </c>
      <c r="AO196" s="3"/>
      <c r="AP196" s="3">
        <f>IFERROR(__xludf.DUMMYFUNCTION("""COMPUTED_VALUE"""),4.90116971E8)</f>
        <v>490116971</v>
      </c>
      <c r="AQ196" s="3" t="str">
        <f>IFERROR(__xludf.DUMMYFUNCTION("""COMPUTED_VALUE"""),"5ee34004-c770-4eb5-9bea-7363d4210b93")</f>
        <v>5ee34004-c770-4eb5-9bea-7363d4210b93</v>
      </c>
      <c r="AR196" s="3">
        <f>IFERROR(__xludf.DUMMYFUNCTION("""COMPUTED_VALUE"""),45808.64273148148)</f>
        <v>45808.64273</v>
      </c>
      <c r="AS196" s="3"/>
      <c r="AT196" s="3"/>
      <c r="AU196" s="3" t="str">
        <f>IFERROR(__xludf.DUMMYFUNCTION("""COMPUTED_VALUE"""),"submitted_via_web")</f>
        <v>submitted_via_web</v>
      </c>
      <c r="AV196" s="3"/>
      <c r="AW196" s="3" t="str">
        <f>IFERROR(__xludf.DUMMYFUNCTION("""COMPUTED_VALUE"""),"vckVTgNzM4XXtKAKNnsHpB")</f>
        <v>vckVTgNzM4XXtKAKNnsHpB</v>
      </c>
      <c r="AX196" s="3"/>
      <c r="AY196" s="3">
        <f>IFERROR(__xludf.DUMMYFUNCTION("""COMPUTED_VALUE"""),195.0)</f>
        <v>195</v>
      </c>
    </row>
    <row r="197">
      <c r="A197" s="3" t="str">
        <f>IFERROR(__xludf.DUMMYFUNCTION("""COMPUTED_VALUE"""),"Yes")</f>
        <v>Yes</v>
      </c>
      <c r="B197" s="3"/>
      <c r="C197" s="3" t="str">
        <f>IFERROR(__xludf.DUMMYFUNCTION("""COMPUTED_VALUE"""),"zimbabwe")</f>
        <v>zimbabwe</v>
      </c>
      <c r="D197" s="3"/>
      <c r="E197" s="3" t="str">
        <f>IFERROR(__xludf.DUMMYFUNCTION("""COMPUTED_VALUE"""),"south_africa")</f>
        <v>south_africa</v>
      </c>
      <c r="F197" s="3" t="str">
        <f>IFERROR(__xludf.DUMMYFUNCTION("""COMPUTED_VALUE"""),"City of Tshwane Metropolitan Municipality")</f>
        <v>City of Tshwane Metropolitan Municipality</v>
      </c>
      <c r="G197" s="3">
        <f>IFERROR(__xludf.DUMMYFUNCTION("""COMPUTED_VALUE"""),31.0)</f>
        <v>31</v>
      </c>
      <c r="H197" s="3" t="str">
        <f>IFERROR(__xludf.DUMMYFUNCTION("""COMPUTED_VALUE"""),"male")</f>
        <v>male</v>
      </c>
      <c r="I197" s="3" t="str">
        <f>IFERROR(__xludf.DUMMYFUNCTION("""COMPUTED_VALUE"""),"over5")</f>
        <v>over5</v>
      </c>
      <c r="J197" s="3" t="str">
        <f>IFERROR(__xludf.DUMMYFUNCTION("""COMPUTED_VALUE"""),"informal")</f>
        <v>informal</v>
      </c>
      <c r="K197" s="3" t="str">
        <f>IFERROR(__xludf.DUMMYFUNCTION("""COMPUTED_VALUE"""),"secondary")</f>
        <v>secondary</v>
      </c>
      <c r="L197" s="3"/>
      <c r="M197" s="3" t="str">
        <f>IFERROR(__xludf.DUMMYFUNCTION("""COMPUTED_VALUE"""),"agree")</f>
        <v>agree</v>
      </c>
      <c r="N197" s="3" t="str">
        <f>IFERROR(__xludf.DUMMYFUNCTION("""COMPUTED_VALUE"""),"agree")</f>
        <v>agree</v>
      </c>
      <c r="O197" s="3" t="str">
        <f>IFERROR(__xludf.DUMMYFUNCTION("""COMPUTED_VALUE"""),"dontknow")</f>
        <v>dontknow</v>
      </c>
      <c r="P197" s="3"/>
      <c r="Q197" s="3" t="str">
        <f>IFERROR(__xludf.DUMMYFUNCTION("""COMPUTED_VALUE"""),"agree")</f>
        <v>agree</v>
      </c>
      <c r="R197" s="3" t="str">
        <f>IFERROR(__xludf.DUMMYFUNCTION("""COMPUTED_VALUE"""),"agree")</f>
        <v>agree</v>
      </c>
      <c r="S197" s="3" t="str">
        <f>IFERROR(__xludf.DUMMYFUNCTION("""COMPUTED_VALUE"""),"agree")</f>
        <v>agree</v>
      </c>
      <c r="T197" s="3" t="str">
        <f>IFERROR(__xludf.DUMMYFUNCTION("""COMPUTED_VALUE"""),"agree")</f>
        <v>agree</v>
      </c>
      <c r="U197" s="3" t="str">
        <f>IFERROR(__xludf.DUMMYFUNCTION("""COMPUTED_VALUE"""),"agree")</f>
        <v>agree</v>
      </c>
      <c r="V197" s="3" t="str">
        <f>IFERROR(__xludf.DUMMYFUNCTION("""COMPUTED_VALUE"""),"dontknow")</f>
        <v>dontknow</v>
      </c>
      <c r="W197" s="3" t="str">
        <f>IFERROR(__xludf.DUMMYFUNCTION("""COMPUTED_VALUE"""),"dontknow")</f>
        <v>dontknow</v>
      </c>
      <c r="X197" s="3" t="str">
        <f>IFERROR(__xludf.DUMMYFUNCTION("""COMPUTED_VALUE"""),"Gold")</f>
        <v>Gold</v>
      </c>
      <c r="Y197" s="3" t="str">
        <f>IFERROR(__xludf.DUMMYFUNCTION("""COMPUTED_VALUE"""),"prepaid")</f>
        <v>prepaid</v>
      </c>
      <c r="Z197" s="3" t="str">
        <f>IFERROR(__xludf.DUMMYFUNCTION("""COMPUTED_VALUE"""),"quarterly")</f>
        <v>quarterly</v>
      </c>
      <c r="AA197" s="3">
        <f>IFERROR(__xludf.DUMMYFUNCTION("""COMPUTED_VALUE"""),100.0)</f>
        <v>100</v>
      </c>
      <c r="AB197" s="3" t="str">
        <f>IFERROR(__xludf.DUMMYFUNCTION("""COMPUTED_VALUE"""),"online")</f>
        <v>online</v>
      </c>
      <c r="AC197" s="3" t="str">
        <f>IFERROR(__xludf.DUMMYFUNCTION("""COMPUTED_VALUE"""),"Yes")</f>
        <v>Yes</v>
      </c>
      <c r="AD197" s="3" t="str">
        <f>IFERROR(__xludf.DUMMYFUNCTION("""COMPUTED_VALUE"""),"Gold")</f>
        <v>Gold</v>
      </c>
      <c r="AE197" s="3" t="str">
        <f>IFERROR(__xludf.DUMMYFUNCTION("""COMPUTED_VALUE"""),"Yes")</f>
        <v>Yes</v>
      </c>
      <c r="AF197" s="3" t="str">
        <f>IFERROR(__xludf.DUMMYFUNCTION("""COMPUTED_VALUE"""),"Yes")</f>
        <v>Yes</v>
      </c>
      <c r="AG197" s="3" t="str">
        <f>IFERROR(__xludf.DUMMYFUNCTION("""COMPUTED_VALUE"""),"Yes")</f>
        <v>Yes</v>
      </c>
      <c r="AH197" s="3">
        <f>IFERROR(__xludf.DUMMYFUNCTION("""COMPUTED_VALUE"""),350.0)</f>
        <v>350</v>
      </c>
      <c r="AI197" s="3">
        <f>IFERROR(__xludf.DUMMYFUNCTION("""COMPUTED_VALUE"""),0.0)</f>
        <v>0</v>
      </c>
      <c r="AJ197" s="3">
        <f>IFERROR(__xludf.DUMMYFUNCTION("""COMPUTED_VALUE"""),0.0)</f>
        <v>0</v>
      </c>
      <c r="AK197" s="3">
        <f>IFERROR(__xludf.DUMMYFUNCTION("""COMPUTED_VALUE"""),0.0)</f>
        <v>0</v>
      </c>
      <c r="AL197" s="3">
        <f>IFERROR(__xludf.DUMMYFUNCTION("""COMPUTED_VALUE"""),1.0)</f>
        <v>1</v>
      </c>
      <c r="AM197" s="3" t="str">
        <f>IFERROR(__xludf.DUMMYFUNCTION("""COMPUTED_VALUE"""),"Yes")</f>
        <v>Yes</v>
      </c>
      <c r="AN197" s="3">
        <f>IFERROR(__xludf.DUMMYFUNCTION("""COMPUTED_VALUE"""),6.97663225E8)</f>
        <v>697663225</v>
      </c>
      <c r="AO197" s="3"/>
      <c r="AP197" s="3">
        <f>IFERROR(__xludf.DUMMYFUNCTION("""COMPUTED_VALUE"""),4.90118314E8)</f>
        <v>490118314</v>
      </c>
      <c r="AQ197" s="3" t="str">
        <f>IFERROR(__xludf.DUMMYFUNCTION("""COMPUTED_VALUE"""),"ccc3cc99-5e44-4165-8480-519f941135d7")</f>
        <v>ccc3cc99-5e44-4165-8480-519f941135d7</v>
      </c>
      <c r="AR197" s="3">
        <f>IFERROR(__xludf.DUMMYFUNCTION("""COMPUTED_VALUE"""),45808.644282407404)</f>
        <v>45808.64428</v>
      </c>
      <c r="AS197" s="3"/>
      <c r="AT197" s="3"/>
      <c r="AU197" s="3" t="str">
        <f>IFERROR(__xludf.DUMMYFUNCTION("""COMPUTED_VALUE"""),"submitted_via_web")</f>
        <v>submitted_via_web</v>
      </c>
      <c r="AV197" s="3"/>
      <c r="AW197" s="3" t="str">
        <f>IFERROR(__xludf.DUMMYFUNCTION("""COMPUTED_VALUE"""),"vckVTgNzM4XXtKAKNnsHpB")</f>
        <v>vckVTgNzM4XXtKAKNnsHpB</v>
      </c>
      <c r="AX197" s="3"/>
      <c r="AY197" s="3">
        <f>IFERROR(__xludf.DUMMYFUNCTION("""COMPUTED_VALUE"""),196.0)</f>
        <v>196</v>
      </c>
    </row>
    <row r="198">
      <c r="A198" s="3" t="str">
        <f>IFERROR(__xludf.DUMMYFUNCTION("""COMPUTED_VALUE"""),"Yes")</f>
        <v>Yes</v>
      </c>
      <c r="B198" s="3"/>
      <c r="C198" s="3" t="str">
        <f>IFERROR(__xludf.DUMMYFUNCTION("""COMPUTED_VALUE"""),"south_africa")</f>
        <v>south_africa</v>
      </c>
      <c r="D198" s="3"/>
      <c r="E198" s="3" t="str">
        <f>IFERROR(__xludf.DUMMYFUNCTION("""COMPUTED_VALUE"""),"south_africa")</f>
        <v>south_africa</v>
      </c>
      <c r="F198" s="3" t="str">
        <f>IFERROR(__xludf.DUMMYFUNCTION("""COMPUTED_VALUE"""),"City of Tshwane Metropolitan Municipality")</f>
        <v>City of Tshwane Metropolitan Municipality</v>
      </c>
      <c r="G198" s="3">
        <f>IFERROR(__xludf.DUMMYFUNCTION("""COMPUTED_VALUE"""),45.0)</f>
        <v>45</v>
      </c>
      <c r="H198" s="3" t="str">
        <f>IFERROR(__xludf.DUMMYFUNCTION("""COMPUTED_VALUE"""),"female")</f>
        <v>female</v>
      </c>
      <c r="I198" s="3" t="str">
        <f>IFERROR(__xludf.DUMMYFUNCTION("""COMPUTED_VALUE"""),"citizen")</f>
        <v>citizen</v>
      </c>
      <c r="J198" s="3" t="str">
        <f>IFERROR(__xludf.DUMMYFUNCTION("""COMPUTED_VALUE"""),"formal")</f>
        <v>formal</v>
      </c>
      <c r="K198" s="3" t="str">
        <f>IFERROR(__xludf.DUMMYFUNCTION("""COMPUTED_VALUE"""),"tertiary")</f>
        <v>tertiary</v>
      </c>
      <c r="L198" s="3"/>
      <c r="M198" s="3" t="str">
        <f>IFERROR(__xludf.DUMMYFUNCTION("""COMPUTED_VALUE"""),"agree")</f>
        <v>agree</v>
      </c>
      <c r="N198" s="3" t="str">
        <f>IFERROR(__xludf.DUMMYFUNCTION("""COMPUTED_VALUE"""),"agree")</f>
        <v>agree</v>
      </c>
      <c r="O198" s="3" t="str">
        <f>IFERROR(__xludf.DUMMYFUNCTION("""COMPUTED_VALUE"""),"agree")</f>
        <v>agree</v>
      </c>
      <c r="P198" s="3"/>
      <c r="Q198" s="3" t="str">
        <f>IFERROR(__xludf.DUMMYFUNCTION("""COMPUTED_VALUE"""),"disagree")</f>
        <v>disagree</v>
      </c>
      <c r="R198" s="3" t="str">
        <f>IFERROR(__xludf.DUMMYFUNCTION("""COMPUTED_VALUE"""),"agree")</f>
        <v>agree</v>
      </c>
      <c r="S198" s="3" t="str">
        <f>IFERROR(__xludf.DUMMYFUNCTION("""COMPUTED_VALUE"""),"disagree")</f>
        <v>disagree</v>
      </c>
      <c r="T198" s="3" t="str">
        <f>IFERROR(__xludf.DUMMYFUNCTION("""COMPUTED_VALUE"""),"agree")</f>
        <v>agree</v>
      </c>
      <c r="U198" s="3" t="str">
        <f>IFERROR(__xludf.DUMMYFUNCTION("""COMPUTED_VALUE"""),"agree")</f>
        <v>agree</v>
      </c>
      <c r="V198" s="3" t="str">
        <f>IFERROR(__xludf.DUMMYFUNCTION("""COMPUTED_VALUE"""),"agree")</f>
        <v>agree</v>
      </c>
      <c r="W198" s="3" t="str">
        <f>IFERROR(__xludf.DUMMYFUNCTION("""COMPUTED_VALUE"""),"disagree")</f>
        <v>disagree</v>
      </c>
      <c r="X198" s="3" t="str">
        <f>IFERROR(__xludf.DUMMYFUNCTION("""COMPUTED_VALUE"""),"Silver")</f>
        <v>Silver</v>
      </c>
      <c r="Y198" s="3" t="str">
        <f>IFERROR(__xludf.DUMMYFUNCTION("""COMPUTED_VALUE"""),"insurance")</f>
        <v>insurance</v>
      </c>
      <c r="Z198" s="3" t="str">
        <f>IFERROR(__xludf.DUMMYFUNCTION("""COMPUTED_VALUE"""),"annual")</f>
        <v>annual</v>
      </c>
      <c r="AA198" s="3">
        <f>IFERROR(__xludf.DUMMYFUNCTION("""COMPUTED_VALUE"""),40.0)</f>
        <v>40</v>
      </c>
      <c r="AB198" s="3" t="str">
        <f>IFERROR(__xludf.DUMMYFUNCTION("""COMPUTED_VALUE"""),"online")</f>
        <v>online</v>
      </c>
      <c r="AC198" s="3" t="str">
        <f>IFERROR(__xludf.DUMMYFUNCTION("""COMPUTED_VALUE"""),"Yes")</f>
        <v>Yes</v>
      </c>
      <c r="AD198" s="3" t="str">
        <f>IFERROR(__xludf.DUMMYFUNCTION("""COMPUTED_VALUE"""),"Silver")</f>
        <v>Silver</v>
      </c>
      <c r="AE198" s="3" t="str">
        <f>IFERROR(__xludf.DUMMYFUNCTION("""COMPUTED_VALUE"""),"Yes")</f>
        <v>Yes</v>
      </c>
      <c r="AF198" s="3" t="str">
        <f>IFERROR(__xludf.DUMMYFUNCTION("""COMPUTED_VALUE"""),"Yes")</f>
        <v>Yes</v>
      </c>
      <c r="AG198" s="3" t="str">
        <f>IFERROR(__xludf.DUMMYFUNCTION("""COMPUTED_VALUE"""),"Yes")</f>
        <v>Yes</v>
      </c>
      <c r="AH198" s="3">
        <f>IFERROR(__xludf.DUMMYFUNCTION("""COMPUTED_VALUE"""),50.0)</f>
        <v>50</v>
      </c>
      <c r="AI198" s="3">
        <f>IFERROR(__xludf.DUMMYFUNCTION("""COMPUTED_VALUE"""),0.0)</f>
        <v>0</v>
      </c>
      <c r="AJ198" s="3">
        <f>IFERROR(__xludf.DUMMYFUNCTION("""COMPUTED_VALUE"""),0.0)</f>
        <v>0</v>
      </c>
      <c r="AK198" s="3">
        <f>IFERROR(__xludf.DUMMYFUNCTION("""COMPUTED_VALUE"""),0.0)</f>
        <v>0</v>
      </c>
      <c r="AL198" s="3">
        <f>IFERROR(__xludf.DUMMYFUNCTION("""COMPUTED_VALUE"""),1.0)</f>
        <v>1</v>
      </c>
      <c r="AM198" s="3" t="str">
        <f>IFERROR(__xludf.DUMMYFUNCTION("""COMPUTED_VALUE"""),"Yes")</f>
        <v>Yes</v>
      </c>
      <c r="AN198" s="3">
        <f>IFERROR(__xludf.DUMMYFUNCTION("""COMPUTED_VALUE"""),7.63237797E8)</f>
        <v>763237797</v>
      </c>
      <c r="AO198" s="3"/>
      <c r="AP198" s="3">
        <f>IFERROR(__xludf.DUMMYFUNCTION("""COMPUTED_VALUE"""),4.9012673E8)</f>
        <v>490126730</v>
      </c>
      <c r="AQ198" s="3" t="str">
        <f>IFERROR(__xludf.DUMMYFUNCTION("""COMPUTED_VALUE"""),"f1b4d113-188f-42f5-b1ac-f4dd02d368a7")</f>
        <v>f1b4d113-188f-42f5-b1ac-f4dd02d368a7</v>
      </c>
      <c r="AR198" s="3">
        <f>IFERROR(__xludf.DUMMYFUNCTION("""COMPUTED_VALUE"""),45808.65414351852)</f>
        <v>45808.65414</v>
      </c>
      <c r="AS198" s="3"/>
      <c r="AT198" s="3"/>
      <c r="AU198" s="3" t="str">
        <f>IFERROR(__xludf.DUMMYFUNCTION("""COMPUTED_VALUE"""),"submitted_via_web")</f>
        <v>submitted_via_web</v>
      </c>
      <c r="AV198" s="3"/>
      <c r="AW198" s="3" t="str">
        <f>IFERROR(__xludf.DUMMYFUNCTION("""COMPUTED_VALUE"""),"vckVTgNzM4XXtKAKNnsHpB")</f>
        <v>vckVTgNzM4XXtKAKNnsHpB</v>
      </c>
      <c r="AX198" s="3"/>
      <c r="AY198" s="3">
        <f>IFERROR(__xludf.DUMMYFUNCTION("""COMPUTED_VALUE"""),197.0)</f>
        <v>197</v>
      </c>
    </row>
    <row r="199">
      <c r="A199" s="3" t="str">
        <f>IFERROR(__xludf.DUMMYFUNCTION("""COMPUTED_VALUE"""),"Yes")</f>
        <v>Yes</v>
      </c>
      <c r="B199" s="3"/>
      <c r="C199" s="3" t="str">
        <f>IFERROR(__xludf.DUMMYFUNCTION("""COMPUTED_VALUE"""),"south_africa")</f>
        <v>south_africa</v>
      </c>
      <c r="D199" s="3"/>
      <c r="E199" s="3" t="str">
        <f>IFERROR(__xludf.DUMMYFUNCTION("""COMPUTED_VALUE"""),"south_africa")</f>
        <v>south_africa</v>
      </c>
      <c r="F199" s="3" t="str">
        <f>IFERROR(__xludf.DUMMYFUNCTION("""COMPUTED_VALUE"""),"City of Tshwane Metropolitan Municipality")</f>
        <v>City of Tshwane Metropolitan Municipality</v>
      </c>
      <c r="G199" s="3">
        <f>IFERROR(__xludf.DUMMYFUNCTION("""COMPUTED_VALUE"""),23.0)</f>
        <v>23</v>
      </c>
      <c r="H199" s="3" t="str">
        <f>IFERROR(__xludf.DUMMYFUNCTION("""COMPUTED_VALUE"""),"female")</f>
        <v>female</v>
      </c>
      <c r="I199" s="3" t="str">
        <f>IFERROR(__xludf.DUMMYFUNCTION("""COMPUTED_VALUE"""),"citizen")</f>
        <v>citizen</v>
      </c>
      <c r="J199" s="3" t="str">
        <f>IFERROR(__xludf.DUMMYFUNCTION("""COMPUTED_VALUE"""),"unemployed")</f>
        <v>unemployed</v>
      </c>
      <c r="K199" s="3" t="str">
        <f>IFERROR(__xludf.DUMMYFUNCTION("""COMPUTED_VALUE"""),"tertiary")</f>
        <v>tertiary</v>
      </c>
      <c r="L199" s="3"/>
      <c r="M199" s="3" t="str">
        <f>IFERROR(__xludf.DUMMYFUNCTION("""COMPUTED_VALUE"""),"agree")</f>
        <v>agree</v>
      </c>
      <c r="N199" s="3" t="str">
        <f>IFERROR(__xludf.DUMMYFUNCTION("""COMPUTED_VALUE"""),"agree")</f>
        <v>agree</v>
      </c>
      <c r="O199" s="3" t="str">
        <f>IFERROR(__xludf.DUMMYFUNCTION("""COMPUTED_VALUE"""),"disagree")</f>
        <v>disagree</v>
      </c>
      <c r="P199" s="3"/>
      <c r="Q199" s="3" t="str">
        <f>IFERROR(__xludf.DUMMYFUNCTION("""COMPUTED_VALUE"""),"agree")</f>
        <v>agree</v>
      </c>
      <c r="R199" s="3" t="str">
        <f>IFERROR(__xludf.DUMMYFUNCTION("""COMPUTED_VALUE"""),"agree")</f>
        <v>agree</v>
      </c>
      <c r="S199" s="3" t="str">
        <f>IFERROR(__xludf.DUMMYFUNCTION("""COMPUTED_VALUE"""),"agree")</f>
        <v>agree</v>
      </c>
      <c r="T199" s="3" t="str">
        <f>IFERROR(__xludf.DUMMYFUNCTION("""COMPUTED_VALUE"""),"disagree")</f>
        <v>disagree</v>
      </c>
      <c r="U199" s="3" t="str">
        <f>IFERROR(__xludf.DUMMYFUNCTION("""COMPUTED_VALUE"""),"agree")</f>
        <v>agree</v>
      </c>
      <c r="V199" s="3" t="str">
        <f>IFERROR(__xludf.DUMMYFUNCTION("""COMPUTED_VALUE"""),"agree")</f>
        <v>agree</v>
      </c>
      <c r="W199" s="3" t="str">
        <f>IFERROR(__xludf.DUMMYFUNCTION("""COMPUTED_VALUE"""),"agree")</f>
        <v>agree</v>
      </c>
      <c r="X199" s="3" t="str">
        <f>IFERROR(__xludf.DUMMYFUNCTION("""COMPUTED_VALUE"""),"Silver")</f>
        <v>Silver</v>
      </c>
      <c r="Y199" s="3" t="str">
        <f>IFERROR(__xludf.DUMMYFUNCTION("""COMPUTED_VALUE"""),"cash")</f>
        <v>cash</v>
      </c>
      <c r="Z199" s="3" t="str">
        <f>IFERROR(__xludf.DUMMYFUNCTION("""COMPUTED_VALUE"""),"biannual")</f>
        <v>biannual</v>
      </c>
      <c r="AA199" s="3">
        <f>IFERROR(__xludf.DUMMYFUNCTION("""COMPUTED_VALUE"""),20.0)</f>
        <v>20</v>
      </c>
      <c r="AB199" s="3" t="str">
        <f>IFERROR(__xludf.DUMMYFUNCTION("""COMPUTED_VALUE"""),"online")</f>
        <v>online</v>
      </c>
      <c r="AC199" s="3" t="str">
        <f>IFERROR(__xludf.DUMMYFUNCTION("""COMPUTED_VALUE"""),"Yes")</f>
        <v>Yes</v>
      </c>
      <c r="AD199" s="3" t="str">
        <f>IFERROR(__xludf.DUMMYFUNCTION("""COMPUTED_VALUE"""),"Silver")</f>
        <v>Silver</v>
      </c>
      <c r="AE199" s="3" t="str">
        <f>IFERROR(__xludf.DUMMYFUNCTION("""COMPUTED_VALUE"""),"Yes")</f>
        <v>Yes</v>
      </c>
      <c r="AF199" s="3" t="str">
        <f>IFERROR(__xludf.DUMMYFUNCTION("""COMPUTED_VALUE"""),"Yes")</f>
        <v>Yes</v>
      </c>
      <c r="AG199" s="3" t="str">
        <f>IFERROR(__xludf.DUMMYFUNCTION("""COMPUTED_VALUE"""),"Yes")</f>
        <v>Yes</v>
      </c>
      <c r="AH199" s="3">
        <f>IFERROR(__xludf.DUMMYFUNCTION("""COMPUTED_VALUE"""),200.0)</f>
        <v>200</v>
      </c>
      <c r="AI199" s="3">
        <f>IFERROR(__xludf.DUMMYFUNCTION("""COMPUTED_VALUE"""),0.0)</f>
        <v>0</v>
      </c>
      <c r="AJ199" s="3">
        <f>IFERROR(__xludf.DUMMYFUNCTION("""COMPUTED_VALUE"""),0.0)</f>
        <v>0</v>
      </c>
      <c r="AK199" s="3">
        <f>IFERROR(__xludf.DUMMYFUNCTION("""COMPUTED_VALUE"""),0.0)</f>
        <v>0</v>
      </c>
      <c r="AL199" s="3">
        <f>IFERROR(__xludf.DUMMYFUNCTION("""COMPUTED_VALUE"""),1.0)</f>
        <v>1</v>
      </c>
      <c r="AM199" s="3" t="str">
        <f>IFERROR(__xludf.DUMMYFUNCTION("""COMPUTED_VALUE"""),"Yes")</f>
        <v>Yes</v>
      </c>
      <c r="AN199" s="3">
        <f>IFERROR(__xludf.DUMMYFUNCTION("""COMPUTED_VALUE"""),7.90141579E8)</f>
        <v>790141579</v>
      </c>
      <c r="AO199" s="3"/>
      <c r="AP199" s="3">
        <f>IFERROR(__xludf.DUMMYFUNCTION("""COMPUTED_VALUE"""),4.9013096E8)</f>
        <v>490130960</v>
      </c>
      <c r="AQ199" s="3" t="str">
        <f>IFERROR(__xludf.DUMMYFUNCTION("""COMPUTED_VALUE"""),"4dd081c2-c9c4-4975-8a72-cf4246c91282")</f>
        <v>4dd081c2-c9c4-4975-8a72-cf4246c91282</v>
      </c>
      <c r="AR199" s="3">
        <f>IFERROR(__xludf.DUMMYFUNCTION("""COMPUTED_VALUE"""),45808.65866898148)</f>
        <v>45808.65867</v>
      </c>
      <c r="AS199" s="3"/>
      <c r="AT199" s="3"/>
      <c r="AU199" s="3" t="str">
        <f>IFERROR(__xludf.DUMMYFUNCTION("""COMPUTED_VALUE"""),"submitted_via_web")</f>
        <v>submitted_via_web</v>
      </c>
      <c r="AV199" s="3"/>
      <c r="AW199" s="3" t="str">
        <f>IFERROR(__xludf.DUMMYFUNCTION("""COMPUTED_VALUE"""),"vckVTgNzM4XXtKAKNnsHpB")</f>
        <v>vckVTgNzM4XXtKAKNnsHpB</v>
      </c>
      <c r="AX199" s="3"/>
      <c r="AY199" s="3">
        <f>IFERROR(__xludf.DUMMYFUNCTION("""COMPUTED_VALUE"""),198.0)</f>
        <v>198</v>
      </c>
    </row>
    <row r="200">
      <c r="A200" s="3" t="str">
        <f>IFERROR(__xludf.DUMMYFUNCTION("""COMPUTED_VALUE"""),"Yes")</f>
        <v>Yes</v>
      </c>
      <c r="B200" s="3"/>
      <c r="C200" s="3" t="str">
        <f>IFERROR(__xludf.DUMMYFUNCTION("""COMPUTED_VALUE"""),"zimbabwe")</f>
        <v>zimbabwe</v>
      </c>
      <c r="D200" s="3"/>
      <c r="E200" s="3" t="str">
        <f>IFERROR(__xludf.DUMMYFUNCTION("""COMPUTED_VALUE"""),"south_africa")</f>
        <v>south_africa</v>
      </c>
      <c r="F200" s="3" t="str">
        <f>IFERROR(__xludf.DUMMYFUNCTION("""COMPUTED_VALUE"""),"City of Johannesburg Metropolitan Municipality")</f>
        <v>City of Johannesburg Metropolitan Municipality</v>
      </c>
      <c r="G200" s="3">
        <f>IFERROR(__xludf.DUMMYFUNCTION("""COMPUTED_VALUE"""),38.0)</f>
        <v>38</v>
      </c>
      <c r="H200" s="3" t="str">
        <f>IFERROR(__xludf.DUMMYFUNCTION("""COMPUTED_VALUE"""),"female")</f>
        <v>female</v>
      </c>
      <c r="I200" s="3" t="str">
        <f>IFERROR(__xludf.DUMMYFUNCTION("""COMPUTED_VALUE"""),"over5")</f>
        <v>over5</v>
      </c>
      <c r="J200" s="3" t="str">
        <f>IFERROR(__xludf.DUMMYFUNCTION("""COMPUTED_VALUE"""),"ownbusiness")</f>
        <v>ownbusiness</v>
      </c>
      <c r="K200" s="3" t="str">
        <f>IFERROR(__xludf.DUMMYFUNCTION("""COMPUTED_VALUE"""),"tertiary")</f>
        <v>tertiary</v>
      </c>
      <c r="L200" s="3"/>
      <c r="M200" s="3" t="str">
        <f>IFERROR(__xludf.DUMMYFUNCTION("""COMPUTED_VALUE"""),"agree")</f>
        <v>agree</v>
      </c>
      <c r="N200" s="3" t="str">
        <f>IFERROR(__xludf.DUMMYFUNCTION("""COMPUTED_VALUE"""),"agree")</f>
        <v>agree</v>
      </c>
      <c r="O200" s="3" t="str">
        <f>IFERROR(__xludf.DUMMYFUNCTION("""COMPUTED_VALUE"""),"disagree")</f>
        <v>disagree</v>
      </c>
      <c r="P200" s="3"/>
      <c r="Q200" s="3" t="str">
        <f>IFERROR(__xludf.DUMMYFUNCTION("""COMPUTED_VALUE"""),"disagree")</f>
        <v>disagree</v>
      </c>
      <c r="R200" s="3" t="str">
        <f>IFERROR(__xludf.DUMMYFUNCTION("""COMPUTED_VALUE"""),"disagree")</f>
        <v>disagree</v>
      </c>
      <c r="S200" s="3" t="str">
        <f>IFERROR(__xludf.DUMMYFUNCTION("""COMPUTED_VALUE"""),"disagree")</f>
        <v>disagree</v>
      </c>
      <c r="T200" s="3" t="str">
        <f>IFERROR(__xludf.DUMMYFUNCTION("""COMPUTED_VALUE"""),"disagree")</f>
        <v>disagree</v>
      </c>
      <c r="U200" s="3" t="str">
        <f>IFERROR(__xludf.DUMMYFUNCTION("""COMPUTED_VALUE"""),"agree")</f>
        <v>agree</v>
      </c>
      <c r="V200" s="3" t="str">
        <f>IFERROR(__xludf.DUMMYFUNCTION("""COMPUTED_VALUE"""),"agree")</f>
        <v>agree</v>
      </c>
      <c r="W200" s="3" t="str">
        <f>IFERROR(__xludf.DUMMYFUNCTION("""COMPUTED_VALUE"""),"agree")</f>
        <v>agree</v>
      </c>
      <c r="X200" s="3" t="str">
        <f>IFERROR(__xludf.DUMMYFUNCTION("""COMPUTED_VALUE"""),"Lithium")</f>
        <v>Lithium</v>
      </c>
      <c r="Y200" s="3" t="str">
        <f>IFERROR(__xludf.DUMMYFUNCTION("""COMPUTED_VALUE"""),"card")</f>
        <v>card</v>
      </c>
      <c r="Z200" s="3" t="str">
        <f>IFERROR(__xludf.DUMMYFUNCTION("""COMPUTED_VALUE"""),"once")</f>
        <v>once</v>
      </c>
      <c r="AA200" s="3">
        <f>IFERROR(__xludf.DUMMYFUNCTION("""COMPUTED_VALUE"""),50.0)</f>
        <v>50</v>
      </c>
      <c r="AB200" s="3" t="str">
        <f>IFERROR(__xludf.DUMMYFUNCTION("""COMPUTED_VALUE"""),"employer")</f>
        <v>employer</v>
      </c>
      <c r="AC200" s="3" t="str">
        <f>IFERROR(__xludf.DUMMYFUNCTION("""COMPUTED_VALUE"""),"Yes")</f>
        <v>Yes</v>
      </c>
      <c r="AD200" s="3" t="str">
        <f>IFERROR(__xludf.DUMMYFUNCTION("""COMPUTED_VALUE"""),"Gold")</f>
        <v>Gold</v>
      </c>
      <c r="AE200" s="3" t="str">
        <f>IFERROR(__xludf.DUMMYFUNCTION("""COMPUTED_VALUE"""),"Yes")</f>
        <v>Yes</v>
      </c>
      <c r="AF200" s="3" t="str">
        <f>IFERROR(__xludf.DUMMYFUNCTION("""COMPUTED_VALUE"""),"Yes")</f>
        <v>Yes</v>
      </c>
      <c r="AG200" s="3" t="str">
        <f>IFERROR(__xludf.DUMMYFUNCTION("""COMPUTED_VALUE"""),"No")</f>
        <v>No</v>
      </c>
      <c r="AH200" s="3"/>
      <c r="AI200" s="3">
        <f>IFERROR(__xludf.DUMMYFUNCTION("""COMPUTED_VALUE"""),0.0)</f>
        <v>0</v>
      </c>
      <c r="AJ200" s="3">
        <f>IFERROR(__xludf.DUMMYFUNCTION("""COMPUTED_VALUE"""),1.0)</f>
        <v>1</v>
      </c>
      <c r="AK200" s="3">
        <f>IFERROR(__xludf.DUMMYFUNCTION("""COMPUTED_VALUE"""),0.0)</f>
        <v>0</v>
      </c>
      <c r="AL200" s="3">
        <f>IFERROR(__xludf.DUMMYFUNCTION("""COMPUTED_VALUE"""),0.0)</f>
        <v>0</v>
      </c>
      <c r="AM200" s="3" t="str">
        <f>IFERROR(__xludf.DUMMYFUNCTION("""COMPUTED_VALUE"""),"No")</f>
        <v>No</v>
      </c>
      <c r="AN200" s="3"/>
      <c r="AO200" s="3"/>
      <c r="AP200" s="3">
        <f>IFERROR(__xludf.DUMMYFUNCTION("""COMPUTED_VALUE"""),4.90134861E8)</f>
        <v>490134861</v>
      </c>
      <c r="AQ200" s="3" t="str">
        <f>IFERROR(__xludf.DUMMYFUNCTION("""COMPUTED_VALUE"""),"19af40e2-386f-4678-a899-6b3cf759dac4")</f>
        <v>19af40e2-386f-4678-a899-6b3cf759dac4</v>
      </c>
      <c r="AR200" s="3">
        <f>IFERROR(__xludf.DUMMYFUNCTION("""COMPUTED_VALUE"""),45808.66370370371)</f>
        <v>45808.6637</v>
      </c>
      <c r="AS200" s="3"/>
      <c r="AT200" s="3"/>
      <c r="AU200" s="3" t="str">
        <f>IFERROR(__xludf.DUMMYFUNCTION("""COMPUTED_VALUE"""),"submitted_via_web")</f>
        <v>submitted_via_web</v>
      </c>
      <c r="AV200" s="3"/>
      <c r="AW200" s="3" t="str">
        <f>IFERROR(__xludf.DUMMYFUNCTION("""COMPUTED_VALUE"""),"vckVTgNzM4XXtKAKNnsHpB")</f>
        <v>vckVTgNzM4XXtKAKNnsHpB</v>
      </c>
      <c r="AX200" s="3"/>
      <c r="AY200" s="3">
        <f>IFERROR(__xludf.DUMMYFUNCTION("""COMPUTED_VALUE"""),199.0)</f>
        <v>199</v>
      </c>
    </row>
    <row r="201">
      <c r="A201" s="3" t="str">
        <f>IFERROR(__xludf.DUMMYFUNCTION("""COMPUTED_VALUE"""),"Yes")</f>
        <v>Yes</v>
      </c>
      <c r="B201" s="3"/>
      <c r="C201" s="3" t="str">
        <f>IFERROR(__xludf.DUMMYFUNCTION("""COMPUTED_VALUE"""),"zimbabwe")</f>
        <v>zimbabwe</v>
      </c>
      <c r="D201" s="3"/>
      <c r="E201" s="3" t="str">
        <f>IFERROR(__xludf.DUMMYFUNCTION("""COMPUTED_VALUE"""),"zimbabwe")</f>
        <v>zimbabwe</v>
      </c>
      <c r="F201" s="3"/>
      <c r="G201" s="3">
        <f>IFERROR(__xludf.DUMMYFUNCTION("""COMPUTED_VALUE"""),53.0)</f>
        <v>53</v>
      </c>
      <c r="H201" s="3" t="str">
        <f>IFERROR(__xludf.DUMMYFUNCTION("""COMPUTED_VALUE"""),"male")</f>
        <v>male</v>
      </c>
      <c r="I201" s="3"/>
      <c r="J201" s="3" t="str">
        <f>IFERROR(__xludf.DUMMYFUNCTION("""COMPUTED_VALUE"""),"informal")</f>
        <v>informal</v>
      </c>
      <c r="K201" s="3" t="str">
        <f>IFERROR(__xludf.DUMMYFUNCTION("""COMPUTED_VALUE"""),"secondary")</f>
        <v>secondary</v>
      </c>
      <c r="L201" s="3"/>
      <c r="M201" s="3" t="str">
        <f>IFERROR(__xludf.DUMMYFUNCTION("""COMPUTED_VALUE"""),"agree")</f>
        <v>agree</v>
      </c>
      <c r="N201" s="3" t="str">
        <f>IFERROR(__xludf.DUMMYFUNCTION("""COMPUTED_VALUE"""),"agree")</f>
        <v>agree</v>
      </c>
      <c r="O201" s="3" t="str">
        <f>IFERROR(__xludf.DUMMYFUNCTION("""COMPUTED_VALUE"""),"agree")</f>
        <v>agree</v>
      </c>
      <c r="P201" s="3"/>
      <c r="Q201" s="3" t="str">
        <f>IFERROR(__xludf.DUMMYFUNCTION("""COMPUTED_VALUE"""),"agree")</f>
        <v>agree</v>
      </c>
      <c r="R201" s="3" t="str">
        <f>IFERROR(__xludf.DUMMYFUNCTION("""COMPUTED_VALUE"""),"agree")</f>
        <v>agree</v>
      </c>
      <c r="S201" s="3" t="str">
        <f>IFERROR(__xludf.DUMMYFUNCTION("""COMPUTED_VALUE"""),"agree")</f>
        <v>agree</v>
      </c>
      <c r="T201" s="3" t="str">
        <f>IFERROR(__xludf.DUMMYFUNCTION("""COMPUTED_VALUE"""),"agree")</f>
        <v>agree</v>
      </c>
      <c r="U201" s="3" t="str">
        <f>IFERROR(__xludf.DUMMYFUNCTION("""COMPUTED_VALUE"""),"agree")</f>
        <v>agree</v>
      </c>
      <c r="V201" s="3" t="str">
        <f>IFERROR(__xludf.DUMMYFUNCTION("""COMPUTED_VALUE"""),"agree")</f>
        <v>agree</v>
      </c>
      <c r="W201" s="3" t="str">
        <f>IFERROR(__xludf.DUMMYFUNCTION("""COMPUTED_VALUE"""),"agree")</f>
        <v>agree</v>
      </c>
      <c r="X201" s="3" t="str">
        <f>IFERROR(__xludf.DUMMYFUNCTION("""COMPUTED_VALUE"""),"Platinum")</f>
        <v>Platinum</v>
      </c>
      <c r="Y201" s="3" t="str">
        <f>IFERROR(__xludf.DUMMYFUNCTION("""COMPUTED_VALUE"""),"cash")</f>
        <v>cash</v>
      </c>
      <c r="Z201" s="3" t="str">
        <f>IFERROR(__xludf.DUMMYFUNCTION("""COMPUTED_VALUE"""),"monthly")</f>
        <v>monthly</v>
      </c>
      <c r="AA201" s="3">
        <f>IFERROR(__xludf.DUMMYFUNCTION("""COMPUTED_VALUE"""),40.0)</f>
        <v>40</v>
      </c>
      <c r="AB201" s="3" t="str">
        <f>IFERROR(__xludf.DUMMYFUNCTION("""COMPUTED_VALUE"""),"assisted")</f>
        <v>assisted</v>
      </c>
      <c r="AC201" s="3" t="str">
        <f>IFERROR(__xludf.DUMMYFUNCTION("""COMPUTED_VALUE"""),"No")</f>
        <v>No</v>
      </c>
      <c r="AD201" s="3"/>
      <c r="AE201" s="3"/>
      <c r="AF201" s="3" t="str">
        <f>IFERROR(__xludf.DUMMYFUNCTION("""COMPUTED_VALUE"""),"Yes")</f>
        <v>Yes</v>
      </c>
      <c r="AG201" s="3" t="str">
        <f>IFERROR(__xludf.DUMMYFUNCTION("""COMPUTED_VALUE"""),"Yes")</f>
        <v>Yes</v>
      </c>
      <c r="AH201" s="3">
        <f>IFERROR(__xludf.DUMMYFUNCTION("""COMPUTED_VALUE"""),4000.0)</f>
        <v>4000</v>
      </c>
      <c r="AI201" s="3">
        <f>IFERROR(__xludf.DUMMYFUNCTION("""COMPUTED_VALUE"""),0.0)</f>
        <v>0</v>
      </c>
      <c r="AJ201" s="3">
        <f>IFERROR(__xludf.DUMMYFUNCTION("""COMPUTED_VALUE"""),0.0)</f>
        <v>0</v>
      </c>
      <c r="AK201" s="3">
        <f>IFERROR(__xludf.DUMMYFUNCTION("""COMPUTED_VALUE"""),0.0)</f>
        <v>0</v>
      </c>
      <c r="AL201" s="3">
        <f>IFERROR(__xludf.DUMMYFUNCTION("""COMPUTED_VALUE"""),1.0)</f>
        <v>1</v>
      </c>
      <c r="AM201" s="3"/>
      <c r="AN201" s="3"/>
      <c r="AO201" s="3"/>
      <c r="AP201" s="3">
        <f>IFERROR(__xludf.DUMMYFUNCTION("""COMPUTED_VALUE"""),4.90144601E8)</f>
        <v>490144601</v>
      </c>
      <c r="AQ201" s="3" t="str">
        <f>IFERROR(__xludf.DUMMYFUNCTION("""COMPUTED_VALUE"""),"c5ff9074-5fb1-42d0-b392-f6d5a35477ab")</f>
        <v>c5ff9074-5fb1-42d0-b392-f6d5a35477ab</v>
      </c>
      <c r="AR201" s="3">
        <f>IFERROR(__xludf.DUMMYFUNCTION("""COMPUTED_VALUE"""),45808.67371527778)</f>
        <v>45808.67372</v>
      </c>
      <c r="AS201" s="3"/>
      <c r="AT201" s="3"/>
      <c r="AU201" s="3" t="str">
        <f>IFERROR(__xludf.DUMMYFUNCTION("""COMPUTED_VALUE"""),"submitted_via_web")</f>
        <v>submitted_via_web</v>
      </c>
      <c r="AV201" s="3"/>
      <c r="AW201" s="3" t="str">
        <f>IFERROR(__xludf.DUMMYFUNCTION("""COMPUTED_VALUE"""),"vckVTgNzM4XXtKAKNnsHpB")</f>
        <v>vckVTgNzM4XXtKAKNnsHpB</v>
      </c>
      <c r="AX201" s="3"/>
      <c r="AY201" s="3">
        <f>IFERROR(__xludf.DUMMYFUNCTION("""COMPUTED_VALUE"""),200.0)</f>
        <v>200</v>
      </c>
    </row>
    <row r="202">
      <c r="A202" s="3" t="str">
        <f>IFERROR(__xludf.DUMMYFUNCTION("""COMPUTED_VALUE"""),"Yes")</f>
        <v>Yes</v>
      </c>
      <c r="B202" s="3"/>
      <c r="C202" s="3" t="str">
        <f>IFERROR(__xludf.DUMMYFUNCTION("""COMPUTED_VALUE"""),"south_africa")</f>
        <v>south_africa</v>
      </c>
      <c r="D202" s="3"/>
      <c r="E202" s="3" t="str">
        <f>IFERROR(__xludf.DUMMYFUNCTION("""COMPUTED_VALUE"""),"south_africa")</f>
        <v>south_africa</v>
      </c>
      <c r="F202" s="3"/>
      <c r="G202" s="3">
        <f>IFERROR(__xludf.DUMMYFUNCTION("""COMPUTED_VALUE"""),40.0)</f>
        <v>40</v>
      </c>
      <c r="H202" s="3" t="str">
        <f>IFERROR(__xludf.DUMMYFUNCTION("""COMPUTED_VALUE"""),"male")</f>
        <v>male</v>
      </c>
      <c r="I202" s="3" t="str">
        <f>IFERROR(__xludf.DUMMYFUNCTION("""COMPUTED_VALUE"""),"citizen")</f>
        <v>citizen</v>
      </c>
      <c r="J202" s="3" t="str">
        <f>IFERROR(__xludf.DUMMYFUNCTION("""COMPUTED_VALUE"""),"formal")</f>
        <v>formal</v>
      </c>
      <c r="K202" s="3" t="str">
        <f>IFERROR(__xludf.DUMMYFUNCTION("""COMPUTED_VALUE"""),"tertiary")</f>
        <v>tertiary</v>
      </c>
      <c r="L202" s="3"/>
      <c r="M202" s="3" t="str">
        <f>IFERROR(__xludf.DUMMYFUNCTION("""COMPUTED_VALUE"""),"agree")</f>
        <v>agree</v>
      </c>
      <c r="N202" s="3" t="str">
        <f>IFERROR(__xludf.DUMMYFUNCTION("""COMPUTED_VALUE"""),"agree")</f>
        <v>agree</v>
      </c>
      <c r="O202" s="3" t="str">
        <f>IFERROR(__xludf.DUMMYFUNCTION("""COMPUTED_VALUE"""),"disagree")</f>
        <v>disagree</v>
      </c>
      <c r="P202" s="3"/>
      <c r="Q202" s="3" t="str">
        <f>IFERROR(__xludf.DUMMYFUNCTION("""COMPUTED_VALUE"""),"disagree")</f>
        <v>disagree</v>
      </c>
      <c r="R202" s="3" t="str">
        <f>IFERROR(__xludf.DUMMYFUNCTION("""COMPUTED_VALUE"""),"agree")</f>
        <v>agree</v>
      </c>
      <c r="S202" s="3" t="str">
        <f>IFERROR(__xludf.DUMMYFUNCTION("""COMPUTED_VALUE"""),"disagree")</f>
        <v>disagree</v>
      </c>
      <c r="T202" s="3" t="str">
        <f>IFERROR(__xludf.DUMMYFUNCTION("""COMPUTED_VALUE"""),"disagree")</f>
        <v>disagree</v>
      </c>
      <c r="U202" s="3" t="str">
        <f>IFERROR(__xludf.DUMMYFUNCTION("""COMPUTED_VALUE"""),"agree")</f>
        <v>agree</v>
      </c>
      <c r="V202" s="3" t="str">
        <f>IFERROR(__xludf.DUMMYFUNCTION("""COMPUTED_VALUE"""),"dontknow")</f>
        <v>dontknow</v>
      </c>
      <c r="W202" s="3" t="str">
        <f>IFERROR(__xludf.DUMMYFUNCTION("""COMPUTED_VALUE"""),"disagree")</f>
        <v>disagree</v>
      </c>
      <c r="X202" s="3" t="str">
        <f>IFERROR(__xludf.DUMMYFUNCTION("""COMPUTED_VALUE"""),"Gold")</f>
        <v>Gold</v>
      </c>
      <c r="Y202" s="3" t="str">
        <f>IFERROR(__xludf.DUMMYFUNCTION("""COMPUTED_VALUE"""),"insurance")</f>
        <v>insurance</v>
      </c>
      <c r="Z202" s="3" t="str">
        <f>IFERROR(__xludf.DUMMYFUNCTION("""COMPUTED_VALUE"""),"monthly")</f>
        <v>monthly</v>
      </c>
      <c r="AA202" s="3">
        <f>IFERROR(__xludf.DUMMYFUNCTION("""COMPUTED_VALUE"""),10.0)</f>
        <v>10</v>
      </c>
      <c r="AB202" s="3" t="str">
        <f>IFERROR(__xludf.DUMMYFUNCTION("""COMPUTED_VALUE"""),"employer")</f>
        <v>employer</v>
      </c>
      <c r="AC202" s="3" t="str">
        <f>IFERROR(__xludf.DUMMYFUNCTION("""COMPUTED_VALUE"""),"I am not an employer")</f>
        <v>I am not an employer</v>
      </c>
      <c r="AD202" s="3"/>
      <c r="AE202" s="3"/>
      <c r="AF202" s="3" t="str">
        <f>IFERROR(__xludf.DUMMYFUNCTION("""COMPUTED_VALUE"""),"No")</f>
        <v>No</v>
      </c>
      <c r="AG202" s="3" t="str">
        <f>IFERROR(__xludf.DUMMYFUNCTION("""COMPUTED_VALUE"""),"No")</f>
        <v>No</v>
      </c>
      <c r="AH202" s="3"/>
      <c r="AI202" s="3">
        <f>IFERROR(__xludf.DUMMYFUNCTION("""COMPUTED_VALUE"""),0.0)</f>
        <v>0</v>
      </c>
      <c r="AJ202" s="3">
        <f>IFERROR(__xludf.DUMMYFUNCTION("""COMPUTED_VALUE"""),0.0)</f>
        <v>0</v>
      </c>
      <c r="AK202" s="3">
        <f>IFERROR(__xludf.DUMMYFUNCTION("""COMPUTED_VALUE"""),0.0)</f>
        <v>0</v>
      </c>
      <c r="AL202" s="3">
        <f>IFERROR(__xludf.DUMMYFUNCTION("""COMPUTED_VALUE"""),1.0)</f>
        <v>1</v>
      </c>
      <c r="AM202" s="3" t="str">
        <f>IFERROR(__xludf.DUMMYFUNCTION("""COMPUTED_VALUE"""),"No")</f>
        <v>No</v>
      </c>
      <c r="AN202" s="3"/>
      <c r="AO202" s="3"/>
      <c r="AP202" s="3">
        <f>IFERROR(__xludf.DUMMYFUNCTION("""COMPUTED_VALUE"""),4.90148133E8)</f>
        <v>490148133</v>
      </c>
      <c r="AQ202" s="3" t="str">
        <f>IFERROR(__xludf.DUMMYFUNCTION("""COMPUTED_VALUE"""),"a184eb49-f1e2-49a3-9d96-a05d81dbf2be")</f>
        <v>a184eb49-f1e2-49a3-9d96-a05d81dbf2be</v>
      </c>
      <c r="AR202" s="3">
        <f>IFERROR(__xludf.DUMMYFUNCTION("""COMPUTED_VALUE"""),45808.67863425926)</f>
        <v>45808.67863</v>
      </c>
      <c r="AS202" s="3"/>
      <c r="AT202" s="3"/>
      <c r="AU202" s="3" t="str">
        <f>IFERROR(__xludf.DUMMYFUNCTION("""COMPUTED_VALUE"""),"submitted_via_web")</f>
        <v>submitted_via_web</v>
      </c>
      <c r="AV202" s="3"/>
      <c r="AW202" s="3" t="str">
        <f>IFERROR(__xludf.DUMMYFUNCTION("""COMPUTED_VALUE"""),"vckVTgNzM4XXtKAKNnsHpB")</f>
        <v>vckVTgNzM4XXtKAKNnsHpB</v>
      </c>
      <c r="AX202" s="3"/>
      <c r="AY202" s="3">
        <f>IFERROR(__xludf.DUMMYFUNCTION("""COMPUTED_VALUE"""),201.0)</f>
        <v>201</v>
      </c>
    </row>
    <row r="203">
      <c r="A203" s="3" t="str">
        <f>IFERROR(__xludf.DUMMYFUNCTION("""COMPUTED_VALUE"""),"Yes")</f>
        <v>Yes</v>
      </c>
      <c r="B203" s="3"/>
      <c r="C203" s="3" t="str">
        <f>IFERROR(__xludf.DUMMYFUNCTION("""COMPUTED_VALUE"""),"zimbabwe")</f>
        <v>zimbabwe</v>
      </c>
      <c r="D203" s="3"/>
      <c r="E203" s="3" t="str">
        <f>IFERROR(__xludf.DUMMYFUNCTION("""COMPUTED_VALUE"""),"south_africa")</f>
        <v>south_africa</v>
      </c>
      <c r="F203" s="3" t="str">
        <f>IFERROR(__xludf.DUMMYFUNCTION("""COMPUTED_VALUE"""),"eThekwini Metropolitan Municipality")</f>
        <v>eThekwini Metropolitan Municipality</v>
      </c>
      <c r="G203" s="3">
        <f>IFERROR(__xludf.DUMMYFUNCTION("""COMPUTED_VALUE"""),47.0)</f>
        <v>47</v>
      </c>
      <c r="H203" s="3" t="str">
        <f>IFERROR(__xludf.DUMMYFUNCTION("""COMPUTED_VALUE"""),"female")</f>
        <v>female</v>
      </c>
      <c r="I203" s="3" t="str">
        <f>IFERROR(__xludf.DUMMYFUNCTION("""COMPUTED_VALUE"""),"over5")</f>
        <v>over5</v>
      </c>
      <c r="J203" s="3" t="str">
        <f>IFERROR(__xludf.DUMMYFUNCTION("""COMPUTED_VALUE"""),"unemployed")</f>
        <v>unemployed</v>
      </c>
      <c r="K203" s="3" t="str">
        <f>IFERROR(__xludf.DUMMYFUNCTION("""COMPUTED_VALUE"""),"tertiary")</f>
        <v>tertiary</v>
      </c>
      <c r="L203" s="3"/>
      <c r="M203" s="3" t="str">
        <f>IFERROR(__xludf.DUMMYFUNCTION("""COMPUTED_VALUE"""),"agree")</f>
        <v>agree</v>
      </c>
      <c r="N203" s="3" t="str">
        <f>IFERROR(__xludf.DUMMYFUNCTION("""COMPUTED_VALUE"""),"agree")</f>
        <v>agree</v>
      </c>
      <c r="O203" s="3" t="str">
        <f>IFERROR(__xludf.DUMMYFUNCTION("""COMPUTED_VALUE"""),"disagree")</f>
        <v>disagree</v>
      </c>
      <c r="P203" s="3"/>
      <c r="Q203" s="3" t="str">
        <f>IFERROR(__xludf.DUMMYFUNCTION("""COMPUTED_VALUE"""),"agree")</f>
        <v>agree</v>
      </c>
      <c r="R203" s="3" t="str">
        <f>IFERROR(__xludf.DUMMYFUNCTION("""COMPUTED_VALUE"""),"agree")</f>
        <v>agree</v>
      </c>
      <c r="S203" s="3" t="str">
        <f>IFERROR(__xludf.DUMMYFUNCTION("""COMPUTED_VALUE"""),"agree")</f>
        <v>agree</v>
      </c>
      <c r="T203" s="3" t="str">
        <f>IFERROR(__xludf.DUMMYFUNCTION("""COMPUTED_VALUE"""),"disagree")</f>
        <v>disagree</v>
      </c>
      <c r="U203" s="3" t="str">
        <f>IFERROR(__xludf.DUMMYFUNCTION("""COMPUTED_VALUE"""),"dontknow")</f>
        <v>dontknow</v>
      </c>
      <c r="V203" s="3" t="str">
        <f>IFERROR(__xludf.DUMMYFUNCTION("""COMPUTED_VALUE"""),"disagree")</f>
        <v>disagree</v>
      </c>
      <c r="W203" s="3" t="str">
        <f>IFERROR(__xludf.DUMMYFUNCTION("""COMPUTED_VALUE"""),"disagree")</f>
        <v>disagree</v>
      </c>
      <c r="X203" s="3" t="str">
        <f>IFERROR(__xludf.DUMMYFUNCTION("""COMPUTED_VALUE"""),"Gold")</f>
        <v>Gold</v>
      </c>
      <c r="Y203" s="3" t="str">
        <f>IFERROR(__xludf.DUMMYFUNCTION("""COMPUTED_VALUE"""),"card")</f>
        <v>card</v>
      </c>
      <c r="Z203" s="3" t="str">
        <f>IFERROR(__xludf.DUMMYFUNCTION("""COMPUTED_VALUE"""),"biannual")</f>
        <v>biannual</v>
      </c>
      <c r="AA203" s="3">
        <f>IFERROR(__xludf.DUMMYFUNCTION("""COMPUTED_VALUE"""),100.0)</f>
        <v>100</v>
      </c>
      <c r="AB203" s="3" t="str">
        <f>IFERROR(__xludf.DUMMYFUNCTION("""COMPUTED_VALUE"""),"assisted")</f>
        <v>assisted</v>
      </c>
      <c r="AC203" s="3" t="str">
        <f>IFERROR(__xludf.DUMMYFUNCTION("""COMPUTED_VALUE"""),"I am not an employer")</f>
        <v>I am not an employer</v>
      </c>
      <c r="AD203" s="3"/>
      <c r="AE203" s="3"/>
      <c r="AF203" s="3" t="str">
        <f>IFERROR(__xludf.DUMMYFUNCTION("""COMPUTED_VALUE"""),"Yes")</f>
        <v>Yes</v>
      </c>
      <c r="AG203" s="3" t="str">
        <f>IFERROR(__xludf.DUMMYFUNCTION("""COMPUTED_VALUE"""),"No")</f>
        <v>No</v>
      </c>
      <c r="AH203" s="3"/>
      <c r="AI203" s="3">
        <f>IFERROR(__xludf.DUMMYFUNCTION("""COMPUTED_VALUE"""),0.0)</f>
        <v>0</v>
      </c>
      <c r="AJ203" s="3">
        <f>IFERROR(__xludf.DUMMYFUNCTION("""COMPUTED_VALUE"""),0.0)</f>
        <v>0</v>
      </c>
      <c r="AK203" s="3">
        <f>IFERROR(__xludf.DUMMYFUNCTION("""COMPUTED_VALUE"""),0.0)</f>
        <v>0</v>
      </c>
      <c r="AL203" s="3">
        <f>IFERROR(__xludf.DUMMYFUNCTION("""COMPUTED_VALUE"""),1.0)</f>
        <v>1</v>
      </c>
      <c r="AM203" s="3" t="str">
        <f>IFERROR(__xludf.DUMMYFUNCTION("""COMPUTED_VALUE"""),"No")</f>
        <v>No</v>
      </c>
      <c r="AN203" s="3"/>
      <c r="AO203" s="3"/>
      <c r="AP203" s="3">
        <f>IFERROR(__xludf.DUMMYFUNCTION("""COMPUTED_VALUE"""),4.90165111E8)</f>
        <v>490165111</v>
      </c>
      <c r="AQ203" s="3" t="str">
        <f>IFERROR(__xludf.DUMMYFUNCTION("""COMPUTED_VALUE"""),"dddd894e-715f-4ae4-b170-486eb1ba2d43")</f>
        <v>dddd894e-715f-4ae4-b170-486eb1ba2d43</v>
      </c>
      <c r="AR203" s="3">
        <f>IFERROR(__xludf.DUMMYFUNCTION("""COMPUTED_VALUE"""),45808.69988425926)</f>
        <v>45808.69988</v>
      </c>
      <c r="AS203" s="3"/>
      <c r="AT203" s="3"/>
      <c r="AU203" s="3" t="str">
        <f>IFERROR(__xludf.DUMMYFUNCTION("""COMPUTED_VALUE"""),"submitted_via_web")</f>
        <v>submitted_via_web</v>
      </c>
      <c r="AV203" s="3"/>
      <c r="AW203" s="3" t="str">
        <f>IFERROR(__xludf.DUMMYFUNCTION("""COMPUTED_VALUE"""),"vckVTgNzM4XXtKAKNnsHpB")</f>
        <v>vckVTgNzM4XXtKAKNnsHpB</v>
      </c>
      <c r="AX203" s="3"/>
      <c r="AY203" s="3">
        <f>IFERROR(__xludf.DUMMYFUNCTION("""COMPUTED_VALUE"""),202.0)</f>
        <v>202</v>
      </c>
    </row>
    <row r="204">
      <c r="A204" s="3" t="str">
        <f>IFERROR(__xludf.DUMMYFUNCTION("""COMPUTED_VALUE"""),"Yes")</f>
        <v>Yes</v>
      </c>
      <c r="B204" s="3"/>
      <c r="C204" s="3" t="str">
        <f>IFERROR(__xludf.DUMMYFUNCTION("""COMPUTED_VALUE"""),"mozambique")</f>
        <v>mozambique</v>
      </c>
      <c r="D204" s="3"/>
      <c r="E204" s="3" t="str">
        <f>IFERROR(__xludf.DUMMYFUNCTION("""COMPUTED_VALUE"""),"south_africa")</f>
        <v>south_africa</v>
      </c>
      <c r="F204" s="3" t="str">
        <f>IFERROR(__xludf.DUMMYFUNCTION("""COMPUTED_VALUE"""),"Chris Hani District")</f>
        <v>Chris Hani District</v>
      </c>
      <c r="G204" s="3">
        <f>IFERROR(__xludf.DUMMYFUNCTION("""COMPUTED_VALUE"""),25.0)</f>
        <v>25</v>
      </c>
      <c r="H204" s="3" t="str">
        <f>IFERROR(__xludf.DUMMYFUNCTION("""COMPUTED_VALUE"""),"male")</f>
        <v>male</v>
      </c>
      <c r="I204" s="3" t="str">
        <f>IFERROR(__xludf.DUMMYFUNCTION("""COMPUTED_VALUE"""),"1to5")</f>
        <v>1to5</v>
      </c>
      <c r="J204" s="3" t="str">
        <f>IFERROR(__xludf.DUMMYFUNCTION("""COMPUTED_VALUE"""),"formal")</f>
        <v>formal</v>
      </c>
      <c r="K204" s="3" t="str">
        <f>IFERROR(__xludf.DUMMYFUNCTION("""COMPUTED_VALUE"""),"primary")</f>
        <v>primary</v>
      </c>
      <c r="L204" s="3"/>
      <c r="M204" s="3" t="str">
        <f>IFERROR(__xludf.DUMMYFUNCTION("""COMPUTED_VALUE"""),"agree")</f>
        <v>agree</v>
      </c>
      <c r="N204" s="3" t="str">
        <f>IFERROR(__xludf.DUMMYFUNCTION("""COMPUTED_VALUE"""),"agree")</f>
        <v>agree</v>
      </c>
      <c r="O204" s="3" t="str">
        <f>IFERROR(__xludf.DUMMYFUNCTION("""COMPUTED_VALUE"""),"agree")</f>
        <v>agree</v>
      </c>
      <c r="P204" s="3"/>
      <c r="Q204" s="3" t="str">
        <f>IFERROR(__xludf.DUMMYFUNCTION("""COMPUTED_VALUE"""),"agree")</f>
        <v>agree</v>
      </c>
      <c r="R204" s="3" t="str">
        <f>IFERROR(__xludf.DUMMYFUNCTION("""COMPUTED_VALUE"""),"agree")</f>
        <v>agree</v>
      </c>
      <c r="S204" s="3" t="str">
        <f>IFERROR(__xludf.DUMMYFUNCTION("""COMPUTED_VALUE"""),"agree")</f>
        <v>agree</v>
      </c>
      <c r="T204" s="3" t="str">
        <f>IFERROR(__xludf.DUMMYFUNCTION("""COMPUTED_VALUE"""),"agree")</f>
        <v>agree</v>
      </c>
      <c r="U204" s="3" t="str">
        <f>IFERROR(__xludf.DUMMYFUNCTION("""COMPUTED_VALUE"""),"agree")</f>
        <v>agree</v>
      </c>
      <c r="V204" s="3" t="str">
        <f>IFERROR(__xludf.DUMMYFUNCTION("""COMPUTED_VALUE"""),"agree")</f>
        <v>agree</v>
      </c>
      <c r="W204" s="3" t="str">
        <f>IFERROR(__xludf.DUMMYFUNCTION("""COMPUTED_VALUE"""),"agree")</f>
        <v>agree</v>
      </c>
      <c r="X204" s="3" t="str">
        <f>IFERROR(__xludf.DUMMYFUNCTION("""COMPUTED_VALUE"""),"Silver")</f>
        <v>Silver</v>
      </c>
      <c r="Y204" s="3" t="str">
        <f>IFERROR(__xludf.DUMMYFUNCTION("""COMPUTED_VALUE"""),"cash")</f>
        <v>cash</v>
      </c>
      <c r="Z204" s="3" t="str">
        <f>IFERROR(__xludf.DUMMYFUNCTION("""COMPUTED_VALUE"""),"monthly")</f>
        <v>monthly</v>
      </c>
      <c r="AA204" s="3">
        <f>IFERROR(__xludf.DUMMYFUNCTION("""COMPUTED_VALUE"""),20.0)</f>
        <v>20</v>
      </c>
      <c r="AB204" s="3" t="str">
        <f>IFERROR(__xludf.DUMMYFUNCTION("""COMPUTED_VALUE"""),"online")</f>
        <v>online</v>
      </c>
      <c r="AC204" s="3" t="str">
        <f>IFERROR(__xludf.DUMMYFUNCTION("""COMPUTED_VALUE"""),"Yes")</f>
        <v>Yes</v>
      </c>
      <c r="AD204" s="3" t="str">
        <f>IFERROR(__xludf.DUMMYFUNCTION("""COMPUTED_VALUE"""),"Gold")</f>
        <v>Gold</v>
      </c>
      <c r="AE204" s="3" t="str">
        <f>IFERROR(__xludf.DUMMYFUNCTION("""COMPUTED_VALUE"""),"Yes")</f>
        <v>Yes</v>
      </c>
      <c r="AF204" s="3" t="str">
        <f>IFERROR(__xludf.DUMMYFUNCTION("""COMPUTED_VALUE"""),"Yes")</f>
        <v>Yes</v>
      </c>
      <c r="AG204" s="3" t="str">
        <f>IFERROR(__xludf.DUMMYFUNCTION("""COMPUTED_VALUE"""),"Yes")</f>
        <v>Yes</v>
      </c>
      <c r="AH204" s="3">
        <f>IFERROR(__xludf.DUMMYFUNCTION("""COMPUTED_VALUE"""),3.0)</f>
        <v>3</v>
      </c>
      <c r="AI204" s="3">
        <f>IFERROR(__xludf.DUMMYFUNCTION("""COMPUTED_VALUE"""),1.0)</f>
        <v>1</v>
      </c>
      <c r="AJ204" s="3">
        <f>IFERROR(__xludf.DUMMYFUNCTION("""COMPUTED_VALUE"""),1.0)</f>
        <v>1</v>
      </c>
      <c r="AK204" s="3">
        <f>IFERROR(__xludf.DUMMYFUNCTION("""COMPUTED_VALUE"""),0.0)</f>
        <v>0</v>
      </c>
      <c r="AL204" s="3">
        <f>IFERROR(__xludf.DUMMYFUNCTION("""COMPUTED_VALUE"""),0.0)</f>
        <v>0</v>
      </c>
      <c r="AM204" s="3" t="str">
        <f>IFERROR(__xludf.DUMMYFUNCTION("""COMPUTED_VALUE"""),"Yes")</f>
        <v>Yes</v>
      </c>
      <c r="AN204" s="3">
        <f>IFERROR(__xludf.DUMMYFUNCTION("""COMPUTED_VALUE"""),8.24731825E8)</f>
        <v>824731825</v>
      </c>
      <c r="AO204" s="3"/>
      <c r="AP204" s="3">
        <f>IFERROR(__xludf.DUMMYFUNCTION("""COMPUTED_VALUE"""),4.90188824E8)</f>
        <v>490188824</v>
      </c>
      <c r="AQ204" s="3" t="str">
        <f>IFERROR(__xludf.DUMMYFUNCTION("""COMPUTED_VALUE"""),"6052a1ad-281c-4e32-a36e-eae136cd2cc2")</f>
        <v>6052a1ad-281c-4e32-a36e-eae136cd2cc2</v>
      </c>
      <c r="AR204" s="3">
        <f>IFERROR(__xludf.DUMMYFUNCTION("""COMPUTED_VALUE"""),45808.72751157408)</f>
        <v>45808.72751</v>
      </c>
      <c r="AS204" s="3"/>
      <c r="AT204" s="3"/>
      <c r="AU204" s="3" t="str">
        <f>IFERROR(__xludf.DUMMYFUNCTION("""COMPUTED_VALUE"""),"submitted_via_web")</f>
        <v>submitted_via_web</v>
      </c>
      <c r="AV204" s="3"/>
      <c r="AW204" s="3" t="str">
        <f>IFERROR(__xludf.DUMMYFUNCTION("""COMPUTED_VALUE"""),"vckVTgNzM4XXtKAKNnsHpB")</f>
        <v>vckVTgNzM4XXtKAKNnsHpB</v>
      </c>
      <c r="AX204" s="3"/>
      <c r="AY204" s="3">
        <f>IFERROR(__xludf.DUMMYFUNCTION("""COMPUTED_VALUE"""),203.0)</f>
        <v>203</v>
      </c>
    </row>
    <row r="205">
      <c r="A205" s="3" t="str">
        <f>IFERROR(__xludf.DUMMYFUNCTION("""COMPUTED_VALUE"""),"Yes")</f>
        <v>Yes</v>
      </c>
      <c r="B205" s="3"/>
      <c r="C205" s="3" t="str">
        <f>IFERROR(__xludf.DUMMYFUNCTION("""COMPUTED_VALUE"""),"mozambique")</f>
        <v>mozambique</v>
      </c>
      <c r="D205" s="3"/>
      <c r="E205" s="3" t="str">
        <f>IFERROR(__xludf.DUMMYFUNCTION("""COMPUTED_VALUE"""),"south_africa")</f>
        <v>south_africa</v>
      </c>
      <c r="F205" s="3" t="str">
        <f>IFERROR(__xludf.DUMMYFUNCTION("""COMPUTED_VALUE"""),"Capetown")</f>
        <v>Capetown</v>
      </c>
      <c r="G205" s="3">
        <f>IFERROR(__xludf.DUMMYFUNCTION("""COMPUTED_VALUE"""),20.0)</f>
        <v>20</v>
      </c>
      <c r="H205" s="3" t="str">
        <f>IFERROR(__xludf.DUMMYFUNCTION("""COMPUTED_VALUE"""),"male")</f>
        <v>male</v>
      </c>
      <c r="I205" s="3" t="str">
        <f>IFERROR(__xludf.DUMMYFUNCTION("""COMPUTED_VALUE"""),"over5")</f>
        <v>over5</v>
      </c>
      <c r="J205" s="3" t="str">
        <f>IFERROR(__xludf.DUMMYFUNCTION("""COMPUTED_VALUE"""),"informal")</f>
        <v>informal</v>
      </c>
      <c r="K205" s="3" t="str">
        <f>IFERROR(__xludf.DUMMYFUNCTION("""COMPUTED_VALUE"""),"primary")</f>
        <v>primary</v>
      </c>
      <c r="L205" s="3"/>
      <c r="M205" s="3" t="str">
        <f>IFERROR(__xludf.DUMMYFUNCTION("""COMPUTED_VALUE"""),"agree")</f>
        <v>agree</v>
      </c>
      <c r="N205" s="3" t="str">
        <f>IFERROR(__xludf.DUMMYFUNCTION("""COMPUTED_VALUE"""),"agree")</f>
        <v>agree</v>
      </c>
      <c r="O205" s="3" t="str">
        <f>IFERROR(__xludf.DUMMYFUNCTION("""COMPUTED_VALUE"""),"agree")</f>
        <v>agree</v>
      </c>
      <c r="P205" s="3"/>
      <c r="Q205" s="3" t="str">
        <f>IFERROR(__xludf.DUMMYFUNCTION("""COMPUTED_VALUE"""),"agree")</f>
        <v>agree</v>
      </c>
      <c r="R205" s="3" t="str">
        <f>IFERROR(__xludf.DUMMYFUNCTION("""COMPUTED_VALUE"""),"agree")</f>
        <v>agree</v>
      </c>
      <c r="S205" s="3" t="str">
        <f>IFERROR(__xludf.DUMMYFUNCTION("""COMPUTED_VALUE"""),"agree")</f>
        <v>agree</v>
      </c>
      <c r="T205" s="3" t="str">
        <f>IFERROR(__xludf.DUMMYFUNCTION("""COMPUTED_VALUE"""),"agree")</f>
        <v>agree</v>
      </c>
      <c r="U205" s="3" t="str">
        <f>IFERROR(__xludf.DUMMYFUNCTION("""COMPUTED_VALUE"""),"agree")</f>
        <v>agree</v>
      </c>
      <c r="V205" s="3" t="str">
        <f>IFERROR(__xludf.DUMMYFUNCTION("""COMPUTED_VALUE"""),"agree")</f>
        <v>agree</v>
      </c>
      <c r="W205" s="3" t="str">
        <f>IFERROR(__xludf.DUMMYFUNCTION("""COMPUTED_VALUE"""),"agree")</f>
        <v>agree</v>
      </c>
      <c r="X205" s="3" t="str">
        <f>IFERROR(__xludf.DUMMYFUNCTION("""COMPUTED_VALUE"""),"Silver")</f>
        <v>Silver</v>
      </c>
      <c r="Y205" s="3" t="str">
        <f>IFERROR(__xludf.DUMMYFUNCTION("""COMPUTED_VALUE"""),"cash")</f>
        <v>cash</v>
      </c>
      <c r="Z205" s="3" t="str">
        <f>IFERROR(__xludf.DUMMYFUNCTION("""COMPUTED_VALUE"""),"monthly")</f>
        <v>monthly</v>
      </c>
      <c r="AA205" s="3">
        <f>IFERROR(__xludf.DUMMYFUNCTION("""COMPUTED_VALUE"""),40.0)</f>
        <v>40</v>
      </c>
      <c r="AB205" s="3" t="str">
        <f>IFERROR(__xludf.DUMMYFUNCTION("""COMPUTED_VALUE"""),"assisted")</f>
        <v>assisted</v>
      </c>
      <c r="AC205" s="3" t="str">
        <f>IFERROR(__xludf.DUMMYFUNCTION("""COMPUTED_VALUE"""),"Yes")</f>
        <v>Yes</v>
      </c>
      <c r="AD205" s="3" t="str">
        <f>IFERROR(__xludf.DUMMYFUNCTION("""COMPUTED_VALUE"""),"Silver")</f>
        <v>Silver</v>
      </c>
      <c r="AE205" s="3" t="str">
        <f>IFERROR(__xludf.DUMMYFUNCTION("""COMPUTED_VALUE"""),"Yes")</f>
        <v>Yes</v>
      </c>
      <c r="AF205" s="3" t="str">
        <f>IFERROR(__xludf.DUMMYFUNCTION("""COMPUTED_VALUE"""),"Yes")</f>
        <v>Yes</v>
      </c>
      <c r="AG205" s="3" t="str">
        <f>IFERROR(__xludf.DUMMYFUNCTION("""COMPUTED_VALUE"""),"Yes")</f>
        <v>Yes</v>
      </c>
      <c r="AH205" s="3">
        <f>IFERROR(__xludf.DUMMYFUNCTION("""COMPUTED_VALUE"""),2.0)</f>
        <v>2</v>
      </c>
      <c r="AI205" s="3">
        <f>IFERROR(__xludf.DUMMYFUNCTION("""COMPUTED_VALUE"""),1.0)</f>
        <v>1</v>
      </c>
      <c r="AJ205" s="3">
        <f>IFERROR(__xludf.DUMMYFUNCTION("""COMPUTED_VALUE"""),0.0)</f>
        <v>0</v>
      </c>
      <c r="AK205" s="3">
        <f>IFERROR(__xludf.DUMMYFUNCTION("""COMPUTED_VALUE"""),0.0)</f>
        <v>0</v>
      </c>
      <c r="AL205" s="3">
        <f>IFERROR(__xludf.DUMMYFUNCTION("""COMPUTED_VALUE"""),0.0)</f>
        <v>0</v>
      </c>
      <c r="AM205" s="3" t="str">
        <f>IFERROR(__xludf.DUMMYFUNCTION("""COMPUTED_VALUE"""),"Yes")</f>
        <v>Yes</v>
      </c>
      <c r="AN205" s="3">
        <f>IFERROR(__xludf.DUMMYFUNCTION("""COMPUTED_VALUE"""),7.82201442E8)</f>
        <v>782201442</v>
      </c>
      <c r="AO205" s="3"/>
      <c r="AP205" s="3">
        <f>IFERROR(__xludf.DUMMYFUNCTION("""COMPUTED_VALUE"""),4.90190123E8)</f>
        <v>490190123</v>
      </c>
      <c r="AQ205" s="3" t="str">
        <f>IFERROR(__xludf.DUMMYFUNCTION("""COMPUTED_VALUE"""),"94da2f13-5aae-47a8-94eb-9723a3a7198a")</f>
        <v>94da2f13-5aae-47a8-94eb-9723a3a7198a</v>
      </c>
      <c r="AR205" s="3">
        <f>IFERROR(__xludf.DUMMYFUNCTION("""COMPUTED_VALUE"""),45808.729097222225)</f>
        <v>45808.7291</v>
      </c>
      <c r="AS205" s="3"/>
      <c r="AT205" s="3"/>
      <c r="AU205" s="3" t="str">
        <f>IFERROR(__xludf.DUMMYFUNCTION("""COMPUTED_VALUE"""),"submitted_via_web")</f>
        <v>submitted_via_web</v>
      </c>
      <c r="AV205" s="3"/>
      <c r="AW205" s="3" t="str">
        <f>IFERROR(__xludf.DUMMYFUNCTION("""COMPUTED_VALUE"""),"vckVTgNzM4XXtKAKNnsHpB")</f>
        <v>vckVTgNzM4XXtKAKNnsHpB</v>
      </c>
      <c r="AX205" s="3"/>
      <c r="AY205" s="3">
        <f>IFERROR(__xludf.DUMMYFUNCTION("""COMPUTED_VALUE"""),204.0)</f>
        <v>204</v>
      </c>
    </row>
    <row r="206">
      <c r="A206" s="3" t="str">
        <f>IFERROR(__xludf.DUMMYFUNCTION("""COMPUTED_VALUE"""),"Yes")</f>
        <v>Yes</v>
      </c>
      <c r="B206" s="3"/>
      <c r="C206" s="3" t="str">
        <f>IFERROR(__xludf.DUMMYFUNCTION("""COMPUTED_VALUE"""),"mozambique")</f>
        <v>mozambique</v>
      </c>
      <c r="D206" s="3"/>
      <c r="E206" s="3" t="str">
        <f>IFERROR(__xludf.DUMMYFUNCTION("""COMPUTED_VALUE"""),"south_africa")</f>
        <v>south_africa</v>
      </c>
      <c r="F206" s="3" t="str">
        <f>IFERROR(__xludf.DUMMYFUNCTION("""COMPUTED_VALUE"""),"Capetown")</f>
        <v>Capetown</v>
      </c>
      <c r="G206" s="3">
        <f>IFERROR(__xludf.DUMMYFUNCTION("""COMPUTED_VALUE"""),24.0)</f>
        <v>24</v>
      </c>
      <c r="H206" s="3" t="str">
        <f>IFERROR(__xludf.DUMMYFUNCTION("""COMPUTED_VALUE"""),"female")</f>
        <v>female</v>
      </c>
      <c r="I206" s="3" t="str">
        <f>IFERROR(__xludf.DUMMYFUNCTION("""COMPUTED_VALUE"""),"over5")</f>
        <v>over5</v>
      </c>
      <c r="J206" s="3" t="str">
        <f>IFERROR(__xludf.DUMMYFUNCTION("""COMPUTED_VALUE"""),"informal")</f>
        <v>informal</v>
      </c>
      <c r="K206" s="3" t="str">
        <f>IFERROR(__xludf.DUMMYFUNCTION("""COMPUTED_VALUE"""),"secondary")</f>
        <v>secondary</v>
      </c>
      <c r="L206" s="3"/>
      <c r="M206" s="3" t="str">
        <f>IFERROR(__xludf.DUMMYFUNCTION("""COMPUTED_VALUE"""),"agree")</f>
        <v>agree</v>
      </c>
      <c r="N206" s="3" t="str">
        <f>IFERROR(__xludf.DUMMYFUNCTION("""COMPUTED_VALUE"""),"agree")</f>
        <v>agree</v>
      </c>
      <c r="O206" s="3" t="str">
        <f>IFERROR(__xludf.DUMMYFUNCTION("""COMPUTED_VALUE"""),"agree")</f>
        <v>agree</v>
      </c>
      <c r="P206" s="3"/>
      <c r="Q206" s="3" t="str">
        <f>IFERROR(__xludf.DUMMYFUNCTION("""COMPUTED_VALUE"""),"agree")</f>
        <v>agree</v>
      </c>
      <c r="R206" s="3" t="str">
        <f>IFERROR(__xludf.DUMMYFUNCTION("""COMPUTED_VALUE"""),"agree")</f>
        <v>agree</v>
      </c>
      <c r="S206" s="3" t="str">
        <f>IFERROR(__xludf.DUMMYFUNCTION("""COMPUTED_VALUE"""),"agree")</f>
        <v>agree</v>
      </c>
      <c r="T206" s="3" t="str">
        <f>IFERROR(__xludf.DUMMYFUNCTION("""COMPUTED_VALUE"""),"agree")</f>
        <v>agree</v>
      </c>
      <c r="U206" s="3" t="str">
        <f>IFERROR(__xludf.DUMMYFUNCTION("""COMPUTED_VALUE"""),"agree")</f>
        <v>agree</v>
      </c>
      <c r="V206" s="3" t="str">
        <f>IFERROR(__xludf.DUMMYFUNCTION("""COMPUTED_VALUE"""),"agree")</f>
        <v>agree</v>
      </c>
      <c r="W206" s="3" t="str">
        <f>IFERROR(__xludf.DUMMYFUNCTION("""COMPUTED_VALUE"""),"agree")</f>
        <v>agree</v>
      </c>
      <c r="X206" s="3" t="str">
        <f>IFERROR(__xludf.DUMMYFUNCTION("""COMPUTED_VALUE"""),"Silver")</f>
        <v>Silver</v>
      </c>
      <c r="Y206" s="3" t="str">
        <f>IFERROR(__xludf.DUMMYFUNCTION("""COMPUTED_VALUE"""),"cash")</f>
        <v>cash</v>
      </c>
      <c r="Z206" s="3" t="str">
        <f>IFERROR(__xludf.DUMMYFUNCTION("""COMPUTED_VALUE"""),"monthly")</f>
        <v>monthly</v>
      </c>
      <c r="AA206" s="3">
        <f>IFERROR(__xludf.DUMMYFUNCTION("""COMPUTED_VALUE"""),50.0)</f>
        <v>50</v>
      </c>
      <c r="AB206" s="3" t="str">
        <f>IFERROR(__xludf.DUMMYFUNCTION("""COMPUTED_VALUE"""),"assisted")</f>
        <v>assisted</v>
      </c>
      <c r="AC206" s="3" t="str">
        <f>IFERROR(__xludf.DUMMYFUNCTION("""COMPUTED_VALUE"""),"Yes")</f>
        <v>Yes</v>
      </c>
      <c r="AD206" s="3" t="str">
        <f>IFERROR(__xludf.DUMMYFUNCTION("""COMPUTED_VALUE"""),"Silver")</f>
        <v>Silver</v>
      </c>
      <c r="AE206" s="3" t="str">
        <f>IFERROR(__xludf.DUMMYFUNCTION("""COMPUTED_VALUE"""),"Yes")</f>
        <v>Yes</v>
      </c>
      <c r="AF206" s="3" t="str">
        <f>IFERROR(__xludf.DUMMYFUNCTION("""COMPUTED_VALUE"""),"Yes")</f>
        <v>Yes</v>
      </c>
      <c r="AG206" s="3" t="str">
        <f>IFERROR(__xludf.DUMMYFUNCTION("""COMPUTED_VALUE"""),"Yes")</f>
        <v>Yes</v>
      </c>
      <c r="AH206" s="3">
        <f>IFERROR(__xludf.DUMMYFUNCTION("""COMPUTED_VALUE"""),6.0)</f>
        <v>6</v>
      </c>
      <c r="AI206" s="3">
        <f>IFERROR(__xludf.DUMMYFUNCTION("""COMPUTED_VALUE"""),0.0)</f>
        <v>0</v>
      </c>
      <c r="AJ206" s="3">
        <f>IFERROR(__xludf.DUMMYFUNCTION("""COMPUTED_VALUE"""),1.0)</f>
        <v>1</v>
      </c>
      <c r="AK206" s="3">
        <f>IFERROR(__xludf.DUMMYFUNCTION("""COMPUTED_VALUE"""),0.0)</f>
        <v>0</v>
      </c>
      <c r="AL206" s="3">
        <f>IFERROR(__xludf.DUMMYFUNCTION("""COMPUTED_VALUE"""),0.0)</f>
        <v>0</v>
      </c>
      <c r="AM206" s="3" t="str">
        <f>IFERROR(__xludf.DUMMYFUNCTION("""COMPUTED_VALUE"""),"Yes")</f>
        <v>Yes</v>
      </c>
      <c r="AN206" s="3">
        <f>IFERROR(__xludf.DUMMYFUNCTION("""COMPUTED_VALUE"""),8.351742E8)</f>
        <v>835174200</v>
      </c>
      <c r="AO206" s="3"/>
      <c r="AP206" s="3">
        <f>IFERROR(__xludf.DUMMYFUNCTION("""COMPUTED_VALUE"""),4.90191795E8)</f>
        <v>490191795</v>
      </c>
      <c r="AQ206" s="3" t="str">
        <f>IFERROR(__xludf.DUMMYFUNCTION("""COMPUTED_VALUE"""),"4ee0b160-6a61-446e-b2bf-a36d1c80e6f5")</f>
        <v>4ee0b160-6a61-446e-b2bf-a36d1c80e6f5</v>
      </c>
      <c r="AR206" s="3">
        <f>IFERROR(__xludf.DUMMYFUNCTION("""COMPUTED_VALUE"""),45808.73111111111)</f>
        <v>45808.73111</v>
      </c>
      <c r="AS206" s="3"/>
      <c r="AT206" s="3"/>
      <c r="AU206" s="3" t="str">
        <f>IFERROR(__xludf.DUMMYFUNCTION("""COMPUTED_VALUE"""),"submitted_via_web")</f>
        <v>submitted_via_web</v>
      </c>
      <c r="AV206" s="3"/>
      <c r="AW206" s="3" t="str">
        <f>IFERROR(__xludf.DUMMYFUNCTION("""COMPUTED_VALUE"""),"vckVTgNzM4XXtKAKNnsHpB")</f>
        <v>vckVTgNzM4XXtKAKNnsHpB</v>
      </c>
      <c r="AX206" s="3"/>
      <c r="AY206" s="3">
        <f>IFERROR(__xludf.DUMMYFUNCTION("""COMPUTED_VALUE"""),205.0)</f>
        <v>205</v>
      </c>
    </row>
    <row r="207">
      <c r="A207" s="3" t="str">
        <f>IFERROR(__xludf.DUMMYFUNCTION("""COMPUTED_VALUE"""),"Yes")</f>
        <v>Yes</v>
      </c>
      <c r="B207" s="3"/>
      <c r="C207" s="3" t="str">
        <f>IFERROR(__xludf.DUMMYFUNCTION("""COMPUTED_VALUE"""),"mozambique")</f>
        <v>mozambique</v>
      </c>
      <c r="D207" s="3"/>
      <c r="E207" s="3" t="str">
        <f>IFERROR(__xludf.DUMMYFUNCTION("""COMPUTED_VALUE"""),"south_africa")</f>
        <v>south_africa</v>
      </c>
      <c r="F207" s="3" t="str">
        <f>IFERROR(__xludf.DUMMYFUNCTION("""COMPUTED_VALUE"""),"Chris Hani District")</f>
        <v>Chris Hani District</v>
      </c>
      <c r="G207" s="3">
        <f>IFERROR(__xludf.DUMMYFUNCTION("""COMPUTED_VALUE"""),19.0)</f>
        <v>19</v>
      </c>
      <c r="H207" s="3" t="str">
        <f>IFERROR(__xludf.DUMMYFUNCTION("""COMPUTED_VALUE"""),"female")</f>
        <v>female</v>
      </c>
      <c r="I207" s="3" t="str">
        <f>IFERROR(__xludf.DUMMYFUNCTION("""COMPUTED_VALUE"""),"6to12")</f>
        <v>6to12</v>
      </c>
      <c r="J207" s="3" t="str">
        <f>IFERROR(__xludf.DUMMYFUNCTION("""COMPUTED_VALUE"""),"ownbusiness")</f>
        <v>ownbusiness</v>
      </c>
      <c r="K207" s="3" t="str">
        <f>IFERROR(__xludf.DUMMYFUNCTION("""COMPUTED_VALUE"""),"secondary")</f>
        <v>secondary</v>
      </c>
      <c r="L207" s="3"/>
      <c r="M207" s="3" t="str">
        <f>IFERROR(__xludf.DUMMYFUNCTION("""COMPUTED_VALUE"""),"agree")</f>
        <v>agree</v>
      </c>
      <c r="N207" s="3" t="str">
        <f>IFERROR(__xludf.DUMMYFUNCTION("""COMPUTED_VALUE"""),"agree")</f>
        <v>agree</v>
      </c>
      <c r="O207" s="3" t="str">
        <f>IFERROR(__xludf.DUMMYFUNCTION("""COMPUTED_VALUE"""),"agree")</f>
        <v>agree</v>
      </c>
      <c r="P207" s="3"/>
      <c r="Q207" s="3" t="str">
        <f>IFERROR(__xludf.DUMMYFUNCTION("""COMPUTED_VALUE"""),"agree")</f>
        <v>agree</v>
      </c>
      <c r="R207" s="3" t="str">
        <f>IFERROR(__xludf.DUMMYFUNCTION("""COMPUTED_VALUE"""),"agree")</f>
        <v>agree</v>
      </c>
      <c r="S207" s="3" t="str">
        <f>IFERROR(__xludf.DUMMYFUNCTION("""COMPUTED_VALUE"""),"agree")</f>
        <v>agree</v>
      </c>
      <c r="T207" s="3" t="str">
        <f>IFERROR(__xludf.DUMMYFUNCTION("""COMPUTED_VALUE"""),"agree")</f>
        <v>agree</v>
      </c>
      <c r="U207" s="3" t="str">
        <f>IFERROR(__xludf.DUMMYFUNCTION("""COMPUTED_VALUE"""),"agree")</f>
        <v>agree</v>
      </c>
      <c r="V207" s="3" t="str">
        <f>IFERROR(__xludf.DUMMYFUNCTION("""COMPUTED_VALUE"""),"agree")</f>
        <v>agree</v>
      </c>
      <c r="W207" s="3" t="str">
        <f>IFERROR(__xludf.DUMMYFUNCTION("""COMPUTED_VALUE"""),"agree")</f>
        <v>agree</v>
      </c>
      <c r="X207" s="3" t="str">
        <f>IFERROR(__xludf.DUMMYFUNCTION("""COMPUTED_VALUE"""),"Silver")</f>
        <v>Silver</v>
      </c>
      <c r="Y207" s="3" t="str">
        <f>IFERROR(__xludf.DUMMYFUNCTION("""COMPUTED_VALUE"""),"card")</f>
        <v>card</v>
      </c>
      <c r="Z207" s="3" t="str">
        <f>IFERROR(__xludf.DUMMYFUNCTION("""COMPUTED_VALUE"""),"monthly")</f>
        <v>monthly</v>
      </c>
      <c r="AA207" s="3">
        <f>IFERROR(__xludf.DUMMYFUNCTION("""COMPUTED_VALUE"""),50.0)</f>
        <v>50</v>
      </c>
      <c r="AB207" s="3" t="str">
        <f>IFERROR(__xludf.DUMMYFUNCTION("""COMPUTED_VALUE"""),"online")</f>
        <v>online</v>
      </c>
      <c r="AC207" s="3" t="str">
        <f>IFERROR(__xludf.DUMMYFUNCTION("""COMPUTED_VALUE"""),"Yes")</f>
        <v>Yes</v>
      </c>
      <c r="AD207" s="3" t="str">
        <f>IFERROR(__xludf.DUMMYFUNCTION("""COMPUTED_VALUE"""),"Silver")</f>
        <v>Silver</v>
      </c>
      <c r="AE207" s="3" t="str">
        <f>IFERROR(__xludf.DUMMYFUNCTION("""COMPUTED_VALUE"""),"Yes")</f>
        <v>Yes</v>
      </c>
      <c r="AF207" s="3" t="str">
        <f>IFERROR(__xludf.DUMMYFUNCTION("""COMPUTED_VALUE"""),"Yes")</f>
        <v>Yes</v>
      </c>
      <c r="AG207" s="3" t="str">
        <f>IFERROR(__xludf.DUMMYFUNCTION("""COMPUTED_VALUE"""),"Yes")</f>
        <v>Yes</v>
      </c>
      <c r="AH207" s="3">
        <f>IFERROR(__xludf.DUMMYFUNCTION("""COMPUTED_VALUE"""),2.0)</f>
        <v>2</v>
      </c>
      <c r="AI207" s="3">
        <f>IFERROR(__xludf.DUMMYFUNCTION("""COMPUTED_VALUE"""),1.0)</f>
        <v>1</v>
      </c>
      <c r="AJ207" s="3">
        <f>IFERROR(__xludf.DUMMYFUNCTION("""COMPUTED_VALUE"""),0.0)</f>
        <v>0</v>
      </c>
      <c r="AK207" s="3">
        <f>IFERROR(__xludf.DUMMYFUNCTION("""COMPUTED_VALUE"""),0.0)</f>
        <v>0</v>
      </c>
      <c r="AL207" s="3">
        <f>IFERROR(__xludf.DUMMYFUNCTION("""COMPUTED_VALUE"""),0.0)</f>
        <v>0</v>
      </c>
      <c r="AM207" s="3" t="str">
        <f>IFERROR(__xludf.DUMMYFUNCTION("""COMPUTED_VALUE"""),"Yes")</f>
        <v>Yes</v>
      </c>
      <c r="AN207" s="3">
        <f>IFERROR(__xludf.DUMMYFUNCTION("""COMPUTED_VALUE"""),7.16325173E8)</f>
        <v>716325173</v>
      </c>
      <c r="AO207" s="3"/>
      <c r="AP207" s="3">
        <f>IFERROR(__xludf.DUMMYFUNCTION("""COMPUTED_VALUE"""),4.90193602E8)</f>
        <v>490193602</v>
      </c>
      <c r="AQ207" s="3" t="str">
        <f>IFERROR(__xludf.DUMMYFUNCTION("""COMPUTED_VALUE"""),"3467a19c-469f-44e2-a6d0-2803a3946337")</f>
        <v>3467a19c-469f-44e2-a6d0-2803a3946337</v>
      </c>
      <c r="AR207" s="3">
        <f>IFERROR(__xludf.DUMMYFUNCTION("""COMPUTED_VALUE"""),45808.73310185185)</f>
        <v>45808.7331</v>
      </c>
      <c r="AS207" s="3"/>
      <c r="AT207" s="3"/>
      <c r="AU207" s="3" t="str">
        <f>IFERROR(__xludf.DUMMYFUNCTION("""COMPUTED_VALUE"""),"submitted_via_web")</f>
        <v>submitted_via_web</v>
      </c>
      <c r="AV207" s="3"/>
      <c r="AW207" s="3" t="str">
        <f>IFERROR(__xludf.DUMMYFUNCTION("""COMPUTED_VALUE"""),"vckVTgNzM4XXtKAKNnsHpB")</f>
        <v>vckVTgNzM4XXtKAKNnsHpB</v>
      </c>
      <c r="AX207" s="3"/>
      <c r="AY207" s="3">
        <f>IFERROR(__xludf.DUMMYFUNCTION("""COMPUTED_VALUE"""),206.0)</f>
        <v>206</v>
      </c>
    </row>
    <row r="208">
      <c r="A208" s="3" t="str">
        <f>IFERROR(__xludf.DUMMYFUNCTION("""COMPUTED_VALUE"""),"Yes")</f>
        <v>Yes</v>
      </c>
      <c r="B208" s="3"/>
      <c r="C208" s="3" t="str">
        <f>IFERROR(__xludf.DUMMYFUNCTION("""COMPUTED_VALUE"""),"mozambique")</f>
        <v>mozambique</v>
      </c>
      <c r="D208" s="3"/>
      <c r="E208" s="3" t="str">
        <f>IFERROR(__xludf.DUMMYFUNCTION("""COMPUTED_VALUE"""),"south_africa")</f>
        <v>south_africa</v>
      </c>
      <c r="F208" s="3" t="str">
        <f>IFERROR(__xludf.DUMMYFUNCTION("""COMPUTED_VALUE"""),"Chris Hani District")</f>
        <v>Chris Hani District</v>
      </c>
      <c r="G208" s="3">
        <f>IFERROR(__xludf.DUMMYFUNCTION("""COMPUTED_VALUE"""),24.0)</f>
        <v>24</v>
      </c>
      <c r="H208" s="3" t="str">
        <f>IFERROR(__xludf.DUMMYFUNCTION("""COMPUTED_VALUE"""),"male")</f>
        <v>male</v>
      </c>
      <c r="I208" s="3" t="str">
        <f>IFERROR(__xludf.DUMMYFUNCTION("""COMPUTED_VALUE"""),"1to5")</f>
        <v>1to5</v>
      </c>
      <c r="J208" s="3" t="str">
        <f>IFERROR(__xludf.DUMMYFUNCTION("""COMPUTED_VALUE"""),"ownbusiness")</f>
        <v>ownbusiness</v>
      </c>
      <c r="K208" s="3" t="str">
        <f>IFERROR(__xludf.DUMMYFUNCTION("""COMPUTED_VALUE"""),"primary")</f>
        <v>primary</v>
      </c>
      <c r="L208" s="3"/>
      <c r="M208" s="3" t="str">
        <f>IFERROR(__xludf.DUMMYFUNCTION("""COMPUTED_VALUE"""),"agree")</f>
        <v>agree</v>
      </c>
      <c r="N208" s="3" t="str">
        <f>IFERROR(__xludf.DUMMYFUNCTION("""COMPUTED_VALUE"""),"agree")</f>
        <v>agree</v>
      </c>
      <c r="O208" s="3" t="str">
        <f>IFERROR(__xludf.DUMMYFUNCTION("""COMPUTED_VALUE"""),"agree")</f>
        <v>agree</v>
      </c>
      <c r="P208" s="3"/>
      <c r="Q208" s="3" t="str">
        <f>IFERROR(__xludf.DUMMYFUNCTION("""COMPUTED_VALUE"""),"agree")</f>
        <v>agree</v>
      </c>
      <c r="R208" s="3" t="str">
        <f>IFERROR(__xludf.DUMMYFUNCTION("""COMPUTED_VALUE"""),"agree")</f>
        <v>agree</v>
      </c>
      <c r="S208" s="3" t="str">
        <f>IFERROR(__xludf.DUMMYFUNCTION("""COMPUTED_VALUE"""),"agree")</f>
        <v>agree</v>
      </c>
      <c r="T208" s="3" t="str">
        <f>IFERROR(__xludf.DUMMYFUNCTION("""COMPUTED_VALUE"""),"agree")</f>
        <v>agree</v>
      </c>
      <c r="U208" s="3" t="str">
        <f>IFERROR(__xludf.DUMMYFUNCTION("""COMPUTED_VALUE"""),"agree")</f>
        <v>agree</v>
      </c>
      <c r="V208" s="3" t="str">
        <f>IFERROR(__xludf.DUMMYFUNCTION("""COMPUTED_VALUE"""),"agree")</f>
        <v>agree</v>
      </c>
      <c r="W208" s="3" t="str">
        <f>IFERROR(__xludf.DUMMYFUNCTION("""COMPUTED_VALUE"""),"agree")</f>
        <v>agree</v>
      </c>
      <c r="X208" s="3" t="str">
        <f>IFERROR(__xludf.DUMMYFUNCTION("""COMPUTED_VALUE"""),"Silver")</f>
        <v>Silver</v>
      </c>
      <c r="Y208" s="3" t="str">
        <f>IFERROR(__xludf.DUMMYFUNCTION("""COMPUTED_VALUE"""),"card")</f>
        <v>card</v>
      </c>
      <c r="Z208" s="3" t="str">
        <f>IFERROR(__xludf.DUMMYFUNCTION("""COMPUTED_VALUE"""),"biannual")</f>
        <v>biannual</v>
      </c>
      <c r="AA208" s="3">
        <f>IFERROR(__xludf.DUMMYFUNCTION("""COMPUTED_VALUE"""),20.0)</f>
        <v>20</v>
      </c>
      <c r="AB208" s="3" t="str">
        <f>IFERROR(__xludf.DUMMYFUNCTION("""COMPUTED_VALUE"""),"assisted")</f>
        <v>assisted</v>
      </c>
      <c r="AC208" s="3" t="str">
        <f>IFERROR(__xludf.DUMMYFUNCTION("""COMPUTED_VALUE"""),"Yes")</f>
        <v>Yes</v>
      </c>
      <c r="AD208" s="3" t="str">
        <f>IFERROR(__xludf.DUMMYFUNCTION("""COMPUTED_VALUE"""),"Silver")</f>
        <v>Silver</v>
      </c>
      <c r="AE208" s="3" t="str">
        <f>IFERROR(__xludf.DUMMYFUNCTION("""COMPUTED_VALUE"""),"Yes")</f>
        <v>Yes</v>
      </c>
      <c r="AF208" s="3" t="str">
        <f>IFERROR(__xludf.DUMMYFUNCTION("""COMPUTED_VALUE"""),"Yes")</f>
        <v>Yes</v>
      </c>
      <c r="AG208" s="3" t="str">
        <f>IFERROR(__xludf.DUMMYFUNCTION("""COMPUTED_VALUE"""),"Yes")</f>
        <v>Yes</v>
      </c>
      <c r="AH208" s="3">
        <f>IFERROR(__xludf.DUMMYFUNCTION("""COMPUTED_VALUE"""),3.0)</f>
        <v>3</v>
      </c>
      <c r="AI208" s="3">
        <f>IFERROR(__xludf.DUMMYFUNCTION("""COMPUTED_VALUE"""),1.0)</f>
        <v>1</v>
      </c>
      <c r="AJ208" s="3">
        <f>IFERROR(__xludf.DUMMYFUNCTION("""COMPUTED_VALUE"""),0.0)</f>
        <v>0</v>
      </c>
      <c r="AK208" s="3">
        <f>IFERROR(__xludf.DUMMYFUNCTION("""COMPUTED_VALUE"""),0.0)</f>
        <v>0</v>
      </c>
      <c r="AL208" s="3">
        <f>IFERROR(__xludf.DUMMYFUNCTION("""COMPUTED_VALUE"""),0.0)</f>
        <v>0</v>
      </c>
      <c r="AM208" s="3" t="str">
        <f>IFERROR(__xludf.DUMMYFUNCTION("""COMPUTED_VALUE"""),"Yes")</f>
        <v>Yes</v>
      </c>
      <c r="AN208" s="3">
        <f>IFERROR(__xludf.DUMMYFUNCTION("""COMPUTED_VALUE"""),8.44112654E8)</f>
        <v>844112654</v>
      </c>
      <c r="AO208" s="3"/>
      <c r="AP208" s="3">
        <f>IFERROR(__xludf.DUMMYFUNCTION("""COMPUTED_VALUE"""),4.90194764E8)</f>
        <v>490194764</v>
      </c>
      <c r="AQ208" s="3" t="str">
        <f>IFERROR(__xludf.DUMMYFUNCTION("""COMPUTED_VALUE"""),"3ed52dae-4621-40be-9310-13d8c9e80aa5")</f>
        <v>3ed52dae-4621-40be-9310-13d8c9e80aa5</v>
      </c>
      <c r="AR208" s="3">
        <f>IFERROR(__xludf.DUMMYFUNCTION("""COMPUTED_VALUE"""),45808.73469907408)</f>
        <v>45808.7347</v>
      </c>
      <c r="AS208" s="3"/>
      <c r="AT208" s="3"/>
      <c r="AU208" s="3" t="str">
        <f>IFERROR(__xludf.DUMMYFUNCTION("""COMPUTED_VALUE"""),"submitted_via_web")</f>
        <v>submitted_via_web</v>
      </c>
      <c r="AV208" s="3"/>
      <c r="AW208" s="3" t="str">
        <f>IFERROR(__xludf.DUMMYFUNCTION("""COMPUTED_VALUE"""),"vckVTgNzM4XXtKAKNnsHpB")</f>
        <v>vckVTgNzM4XXtKAKNnsHpB</v>
      </c>
      <c r="AX208" s="3"/>
      <c r="AY208" s="3">
        <f>IFERROR(__xludf.DUMMYFUNCTION("""COMPUTED_VALUE"""),207.0)</f>
        <v>207</v>
      </c>
    </row>
    <row r="209">
      <c r="A209" s="3" t="str">
        <f>IFERROR(__xludf.DUMMYFUNCTION("""COMPUTED_VALUE"""),"Yes")</f>
        <v>Yes</v>
      </c>
      <c r="B209" s="3"/>
      <c r="C209" s="3" t="str">
        <f>IFERROR(__xludf.DUMMYFUNCTION("""COMPUTED_VALUE"""),"mozambique")</f>
        <v>mozambique</v>
      </c>
      <c r="D209" s="3"/>
      <c r="E209" s="3" t="str">
        <f>IFERROR(__xludf.DUMMYFUNCTION("""COMPUTED_VALUE"""),"south_africa")</f>
        <v>south_africa</v>
      </c>
      <c r="F209" s="3" t="str">
        <f>IFERROR(__xludf.DUMMYFUNCTION("""COMPUTED_VALUE"""),"Capetown")</f>
        <v>Capetown</v>
      </c>
      <c r="G209" s="3">
        <f>IFERROR(__xludf.DUMMYFUNCTION("""COMPUTED_VALUE"""),22.0)</f>
        <v>22</v>
      </c>
      <c r="H209" s="3" t="str">
        <f>IFERROR(__xludf.DUMMYFUNCTION("""COMPUTED_VALUE"""),"male")</f>
        <v>male</v>
      </c>
      <c r="I209" s="3" t="str">
        <f>IFERROR(__xludf.DUMMYFUNCTION("""COMPUTED_VALUE"""),"over5")</f>
        <v>over5</v>
      </c>
      <c r="J209" s="3" t="str">
        <f>IFERROR(__xludf.DUMMYFUNCTION("""COMPUTED_VALUE"""),"formal")</f>
        <v>formal</v>
      </c>
      <c r="K209" s="3" t="str">
        <f>IFERROR(__xludf.DUMMYFUNCTION("""COMPUTED_VALUE"""),"secondary")</f>
        <v>secondary</v>
      </c>
      <c r="L209" s="3"/>
      <c r="M209" s="3" t="str">
        <f>IFERROR(__xludf.DUMMYFUNCTION("""COMPUTED_VALUE"""),"agree")</f>
        <v>agree</v>
      </c>
      <c r="N209" s="3" t="str">
        <f>IFERROR(__xludf.DUMMYFUNCTION("""COMPUTED_VALUE"""),"agree")</f>
        <v>agree</v>
      </c>
      <c r="O209" s="3" t="str">
        <f>IFERROR(__xludf.DUMMYFUNCTION("""COMPUTED_VALUE"""),"agree")</f>
        <v>agree</v>
      </c>
      <c r="P209" s="3"/>
      <c r="Q209" s="3" t="str">
        <f>IFERROR(__xludf.DUMMYFUNCTION("""COMPUTED_VALUE"""),"agree")</f>
        <v>agree</v>
      </c>
      <c r="R209" s="3" t="str">
        <f>IFERROR(__xludf.DUMMYFUNCTION("""COMPUTED_VALUE"""),"agree")</f>
        <v>agree</v>
      </c>
      <c r="S209" s="3" t="str">
        <f>IFERROR(__xludf.DUMMYFUNCTION("""COMPUTED_VALUE"""),"agree")</f>
        <v>agree</v>
      </c>
      <c r="T209" s="3" t="str">
        <f>IFERROR(__xludf.DUMMYFUNCTION("""COMPUTED_VALUE"""),"agree")</f>
        <v>agree</v>
      </c>
      <c r="U209" s="3" t="str">
        <f>IFERROR(__xludf.DUMMYFUNCTION("""COMPUTED_VALUE"""),"agree")</f>
        <v>agree</v>
      </c>
      <c r="V209" s="3" t="str">
        <f>IFERROR(__xludf.DUMMYFUNCTION("""COMPUTED_VALUE"""),"agree")</f>
        <v>agree</v>
      </c>
      <c r="W209" s="3" t="str">
        <f>IFERROR(__xludf.DUMMYFUNCTION("""COMPUTED_VALUE"""),"agree")</f>
        <v>agree</v>
      </c>
      <c r="X209" s="3" t="str">
        <f>IFERROR(__xludf.DUMMYFUNCTION("""COMPUTED_VALUE"""),"Silver")</f>
        <v>Silver</v>
      </c>
      <c r="Y209" s="3" t="str">
        <f>IFERROR(__xludf.DUMMYFUNCTION("""COMPUTED_VALUE"""),"cash")</f>
        <v>cash</v>
      </c>
      <c r="Z209" s="3" t="str">
        <f>IFERROR(__xludf.DUMMYFUNCTION("""COMPUTED_VALUE"""),"quarterly")</f>
        <v>quarterly</v>
      </c>
      <c r="AA209" s="3">
        <f>IFERROR(__xludf.DUMMYFUNCTION("""COMPUTED_VALUE"""),20.0)</f>
        <v>20</v>
      </c>
      <c r="AB209" s="3" t="str">
        <f>IFERROR(__xludf.DUMMYFUNCTION("""COMPUTED_VALUE"""),"assisted")</f>
        <v>assisted</v>
      </c>
      <c r="AC209" s="3" t="str">
        <f>IFERROR(__xludf.DUMMYFUNCTION("""COMPUTED_VALUE"""),"Yes")</f>
        <v>Yes</v>
      </c>
      <c r="AD209" s="3" t="str">
        <f>IFERROR(__xludf.DUMMYFUNCTION("""COMPUTED_VALUE"""),"Silver")</f>
        <v>Silver</v>
      </c>
      <c r="AE209" s="3" t="str">
        <f>IFERROR(__xludf.DUMMYFUNCTION("""COMPUTED_VALUE"""),"Yes")</f>
        <v>Yes</v>
      </c>
      <c r="AF209" s="3" t="str">
        <f>IFERROR(__xludf.DUMMYFUNCTION("""COMPUTED_VALUE"""),"Yes")</f>
        <v>Yes</v>
      </c>
      <c r="AG209" s="3" t="str">
        <f>IFERROR(__xludf.DUMMYFUNCTION("""COMPUTED_VALUE"""),"Yes")</f>
        <v>Yes</v>
      </c>
      <c r="AH209" s="3">
        <f>IFERROR(__xludf.DUMMYFUNCTION("""COMPUTED_VALUE"""),4.0)</f>
        <v>4</v>
      </c>
      <c r="AI209" s="3">
        <f>IFERROR(__xludf.DUMMYFUNCTION("""COMPUTED_VALUE"""),1.0)</f>
        <v>1</v>
      </c>
      <c r="AJ209" s="3">
        <f>IFERROR(__xludf.DUMMYFUNCTION("""COMPUTED_VALUE"""),0.0)</f>
        <v>0</v>
      </c>
      <c r="AK209" s="3">
        <f>IFERROR(__xludf.DUMMYFUNCTION("""COMPUTED_VALUE"""),0.0)</f>
        <v>0</v>
      </c>
      <c r="AL209" s="3">
        <f>IFERROR(__xludf.DUMMYFUNCTION("""COMPUTED_VALUE"""),0.0)</f>
        <v>0</v>
      </c>
      <c r="AM209" s="3" t="str">
        <f>IFERROR(__xludf.DUMMYFUNCTION("""COMPUTED_VALUE"""),"Yes")</f>
        <v>Yes</v>
      </c>
      <c r="AN209" s="3">
        <f>IFERROR(__xludf.DUMMYFUNCTION("""COMPUTED_VALUE"""),8.3324428E7)</f>
        <v>83324428</v>
      </c>
      <c r="AO209" s="3"/>
      <c r="AP209" s="3">
        <f>IFERROR(__xludf.DUMMYFUNCTION("""COMPUTED_VALUE"""),4.90195712E8)</f>
        <v>490195712</v>
      </c>
      <c r="AQ209" s="3" t="str">
        <f>IFERROR(__xludf.DUMMYFUNCTION("""COMPUTED_VALUE"""),"c754f7aa-aff6-4e35-8f59-182497206d0c")</f>
        <v>c754f7aa-aff6-4e35-8f59-182497206d0c</v>
      </c>
      <c r="AR209" s="3">
        <f>IFERROR(__xludf.DUMMYFUNCTION("""COMPUTED_VALUE"""),45808.73625)</f>
        <v>45808.73625</v>
      </c>
      <c r="AS209" s="3"/>
      <c r="AT209" s="3"/>
      <c r="AU209" s="3" t="str">
        <f>IFERROR(__xludf.DUMMYFUNCTION("""COMPUTED_VALUE"""),"submitted_via_web")</f>
        <v>submitted_via_web</v>
      </c>
      <c r="AV209" s="3"/>
      <c r="AW209" s="3" t="str">
        <f>IFERROR(__xludf.DUMMYFUNCTION("""COMPUTED_VALUE"""),"vckVTgNzM4XXtKAKNnsHpB")</f>
        <v>vckVTgNzM4XXtKAKNnsHpB</v>
      </c>
      <c r="AX209" s="3"/>
      <c r="AY209" s="3">
        <f>IFERROR(__xludf.DUMMYFUNCTION("""COMPUTED_VALUE"""),208.0)</f>
        <v>208</v>
      </c>
    </row>
    <row r="210">
      <c r="A210" s="3" t="str">
        <f>IFERROR(__xludf.DUMMYFUNCTION("""COMPUTED_VALUE"""),"Yes")</f>
        <v>Yes</v>
      </c>
      <c r="B210" s="3"/>
      <c r="C210" s="3" t="str">
        <f>IFERROR(__xludf.DUMMYFUNCTION("""COMPUTED_VALUE"""),"mozambique")</f>
        <v>mozambique</v>
      </c>
      <c r="D210" s="3"/>
      <c r="E210" s="3" t="str">
        <f>IFERROR(__xludf.DUMMYFUNCTION("""COMPUTED_VALUE"""),"south_africa")</f>
        <v>south_africa</v>
      </c>
      <c r="F210" s="3" t="str">
        <f>IFERROR(__xludf.DUMMYFUNCTION("""COMPUTED_VALUE"""),"Capetown")</f>
        <v>Capetown</v>
      </c>
      <c r="G210" s="3">
        <f>IFERROR(__xludf.DUMMYFUNCTION("""COMPUTED_VALUE"""),23.0)</f>
        <v>23</v>
      </c>
      <c r="H210" s="3" t="str">
        <f>IFERROR(__xludf.DUMMYFUNCTION("""COMPUTED_VALUE"""),"male")</f>
        <v>male</v>
      </c>
      <c r="I210" s="3" t="str">
        <f>IFERROR(__xludf.DUMMYFUNCTION("""COMPUTED_VALUE"""),"6to12")</f>
        <v>6to12</v>
      </c>
      <c r="J210" s="3" t="str">
        <f>IFERROR(__xludf.DUMMYFUNCTION("""COMPUTED_VALUE"""),"ownbusiness")</f>
        <v>ownbusiness</v>
      </c>
      <c r="K210" s="3" t="str">
        <f>IFERROR(__xludf.DUMMYFUNCTION("""COMPUTED_VALUE"""),"none")</f>
        <v>none</v>
      </c>
      <c r="L210" s="3"/>
      <c r="M210" s="3" t="str">
        <f>IFERROR(__xludf.DUMMYFUNCTION("""COMPUTED_VALUE"""),"agree")</f>
        <v>agree</v>
      </c>
      <c r="N210" s="3" t="str">
        <f>IFERROR(__xludf.DUMMYFUNCTION("""COMPUTED_VALUE"""),"agree")</f>
        <v>agree</v>
      </c>
      <c r="O210" s="3" t="str">
        <f>IFERROR(__xludf.DUMMYFUNCTION("""COMPUTED_VALUE"""),"agree")</f>
        <v>agree</v>
      </c>
      <c r="P210" s="3"/>
      <c r="Q210" s="3" t="str">
        <f>IFERROR(__xludf.DUMMYFUNCTION("""COMPUTED_VALUE"""),"agree")</f>
        <v>agree</v>
      </c>
      <c r="R210" s="3" t="str">
        <f>IFERROR(__xludf.DUMMYFUNCTION("""COMPUTED_VALUE"""),"agree")</f>
        <v>agree</v>
      </c>
      <c r="S210" s="3" t="str">
        <f>IFERROR(__xludf.DUMMYFUNCTION("""COMPUTED_VALUE"""),"agree")</f>
        <v>agree</v>
      </c>
      <c r="T210" s="3" t="str">
        <f>IFERROR(__xludf.DUMMYFUNCTION("""COMPUTED_VALUE"""),"agree")</f>
        <v>agree</v>
      </c>
      <c r="U210" s="3" t="str">
        <f>IFERROR(__xludf.DUMMYFUNCTION("""COMPUTED_VALUE"""),"agree")</f>
        <v>agree</v>
      </c>
      <c r="V210" s="3" t="str">
        <f>IFERROR(__xludf.DUMMYFUNCTION("""COMPUTED_VALUE"""),"agree")</f>
        <v>agree</v>
      </c>
      <c r="W210" s="3" t="str">
        <f>IFERROR(__xludf.DUMMYFUNCTION("""COMPUTED_VALUE"""),"agree")</f>
        <v>agree</v>
      </c>
      <c r="X210" s="3" t="str">
        <f>IFERROR(__xludf.DUMMYFUNCTION("""COMPUTED_VALUE"""),"Platinum")</f>
        <v>Platinum</v>
      </c>
      <c r="Y210" s="3" t="str">
        <f>IFERROR(__xludf.DUMMYFUNCTION("""COMPUTED_VALUE"""),"cash")</f>
        <v>cash</v>
      </c>
      <c r="Z210" s="3" t="str">
        <f>IFERROR(__xludf.DUMMYFUNCTION("""COMPUTED_VALUE"""),"biannual")</f>
        <v>biannual</v>
      </c>
      <c r="AA210" s="3">
        <f>IFERROR(__xludf.DUMMYFUNCTION("""COMPUTED_VALUE"""),20.0)</f>
        <v>20</v>
      </c>
      <c r="AB210" s="3" t="str">
        <f>IFERROR(__xludf.DUMMYFUNCTION("""COMPUTED_VALUE"""),"assisted")</f>
        <v>assisted</v>
      </c>
      <c r="AC210" s="3" t="str">
        <f>IFERROR(__xludf.DUMMYFUNCTION("""COMPUTED_VALUE"""),"Yes")</f>
        <v>Yes</v>
      </c>
      <c r="AD210" s="3" t="str">
        <f>IFERROR(__xludf.DUMMYFUNCTION("""COMPUTED_VALUE"""),"Platinum")</f>
        <v>Platinum</v>
      </c>
      <c r="AE210" s="3" t="str">
        <f>IFERROR(__xludf.DUMMYFUNCTION("""COMPUTED_VALUE"""),"Yes")</f>
        <v>Yes</v>
      </c>
      <c r="AF210" s="3" t="str">
        <f>IFERROR(__xludf.DUMMYFUNCTION("""COMPUTED_VALUE"""),"Yes")</f>
        <v>Yes</v>
      </c>
      <c r="AG210" s="3" t="str">
        <f>IFERROR(__xludf.DUMMYFUNCTION("""COMPUTED_VALUE"""),"Yes")</f>
        <v>Yes</v>
      </c>
      <c r="AH210" s="3">
        <f>IFERROR(__xludf.DUMMYFUNCTION("""COMPUTED_VALUE"""),6.0)</f>
        <v>6</v>
      </c>
      <c r="AI210" s="3">
        <f>IFERROR(__xludf.DUMMYFUNCTION("""COMPUTED_VALUE"""),1.0)</f>
        <v>1</v>
      </c>
      <c r="AJ210" s="3">
        <f>IFERROR(__xludf.DUMMYFUNCTION("""COMPUTED_VALUE"""),0.0)</f>
        <v>0</v>
      </c>
      <c r="AK210" s="3">
        <f>IFERROR(__xludf.DUMMYFUNCTION("""COMPUTED_VALUE"""),0.0)</f>
        <v>0</v>
      </c>
      <c r="AL210" s="3">
        <f>IFERROR(__xludf.DUMMYFUNCTION("""COMPUTED_VALUE"""),0.0)</f>
        <v>0</v>
      </c>
      <c r="AM210" s="3" t="str">
        <f>IFERROR(__xludf.DUMMYFUNCTION("""COMPUTED_VALUE"""),"Yes")</f>
        <v>Yes</v>
      </c>
      <c r="AN210" s="3">
        <f>IFERROR(__xludf.DUMMYFUNCTION("""COMPUTED_VALUE"""),6.39293953E8)</f>
        <v>639293953</v>
      </c>
      <c r="AO210" s="3"/>
      <c r="AP210" s="3">
        <f>IFERROR(__xludf.DUMMYFUNCTION("""COMPUTED_VALUE"""),4.90196718E8)</f>
        <v>490196718</v>
      </c>
      <c r="AQ210" s="3" t="str">
        <f>IFERROR(__xludf.DUMMYFUNCTION("""COMPUTED_VALUE"""),"4d2c853c-3eeb-4127-bbb8-de3d0bb8e25a")</f>
        <v>4d2c853c-3eeb-4127-bbb8-de3d0bb8e25a</v>
      </c>
      <c r="AR210" s="3">
        <f>IFERROR(__xludf.DUMMYFUNCTION("""COMPUTED_VALUE"""),45808.73804398148)</f>
        <v>45808.73804</v>
      </c>
      <c r="AS210" s="3"/>
      <c r="AT210" s="3"/>
      <c r="AU210" s="3" t="str">
        <f>IFERROR(__xludf.DUMMYFUNCTION("""COMPUTED_VALUE"""),"submitted_via_web")</f>
        <v>submitted_via_web</v>
      </c>
      <c r="AV210" s="3"/>
      <c r="AW210" s="3" t="str">
        <f>IFERROR(__xludf.DUMMYFUNCTION("""COMPUTED_VALUE"""),"vckVTgNzM4XXtKAKNnsHpB")</f>
        <v>vckVTgNzM4XXtKAKNnsHpB</v>
      </c>
      <c r="AX210" s="3"/>
      <c r="AY210" s="3">
        <f>IFERROR(__xludf.DUMMYFUNCTION("""COMPUTED_VALUE"""),209.0)</f>
        <v>209</v>
      </c>
    </row>
    <row r="211">
      <c r="A211" s="3" t="str">
        <f>IFERROR(__xludf.DUMMYFUNCTION("""COMPUTED_VALUE"""),"Yes")</f>
        <v>Yes</v>
      </c>
      <c r="B211" s="3"/>
      <c r="C211" s="3" t="str">
        <f>IFERROR(__xludf.DUMMYFUNCTION("""COMPUTED_VALUE"""),"zimbabwe")</f>
        <v>zimbabwe</v>
      </c>
      <c r="D211" s="3"/>
      <c r="E211" s="3" t="str">
        <f>IFERROR(__xludf.DUMMYFUNCTION("""COMPUTED_VALUE"""),"zimbabwe")</f>
        <v>zimbabwe</v>
      </c>
      <c r="F211" s="3"/>
      <c r="G211" s="3">
        <f>IFERROR(__xludf.DUMMYFUNCTION("""COMPUTED_VALUE"""),44.0)</f>
        <v>44</v>
      </c>
      <c r="H211" s="3"/>
      <c r="I211" s="3"/>
      <c r="J211" s="3"/>
      <c r="K211" s="3" t="str">
        <f>IFERROR(__xludf.DUMMYFUNCTION("""COMPUTED_VALUE"""),"tertiary")</f>
        <v>tertiary</v>
      </c>
      <c r="L211" s="3"/>
      <c r="M211" s="3"/>
      <c r="N211" s="3" t="str">
        <f>IFERROR(__xludf.DUMMYFUNCTION("""COMPUTED_VALUE"""),"agree")</f>
        <v>agree</v>
      </c>
      <c r="O211" s="3" t="str">
        <f>IFERROR(__xludf.DUMMYFUNCTION("""COMPUTED_VALUE"""),"agree")</f>
        <v>agree</v>
      </c>
      <c r="P211" s="3"/>
      <c r="Q211" s="3" t="str">
        <f>IFERROR(__xludf.DUMMYFUNCTION("""COMPUTED_VALUE"""),"agree")</f>
        <v>agree</v>
      </c>
      <c r="R211" s="3" t="str">
        <f>IFERROR(__xludf.DUMMYFUNCTION("""COMPUTED_VALUE"""),"agree")</f>
        <v>agree</v>
      </c>
      <c r="S211" s="3" t="str">
        <f>IFERROR(__xludf.DUMMYFUNCTION("""COMPUTED_VALUE"""),"agree")</f>
        <v>agree</v>
      </c>
      <c r="T211" s="3" t="str">
        <f>IFERROR(__xludf.DUMMYFUNCTION("""COMPUTED_VALUE"""),"agree")</f>
        <v>agree</v>
      </c>
      <c r="U211" s="3" t="str">
        <f>IFERROR(__xludf.DUMMYFUNCTION("""COMPUTED_VALUE"""),"dontknow")</f>
        <v>dontknow</v>
      </c>
      <c r="V211" s="3" t="str">
        <f>IFERROR(__xludf.DUMMYFUNCTION("""COMPUTED_VALUE"""),"agree")</f>
        <v>agree</v>
      </c>
      <c r="W211" s="3" t="str">
        <f>IFERROR(__xludf.DUMMYFUNCTION("""COMPUTED_VALUE"""),"agree")</f>
        <v>agree</v>
      </c>
      <c r="X211" s="3" t="str">
        <f>IFERROR(__xludf.DUMMYFUNCTION("""COMPUTED_VALUE"""),"Gold")</f>
        <v>Gold</v>
      </c>
      <c r="Y211" s="3" t="str">
        <f>IFERROR(__xludf.DUMMYFUNCTION("""COMPUTED_VALUE"""),"card")</f>
        <v>card</v>
      </c>
      <c r="Z211" s="3" t="str">
        <f>IFERROR(__xludf.DUMMYFUNCTION("""COMPUTED_VALUE"""),"monthly")</f>
        <v>monthly</v>
      </c>
      <c r="AA211" s="3">
        <f>IFERROR(__xludf.DUMMYFUNCTION("""COMPUTED_VALUE"""),100.0)</f>
        <v>100</v>
      </c>
      <c r="AB211" s="3" t="str">
        <f>IFERROR(__xludf.DUMMYFUNCTION("""COMPUTED_VALUE"""),"online")</f>
        <v>online</v>
      </c>
      <c r="AC211" s="3" t="str">
        <f>IFERROR(__xludf.DUMMYFUNCTION("""COMPUTED_VALUE"""),"I am not an employer")</f>
        <v>I am not an employer</v>
      </c>
      <c r="AD211" s="3"/>
      <c r="AE211" s="3"/>
      <c r="AF211" s="3" t="str">
        <f>IFERROR(__xludf.DUMMYFUNCTION("""COMPUTED_VALUE"""),"Yes")</f>
        <v>Yes</v>
      </c>
      <c r="AG211" s="3" t="str">
        <f>IFERROR(__xludf.DUMMYFUNCTION("""COMPUTED_VALUE"""),"No")</f>
        <v>No</v>
      </c>
      <c r="AH211" s="3"/>
      <c r="AI211" s="3">
        <f>IFERROR(__xludf.DUMMYFUNCTION("""COMPUTED_VALUE"""),1.0)</f>
        <v>1</v>
      </c>
      <c r="AJ211" s="3">
        <f>IFERROR(__xludf.DUMMYFUNCTION("""COMPUTED_VALUE"""),1.0)</f>
        <v>1</v>
      </c>
      <c r="AK211" s="3">
        <f>IFERROR(__xludf.DUMMYFUNCTION("""COMPUTED_VALUE"""),1.0)</f>
        <v>1</v>
      </c>
      <c r="AL211" s="3">
        <f>IFERROR(__xludf.DUMMYFUNCTION("""COMPUTED_VALUE"""),0.0)</f>
        <v>0</v>
      </c>
      <c r="AM211" s="3"/>
      <c r="AN211" s="3"/>
      <c r="AO211" s="3"/>
      <c r="AP211" s="3">
        <f>IFERROR(__xludf.DUMMYFUNCTION("""COMPUTED_VALUE"""),4.90197763E8)</f>
        <v>490197763</v>
      </c>
      <c r="AQ211" s="3" t="str">
        <f>IFERROR(__xludf.DUMMYFUNCTION("""COMPUTED_VALUE"""),"9eb04c9d-955b-42a7-9cd9-d13e7071bddc")</f>
        <v>9eb04c9d-955b-42a7-9cd9-d13e7071bddc</v>
      </c>
      <c r="AR211" s="3">
        <f>IFERROR(__xludf.DUMMYFUNCTION("""COMPUTED_VALUE"""),45808.739583333336)</f>
        <v>45808.73958</v>
      </c>
      <c r="AS211" s="3"/>
      <c r="AT211" s="3"/>
      <c r="AU211" s="3" t="str">
        <f>IFERROR(__xludf.DUMMYFUNCTION("""COMPUTED_VALUE"""),"submitted_via_web")</f>
        <v>submitted_via_web</v>
      </c>
      <c r="AV211" s="3"/>
      <c r="AW211" s="3" t="str">
        <f>IFERROR(__xludf.DUMMYFUNCTION("""COMPUTED_VALUE"""),"vckVTgNzM4XXtKAKNnsHpB")</f>
        <v>vckVTgNzM4XXtKAKNnsHpB</v>
      </c>
      <c r="AX211" s="3"/>
      <c r="AY211" s="3">
        <f>IFERROR(__xludf.DUMMYFUNCTION("""COMPUTED_VALUE"""),210.0)</f>
        <v>210</v>
      </c>
    </row>
    <row r="212">
      <c r="A212" s="3" t="str">
        <f>IFERROR(__xludf.DUMMYFUNCTION("""COMPUTED_VALUE"""),"Yes")</f>
        <v>Yes</v>
      </c>
      <c r="B212" s="3"/>
      <c r="C212" s="3" t="str">
        <f>IFERROR(__xludf.DUMMYFUNCTION("""COMPUTED_VALUE"""),"mozambique")</f>
        <v>mozambique</v>
      </c>
      <c r="D212" s="3"/>
      <c r="E212" s="3" t="str">
        <f>IFERROR(__xludf.DUMMYFUNCTION("""COMPUTED_VALUE"""),"south_africa")</f>
        <v>south_africa</v>
      </c>
      <c r="F212" s="3" t="str">
        <f>IFERROR(__xludf.DUMMYFUNCTION("""COMPUTED_VALUE"""),"Garden Route District")</f>
        <v>Garden Route District</v>
      </c>
      <c r="G212" s="3">
        <f>IFERROR(__xludf.DUMMYFUNCTION("""COMPUTED_VALUE"""),25.0)</f>
        <v>25</v>
      </c>
      <c r="H212" s="3" t="str">
        <f>IFERROR(__xludf.DUMMYFUNCTION("""COMPUTED_VALUE"""),"female")</f>
        <v>female</v>
      </c>
      <c r="I212" s="3" t="str">
        <f>IFERROR(__xludf.DUMMYFUNCTION("""COMPUTED_VALUE"""),"1to5")</f>
        <v>1to5</v>
      </c>
      <c r="J212" s="3" t="str">
        <f>IFERROR(__xludf.DUMMYFUNCTION("""COMPUTED_VALUE"""),"ownbusiness")</f>
        <v>ownbusiness</v>
      </c>
      <c r="K212" s="3" t="str">
        <f>IFERROR(__xludf.DUMMYFUNCTION("""COMPUTED_VALUE"""),"none")</f>
        <v>none</v>
      </c>
      <c r="L212" s="3"/>
      <c r="M212" s="3" t="str">
        <f>IFERROR(__xludf.DUMMYFUNCTION("""COMPUTED_VALUE"""),"agree")</f>
        <v>agree</v>
      </c>
      <c r="N212" s="3" t="str">
        <f>IFERROR(__xludf.DUMMYFUNCTION("""COMPUTED_VALUE"""),"agree")</f>
        <v>agree</v>
      </c>
      <c r="O212" s="3" t="str">
        <f>IFERROR(__xludf.DUMMYFUNCTION("""COMPUTED_VALUE"""),"agree")</f>
        <v>agree</v>
      </c>
      <c r="P212" s="3"/>
      <c r="Q212" s="3" t="str">
        <f>IFERROR(__xludf.DUMMYFUNCTION("""COMPUTED_VALUE"""),"agree")</f>
        <v>agree</v>
      </c>
      <c r="R212" s="3" t="str">
        <f>IFERROR(__xludf.DUMMYFUNCTION("""COMPUTED_VALUE"""),"agree")</f>
        <v>agree</v>
      </c>
      <c r="S212" s="3" t="str">
        <f>IFERROR(__xludf.DUMMYFUNCTION("""COMPUTED_VALUE"""),"agree")</f>
        <v>agree</v>
      </c>
      <c r="T212" s="3" t="str">
        <f>IFERROR(__xludf.DUMMYFUNCTION("""COMPUTED_VALUE"""),"agree")</f>
        <v>agree</v>
      </c>
      <c r="U212" s="3" t="str">
        <f>IFERROR(__xludf.DUMMYFUNCTION("""COMPUTED_VALUE"""),"agree")</f>
        <v>agree</v>
      </c>
      <c r="V212" s="3" t="str">
        <f>IFERROR(__xludf.DUMMYFUNCTION("""COMPUTED_VALUE"""),"agree")</f>
        <v>agree</v>
      </c>
      <c r="W212" s="3" t="str">
        <f>IFERROR(__xludf.DUMMYFUNCTION("""COMPUTED_VALUE"""),"agree")</f>
        <v>agree</v>
      </c>
      <c r="X212" s="3" t="str">
        <f>IFERROR(__xludf.DUMMYFUNCTION("""COMPUTED_VALUE"""),"Platinum")</f>
        <v>Platinum</v>
      </c>
      <c r="Y212" s="3" t="str">
        <f>IFERROR(__xludf.DUMMYFUNCTION("""COMPUTED_VALUE"""),"insurance")</f>
        <v>insurance</v>
      </c>
      <c r="Z212" s="3" t="str">
        <f>IFERROR(__xludf.DUMMYFUNCTION("""COMPUTED_VALUE"""),"monthly")</f>
        <v>monthly</v>
      </c>
      <c r="AA212" s="3">
        <f>IFERROR(__xludf.DUMMYFUNCTION("""COMPUTED_VALUE"""),10.0)</f>
        <v>10</v>
      </c>
      <c r="AB212" s="3" t="str">
        <f>IFERROR(__xludf.DUMMYFUNCTION("""COMPUTED_VALUE"""),"online")</f>
        <v>online</v>
      </c>
      <c r="AC212" s="3" t="str">
        <f>IFERROR(__xludf.DUMMYFUNCTION("""COMPUTED_VALUE"""),"Yes")</f>
        <v>Yes</v>
      </c>
      <c r="AD212" s="3" t="str">
        <f>IFERROR(__xludf.DUMMYFUNCTION("""COMPUTED_VALUE"""),"Silver")</f>
        <v>Silver</v>
      </c>
      <c r="AE212" s="3" t="str">
        <f>IFERROR(__xludf.DUMMYFUNCTION("""COMPUTED_VALUE"""),"Yes")</f>
        <v>Yes</v>
      </c>
      <c r="AF212" s="3" t="str">
        <f>IFERROR(__xludf.DUMMYFUNCTION("""COMPUTED_VALUE"""),"Yes")</f>
        <v>Yes</v>
      </c>
      <c r="AG212" s="3" t="str">
        <f>IFERROR(__xludf.DUMMYFUNCTION("""COMPUTED_VALUE"""),"Yes")</f>
        <v>Yes</v>
      </c>
      <c r="AH212" s="3">
        <f>IFERROR(__xludf.DUMMYFUNCTION("""COMPUTED_VALUE"""),2.0)</f>
        <v>2</v>
      </c>
      <c r="AI212" s="3">
        <f>IFERROR(__xludf.DUMMYFUNCTION("""COMPUTED_VALUE"""),1.0)</f>
        <v>1</v>
      </c>
      <c r="AJ212" s="3">
        <f>IFERROR(__xludf.DUMMYFUNCTION("""COMPUTED_VALUE"""),0.0)</f>
        <v>0</v>
      </c>
      <c r="AK212" s="3">
        <f>IFERROR(__xludf.DUMMYFUNCTION("""COMPUTED_VALUE"""),0.0)</f>
        <v>0</v>
      </c>
      <c r="AL212" s="3">
        <f>IFERROR(__xludf.DUMMYFUNCTION("""COMPUTED_VALUE"""),0.0)</f>
        <v>0</v>
      </c>
      <c r="AM212" s="3" t="str">
        <f>IFERROR(__xludf.DUMMYFUNCTION("""COMPUTED_VALUE"""),"Yes")</f>
        <v>Yes</v>
      </c>
      <c r="AN212" s="3">
        <f>IFERROR(__xludf.DUMMYFUNCTION("""COMPUTED_VALUE"""),7.35090851E8)</f>
        <v>735090851</v>
      </c>
      <c r="AO212" s="3"/>
      <c r="AP212" s="3">
        <f>IFERROR(__xludf.DUMMYFUNCTION("""COMPUTED_VALUE"""),4.90197869E8)</f>
        <v>490197869</v>
      </c>
      <c r="AQ212" s="3" t="str">
        <f>IFERROR(__xludf.DUMMYFUNCTION("""COMPUTED_VALUE"""),"d0418ac4-d954-4f85-b53c-b26a4070c497")</f>
        <v>d0418ac4-d954-4f85-b53c-b26a4070c497</v>
      </c>
      <c r="AR212" s="3">
        <f>IFERROR(__xludf.DUMMYFUNCTION("""COMPUTED_VALUE"""),45808.73974537037)</f>
        <v>45808.73975</v>
      </c>
      <c r="AS212" s="3"/>
      <c r="AT212" s="3"/>
      <c r="AU212" s="3" t="str">
        <f>IFERROR(__xludf.DUMMYFUNCTION("""COMPUTED_VALUE"""),"submitted_via_web")</f>
        <v>submitted_via_web</v>
      </c>
      <c r="AV212" s="3"/>
      <c r="AW212" s="3" t="str">
        <f>IFERROR(__xludf.DUMMYFUNCTION("""COMPUTED_VALUE"""),"vckVTgNzM4XXtKAKNnsHpB")</f>
        <v>vckVTgNzM4XXtKAKNnsHpB</v>
      </c>
      <c r="AX212" s="3"/>
      <c r="AY212" s="3">
        <f>IFERROR(__xludf.DUMMYFUNCTION("""COMPUTED_VALUE"""),211.0)</f>
        <v>211</v>
      </c>
    </row>
    <row r="213">
      <c r="A213" s="3" t="str">
        <f>IFERROR(__xludf.DUMMYFUNCTION("""COMPUTED_VALUE"""),"Yes")</f>
        <v>Yes</v>
      </c>
      <c r="B213" s="3"/>
      <c r="C213" s="3" t="str">
        <f>IFERROR(__xludf.DUMMYFUNCTION("""COMPUTED_VALUE"""),"botswana")</f>
        <v>botswana</v>
      </c>
      <c r="D213" s="3"/>
      <c r="E213" s="3" t="str">
        <f>IFERROR(__xludf.DUMMYFUNCTION("""COMPUTED_VALUE"""),"namibia")</f>
        <v>namibia</v>
      </c>
      <c r="F213" s="3"/>
      <c r="G213" s="3">
        <f>IFERROR(__xludf.DUMMYFUNCTION("""COMPUTED_VALUE"""),38.0)</f>
        <v>38</v>
      </c>
      <c r="H213" s="3" t="str">
        <f>IFERROR(__xludf.DUMMYFUNCTION("""COMPUTED_VALUE"""),"male")</f>
        <v>male</v>
      </c>
      <c r="I213" s="3"/>
      <c r="J213" s="3" t="str">
        <f>IFERROR(__xludf.DUMMYFUNCTION("""COMPUTED_VALUE"""),"formal")</f>
        <v>formal</v>
      </c>
      <c r="K213" s="3" t="str">
        <f>IFERROR(__xludf.DUMMYFUNCTION("""COMPUTED_VALUE"""),"tertiary")</f>
        <v>tertiary</v>
      </c>
      <c r="L213" s="3"/>
      <c r="M213" s="3" t="str">
        <f>IFERROR(__xludf.DUMMYFUNCTION("""COMPUTED_VALUE"""),"agree")</f>
        <v>agree</v>
      </c>
      <c r="N213" s="3" t="str">
        <f>IFERROR(__xludf.DUMMYFUNCTION("""COMPUTED_VALUE"""),"agree")</f>
        <v>agree</v>
      </c>
      <c r="O213" s="3" t="str">
        <f>IFERROR(__xludf.DUMMYFUNCTION("""COMPUTED_VALUE"""),"agree")</f>
        <v>agree</v>
      </c>
      <c r="P213" s="3"/>
      <c r="Q213" s="3" t="str">
        <f>IFERROR(__xludf.DUMMYFUNCTION("""COMPUTED_VALUE"""),"agree")</f>
        <v>agree</v>
      </c>
      <c r="R213" s="3" t="str">
        <f>IFERROR(__xludf.DUMMYFUNCTION("""COMPUTED_VALUE"""),"agree")</f>
        <v>agree</v>
      </c>
      <c r="S213" s="3" t="str">
        <f>IFERROR(__xludf.DUMMYFUNCTION("""COMPUTED_VALUE"""),"agree")</f>
        <v>agree</v>
      </c>
      <c r="T213" s="3" t="str">
        <f>IFERROR(__xludf.DUMMYFUNCTION("""COMPUTED_VALUE"""),"agree")</f>
        <v>agree</v>
      </c>
      <c r="U213" s="3" t="str">
        <f>IFERROR(__xludf.DUMMYFUNCTION("""COMPUTED_VALUE"""),"agree")</f>
        <v>agree</v>
      </c>
      <c r="V213" s="3" t="str">
        <f>IFERROR(__xludf.DUMMYFUNCTION("""COMPUTED_VALUE"""),"agree")</f>
        <v>agree</v>
      </c>
      <c r="W213" s="3" t="str">
        <f>IFERROR(__xludf.DUMMYFUNCTION("""COMPUTED_VALUE"""),"agree")</f>
        <v>agree</v>
      </c>
      <c r="X213" s="3" t="str">
        <f>IFERROR(__xludf.DUMMYFUNCTION("""COMPUTED_VALUE"""),"Silver")</f>
        <v>Silver</v>
      </c>
      <c r="Y213" s="3" t="str">
        <f>IFERROR(__xludf.DUMMYFUNCTION("""COMPUTED_VALUE"""),"na")</f>
        <v>na</v>
      </c>
      <c r="Z213" s="3" t="str">
        <f>IFERROR(__xludf.DUMMYFUNCTION("""COMPUTED_VALUE"""),"monthly")</f>
        <v>monthly</v>
      </c>
      <c r="AA213" s="3">
        <f>IFERROR(__xludf.DUMMYFUNCTION("""COMPUTED_VALUE"""),100.0)</f>
        <v>100</v>
      </c>
      <c r="AB213" s="3" t="str">
        <f>IFERROR(__xludf.DUMMYFUNCTION("""COMPUTED_VALUE"""),"online")</f>
        <v>online</v>
      </c>
      <c r="AC213" s="3" t="str">
        <f>IFERROR(__xludf.DUMMYFUNCTION("""COMPUTED_VALUE"""),"Yes")</f>
        <v>Yes</v>
      </c>
      <c r="AD213" s="3" t="str">
        <f>IFERROR(__xludf.DUMMYFUNCTION("""COMPUTED_VALUE"""),"Gold")</f>
        <v>Gold</v>
      </c>
      <c r="AE213" s="3" t="str">
        <f>IFERROR(__xludf.DUMMYFUNCTION("""COMPUTED_VALUE"""),"Yes")</f>
        <v>Yes</v>
      </c>
      <c r="AF213" s="3" t="str">
        <f>IFERROR(__xludf.DUMMYFUNCTION("""COMPUTED_VALUE"""),"Yes")</f>
        <v>Yes</v>
      </c>
      <c r="AG213" s="3" t="str">
        <f>IFERROR(__xludf.DUMMYFUNCTION("""COMPUTED_VALUE"""),"Yes")</f>
        <v>Yes</v>
      </c>
      <c r="AH213" s="3">
        <f>IFERROR(__xludf.DUMMYFUNCTION("""COMPUTED_VALUE"""),100.0)</f>
        <v>100</v>
      </c>
      <c r="AI213" s="3">
        <f>IFERROR(__xludf.DUMMYFUNCTION("""COMPUTED_VALUE"""),0.0)</f>
        <v>0</v>
      </c>
      <c r="AJ213" s="3">
        <f>IFERROR(__xludf.DUMMYFUNCTION("""COMPUTED_VALUE"""),0.0)</f>
        <v>0</v>
      </c>
      <c r="AK213" s="3">
        <f>IFERROR(__xludf.DUMMYFUNCTION("""COMPUTED_VALUE"""),0.0)</f>
        <v>0</v>
      </c>
      <c r="AL213" s="3">
        <f>IFERROR(__xludf.DUMMYFUNCTION("""COMPUTED_VALUE"""),1.0)</f>
        <v>1</v>
      </c>
      <c r="AM213" s="3"/>
      <c r="AN213" s="3"/>
      <c r="AO213" s="3"/>
      <c r="AP213" s="3">
        <f>IFERROR(__xludf.DUMMYFUNCTION("""COMPUTED_VALUE"""),4.90198157E8)</f>
        <v>490198157</v>
      </c>
      <c r="AQ213" s="3" t="str">
        <f>IFERROR(__xludf.DUMMYFUNCTION("""COMPUTED_VALUE"""),"54bd2f50-8eb3-48e7-b3d6-1d645435a495")</f>
        <v>54bd2f50-8eb3-48e7-b3d6-1d645435a495</v>
      </c>
      <c r="AR213" s="3">
        <f>IFERROR(__xludf.DUMMYFUNCTION("""COMPUTED_VALUE"""),45808.74019675926)</f>
        <v>45808.7402</v>
      </c>
      <c r="AS213" s="3"/>
      <c r="AT213" s="3"/>
      <c r="AU213" s="3" t="str">
        <f>IFERROR(__xludf.DUMMYFUNCTION("""COMPUTED_VALUE"""),"submitted_via_web")</f>
        <v>submitted_via_web</v>
      </c>
      <c r="AV213" s="3"/>
      <c r="AW213" s="3" t="str">
        <f>IFERROR(__xludf.DUMMYFUNCTION("""COMPUTED_VALUE"""),"vckVTgNzM4XXtKAKNnsHpB")</f>
        <v>vckVTgNzM4XXtKAKNnsHpB</v>
      </c>
      <c r="AX213" s="3"/>
      <c r="AY213" s="3">
        <f>IFERROR(__xludf.DUMMYFUNCTION("""COMPUTED_VALUE"""),212.0)</f>
        <v>212</v>
      </c>
    </row>
    <row r="214">
      <c r="A214" s="3" t="str">
        <f>IFERROR(__xludf.DUMMYFUNCTION("""COMPUTED_VALUE"""),"Yes")</f>
        <v>Yes</v>
      </c>
      <c r="B214" s="3"/>
      <c r="C214" s="3" t="str">
        <f>IFERROR(__xludf.DUMMYFUNCTION("""COMPUTED_VALUE"""),"mozambique")</f>
        <v>mozambique</v>
      </c>
      <c r="D214" s="3"/>
      <c r="E214" s="3" t="str">
        <f>IFERROR(__xludf.DUMMYFUNCTION("""COMPUTED_VALUE"""),"south_africa")</f>
        <v>south_africa</v>
      </c>
      <c r="F214" s="3" t="str">
        <f>IFERROR(__xludf.DUMMYFUNCTION("""COMPUTED_VALUE"""),"Chris Hani District")</f>
        <v>Chris Hani District</v>
      </c>
      <c r="G214" s="3">
        <f>IFERROR(__xludf.DUMMYFUNCTION("""COMPUTED_VALUE"""),27.0)</f>
        <v>27</v>
      </c>
      <c r="H214" s="3" t="str">
        <f>IFERROR(__xludf.DUMMYFUNCTION("""COMPUTED_VALUE"""),"male")</f>
        <v>male</v>
      </c>
      <c r="I214" s="3" t="str">
        <f>IFERROR(__xludf.DUMMYFUNCTION("""COMPUTED_VALUE"""),"over5")</f>
        <v>over5</v>
      </c>
      <c r="J214" s="3" t="str">
        <f>IFERROR(__xludf.DUMMYFUNCTION("""COMPUTED_VALUE"""),"ownbusiness")</f>
        <v>ownbusiness</v>
      </c>
      <c r="K214" s="3" t="str">
        <f>IFERROR(__xludf.DUMMYFUNCTION("""COMPUTED_VALUE"""),"none")</f>
        <v>none</v>
      </c>
      <c r="L214" s="3"/>
      <c r="M214" s="3" t="str">
        <f>IFERROR(__xludf.DUMMYFUNCTION("""COMPUTED_VALUE"""),"agree")</f>
        <v>agree</v>
      </c>
      <c r="N214" s="3" t="str">
        <f>IFERROR(__xludf.DUMMYFUNCTION("""COMPUTED_VALUE"""),"agree")</f>
        <v>agree</v>
      </c>
      <c r="O214" s="3" t="str">
        <f>IFERROR(__xludf.DUMMYFUNCTION("""COMPUTED_VALUE"""),"agree")</f>
        <v>agree</v>
      </c>
      <c r="P214" s="3"/>
      <c r="Q214" s="3" t="str">
        <f>IFERROR(__xludf.DUMMYFUNCTION("""COMPUTED_VALUE"""),"agree")</f>
        <v>agree</v>
      </c>
      <c r="R214" s="3" t="str">
        <f>IFERROR(__xludf.DUMMYFUNCTION("""COMPUTED_VALUE"""),"agree")</f>
        <v>agree</v>
      </c>
      <c r="S214" s="3" t="str">
        <f>IFERROR(__xludf.DUMMYFUNCTION("""COMPUTED_VALUE"""),"agree")</f>
        <v>agree</v>
      </c>
      <c r="T214" s="3" t="str">
        <f>IFERROR(__xludf.DUMMYFUNCTION("""COMPUTED_VALUE"""),"agree")</f>
        <v>agree</v>
      </c>
      <c r="U214" s="3" t="str">
        <f>IFERROR(__xludf.DUMMYFUNCTION("""COMPUTED_VALUE"""),"agree")</f>
        <v>agree</v>
      </c>
      <c r="V214" s="3" t="str">
        <f>IFERROR(__xludf.DUMMYFUNCTION("""COMPUTED_VALUE"""),"agree")</f>
        <v>agree</v>
      </c>
      <c r="W214" s="3" t="str">
        <f>IFERROR(__xludf.DUMMYFUNCTION("""COMPUTED_VALUE"""),"agree")</f>
        <v>agree</v>
      </c>
      <c r="X214" s="3" t="str">
        <f>IFERROR(__xludf.DUMMYFUNCTION("""COMPUTED_VALUE"""),"Silver")</f>
        <v>Silver</v>
      </c>
      <c r="Y214" s="3" t="str">
        <f>IFERROR(__xludf.DUMMYFUNCTION("""COMPUTED_VALUE"""),"prepaid")</f>
        <v>prepaid</v>
      </c>
      <c r="Z214" s="3" t="str">
        <f>IFERROR(__xludf.DUMMYFUNCTION("""COMPUTED_VALUE"""),"biannual")</f>
        <v>biannual</v>
      </c>
      <c r="AA214" s="3">
        <f>IFERROR(__xludf.DUMMYFUNCTION("""COMPUTED_VALUE"""),30.0)</f>
        <v>30</v>
      </c>
      <c r="AB214" s="3" t="str">
        <f>IFERROR(__xludf.DUMMYFUNCTION("""COMPUTED_VALUE"""),"online")</f>
        <v>online</v>
      </c>
      <c r="AC214" s="3" t="str">
        <f>IFERROR(__xludf.DUMMYFUNCTION("""COMPUTED_VALUE"""),"Yes")</f>
        <v>Yes</v>
      </c>
      <c r="AD214" s="3" t="str">
        <f>IFERROR(__xludf.DUMMYFUNCTION("""COMPUTED_VALUE"""),"Silver")</f>
        <v>Silver</v>
      </c>
      <c r="AE214" s="3" t="str">
        <f>IFERROR(__xludf.DUMMYFUNCTION("""COMPUTED_VALUE"""),"Yes")</f>
        <v>Yes</v>
      </c>
      <c r="AF214" s="3" t="str">
        <f>IFERROR(__xludf.DUMMYFUNCTION("""COMPUTED_VALUE"""),"Yes")</f>
        <v>Yes</v>
      </c>
      <c r="AG214" s="3"/>
      <c r="AH214" s="3"/>
      <c r="AI214" s="3">
        <f>IFERROR(__xludf.DUMMYFUNCTION("""COMPUTED_VALUE"""),1.0)</f>
        <v>1</v>
      </c>
      <c r="AJ214" s="3">
        <f>IFERROR(__xludf.DUMMYFUNCTION("""COMPUTED_VALUE"""),0.0)</f>
        <v>0</v>
      </c>
      <c r="AK214" s="3">
        <f>IFERROR(__xludf.DUMMYFUNCTION("""COMPUTED_VALUE"""),0.0)</f>
        <v>0</v>
      </c>
      <c r="AL214" s="3">
        <f>IFERROR(__xludf.DUMMYFUNCTION("""COMPUTED_VALUE"""),0.0)</f>
        <v>0</v>
      </c>
      <c r="AM214" s="3" t="str">
        <f>IFERROR(__xludf.DUMMYFUNCTION("""COMPUTED_VALUE"""),"Yes")</f>
        <v>Yes</v>
      </c>
      <c r="AN214" s="3">
        <f>IFERROR(__xludf.DUMMYFUNCTION("""COMPUTED_VALUE"""),6.9329315E8)</f>
        <v>693293150</v>
      </c>
      <c r="AO214" s="3"/>
      <c r="AP214" s="3">
        <f>IFERROR(__xludf.DUMMYFUNCTION("""COMPUTED_VALUE"""),4.90199022E8)</f>
        <v>490199022</v>
      </c>
      <c r="AQ214" s="3" t="str">
        <f>IFERROR(__xludf.DUMMYFUNCTION("""COMPUTED_VALUE"""),"26d434a1-7022-4ded-8e9f-8ff698fc857e")</f>
        <v>26d434a1-7022-4ded-8e9f-8ff698fc857e</v>
      </c>
      <c r="AR214" s="3">
        <f>IFERROR(__xludf.DUMMYFUNCTION("""COMPUTED_VALUE"""),45808.741527777776)</f>
        <v>45808.74153</v>
      </c>
      <c r="AS214" s="3"/>
      <c r="AT214" s="3"/>
      <c r="AU214" s="3" t="str">
        <f>IFERROR(__xludf.DUMMYFUNCTION("""COMPUTED_VALUE"""),"submitted_via_web")</f>
        <v>submitted_via_web</v>
      </c>
      <c r="AV214" s="3"/>
      <c r="AW214" s="3" t="str">
        <f>IFERROR(__xludf.DUMMYFUNCTION("""COMPUTED_VALUE"""),"vckVTgNzM4XXtKAKNnsHpB")</f>
        <v>vckVTgNzM4XXtKAKNnsHpB</v>
      </c>
      <c r="AX214" s="3"/>
      <c r="AY214" s="3">
        <f>IFERROR(__xludf.DUMMYFUNCTION("""COMPUTED_VALUE"""),213.0)</f>
        <v>213</v>
      </c>
    </row>
    <row r="215">
      <c r="A215" s="3" t="str">
        <f>IFERROR(__xludf.DUMMYFUNCTION("""COMPUTED_VALUE"""),"Yes")</f>
        <v>Yes</v>
      </c>
      <c r="B215" s="3"/>
      <c r="C215" s="3" t="str">
        <f>IFERROR(__xludf.DUMMYFUNCTION("""COMPUTED_VALUE"""),"mozambique")</f>
        <v>mozambique</v>
      </c>
      <c r="D215" s="3"/>
      <c r="E215" s="3" t="str">
        <f>IFERROR(__xludf.DUMMYFUNCTION("""COMPUTED_VALUE"""),"south_africa")</f>
        <v>south_africa</v>
      </c>
      <c r="F215" s="3" t="str">
        <f>IFERROR(__xludf.DUMMYFUNCTION("""COMPUTED_VALUE"""),"Central Karoo District")</f>
        <v>Central Karoo District</v>
      </c>
      <c r="G215" s="3">
        <f>IFERROR(__xludf.DUMMYFUNCTION("""COMPUTED_VALUE"""),29.0)</f>
        <v>29</v>
      </c>
      <c r="H215" s="3" t="str">
        <f>IFERROR(__xludf.DUMMYFUNCTION("""COMPUTED_VALUE"""),"female")</f>
        <v>female</v>
      </c>
      <c r="I215" s="3" t="str">
        <f>IFERROR(__xludf.DUMMYFUNCTION("""COMPUTED_VALUE"""),"over5")</f>
        <v>over5</v>
      </c>
      <c r="J215" s="3" t="str">
        <f>IFERROR(__xludf.DUMMYFUNCTION("""COMPUTED_VALUE"""),"ownbusiness")</f>
        <v>ownbusiness</v>
      </c>
      <c r="K215" s="3" t="str">
        <f>IFERROR(__xludf.DUMMYFUNCTION("""COMPUTED_VALUE"""),"primary")</f>
        <v>primary</v>
      </c>
      <c r="L215" s="3"/>
      <c r="M215" s="3" t="str">
        <f>IFERROR(__xludf.DUMMYFUNCTION("""COMPUTED_VALUE"""),"agree")</f>
        <v>agree</v>
      </c>
      <c r="N215" s="3" t="str">
        <f>IFERROR(__xludf.DUMMYFUNCTION("""COMPUTED_VALUE"""),"dontknow")</f>
        <v>dontknow</v>
      </c>
      <c r="O215" s="3" t="str">
        <f>IFERROR(__xludf.DUMMYFUNCTION("""COMPUTED_VALUE"""),"agree")</f>
        <v>agree</v>
      </c>
      <c r="P215" s="3"/>
      <c r="Q215" s="3" t="str">
        <f>IFERROR(__xludf.DUMMYFUNCTION("""COMPUTED_VALUE"""),"agree")</f>
        <v>agree</v>
      </c>
      <c r="R215" s="3" t="str">
        <f>IFERROR(__xludf.DUMMYFUNCTION("""COMPUTED_VALUE"""),"agree")</f>
        <v>agree</v>
      </c>
      <c r="S215" s="3" t="str">
        <f>IFERROR(__xludf.DUMMYFUNCTION("""COMPUTED_VALUE"""),"agree")</f>
        <v>agree</v>
      </c>
      <c r="T215" s="3" t="str">
        <f>IFERROR(__xludf.DUMMYFUNCTION("""COMPUTED_VALUE"""),"agree")</f>
        <v>agree</v>
      </c>
      <c r="U215" s="3" t="str">
        <f>IFERROR(__xludf.DUMMYFUNCTION("""COMPUTED_VALUE"""),"agree")</f>
        <v>agree</v>
      </c>
      <c r="V215" s="3" t="str">
        <f>IFERROR(__xludf.DUMMYFUNCTION("""COMPUTED_VALUE"""),"agree")</f>
        <v>agree</v>
      </c>
      <c r="W215" s="3" t="str">
        <f>IFERROR(__xludf.DUMMYFUNCTION("""COMPUTED_VALUE"""),"agree")</f>
        <v>agree</v>
      </c>
      <c r="X215" s="3" t="str">
        <f>IFERROR(__xludf.DUMMYFUNCTION("""COMPUTED_VALUE"""),"Platinum")</f>
        <v>Platinum</v>
      </c>
      <c r="Y215" s="3" t="str">
        <f>IFERROR(__xludf.DUMMYFUNCTION("""COMPUTED_VALUE"""),"cash")</f>
        <v>cash</v>
      </c>
      <c r="Z215" s="3" t="str">
        <f>IFERROR(__xludf.DUMMYFUNCTION("""COMPUTED_VALUE"""),"monthly")</f>
        <v>monthly</v>
      </c>
      <c r="AA215" s="3">
        <f>IFERROR(__xludf.DUMMYFUNCTION("""COMPUTED_VALUE"""),10.0)</f>
        <v>10</v>
      </c>
      <c r="AB215" s="3" t="str">
        <f>IFERROR(__xludf.DUMMYFUNCTION("""COMPUTED_VALUE"""),"assisted")</f>
        <v>assisted</v>
      </c>
      <c r="AC215" s="3" t="str">
        <f>IFERROR(__xludf.DUMMYFUNCTION("""COMPUTED_VALUE"""),"Yes")</f>
        <v>Yes</v>
      </c>
      <c r="AD215" s="3" t="str">
        <f>IFERROR(__xludf.DUMMYFUNCTION("""COMPUTED_VALUE"""),"Platinum")</f>
        <v>Platinum</v>
      </c>
      <c r="AE215" s="3"/>
      <c r="AF215" s="3" t="str">
        <f>IFERROR(__xludf.DUMMYFUNCTION("""COMPUTED_VALUE"""),"Yes")</f>
        <v>Yes</v>
      </c>
      <c r="AG215" s="3" t="str">
        <f>IFERROR(__xludf.DUMMYFUNCTION("""COMPUTED_VALUE"""),"Yes")</f>
        <v>Yes</v>
      </c>
      <c r="AH215" s="3"/>
      <c r="AI215" s="3">
        <f>IFERROR(__xludf.DUMMYFUNCTION("""COMPUTED_VALUE"""),1.0)</f>
        <v>1</v>
      </c>
      <c r="AJ215" s="3">
        <f>IFERROR(__xludf.DUMMYFUNCTION("""COMPUTED_VALUE"""),0.0)</f>
        <v>0</v>
      </c>
      <c r="AK215" s="3">
        <f>IFERROR(__xludf.DUMMYFUNCTION("""COMPUTED_VALUE"""),0.0)</f>
        <v>0</v>
      </c>
      <c r="AL215" s="3">
        <f>IFERROR(__xludf.DUMMYFUNCTION("""COMPUTED_VALUE"""),0.0)</f>
        <v>0</v>
      </c>
      <c r="AM215" s="3" t="str">
        <f>IFERROR(__xludf.DUMMYFUNCTION("""COMPUTED_VALUE"""),"Yes")</f>
        <v>Yes</v>
      </c>
      <c r="AN215" s="3">
        <f>IFERROR(__xludf.DUMMYFUNCTION("""COMPUTED_VALUE"""),7.69616023E8)</f>
        <v>769616023</v>
      </c>
      <c r="AO215" s="3"/>
      <c r="AP215" s="3">
        <f>IFERROR(__xludf.DUMMYFUNCTION("""COMPUTED_VALUE"""),4.90201666E8)</f>
        <v>490201666</v>
      </c>
      <c r="AQ215" s="3" t="str">
        <f>IFERROR(__xludf.DUMMYFUNCTION("""COMPUTED_VALUE"""),"36db2533-d6da-4c4b-a15c-eec7fe994f85")</f>
        <v>36db2533-d6da-4c4b-a15c-eec7fe994f85</v>
      </c>
      <c r="AR215" s="3">
        <f>IFERROR(__xludf.DUMMYFUNCTION("""COMPUTED_VALUE"""),45808.74564814815)</f>
        <v>45808.74565</v>
      </c>
      <c r="AS215" s="3"/>
      <c r="AT215" s="3"/>
      <c r="AU215" s="3" t="str">
        <f>IFERROR(__xludf.DUMMYFUNCTION("""COMPUTED_VALUE"""),"submitted_via_web")</f>
        <v>submitted_via_web</v>
      </c>
      <c r="AV215" s="3"/>
      <c r="AW215" s="3" t="str">
        <f>IFERROR(__xludf.DUMMYFUNCTION("""COMPUTED_VALUE"""),"vckVTgNzM4XXtKAKNnsHpB")</f>
        <v>vckVTgNzM4XXtKAKNnsHpB</v>
      </c>
      <c r="AX215" s="3"/>
      <c r="AY215" s="3">
        <f>IFERROR(__xludf.DUMMYFUNCTION("""COMPUTED_VALUE"""),214.0)</f>
        <v>214</v>
      </c>
    </row>
    <row r="216">
      <c r="A216" s="3" t="str">
        <f>IFERROR(__xludf.DUMMYFUNCTION("""COMPUTED_VALUE"""),"Yes")</f>
        <v>Yes</v>
      </c>
      <c r="B216" s="3"/>
      <c r="C216" s="3" t="str">
        <f>IFERROR(__xludf.DUMMYFUNCTION("""COMPUTED_VALUE"""),"mozambique")</f>
        <v>mozambique</v>
      </c>
      <c r="D216" s="3"/>
      <c r="E216" s="3" t="str">
        <f>IFERROR(__xludf.DUMMYFUNCTION("""COMPUTED_VALUE"""),"south_africa")</f>
        <v>south_africa</v>
      </c>
      <c r="F216" s="3" t="str">
        <f>IFERROR(__xludf.DUMMYFUNCTION("""COMPUTED_VALUE"""),"Capetown")</f>
        <v>Capetown</v>
      </c>
      <c r="G216" s="3">
        <f>IFERROR(__xludf.DUMMYFUNCTION("""COMPUTED_VALUE"""),21.0)</f>
        <v>21</v>
      </c>
      <c r="H216" s="3" t="str">
        <f>IFERROR(__xludf.DUMMYFUNCTION("""COMPUTED_VALUE"""),"male")</f>
        <v>male</v>
      </c>
      <c r="I216" s="3" t="str">
        <f>IFERROR(__xludf.DUMMYFUNCTION("""COMPUTED_VALUE"""),"1to5")</f>
        <v>1to5</v>
      </c>
      <c r="J216" s="3"/>
      <c r="K216" s="3" t="str">
        <f>IFERROR(__xludf.DUMMYFUNCTION("""COMPUTED_VALUE"""),"primary")</f>
        <v>primary</v>
      </c>
      <c r="L216" s="3"/>
      <c r="M216" s="3" t="str">
        <f>IFERROR(__xludf.DUMMYFUNCTION("""COMPUTED_VALUE"""),"dontknow")</f>
        <v>dontknow</v>
      </c>
      <c r="N216" s="3" t="str">
        <f>IFERROR(__xludf.DUMMYFUNCTION("""COMPUTED_VALUE"""),"agree")</f>
        <v>agree</v>
      </c>
      <c r="O216" s="3" t="str">
        <f>IFERROR(__xludf.DUMMYFUNCTION("""COMPUTED_VALUE"""),"agree")</f>
        <v>agree</v>
      </c>
      <c r="P216" s="3"/>
      <c r="Q216" s="3" t="str">
        <f>IFERROR(__xludf.DUMMYFUNCTION("""COMPUTED_VALUE"""),"agree")</f>
        <v>agree</v>
      </c>
      <c r="R216" s="3" t="str">
        <f>IFERROR(__xludf.DUMMYFUNCTION("""COMPUTED_VALUE"""),"agree")</f>
        <v>agree</v>
      </c>
      <c r="S216" s="3" t="str">
        <f>IFERROR(__xludf.DUMMYFUNCTION("""COMPUTED_VALUE"""),"agree")</f>
        <v>agree</v>
      </c>
      <c r="T216" s="3" t="str">
        <f>IFERROR(__xludf.DUMMYFUNCTION("""COMPUTED_VALUE"""),"agree")</f>
        <v>agree</v>
      </c>
      <c r="U216" s="3" t="str">
        <f>IFERROR(__xludf.DUMMYFUNCTION("""COMPUTED_VALUE"""),"dontknow")</f>
        <v>dontknow</v>
      </c>
      <c r="V216" s="3" t="str">
        <f>IFERROR(__xludf.DUMMYFUNCTION("""COMPUTED_VALUE"""),"agree")</f>
        <v>agree</v>
      </c>
      <c r="W216" s="3"/>
      <c r="X216" s="3" t="str">
        <f>IFERROR(__xludf.DUMMYFUNCTION("""COMPUTED_VALUE"""),"Platinum")</f>
        <v>Platinum</v>
      </c>
      <c r="Y216" s="3" t="str">
        <f>IFERROR(__xludf.DUMMYFUNCTION("""COMPUTED_VALUE"""),"cash")</f>
        <v>cash</v>
      </c>
      <c r="Z216" s="3" t="str">
        <f>IFERROR(__xludf.DUMMYFUNCTION("""COMPUTED_VALUE"""),"monthly")</f>
        <v>monthly</v>
      </c>
      <c r="AA216" s="3">
        <f>IFERROR(__xludf.DUMMYFUNCTION("""COMPUTED_VALUE"""),20.0)</f>
        <v>20</v>
      </c>
      <c r="AB216" s="3" t="str">
        <f>IFERROR(__xludf.DUMMYFUNCTION("""COMPUTED_VALUE"""),"online")</f>
        <v>online</v>
      </c>
      <c r="AC216" s="3" t="str">
        <f>IFERROR(__xludf.DUMMYFUNCTION("""COMPUTED_VALUE"""),"Yes")</f>
        <v>Yes</v>
      </c>
      <c r="AD216" s="3" t="str">
        <f>IFERROR(__xludf.DUMMYFUNCTION("""COMPUTED_VALUE"""),"Silver")</f>
        <v>Silver</v>
      </c>
      <c r="AE216" s="3" t="str">
        <f>IFERROR(__xludf.DUMMYFUNCTION("""COMPUTED_VALUE"""),"Yes")</f>
        <v>Yes</v>
      </c>
      <c r="AF216" s="3" t="str">
        <f>IFERROR(__xludf.DUMMYFUNCTION("""COMPUTED_VALUE"""),"Yes")</f>
        <v>Yes</v>
      </c>
      <c r="AG216" s="3" t="str">
        <f>IFERROR(__xludf.DUMMYFUNCTION("""COMPUTED_VALUE"""),"Yes")</f>
        <v>Yes</v>
      </c>
      <c r="AH216" s="3">
        <f>IFERROR(__xludf.DUMMYFUNCTION("""COMPUTED_VALUE"""),4.0)</f>
        <v>4</v>
      </c>
      <c r="AI216" s="3">
        <f>IFERROR(__xludf.DUMMYFUNCTION("""COMPUTED_VALUE"""),1.0)</f>
        <v>1</v>
      </c>
      <c r="AJ216" s="3">
        <f>IFERROR(__xludf.DUMMYFUNCTION("""COMPUTED_VALUE"""),0.0)</f>
        <v>0</v>
      </c>
      <c r="AK216" s="3">
        <f>IFERROR(__xludf.DUMMYFUNCTION("""COMPUTED_VALUE"""),0.0)</f>
        <v>0</v>
      </c>
      <c r="AL216" s="3">
        <f>IFERROR(__xludf.DUMMYFUNCTION("""COMPUTED_VALUE"""),0.0)</f>
        <v>0</v>
      </c>
      <c r="AM216" s="3" t="str">
        <f>IFERROR(__xludf.DUMMYFUNCTION("""COMPUTED_VALUE"""),"Yes")</f>
        <v>Yes</v>
      </c>
      <c r="AN216" s="3">
        <f>IFERROR(__xludf.DUMMYFUNCTION("""COMPUTED_VALUE"""),6.58208359E8)</f>
        <v>658208359</v>
      </c>
      <c r="AO216" s="3"/>
      <c r="AP216" s="3">
        <f>IFERROR(__xludf.DUMMYFUNCTION("""COMPUTED_VALUE"""),4.90202815E8)</f>
        <v>490202815</v>
      </c>
      <c r="AQ216" s="3" t="str">
        <f>IFERROR(__xludf.DUMMYFUNCTION("""COMPUTED_VALUE"""),"d39c95cf-b933-4a99-8430-7901df23ce0f")</f>
        <v>d39c95cf-b933-4a99-8430-7901df23ce0f</v>
      </c>
      <c r="AR216" s="3">
        <f>IFERROR(__xludf.DUMMYFUNCTION("""COMPUTED_VALUE"""),45808.747453703705)</f>
        <v>45808.74745</v>
      </c>
      <c r="AS216" s="3"/>
      <c r="AT216" s="3"/>
      <c r="AU216" s="3" t="str">
        <f>IFERROR(__xludf.DUMMYFUNCTION("""COMPUTED_VALUE"""),"submitted_via_web")</f>
        <v>submitted_via_web</v>
      </c>
      <c r="AV216" s="3"/>
      <c r="AW216" s="3" t="str">
        <f>IFERROR(__xludf.DUMMYFUNCTION("""COMPUTED_VALUE"""),"vckVTgNzM4XXtKAKNnsHpB")</f>
        <v>vckVTgNzM4XXtKAKNnsHpB</v>
      </c>
      <c r="AX216" s="3"/>
      <c r="AY216" s="3">
        <f>IFERROR(__xludf.DUMMYFUNCTION("""COMPUTED_VALUE"""),215.0)</f>
        <v>215</v>
      </c>
    </row>
    <row r="217">
      <c r="A217" s="3" t="str">
        <f>IFERROR(__xludf.DUMMYFUNCTION("""COMPUTED_VALUE"""),"Yes")</f>
        <v>Yes</v>
      </c>
      <c r="B217" s="3"/>
      <c r="C217" s="3" t="str">
        <f>IFERROR(__xludf.DUMMYFUNCTION("""COMPUTED_VALUE"""),"mozambique")</f>
        <v>mozambique</v>
      </c>
      <c r="D217" s="3"/>
      <c r="E217" s="3" t="str">
        <f>IFERROR(__xludf.DUMMYFUNCTION("""COMPUTED_VALUE"""),"south_africa")</f>
        <v>south_africa</v>
      </c>
      <c r="F217" s="3" t="str">
        <f>IFERROR(__xludf.DUMMYFUNCTION("""COMPUTED_VALUE"""),"Capetown")</f>
        <v>Capetown</v>
      </c>
      <c r="G217" s="3">
        <f>IFERROR(__xludf.DUMMYFUNCTION("""COMPUTED_VALUE"""),26.0)</f>
        <v>26</v>
      </c>
      <c r="H217" s="3" t="str">
        <f>IFERROR(__xludf.DUMMYFUNCTION("""COMPUTED_VALUE"""),"male")</f>
        <v>male</v>
      </c>
      <c r="I217" s="3" t="str">
        <f>IFERROR(__xludf.DUMMYFUNCTION("""COMPUTED_VALUE"""),"1to5")</f>
        <v>1to5</v>
      </c>
      <c r="J217" s="3" t="str">
        <f>IFERROR(__xludf.DUMMYFUNCTION("""COMPUTED_VALUE"""),"informal")</f>
        <v>informal</v>
      </c>
      <c r="K217" s="3" t="str">
        <f>IFERROR(__xludf.DUMMYFUNCTION("""COMPUTED_VALUE"""),"primary")</f>
        <v>primary</v>
      </c>
      <c r="L217" s="3"/>
      <c r="M217" s="3" t="str">
        <f>IFERROR(__xludf.DUMMYFUNCTION("""COMPUTED_VALUE"""),"agree")</f>
        <v>agree</v>
      </c>
      <c r="N217" s="3" t="str">
        <f>IFERROR(__xludf.DUMMYFUNCTION("""COMPUTED_VALUE"""),"agree")</f>
        <v>agree</v>
      </c>
      <c r="O217" s="3" t="str">
        <f>IFERROR(__xludf.DUMMYFUNCTION("""COMPUTED_VALUE"""),"agree")</f>
        <v>agree</v>
      </c>
      <c r="P217" s="3"/>
      <c r="Q217" s="3" t="str">
        <f>IFERROR(__xludf.DUMMYFUNCTION("""COMPUTED_VALUE"""),"agree")</f>
        <v>agree</v>
      </c>
      <c r="R217" s="3" t="str">
        <f>IFERROR(__xludf.DUMMYFUNCTION("""COMPUTED_VALUE"""),"agree")</f>
        <v>agree</v>
      </c>
      <c r="S217" s="3" t="str">
        <f>IFERROR(__xludf.DUMMYFUNCTION("""COMPUTED_VALUE"""),"agree")</f>
        <v>agree</v>
      </c>
      <c r="T217" s="3" t="str">
        <f>IFERROR(__xludf.DUMMYFUNCTION("""COMPUTED_VALUE"""),"agree")</f>
        <v>agree</v>
      </c>
      <c r="U217" s="3" t="str">
        <f>IFERROR(__xludf.DUMMYFUNCTION("""COMPUTED_VALUE"""),"agree")</f>
        <v>agree</v>
      </c>
      <c r="V217" s="3" t="str">
        <f>IFERROR(__xludf.DUMMYFUNCTION("""COMPUTED_VALUE"""),"agree")</f>
        <v>agree</v>
      </c>
      <c r="W217" s="3" t="str">
        <f>IFERROR(__xludf.DUMMYFUNCTION("""COMPUTED_VALUE"""),"agree")</f>
        <v>agree</v>
      </c>
      <c r="X217" s="3" t="str">
        <f>IFERROR(__xludf.DUMMYFUNCTION("""COMPUTED_VALUE"""),"Gold")</f>
        <v>Gold</v>
      </c>
      <c r="Y217" s="3" t="str">
        <f>IFERROR(__xludf.DUMMYFUNCTION("""COMPUTED_VALUE"""),"cash")</f>
        <v>cash</v>
      </c>
      <c r="Z217" s="3" t="str">
        <f>IFERROR(__xludf.DUMMYFUNCTION("""COMPUTED_VALUE"""),"monthly")</f>
        <v>monthly</v>
      </c>
      <c r="AA217" s="3">
        <f>IFERROR(__xludf.DUMMYFUNCTION("""COMPUTED_VALUE"""),40.0)</f>
        <v>40</v>
      </c>
      <c r="AB217" s="3" t="str">
        <f>IFERROR(__xludf.DUMMYFUNCTION("""COMPUTED_VALUE"""),"online")</f>
        <v>online</v>
      </c>
      <c r="AC217" s="3" t="str">
        <f>IFERROR(__xludf.DUMMYFUNCTION("""COMPUTED_VALUE"""),"Yes")</f>
        <v>Yes</v>
      </c>
      <c r="AD217" s="3" t="str">
        <f>IFERROR(__xludf.DUMMYFUNCTION("""COMPUTED_VALUE"""),"Gold")</f>
        <v>Gold</v>
      </c>
      <c r="AE217" s="3" t="str">
        <f>IFERROR(__xludf.DUMMYFUNCTION("""COMPUTED_VALUE"""),"Yes")</f>
        <v>Yes</v>
      </c>
      <c r="AF217" s="3" t="str">
        <f>IFERROR(__xludf.DUMMYFUNCTION("""COMPUTED_VALUE"""),"Yes")</f>
        <v>Yes</v>
      </c>
      <c r="AG217" s="3" t="str">
        <f>IFERROR(__xludf.DUMMYFUNCTION("""COMPUTED_VALUE"""),"Yes")</f>
        <v>Yes</v>
      </c>
      <c r="AH217" s="3">
        <f>IFERROR(__xludf.DUMMYFUNCTION("""COMPUTED_VALUE"""),3.0)</f>
        <v>3</v>
      </c>
      <c r="AI217" s="3">
        <f>IFERROR(__xludf.DUMMYFUNCTION("""COMPUTED_VALUE"""),1.0)</f>
        <v>1</v>
      </c>
      <c r="AJ217" s="3">
        <f>IFERROR(__xludf.DUMMYFUNCTION("""COMPUTED_VALUE"""),0.0)</f>
        <v>0</v>
      </c>
      <c r="AK217" s="3">
        <f>IFERROR(__xludf.DUMMYFUNCTION("""COMPUTED_VALUE"""),0.0)</f>
        <v>0</v>
      </c>
      <c r="AL217" s="3">
        <f>IFERROR(__xludf.DUMMYFUNCTION("""COMPUTED_VALUE"""),0.0)</f>
        <v>0</v>
      </c>
      <c r="AM217" s="3" t="str">
        <f>IFERROR(__xludf.DUMMYFUNCTION("""COMPUTED_VALUE"""),"Yes")</f>
        <v>Yes</v>
      </c>
      <c r="AN217" s="3">
        <f>IFERROR(__xludf.DUMMYFUNCTION("""COMPUTED_VALUE"""),7.33428072E8)</f>
        <v>733428072</v>
      </c>
      <c r="AO217" s="3"/>
      <c r="AP217" s="3">
        <f>IFERROR(__xludf.DUMMYFUNCTION("""COMPUTED_VALUE"""),4.9020474E8)</f>
        <v>490204740</v>
      </c>
      <c r="AQ217" s="3" t="str">
        <f>IFERROR(__xludf.DUMMYFUNCTION("""COMPUTED_VALUE"""),"6a103661-eb3d-4362-b327-64b391e0c441")</f>
        <v>6a103661-eb3d-4362-b327-64b391e0c441</v>
      </c>
      <c r="AR217" s="3">
        <f>IFERROR(__xludf.DUMMYFUNCTION("""COMPUTED_VALUE"""),45808.75047453704)</f>
        <v>45808.75047</v>
      </c>
      <c r="AS217" s="3"/>
      <c r="AT217" s="3"/>
      <c r="AU217" s="3" t="str">
        <f>IFERROR(__xludf.DUMMYFUNCTION("""COMPUTED_VALUE"""),"submitted_via_web")</f>
        <v>submitted_via_web</v>
      </c>
      <c r="AV217" s="3"/>
      <c r="AW217" s="3" t="str">
        <f>IFERROR(__xludf.DUMMYFUNCTION("""COMPUTED_VALUE"""),"vckVTgNzM4XXtKAKNnsHpB")</f>
        <v>vckVTgNzM4XXtKAKNnsHpB</v>
      </c>
      <c r="AX217" s="3"/>
      <c r="AY217" s="3">
        <f>IFERROR(__xludf.DUMMYFUNCTION("""COMPUTED_VALUE"""),216.0)</f>
        <v>216</v>
      </c>
    </row>
    <row r="218">
      <c r="A218" s="3" t="str">
        <f>IFERROR(__xludf.DUMMYFUNCTION("""COMPUTED_VALUE"""),"Yes")</f>
        <v>Yes</v>
      </c>
      <c r="B218" s="3"/>
      <c r="C218" s="3" t="str">
        <f>IFERROR(__xludf.DUMMYFUNCTION("""COMPUTED_VALUE"""),"mozambique")</f>
        <v>mozambique</v>
      </c>
      <c r="D218" s="3"/>
      <c r="E218" s="3" t="str">
        <f>IFERROR(__xludf.DUMMYFUNCTION("""COMPUTED_VALUE"""),"south_africa")</f>
        <v>south_africa</v>
      </c>
      <c r="F218" s="3" t="str">
        <f>IFERROR(__xludf.DUMMYFUNCTION("""COMPUTED_VALUE"""),"Capetown")</f>
        <v>Capetown</v>
      </c>
      <c r="G218" s="3">
        <f>IFERROR(__xludf.DUMMYFUNCTION("""COMPUTED_VALUE"""),25.0)</f>
        <v>25</v>
      </c>
      <c r="H218" s="3" t="str">
        <f>IFERROR(__xludf.DUMMYFUNCTION("""COMPUTED_VALUE"""),"male")</f>
        <v>male</v>
      </c>
      <c r="I218" s="3" t="str">
        <f>IFERROR(__xludf.DUMMYFUNCTION("""COMPUTED_VALUE"""),"over5")</f>
        <v>over5</v>
      </c>
      <c r="J218" s="3" t="str">
        <f>IFERROR(__xludf.DUMMYFUNCTION("""COMPUTED_VALUE"""),"ownbusiness")</f>
        <v>ownbusiness</v>
      </c>
      <c r="K218" s="3" t="str">
        <f>IFERROR(__xludf.DUMMYFUNCTION("""COMPUTED_VALUE"""),"primary")</f>
        <v>primary</v>
      </c>
      <c r="L218" s="3"/>
      <c r="M218" s="3" t="str">
        <f>IFERROR(__xludf.DUMMYFUNCTION("""COMPUTED_VALUE"""),"agree")</f>
        <v>agree</v>
      </c>
      <c r="N218" s="3" t="str">
        <f>IFERROR(__xludf.DUMMYFUNCTION("""COMPUTED_VALUE"""),"agree")</f>
        <v>agree</v>
      </c>
      <c r="O218" s="3" t="str">
        <f>IFERROR(__xludf.DUMMYFUNCTION("""COMPUTED_VALUE"""),"agree")</f>
        <v>agree</v>
      </c>
      <c r="P218" s="3"/>
      <c r="Q218" s="3" t="str">
        <f>IFERROR(__xludf.DUMMYFUNCTION("""COMPUTED_VALUE"""),"agree")</f>
        <v>agree</v>
      </c>
      <c r="R218" s="3" t="str">
        <f>IFERROR(__xludf.DUMMYFUNCTION("""COMPUTED_VALUE"""),"dontknow")</f>
        <v>dontknow</v>
      </c>
      <c r="S218" s="3"/>
      <c r="T218" s="3" t="str">
        <f>IFERROR(__xludf.DUMMYFUNCTION("""COMPUTED_VALUE"""),"agree")</f>
        <v>agree</v>
      </c>
      <c r="U218" s="3" t="str">
        <f>IFERROR(__xludf.DUMMYFUNCTION("""COMPUTED_VALUE"""),"agree")</f>
        <v>agree</v>
      </c>
      <c r="V218" s="3" t="str">
        <f>IFERROR(__xludf.DUMMYFUNCTION("""COMPUTED_VALUE"""),"agree")</f>
        <v>agree</v>
      </c>
      <c r="W218" s="3" t="str">
        <f>IFERROR(__xludf.DUMMYFUNCTION("""COMPUTED_VALUE"""),"agree")</f>
        <v>agree</v>
      </c>
      <c r="X218" s="3" t="str">
        <f>IFERROR(__xludf.DUMMYFUNCTION("""COMPUTED_VALUE"""),"Platinum")</f>
        <v>Platinum</v>
      </c>
      <c r="Y218" s="3" t="str">
        <f>IFERROR(__xludf.DUMMYFUNCTION("""COMPUTED_VALUE"""),"cash")</f>
        <v>cash</v>
      </c>
      <c r="Z218" s="3" t="str">
        <f>IFERROR(__xludf.DUMMYFUNCTION("""COMPUTED_VALUE"""),"monthly")</f>
        <v>monthly</v>
      </c>
      <c r="AA218" s="3">
        <f>IFERROR(__xludf.DUMMYFUNCTION("""COMPUTED_VALUE"""),20.0)</f>
        <v>20</v>
      </c>
      <c r="AB218" s="3" t="str">
        <f>IFERROR(__xludf.DUMMYFUNCTION("""COMPUTED_VALUE"""),"assisted")</f>
        <v>assisted</v>
      </c>
      <c r="AC218" s="3" t="str">
        <f>IFERROR(__xludf.DUMMYFUNCTION("""COMPUTED_VALUE"""),"Yes")</f>
        <v>Yes</v>
      </c>
      <c r="AD218" s="3" t="str">
        <f>IFERROR(__xludf.DUMMYFUNCTION("""COMPUTED_VALUE"""),"Silver")</f>
        <v>Silver</v>
      </c>
      <c r="AE218" s="3" t="str">
        <f>IFERROR(__xludf.DUMMYFUNCTION("""COMPUTED_VALUE"""),"Yes")</f>
        <v>Yes</v>
      </c>
      <c r="AF218" s="3" t="str">
        <f>IFERROR(__xludf.DUMMYFUNCTION("""COMPUTED_VALUE"""),"Yes")</f>
        <v>Yes</v>
      </c>
      <c r="AG218" s="3" t="str">
        <f>IFERROR(__xludf.DUMMYFUNCTION("""COMPUTED_VALUE"""),"Yes")</f>
        <v>Yes</v>
      </c>
      <c r="AH218" s="3">
        <f>IFERROR(__xludf.DUMMYFUNCTION("""COMPUTED_VALUE"""),20.0)</f>
        <v>20</v>
      </c>
      <c r="AI218" s="3">
        <f>IFERROR(__xludf.DUMMYFUNCTION("""COMPUTED_VALUE"""),1.0)</f>
        <v>1</v>
      </c>
      <c r="AJ218" s="3">
        <f>IFERROR(__xludf.DUMMYFUNCTION("""COMPUTED_VALUE"""),0.0)</f>
        <v>0</v>
      </c>
      <c r="AK218" s="3">
        <f>IFERROR(__xludf.DUMMYFUNCTION("""COMPUTED_VALUE"""),0.0)</f>
        <v>0</v>
      </c>
      <c r="AL218" s="3">
        <f>IFERROR(__xludf.DUMMYFUNCTION("""COMPUTED_VALUE"""),0.0)</f>
        <v>0</v>
      </c>
      <c r="AM218" s="3" t="str">
        <f>IFERROR(__xludf.DUMMYFUNCTION("""COMPUTED_VALUE"""),"Yes")</f>
        <v>Yes</v>
      </c>
      <c r="AN218" s="3">
        <f>IFERROR(__xludf.DUMMYFUNCTION("""COMPUTED_VALUE"""),7.10434171E8)</f>
        <v>710434171</v>
      </c>
      <c r="AO218" s="3"/>
      <c r="AP218" s="3">
        <f>IFERROR(__xludf.DUMMYFUNCTION("""COMPUTED_VALUE"""),4.90206995E8)</f>
        <v>490206995</v>
      </c>
      <c r="AQ218" s="3" t="str">
        <f>IFERROR(__xludf.DUMMYFUNCTION("""COMPUTED_VALUE"""),"5e341224-edf5-4271-b477-516b8d48617f")</f>
        <v>5e341224-edf5-4271-b477-516b8d48617f</v>
      </c>
      <c r="AR218" s="3">
        <f>IFERROR(__xludf.DUMMYFUNCTION("""COMPUTED_VALUE"""),45808.75423611111)</f>
        <v>45808.75424</v>
      </c>
      <c r="AS218" s="3"/>
      <c r="AT218" s="3"/>
      <c r="AU218" s="3" t="str">
        <f>IFERROR(__xludf.DUMMYFUNCTION("""COMPUTED_VALUE"""),"submitted_via_web")</f>
        <v>submitted_via_web</v>
      </c>
      <c r="AV218" s="3"/>
      <c r="AW218" s="3" t="str">
        <f>IFERROR(__xludf.DUMMYFUNCTION("""COMPUTED_VALUE"""),"vckVTgNzM4XXtKAKNnsHpB")</f>
        <v>vckVTgNzM4XXtKAKNnsHpB</v>
      </c>
      <c r="AX218" s="3"/>
      <c r="AY218" s="3">
        <f>IFERROR(__xludf.DUMMYFUNCTION("""COMPUTED_VALUE"""),217.0)</f>
        <v>217</v>
      </c>
    </row>
    <row r="219">
      <c r="A219" s="3" t="str">
        <f>IFERROR(__xludf.DUMMYFUNCTION("""COMPUTED_VALUE"""),"Yes")</f>
        <v>Yes</v>
      </c>
      <c r="B219" s="3"/>
      <c r="C219" s="3" t="str">
        <f>IFERROR(__xludf.DUMMYFUNCTION("""COMPUTED_VALUE"""),"mozambique")</f>
        <v>mozambique</v>
      </c>
      <c r="D219" s="3"/>
      <c r="E219" s="3" t="str">
        <f>IFERROR(__xludf.DUMMYFUNCTION("""COMPUTED_VALUE"""),"south_africa")</f>
        <v>south_africa</v>
      </c>
      <c r="F219" s="3" t="str">
        <f>IFERROR(__xludf.DUMMYFUNCTION("""COMPUTED_VALUE"""),"Capetown")</f>
        <v>Capetown</v>
      </c>
      <c r="G219" s="3">
        <f>IFERROR(__xludf.DUMMYFUNCTION("""COMPUTED_VALUE"""),21.0)</f>
        <v>21</v>
      </c>
      <c r="H219" s="3" t="str">
        <f>IFERROR(__xludf.DUMMYFUNCTION("""COMPUTED_VALUE"""),"female")</f>
        <v>female</v>
      </c>
      <c r="I219" s="3" t="str">
        <f>IFERROR(__xludf.DUMMYFUNCTION("""COMPUTED_VALUE"""),"1to5")</f>
        <v>1to5</v>
      </c>
      <c r="J219" s="3" t="str">
        <f>IFERROR(__xludf.DUMMYFUNCTION("""COMPUTED_VALUE"""),"ownbusiness")</f>
        <v>ownbusiness</v>
      </c>
      <c r="K219" s="3" t="str">
        <f>IFERROR(__xludf.DUMMYFUNCTION("""COMPUTED_VALUE"""),"primary")</f>
        <v>primary</v>
      </c>
      <c r="L219" s="3"/>
      <c r="M219" s="3" t="str">
        <f>IFERROR(__xludf.DUMMYFUNCTION("""COMPUTED_VALUE"""),"agree")</f>
        <v>agree</v>
      </c>
      <c r="N219" s="3" t="str">
        <f>IFERROR(__xludf.DUMMYFUNCTION("""COMPUTED_VALUE"""),"agree")</f>
        <v>agree</v>
      </c>
      <c r="O219" s="3" t="str">
        <f>IFERROR(__xludf.DUMMYFUNCTION("""COMPUTED_VALUE"""),"agree")</f>
        <v>agree</v>
      </c>
      <c r="P219" s="3"/>
      <c r="Q219" s="3" t="str">
        <f>IFERROR(__xludf.DUMMYFUNCTION("""COMPUTED_VALUE"""),"agree")</f>
        <v>agree</v>
      </c>
      <c r="R219" s="3" t="str">
        <f>IFERROR(__xludf.DUMMYFUNCTION("""COMPUTED_VALUE"""),"agree")</f>
        <v>agree</v>
      </c>
      <c r="S219" s="3" t="str">
        <f>IFERROR(__xludf.DUMMYFUNCTION("""COMPUTED_VALUE"""),"agree")</f>
        <v>agree</v>
      </c>
      <c r="T219" s="3" t="str">
        <f>IFERROR(__xludf.DUMMYFUNCTION("""COMPUTED_VALUE"""),"agree")</f>
        <v>agree</v>
      </c>
      <c r="U219" s="3" t="str">
        <f>IFERROR(__xludf.DUMMYFUNCTION("""COMPUTED_VALUE"""),"agree")</f>
        <v>agree</v>
      </c>
      <c r="V219" s="3" t="str">
        <f>IFERROR(__xludf.DUMMYFUNCTION("""COMPUTED_VALUE"""),"agree")</f>
        <v>agree</v>
      </c>
      <c r="W219" s="3" t="str">
        <f>IFERROR(__xludf.DUMMYFUNCTION("""COMPUTED_VALUE"""),"agree")</f>
        <v>agree</v>
      </c>
      <c r="X219" s="3" t="str">
        <f>IFERROR(__xludf.DUMMYFUNCTION("""COMPUTED_VALUE"""),"Silver")</f>
        <v>Silver</v>
      </c>
      <c r="Y219" s="3" t="str">
        <f>IFERROR(__xludf.DUMMYFUNCTION("""COMPUTED_VALUE"""),"card")</f>
        <v>card</v>
      </c>
      <c r="Z219" s="3"/>
      <c r="AA219" s="3">
        <f>IFERROR(__xludf.DUMMYFUNCTION("""COMPUTED_VALUE"""),20.0)</f>
        <v>20</v>
      </c>
      <c r="AB219" s="3" t="str">
        <f>IFERROR(__xludf.DUMMYFUNCTION("""COMPUTED_VALUE"""),"online")</f>
        <v>online</v>
      </c>
      <c r="AC219" s="3" t="str">
        <f>IFERROR(__xludf.DUMMYFUNCTION("""COMPUTED_VALUE"""),"Yes")</f>
        <v>Yes</v>
      </c>
      <c r="AD219" s="3" t="str">
        <f>IFERROR(__xludf.DUMMYFUNCTION("""COMPUTED_VALUE"""),"Platinum")</f>
        <v>Platinum</v>
      </c>
      <c r="AE219" s="3" t="str">
        <f>IFERROR(__xludf.DUMMYFUNCTION("""COMPUTED_VALUE"""),"Yes")</f>
        <v>Yes</v>
      </c>
      <c r="AF219" s="3" t="str">
        <f>IFERROR(__xludf.DUMMYFUNCTION("""COMPUTED_VALUE"""),"Yes")</f>
        <v>Yes</v>
      </c>
      <c r="AG219" s="3" t="str">
        <f>IFERROR(__xludf.DUMMYFUNCTION("""COMPUTED_VALUE"""),"Yes")</f>
        <v>Yes</v>
      </c>
      <c r="AH219" s="3">
        <f>IFERROR(__xludf.DUMMYFUNCTION("""COMPUTED_VALUE"""),20.0)</f>
        <v>20</v>
      </c>
      <c r="AI219" s="3">
        <f>IFERROR(__xludf.DUMMYFUNCTION("""COMPUTED_VALUE"""),1.0)</f>
        <v>1</v>
      </c>
      <c r="AJ219" s="3">
        <f>IFERROR(__xludf.DUMMYFUNCTION("""COMPUTED_VALUE"""),0.0)</f>
        <v>0</v>
      </c>
      <c r="AK219" s="3">
        <f>IFERROR(__xludf.DUMMYFUNCTION("""COMPUTED_VALUE"""),0.0)</f>
        <v>0</v>
      </c>
      <c r="AL219" s="3">
        <f>IFERROR(__xludf.DUMMYFUNCTION("""COMPUTED_VALUE"""),0.0)</f>
        <v>0</v>
      </c>
      <c r="AM219" s="3" t="str">
        <f>IFERROR(__xludf.DUMMYFUNCTION("""COMPUTED_VALUE"""),"Yes")</f>
        <v>Yes</v>
      </c>
      <c r="AN219" s="3">
        <f>IFERROR(__xludf.DUMMYFUNCTION("""COMPUTED_VALUE"""),6.311026E8)</f>
        <v>631102600</v>
      </c>
      <c r="AO219" s="3"/>
      <c r="AP219" s="3">
        <f>IFERROR(__xludf.DUMMYFUNCTION("""COMPUTED_VALUE"""),4.90208705E8)</f>
        <v>490208705</v>
      </c>
      <c r="AQ219" s="3" t="str">
        <f>IFERROR(__xludf.DUMMYFUNCTION("""COMPUTED_VALUE"""),"98e02ccb-5aec-4716-ac05-9045a7ba60bf")</f>
        <v>98e02ccb-5aec-4716-ac05-9045a7ba60bf</v>
      </c>
      <c r="AR219" s="3">
        <f>IFERROR(__xludf.DUMMYFUNCTION("""COMPUTED_VALUE"""),45808.75724537037)</f>
        <v>45808.75725</v>
      </c>
      <c r="AS219" s="3"/>
      <c r="AT219" s="3"/>
      <c r="AU219" s="3" t="str">
        <f>IFERROR(__xludf.DUMMYFUNCTION("""COMPUTED_VALUE"""),"submitted_via_web")</f>
        <v>submitted_via_web</v>
      </c>
      <c r="AV219" s="3"/>
      <c r="AW219" s="3" t="str">
        <f>IFERROR(__xludf.DUMMYFUNCTION("""COMPUTED_VALUE"""),"vckVTgNzM4XXtKAKNnsHpB")</f>
        <v>vckVTgNzM4XXtKAKNnsHpB</v>
      </c>
      <c r="AX219" s="3"/>
      <c r="AY219" s="3">
        <f>IFERROR(__xludf.DUMMYFUNCTION("""COMPUTED_VALUE"""),218.0)</f>
        <v>218</v>
      </c>
    </row>
    <row r="220">
      <c r="A220" s="3" t="str">
        <f>IFERROR(__xludf.DUMMYFUNCTION("""COMPUTED_VALUE"""),"Yes")</f>
        <v>Yes</v>
      </c>
      <c r="B220" s="3"/>
      <c r="C220" s="3" t="str">
        <f>IFERROR(__xludf.DUMMYFUNCTION("""COMPUTED_VALUE"""),"zimbabwe")</f>
        <v>zimbabwe</v>
      </c>
      <c r="D220" s="3"/>
      <c r="E220" s="3" t="str">
        <f>IFERROR(__xludf.DUMMYFUNCTION("""COMPUTED_VALUE"""),"zimbabwe")</f>
        <v>zimbabwe</v>
      </c>
      <c r="F220" s="3"/>
      <c r="G220" s="3">
        <f>IFERROR(__xludf.DUMMYFUNCTION("""COMPUTED_VALUE"""),29.0)</f>
        <v>29</v>
      </c>
      <c r="H220" s="3" t="str">
        <f>IFERROR(__xludf.DUMMYFUNCTION("""COMPUTED_VALUE"""),"female")</f>
        <v>female</v>
      </c>
      <c r="I220" s="3"/>
      <c r="J220" s="3" t="str">
        <f>IFERROR(__xludf.DUMMYFUNCTION("""COMPUTED_VALUE"""),"unemployed")</f>
        <v>unemployed</v>
      </c>
      <c r="K220" s="3" t="str">
        <f>IFERROR(__xludf.DUMMYFUNCTION("""COMPUTED_VALUE"""),"tertiary")</f>
        <v>tertiary</v>
      </c>
      <c r="L220" s="3"/>
      <c r="M220" s="3" t="str">
        <f>IFERROR(__xludf.DUMMYFUNCTION("""COMPUTED_VALUE"""),"agree")</f>
        <v>agree</v>
      </c>
      <c r="N220" s="3" t="str">
        <f>IFERROR(__xludf.DUMMYFUNCTION("""COMPUTED_VALUE"""),"agree")</f>
        <v>agree</v>
      </c>
      <c r="O220" s="3" t="str">
        <f>IFERROR(__xludf.DUMMYFUNCTION("""COMPUTED_VALUE"""),"agree")</f>
        <v>agree</v>
      </c>
      <c r="P220" s="3"/>
      <c r="Q220" s="3" t="str">
        <f>IFERROR(__xludf.DUMMYFUNCTION("""COMPUTED_VALUE"""),"agree")</f>
        <v>agree</v>
      </c>
      <c r="R220" s="3" t="str">
        <f>IFERROR(__xludf.DUMMYFUNCTION("""COMPUTED_VALUE"""),"agree")</f>
        <v>agree</v>
      </c>
      <c r="S220" s="3" t="str">
        <f>IFERROR(__xludf.DUMMYFUNCTION("""COMPUTED_VALUE"""),"disagree")</f>
        <v>disagree</v>
      </c>
      <c r="T220" s="3" t="str">
        <f>IFERROR(__xludf.DUMMYFUNCTION("""COMPUTED_VALUE"""),"disagree")</f>
        <v>disagree</v>
      </c>
      <c r="U220" s="3" t="str">
        <f>IFERROR(__xludf.DUMMYFUNCTION("""COMPUTED_VALUE"""),"agree")</f>
        <v>agree</v>
      </c>
      <c r="V220" s="3" t="str">
        <f>IFERROR(__xludf.DUMMYFUNCTION("""COMPUTED_VALUE"""),"disagree")</f>
        <v>disagree</v>
      </c>
      <c r="W220" s="3" t="str">
        <f>IFERROR(__xludf.DUMMYFUNCTION("""COMPUTED_VALUE"""),"disagree")</f>
        <v>disagree</v>
      </c>
      <c r="X220" s="3" t="str">
        <f>IFERROR(__xludf.DUMMYFUNCTION("""COMPUTED_VALUE"""),"Platinum")</f>
        <v>Platinum</v>
      </c>
      <c r="Y220" s="3" t="str">
        <f>IFERROR(__xludf.DUMMYFUNCTION("""COMPUTED_VALUE"""),"insurance")</f>
        <v>insurance</v>
      </c>
      <c r="Z220" s="3" t="str">
        <f>IFERROR(__xludf.DUMMYFUNCTION("""COMPUTED_VALUE"""),"monthly")</f>
        <v>monthly</v>
      </c>
      <c r="AA220" s="3">
        <f>IFERROR(__xludf.DUMMYFUNCTION("""COMPUTED_VALUE"""),30.0)</f>
        <v>30</v>
      </c>
      <c r="AB220" s="3" t="str">
        <f>IFERROR(__xludf.DUMMYFUNCTION("""COMPUTED_VALUE"""),"online")</f>
        <v>online</v>
      </c>
      <c r="AC220" s="3" t="str">
        <f>IFERROR(__xludf.DUMMYFUNCTION("""COMPUTED_VALUE"""),"Yes")</f>
        <v>Yes</v>
      </c>
      <c r="AD220" s="3" t="str">
        <f>IFERROR(__xludf.DUMMYFUNCTION("""COMPUTED_VALUE"""),"Gold")</f>
        <v>Gold</v>
      </c>
      <c r="AE220" s="3" t="str">
        <f>IFERROR(__xludf.DUMMYFUNCTION("""COMPUTED_VALUE"""),"No")</f>
        <v>No</v>
      </c>
      <c r="AF220" s="3" t="str">
        <f>IFERROR(__xludf.DUMMYFUNCTION("""COMPUTED_VALUE"""),"Yes")</f>
        <v>Yes</v>
      </c>
      <c r="AG220" s="3" t="str">
        <f>IFERROR(__xludf.DUMMYFUNCTION("""COMPUTED_VALUE"""),"Yes")</f>
        <v>Yes</v>
      </c>
      <c r="AH220" s="3">
        <f>IFERROR(__xludf.DUMMYFUNCTION("""COMPUTED_VALUE"""),5000.0)</f>
        <v>5000</v>
      </c>
      <c r="AI220" s="3">
        <f>IFERROR(__xludf.DUMMYFUNCTION("""COMPUTED_VALUE"""),0.0)</f>
        <v>0</v>
      </c>
      <c r="AJ220" s="3">
        <f>IFERROR(__xludf.DUMMYFUNCTION("""COMPUTED_VALUE"""),0.0)</f>
        <v>0</v>
      </c>
      <c r="AK220" s="3">
        <f>IFERROR(__xludf.DUMMYFUNCTION("""COMPUTED_VALUE"""),1.0)</f>
        <v>1</v>
      </c>
      <c r="AL220" s="3">
        <f>IFERROR(__xludf.DUMMYFUNCTION("""COMPUTED_VALUE"""),0.0)</f>
        <v>0</v>
      </c>
      <c r="AM220" s="3"/>
      <c r="AN220" s="3"/>
      <c r="AO220" s="3"/>
      <c r="AP220" s="3">
        <f>IFERROR(__xludf.DUMMYFUNCTION("""COMPUTED_VALUE"""),4.9022804E8)</f>
        <v>490228040</v>
      </c>
      <c r="AQ220" s="3" t="str">
        <f>IFERROR(__xludf.DUMMYFUNCTION("""COMPUTED_VALUE"""),"dcf84048-475e-40ef-b345-7208bc2e96c6")</f>
        <v>dcf84048-475e-40ef-b345-7208bc2e96c6</v>
      </c>
      <c r="AR220" s="3">
        <f>IFERROR(__xludf.DUMMYFUNCTION("""COMPUTED_VALUE"""),45808.79471064815)</f>
        <v>45808.79471</v>
      </c>
      <c r="AS220" s="3"/>
      <c r="AT220" s="3"/>
      <c r="AU220" s="3" t="str">
        <f>IFERROR(__xludf.DUMMYFUNCTION("""COMPUTED_VALUE"""),"submitted_via_web")</f>
        <v>submitted_via_web</v>
      </c>
      <c r="AV220" s="3"/>
      <c r="AW220" s="3" t="str">
        <f>IFERROR(__xludf.DUMMYFUNCTION("""COMPUTED_VALUE"""),"vckVTgNzM4XXtKAKNnsHpB")</f>
        <v>vckVTgNzM4XXtKAKNnsHpB</v>
      </c>
      <c r="AX220" s="3"/>
      <c r="AY220" s="3">
        <f>IFERROR(__xludf.DUMMYFUNCTION("""COMPUTED_VALUE"""),219.0)</f>
        <v>219</v>
      </c>
    </row>
    <row r="221">
      <c r="A221" s="3" t="str">
        <f>IFERROR(__xludf.DUMMYFUNCTION("""COMPUTED_VALUE"""),"Yes")</f>
        <v>Yes</v>
      </c>
      <c r="B221" s="3"/>
      <c r="C221" s="3" t="str">
        <f>IFERROR(__xludf.DUMMYFUNCTION("""COMPUTED_VALUE"""),"south_africa")</f>
        <v>south_africa</v>
      </c>
      <c r="D221" s="3"/>
      <c r="E221" s="3" t="str">
        <f>IFERROR(__xludf.DUMMYFUNCTION("""COMPUTED_VALUE"""),"south_africa")</f>
        <v>south_africa</v>
      </c>
      <c r="F221" s="3" t="str">
        <f>IFERROR(__xludf.DUMMYFUNCTION("""COMPUTED_VALUE"""),"City of Tshwane Metropolitan Municipality")</f>
        <v>City of Tshwane Metropolitan Municipality</v>
      </c>
      <c r="G221" s="3">
        <f>IFERROR(__xludf.DUMMYFUNCTION("""COMPUTED_VALUE"""),29.0)</f>
        <v>29</v>
      </c>
      <c r="H221" s="3" t="str">
        <f>IFERROR(__xludf.DUMMYFUNCTION("""COMPUTED_VALUE"""),"male")</f>
        <v>male</v>
      </c>
      <c r="I221" s="3" t="str">
        <f>IFERROR(__xludf.DUMMYFUNCTION("""COMPUTED_VALUE"""),"citizen")</f>
        <v>citizen</v>
      </c>
      <c r="J221" s="3" t="str">
        <f>IFERROR(__xludf.DUMMYFUNCTION("""COMPUTED_VALUE"""),"formal")</f>
        <v>formal</v>
      </c>
      <c r="K221" s="3" t="str">
        <f>IFERROR(__xludf.DUMMYFUNCTION("""COMPUTED_VALUE"""),"tertiary")</f>
        <v>tertiary</v>
      </c>
      <c r="L221" s="3"/>
      <c r="M221" s="3" t="str">
        <f>IFERROR(__xludf.DUMMYFUNCTION("""COMPUTED_VALUE"""),"agree")</f>
        <v>agree</v>
      </c>
      <c r="N221" s="3" t="str">
        <f>IFERROR(__xludf.DUMMYFUNCTION("""COMPUTED_VALUE"""),"agree")</f>
        <v>agree</v>
      </c>
      <c r="O221" s="3" t="str">
        <f>IFERROR(__xludf.DUMMYFUNCTION("""COMPUTED_VALUE"""),"agree")</f>
        <v>agree</v>
      </c>
      <c r="P221" s="3"/>
      <c r="Q221" s="3" t="str">
        <f>IFERROR(__xludf.DUMMYFUNCTION("""COMPUTED_VALUE"""),"agree")</f>
        <v>agree</v>
      </c>
      <c r="R221" s="3" t="str">
        <f>IFERROR(__xludf.DUMMYFUNCTION("""COMPUTED_VALUE"""),"agree")</f>
        <v>agree</v>
      </c>
      <c r="S221" s="3" t="str">
        <f>IFERROR(__xludf.DUMMYFUNCTION("""COMPUTED_VALUE"""),"disagree")</f>
        <v>disagree</v>
      </c>
      <c r="T221" s="3" t="str">
        <f>IFERROR(__xludf.DUMMYFUNCTION("""COMPUTED_VALUE"""),"agree")</f>
        <v>agree</v>
      </c>
      <c r="U221" s="3" t="str">
        <f>IFERROR(__xludf.DUMMYFUNCTION("""COMPUTED_VALUE"""),"agree")</f>
        <v>agree</v>
      </c>
      <c r="V221" s="3" t="str">
        <f>IFERROR(__xludf.DUMMYFUNCTION("""COMPUTED_VALUE"""),"agree")</f>
        <v>agree</v>
      </c>
      <c r="W221" s="3" t="str">
        <f>IFERROR(__xludf.DUMMYFUNCTION("""COMPUTED_VALUE"""),"disagree")</f>
        <v>disagree</v>
      </c>
      <c r="X221" s="3" t="str">
        <f>IFERROR(__xludf.DUMMYFUNCTION("""COMPUTED_VALUE"""),"Gold")</f>
        <v>Gold</v>
      </c>
      <c r="Y221" s="3" t="str">
        <f>IFERROR(__xludf.DUMMYFUNCTION("""COMPUTED_VALUE"""),"na")</f>
        <v>na</v>
      </c>
      <c r="Z221" s="3" t="str">
        <f>IFERROR(__xludf.DUMMYFUNCTION("""COMPUTED_VALUE"""),"monthly")</f>
        <v>monthly</v>
      </c>
      <c r="AA221" s="3">
        <f>IFERROR(__xludf.DUMMYFUNCTION("""COMPUTED_VALUE"""),100.0)</f>
        <v>100</v>
      </c>
      <c r="AB221" s="3" t="str">
        <f>IFERROR(__xludf.DUMMYFUNCTION("""COMPUTED_VALUE"""),"assisted")</f>
        <v>assisted</v>
      </c>
      <c r="AC221" s="3" t="str">
        <f>IFERROR(__xludf.DUMMYFUNCTION("""COMPUTED_VALUE"""),"I am not an employer")</f>
        <v>I am not an employer</v>
      </c>
      <c r="AD221" s="3"/>
      <c r="AE221" s="3"/>
      <c r="AF221" s="3" t="str">
        <f>IFERROR(__xludf.DUMMYFUNCTION("""COMPUTED_VALUE"""),"Yes")</f>
        <v>Yes</v>
      </c>
      <c r="AG221" s="3" t="str">
        <f>IFERROR(__xludf.DUMMYFUNCTION("""COMPUTED_VALUE"""),"Yes")</f>
        <v>Yes</v>
      </c>
      <c r="AH221" s="3">
        <f>IFERROR(__xludf.DUMMYFUNCTION("""COMPUTED_VALUE"""),2000.0)</f>
        <v>2000</v>
      </c>
      <c r="AI221" s="3">
        <f>IFERROR(__xludf.DUMMYFUNCTION("""COMPUTED_VALUE"""),1.0)</f>
        <v>1</v>
      </c>
      <c r="AJ221" s="3">
        <f>IFERROR(__xludf.DUMMYFUNCTION("""COMPUTED_VALUE"""),1.0)</f>
        <v>1</v>
      </c>
      <c r="AK221" s="3">
        <f>IFERROR(__xludf.DUMMYFUNCTION("""COMPUTED_VALUE"""),1.0)</f>
        <v>1</v>
      </c>
      <c r="AL221" s="3">
        <f>IFERROR(__xludf.DUMMYFUNCTION("""COMPUTED_VALUE"""),1.0)</f>
        <v>1</v>
      </c>
      <c r="AM221" s="3" t="str">
        <f>IFERROR(__xludf.DUMMYFUNCTION("""COMPUTED_VALUE"""),"Yes")</f>
        <v>Yes</v>
      </c>
      <c r="AN221" s="3">
        <f>IFERROR(__xludf.DUMMYFUNCTION("""COMPUTED_VALUE"""),7.11949267E8)</f>
        <v>711949267</v>
      </c>
      <c r="AO221" s="3"/>
      <c r="AP221" s="3">
        <f>IFERROR(__xludf.DUMMYFUNCTION("""COMPUTED_VALUE"""),4.90254059E8)</f>
        <v>490254059</v>
      </c>
      <c r="AQ221" s="3" t="str">
        <f>IFERROR(__xludf.DUMMYFUNCTION("""COMPUTED_VALUE"""),"dc66a8e2-d93f-4016-9086-4757a2ad1aeb")</f>
        <v>dc66a8e2-d93f-4016-9086-4757a2ad1aeb</v>
      </c>
      <c r="AR221" s="3">
        <f>IFERROR(__xludf.DUMMYFUNCTION("""COMPUTED_VALUE"""),45808.8659375)</f>
        <v>45808.86594</v>
      </c>
      <c r="AS221" s="3"/>
      <c r="AT221" s="3"/>
      <c r="AU221" s="3" t="str">
        <f>IFERROR(__xludf.DUMMYFUNCTION("""COMPUTED_VALUE"""),"submitted_via_web")</f>
        <v>submitted_via_web</v>
      </c>
      <c r="AV221" s="3"/>
      <c r="AW221" s="3" t="str">
        <f>IFERROR(__xludf.DUMMYFUNCTION("""COMPUTED_VALUE"""),"vckVTgNzM4XXtKAKNnsHpB")</f>
        <v>vckVTgNzM4XXtKAKNnsHpB</v>
      </c>
      <c r="AX221" s="3"/>
      <c r="AY221" s="3">
        <f>IFERROR(__xludf.DUMMYFUNCTION("""COMPUTED_VALUE"""),220.0)</f>
        <v>220</v>
      </c>
    </row>
    <row r="222">
      <c r="A222" s="3" t="str">
        <f>IFERROR(__xludf.DUMMYFUNCTION("""COMPUTED_VALUE"""),"Yes")</f>
        <v>Yes</v>
      </c>
      <c r="B222" s="3"/>
      <c r="C222" s="3" t="str">
        <f>IFERROR(__xludf.DUMMYFUNCTION("""COMPUTED_VALUE"""),"zimbabwe")</f>
        <v>zimbabwe</v>
      </c>
      <c r="D222" s="3"/>
      <c r="E222" s="3" t="str">
        <f>IFERROR(__xludf.DUMMYFUNCTION("""COMPUTED_VALUE"""),"south_africa")</f>
        <v>south_africa</v>
      </c>
      <c r="F222" s="3" t="str">
        <f>IFERROR(__xludf.DUMMYFUNCTION("""COMPUTED_VALUE"""),"City of Tshwane Metropolitan Municipality")</f>
        <v>City of Tshwane Metropolitan Municipality</v>
      </c>
      <c r="G222" s="3">
        <f>IFERROR(__xludf.DUMMYFUNCTION("""COMPUTED_VALUE"""),48.0)</f>
        <v>48</v>
      </c>
      <c r="H222" s="3" t="str">
        <f>IFERROR(__xludf.DUMMYFUNCTION("""COMPUTED_VALUE"""),"female")</f>
        <v>female</v>
      </c>
      <c r="I222" s="3" t="str">
        <f>IFERROR(__xludf.DUMMYFUNCTION("""COMPUTED_VALUE"""),"over5")</f>
        <v>over5</v>
      </c>
      <c r="J222" s="3" t="str">
        <f>IFERROR(__xludf.DUMMYFUNCTION("""COMPUTED_VALUE"""),"formal")</f>
        <v>formal</v>
      </c>
      <c r="K222" s="3" t="str">
        <f>IFERROR(__xludf.DUMMYFUNCTION("""COMPUTED_VALUE"""),"tertiary")</f>
        <v>tertiary</v>
      </c>
      <c r="L222" s="3"/>
      <c r="M222" s="3" t="str">
        <f>IFERROR(__xludf.DUMMYFUNCTION("""COMPUTED_VALUE"""),"agree")</f>
        <v>agree</v>
      </c>
      <c r="N222" s="3" t="str">
        <f>IFERROR(__xludf.DUMMYFUNCTION("""COMPUTED_VALUE"""),"agree")</f>
        <v>agree</v>
      </c>
      <c r="O222" s="3" t="str">
        <f>IFERROR(__xludf.DUMMYFUNCTION("""COMPUTED_VALUE"""),"agree")</f>
        <v>agree</v>
      </c>
      <c r="P222" s="3"/>
      <c r="Q222" s="3" t="str">
        <f>IFERROR(__xludf.DUMMYFUNCTION("""COMPUTED_VALUE"""),"disagree")</f>
        <v>disagree</v>
      </c>
      <c r="R222" s="3" t="str">
        <f>IFERROR(__xludf.DUMMYFUNCTION("""COMPUTED_VALUE"""),"agree")</f>
        <v>agree</v>
      </c>
      <c r="S222" s="3" t="str">
        <f>IFERROR(__xludf.DUMMYFUNCTION("""COMPUTED_VALUE"""),"disagree")</f>
        <v>disagree</v>
      </c>
      <c r="T222" s="3" t="str">
        <f>IFERROR(__xludf.DUMMYFUNCTION("""COMPUTED_VALUE"""),"agree")</f>
        <v>agree</v>
      </c>
      <c r="U222" s="3" t="str">
        <f>IFERROR(__xludf.DUMMYFUNCTION("""COMPUTED_VALUE"""),"disagree")</f>
        <v>disagree</v>
      </c>
      <c r="V222" s="3" t="str">
        <f>IFERROR(__xludf.DUMMYFUNCTION("""COMPUTED_VALUE"""),"agree")</f>
        <v>agree</v>
      </c>
      <c r="W222" s="3" t="str">
        <f>IFERROR(__xludf.DUMMYFUNCTION("""COMPUTED_VALUE"""),"disagree")</f>
        <v>disagree</v>
      </c>
      <c r="X222" s="3" t="str">
        <f>IFERROR(__xludf.DUMMYFUNCTION("""COMPUTED_VALUE"""),"Platinum")</f>
        <v>Platinum</v>
      </c>
      <c r="Y222" s="3" t="str">
        <f>IFERROR(__xludf.DUMMYFUNCTION("""COMPUTED_VALUE"""),"insurance")</f>
        <v>insurance</v>
      </c>
      <c r="Z222" s="3"/>
      <c r="AA222" s="3"/>
      <c r="AB222" s="3"/>
      <c r="AC222" s="3" t="str">
        <f>IFERROR(__xludf.DUMMYFUNCTION("""COMPUTED_VALUE"""),"I am not an employer")</f>
        <v>I am not an employer</v>
      </c>
      <c r="AD222" s="3"/>
      <c r="AE222" s="3"/>
      <c r="AF222" s="3" t="str">
        <f>IFERROR(__xludf.DUMMYFUNCTION("""COMPUTED_VALUE"""),"Yes")</f>
        <v>Yes</v>
      </c>
      <c r="AG222" s="3"/>
      <c r="AH222" s="3"/>
      <c r="AI222" s="3">
        <f>IFERROR(__xludf.DUMMYFUNCTION("""COMPUTED_VALUE"""),0.0)</f>
        <v>0</v>
      </c>
      <c r="AJ222" s="3">
        <f>IFERROR(__xludf.DUMMYFUNCTION("""COMPUTED_VALUE"""),0.0)</f>
        <v>0</v>
      </c>
      <c r="AK222" s="3">
        <f>IFERROR(__xludf.DUMMYFUNCTION("""COMPUTED_VALUE"""),0.0)</f>
        <v>0</v>
      </c>
      <c r="AL222" s="3">
        <f>IFERROR(__xludf.DUMMYFUNCTION("""COMPUTED_VALUE"""),1.0)</f>
        <v>1</v>
      </c>
      <c r="AM222" s="3" t="str">
        <f>IFERROR(__xludf.DUMMYFUNCTION("""COMPUTED_VALUE"""),"Yes")</f>
        <v>Yes</v>
      </c>
      <c r="AN222" s="3">
        <f>IFERROR(__xludf.DUMMYFUNCTION("""COMPUTED_VALUE"""),7.35260674E8)</f>
        <v>735260674</v>
      </c>
      <c r="AO222" s="3"/>
      <c r="AP222" s="3">
        <f>IFERROR(__xludf.DUMMYFUNCTION("""COMPUTED_VALUE"""),4.90347458E8)</f>
        <v>490347458</v>
      </c>
      <c r="AQ222" s="3" t="str">
        <f>IFERROR(__xludf.DUMMYFUNCTION("""COMPUTED_VALUE"""),"ebccd71e-64a7-46e3-b17d-acd1925d34cc")</f>
        <v>ebccd71e-64a7-46e3-b17d-acd1925d34cc</v>
      </c>
      <c r="AR222" s="3">
        <f>IFERROR(__xludf.DUMMYFUNCTION("""COMPUTED_VALUE"""),45809.29672453704)</f>
        <v>45809.29672</v>
      </c>
      <c r="AS222" s="3"/>
      <c r="AT222" s="3"/>
      <c r="AU222" s="3" t="str">
        <f>IFERROR(__xludf.DUMMYFUNCTION("""COMPUTED_VALUE"""),"submitted_via_web")</f>
        <v>submitted_via_web</v>
      </c>
      <c r="AV222" s="3"/>
      <c r="AW222" s="3" t="str">
        <f>IFERROR(__xludf.DUMMYFUNCTION("""COMPUTED_VALUE"""),"vckVTgNzM4XXtKAKNnsHpB")</f>
        <v>vckVTgNzM4XXtKAKNnsHpB</v>
      </c>
      <c r="AX222" s="3"/>
      <c r="AY222" s="3">
        <f>IFERROR(__xludf.DUMMYFUNCTION("""COMPUTED_VALUE"""),221.0)</f>
        <v>221</v>
      </c>
    </row>
    <row r="223">
      <c r="A223" s="3" t="str">
        <f>IFERROR(__xludf.DUMMYFUNCTION("""COMPUTED_VALUE"""),"Yes")</f>
        <v>Yes</v>
      </c>
      <c r="B223" s="3"/>
      <c r="C223" s="3" t="str">
        <f>IFERROR(__xludf.DUMMYFUNCTION("""COMPUTED_VALUE"""),"zimbabwe")</f>
        <v>zimbabwe</v>
      </c>
      <c r="D223" s="3"/>
      <c r="E223" s="3" t="str">
        <f>IFERROR(__xludf.DUMMYFUNCTION("""COMPUTED_VALUE"""),"south_africa")</f>
        <v>south_africa</v>
      </c>
      <c r="F223" s="3" t="str">
        <f>IFERROR(__xludf.DUMMYFUNCTION("""COMPUTED_VALUE"""),"City of Ekurhuleni Metropolitan Municipality")</f>
        <v>City of Ekurhuleni Metropolitan Municipality</v>
      </c>
      <c r="G223" s="3">
        <f>IFERROR(__xludf.DUMMYFUNCTION("""COMPUTED_VALUE"""),32.0)</f>
        <v>32</v>
      </c>
      <c r="H223" s="3" t="str">
        <f>IFERROR(__xludf.DUMMYFUNCTION("""COMPUTED_VALUE"""),"male")</f>
        <v>male</v>
      </c>
      <c r="I223" s="3" t="str">
        <f>IFERROR(__xludf.DUMMYFUNCTION("""COMPUTED_VALUE"""),"over5")</f>
        <v>over5</v>
      </c>
      <c r="J223" s="3" t="str">
        <f>IFERROR(__xludf.DUMMYFUNCTION("""COMPUTED_VALUE"""),"ownbusiness")</f>
        <v>ownbusiness</v>
      </c>
      <c r="K223" s="3" t="str">
        <f>IFERROR(__xludf.DUMMYFUNCTION("""COMPUTED_VALUE"""),"tertiary")</f>
        <v>tertiary</v>
      </c>
      <c r="L223" s="3"/>
      <c r="M223" s="3" t="str">
        <f>IFERROR(__xludf.DUMMYFUNCTION("""COMPUTED_VALUE"""),"agree")</f>
        <v>agree</v>
      </c>
      <c r="N223" s="3" t="str">
        <f>IFERROR(__xludf.DUMMYFUNCTION("""COMPUTED_VALUE"""),"agree")</f>
        <v>agree</v>
      </c>
      <c r="O223" s="3" t="str">
        <f>IFERROR(__xludf.DUMMYFUNCTION("""COMPUTED_VALUE"""),"agree")</f>
        <v>agree</v>
      </c>
      <c r="P223" s="3"/>
      <c r="Q223" s="3" t="str">
        <f>IFERROR(__xludf.DUMMYFUNCTION("""COMPUTED_VALUE"""),"agree")</f>
        <v>agree</v>
      </c>
      <c r="R223" s="3" t="str">
        <f>IFERROR(__xludf.DUMMYFUNCTION("""COMPUTED_VALUE"""),"agree")</f>
        <v>agree</v>
      </c>
      <c r="S223" s="3" t="str">
        <f>IFERROR(__xludf.DUMMYFUNCTION("""COMPUTED_VALUE"""),"agree")</f>
        <v>agree</v>
      </c>
      <c r="T223" s="3" t="str">
        <f>IFERROR(__xludf.DUMMYFUNCTION("""COMPUTED_VALUE"""),"agree")</f>
        <v>agree</v>
      </c>
      <c r="U223" s="3" t="str">
        <f>IFERROR(__xludf.DUMMYFUNCTION("""COMPUTED_VALUE"""),"agree")</f>
        <v>agree</v>
      </c>
      <c r="V223" s="3" t="str">
        <f>IFERROR(__xludf.DUMMYFUNCTION("""COMPUTED_VALUE"""),"agree")</f>
        <v>agree</v>
      </c>
      <c r="W223" s="3" t="str">
        <f>IFERROR(__xludf.DUMMYFUNCTION("""COMPUTED_VALUE"""),"agree")</f>
        <v>agree</v>
      </c>
      <c r="X223" s="3" t="str">
        <f>IFERROR(__xludf.DUMMYFUNCTION("""COMPUTED_VALUE"""),"Lithium")</f>
        <v>Lithium</v>
      </c>
      <c r="Y223" s="3" t="str">
        <f>IFERROR(__xludf.DUMMYFUNCTION("""COMPUTED_VALUE"""),"card")</f>
        <v>card</v>
      </c>
      <c r="Z223" s="3" t="str">
        <f>IFERROR(__xludf.DUMMYFUNCTION("""COMPUTED_VALUE"""),"once")</f>
        <v>once</v>
      </c>
      <c r="AA223" s="3">
        <f>IFERROR(__xludf.DUMMYFUNCTION("""COMPUTED_VALUE"""),100.0)</f>
        <v>100</v>
      </c>
      <c r="AB223" s="3" t="str">
        <f>IFERROR(__xludf.DUMMYFUNCTION("""COMPUTED_VALUE"""),"assisted")</f>
        <v>assisted</v>
      </c>
      <c r="AC223" s="3" t="str">
        <f>IFERROR(__xludf.DUMMYFUNCTION("""COMPUTED_VALUE"""),"No")</f>
        <v>No</v>
      </c>
      <c r="AD223" s="3"/>
      <c r="AE223" s="3"/>
      <c r="AF223" s="3" t="str">
        <f>IFERROR(__xludf.DUMMYFUNCTION("""COMPUTED_VALUE"""),"Yes")</f>
        <v>Yes</v>
      </c>
      <c r="AG223" s="3" t="str">
        <f>IFERROR(__xludf.DUMMYFUNCTION("""COMPUTED_VALUE"""),"No")</f>
        <v>No</v>
      </c>
      <c r="AH223" s="3"/>
      <c r="AI223" s="3">
        <f>IFERROR(__xludf.DUMMYFUNCTION("""COMPUTED_VALUE"""),0.0)</f>
        <v>0</v>
      </c>
      <c r="AJ223" s="3">
        <f>IFERROR(__xludf.DUMMYFUNCTION("""COMPUTED_VALUE"""),0.0)</f>
        <v>0</v>
      </c>
      <c r="AK223" s="3">
        <f>IFERROR(__xludf.DUMMYFUNCTION("""COMPUTED_VALUE"""),0.0)</f>
        <v>0</v>
      </c>
      <c r="AL223" s="3">
        <f>IFERROR(__xludf.DUMMYFUNCTION("""COMPUTED_VALUE"""),1.0)</f>
        <v>1</v>
      </c>
      <c r="AM223" s="3" t="str">
        <f>IFERROR(__xludf.DUMMYFUNCTION("""COMPUTED_VALUE"""),"Yes")</f>
        <v>Yes</v>
      </c>
      <c r="AN223" s="3" t="str">
        <f>IFERROR(__xludf.DUMMYFUNCTION("""COMPUTED_VALUE"""),"078 407 0651")</f>
        <v>078 407 0651</v>
      </c>
      <c r="AO223" s="3"/>
      <c r="AP223" s="3">
        <f>IFERROR(__xludf.DUMMYFUNCTION("""COMPUTED_VALUE"""),4.90355534E8)</f>
        <v>490355534</v>
      </c>
      <c r="AQ223" s="3" t="str">
        <f>IFERROR(__xludf.DUMMYFUNCTION("""COMPUTED_VALUE"""),"7ae7dba2-f980-49a8-9b4d-99a6240a404a")</f>
        <v>7ae7dba2-f980-49a8-9b4d-99a6240a404a</v>
      </c>
      <c r="AR223" s="3">
        <f>IFERROR(__xludf.DUMMYFUNCTION("""COMPUTED_VALUE"""),45809.317928240744)</f>
        <v>45809.31793</v>
      </c>
      <c r="AS223" s="3"/>
      <c r="AT223" s="3"/>
      <c r="AU223" s="3" t="str">
        <f>IFERROR(__xludf.DUMMYFUNCTION("""COMPUTED_VALUE"""),"submitted_via_web")</f>
        <v>submitted_via_web</v>
      </c>
      <c r="AV223" s="3"/>
      <c r="AW223" s="3" t="str">
        <f>IFERROR(__xludf.DUMMYFUNCTION("""COMPUTED_VALUE"""),"vckVTgNzM4XXtKAKNnsHpB")</f>
        <v>vckVTgNzM4XXtKAKNnsHpB</v>
      </c>
      <c r="AX223" s="3"/>
      <c r="AY223" s="3">
        <f>IFERROR(__xludf.DUMMYFUNCTION("""COMPUTED_VALUE"""),222.0)</f>
        <v>222</v>
      </c>
    </row>
    <row r="224">
      <c r="A224" s="3" t="str">
        <f>IFERROR(__xludf.DUMMYFUNCTION("""COMPUTED_VALUE"""),"Yes")</f>
        <v>Yes</v>
      </c>
      <c r="B224" s="3"/>
      <c r="C224" s="3" t="str">
        <f>IFERROR(__xludf.DUMMYFUNCTION("""COMPUTED_VALUE"""),"lesotho")</f>
        <v>lesotho</v>
      </c>
      <c r="D224" s="3"/>
      <c r="E224" s="3" t="str">
        <f>IFERROR(__xludf.DUMMYFUNCTION("""COMPUTED_VALUE"""),"lesotho")</f>
        <v>lesotho</v>
      </c>
      <c r="F224" s="3"/>
      <c r="G224" s="3">
        <f>IFERROR(__xludf.DUMMYFUNCTION("""COMPUTED_VALUE"""),36.0)</f>
        <v>36</v>
      </c>
      <c r="H224" s="3" t="str">
        <f>IFERROR(__xludf.DUMMYFUNCTION("""COMPUTED_VALUE"""),"female")</f>
        <v>female</v>
      </c>
      <c r="I224" s="3"/>
      <c r="J224" s="3" t="str">
        <f>IFERROR(__xludf.DUMMYFUNCTION("""COMPUTED_VALUE"""),"formal")</f>
        <v>formal</v>
      </c>
      <c r="K224" s="3" t="str">
        <f>IFERROR(__xludf.DUMMYFUNCTION("""COMPUTED_VALUE"""),"tertiary")</f>
        <v>tertiary</v>
      </c>
      <c r="L224" s="3"/>
      <c r="M224" s="3" t="str">
        <f>IFERROR(__xludf.DUMMYFUNCTION("""COMPUTED_VALUE"""),"agree")</f>
        <v>agree</v>
      </c>
      <c r="N224" s="3" t="str">
        <f>IFERROR(__xludf.DUMMYFUNCTION("""COMPUTED_VALUE"""),"agree")</f>
        <v>agree</v>
      </c>
      <c r="O224" s="3" t="str">
        <f>IFERROR(__xludf.DUMMYFUNCTION("""COMPUTED_VALUE"""),"agree")</f>
        <v>agree</v>
      </c>
      <c r="P224" s="3"/>
      <c r="Q224" s="3" t="str">
        <f>IFERROR(__xludf.DUMMYFUNCTION("""COMPUTED_VALUE"""),"agree")</f>
        <v>agree</v>
      </c>
      <c r="R224" s="3" t="str">
        <f>IFERROR(__xludf.DUMMYFUNCTION("""COMPUTED_VALUE"""),"agree")</f>
        <v>agree</v>
      </c>
      <c r="S224" s="3" t="str">
        <f>IFERROR(__xludf.DUMMYFUNCTION("""COMPUTED_VALUE"""),"disagree")</f>
        <v>disagree</v>
      </c>
      <c r="T224" s="3" t="str">
        <f>IFERROR(__xludf.DUMMYFUNCTION("""COMPUTED_VALUE"""),"disagree")</f>
        <v>disagree</v>
      </c>
      <c r="U224" s="3" t="str">
        <f>IFERROR(__xludf.DUMMYFUNCTION("""COMPUTED_VALUE"""),"agree")</f>
        <v>agree</v>
      </c>
      <c r="V224" s="3" t="str">
        <f>IFERROR(__xludf.DUMMYFUNCTION("""COMPUTED_VALUE"""),"agree")</f>
        <v>agree</v>
      </c>
      <c r="W224" s="3" t="str">
        <f>IFERROR(__xludf.DUMMYFUNCTION("""COMPUTED_VALUE"""),"disagree")</f>
        <v>disagree</v>
      </c>
      <c r="X224" s="3" t="str">
        <f>IFERROR(__xludf.DUMMYFUNCTION("""COMPUTED_VALUE"""),"Gold")</f>
        <v>Gold</v>
      </c>
      <c r="Y224" s="3" t="str">
        <f>IFERROR(__xludf.DUMMYFUNCTION("""COMPUTED_VALUE"""),"card")</f>
        <v>card</v>
      </c>
      <c r="Z224" s="3" t="str">
        <f>IFERROR(__xludf.DUMMYFUNCTION("""COMPUTED_VALUE"""),"monthly")</f>
        <v>monthly</v>
      </c>
      <c r="AA224" s="3">
        <f>IFERROR(__xludf.DUMMYFUNCTION("""COMPUTED_VALUE"""),50.0)</f>
        <v>50</v>
      </c>
      <c r="AB224" s="3" t="str">
        <f>IFERROR(__xludf.DUMMYFUNCTION("""COMPUTED_VALUE"""),"assisted")</f>
        <v>assisted</v>
      </c>
      <c r="AC224" s="3" t="str">
        <f>IFERROR(__xludf.DUMMYFUNCTION("""COMPUTED_VALUE"""),"I am not an employer")</f>
        <v>I am not an employer</v>
      </c>
      <c r="AD224" s="3"/>
      <c r="AE224" s="3"/>
      <c r="AF224" s="3" t="str">
        <f>IFERROR(__xludf.DUMMYFUNCTION("""COMPUTED_VALUE"""),"Yes")</f>
        <v>Yes</v>
      </c>
      <c r="AG224" s="3" t="str">
        <f>IFERROR(__xludf.DUMMYFUNCTION("""COMPUTED_VALUE"""),"No")</f>
        <v>No</v>
      </c>
      <c r="AH224" s="3"/>
      <c r="AI224" s="3">
        <f>IFERROR(__xludf.DUMMYFUNCTION("""COMPUTED_VALUE"""),1.0)</f>
        <v>1</v>
      </c>
      <c r="AJ224" s="3">
        <f>IFERROR(__xludf.DUMMYFUNCTION("""COMPUTED_VALUE"""),0.0)</f>
        <v>0</v>
      </c>
      <c r="AK224" s="3">
        <f>IFERROR(__xludf.DUMMYFUNCTION("""COMPUTED_VALUE"""),0.0)</f>
        <v>0</v>
      </c>
      <c r="AL224" s="3">
        <f>IFERROR(__xludf.DUMMYFUNCTION("""COMPUTED_VALUE"""),0.0)</f>
        <v>0</v>
      </c>
      <c r="AM224" s="3"/>
      <c r="AN224" s="3"/>
      <c r="AO224" s="3"/>
      <c r="AP224" s="3">
        <f>IFERROR(__xludf.DUMMYFUNCTION("""COMPUTED_VALUE"""),4.90371203E8)</f>
        <v>490371203</v>
      </c>
      <c r="AQ224" s="3" t="str">
        <f>IFERROR(__xludf.DUMMYFUNCTION("""COMPUTED_VALUE"""),"28b2189e-7ff4-4e5c-b7b0-3e0a966d79cc")</f>
        <v>28b2189e-7ff4-4e5c-b7b0-3e0a966d79cc</v>
      </c>
      <c r="AR224" s="3">
        <f>IFERROR(__xludf.DUMMYFUNCTION("""COMPUTED_VALUE"""),45809.35847222222)</f>
        <v>45809.35847</v>
      </c>
      <c r="AS224" s="3"/>
      <c r="AT224" s="3"/>
      <c r="AU224" s="3" t="str">
        <f>IFERROR(__xludf.DUMMYFUNCTION("""COMPUTED_VALUE"""),"submitted_via_web")</f>
        <v>submitted_via_web</v>
      </c>
      <c r="AV224" s="3"/>
      <c r="AW224" s="3" t="str">
        <f>IFERROR(__xludf.DUMMYFUNCTION("""COMPUTED_VALUE"""),"vckVTgNzM4XXtKAKNnsHpB")</f>
        <v>vckVTgNzM4XXtKAKNnsHpB</v>
      </c>
      <c r="AX224" s="3"/>
      <c r="AY224" s="3">
        <f>IFERROR(__xludf.DUMMYFUNCTION("""COMPUTED_VALUE"""),223.0)</f>
        <v>223</v>
      </c>
    </row>
    <row r="225">
      <c r="A225" s="3" t="str">
        <f>IFERROR(__xludf.DUMMYFUNCTION("""COMPUTED_VALUE"""),"Yes")</f>
        <v>Yes</v>
      </c>
      <c r="B225" s="3"/>
      <c r="C225" s="3" t="str">
        <f>IFERROR(__xludf.DUMMYFUNCTION("""COMPUTED_VALUE"""),"lesotho")</f>
        <v>lesotho</v>
      </c>
      <c r="D225" s="3"/>
      <c r="E225" s="3" t="str">
        <f>IFERROR(__xludf.DUMMYFUNCTION("""COMPUTED_VALUE"""),"south_africa")</f>
        <v>south_africa</v>
      </c>
      <c r="F225" s="3" t="str">
        <f>IFERROR(__xludf.DUMMYFUNCTION("""COMPUTED_VALUE"""),"Sedibeng District")</f>
        <v>Sedibeng District</v>
      </c>
      <c r="G225" s="3">
        <f>IFERROR(__xludf.DUMMYFUNCTION("""COMPUTED_VALUE"""),37.0)</f>
        <v>37</v>
      </c>
      <c r="H225" s="3" t="str">
        <f>IFERROR(__xludf.DUMMYFUNCTION("""COMPUTED_VALUE"""),"male")</f>
        <v>male</v>
      </c>
      <c r="I225" s="3" t="str">
        <f>IFERROR(__xludf.DUMMYFUNCTION("""COMPUTED_VALUE"""),"over5")</f>
        <v>over5</v>
      </c>
      <c r="J225" s="3" t="str">
        <f>IFERROR(__xludf.DUMMYFUNCTION("""COMPUTED_VALUE"""),"ownbusiness")</f>
        <v>ownbusiness</v>
      </c>
      <c r="K225" s="3" t="str">
        <f>IFERROR(__xludf.DUMMYFUNCTION("""COMPUTED_VALUE"""),"secondary")</f>
        <v>secondary</v>
      </c>
      <c r="L225" s="3"/>
      <c r="M225" s="3" t="str">
        <f>IFERROR(__xludf.DUMMYFUNCTION("""COMPUTED_VALUE"""),"agree")</f>
        <v>agree</v>
      </c>
      <c r="N225" s="3" t="str">
        <f>IFERROR(__xludf.DUMMYFUNCTION("""COMPUTED_VALUE"""),"agree")</f>
        <v>agree</v>
      </c>
      <c r="O225" s="3" t="str">
        <f>IFERROR(__xludf.DUMMYFUNCTION("""COMPUTED_VALUE"""),"disagree")</f>
        <v>disagree</v>
      </c>
      <c r="P225" s="3"/>
      <c r="Q225" s="3" t="str">
        <f>IFERROR(__xludf.DUMMYFUNCTION("""COMPUTED_VALUE"""),"disagree")</f>
        <v>disagree</v>
      </c>
      <c r="R225" s="3" t="str">
        <f>IFERROR(__xludf.DUMMYFUNCTION("""COMPUTED_VALUE"""),"agree")</f>
        <v>agree</v>
      </c>
      <c r="S225" s="3" t="str">
        <f>IFERROR(__xludf.DUMMYFUNCTION("""COMPUTED_VALUE"""),"agree")</f>
        <v>agree</v>
      </c>
      <c r="T225" s="3" t="str">
        <f>IFERROR(__xludf.DUMMYFUNCTION("""COMPUTED_VALUE"""),"disagree")</f>
        <v>disagree</v>
      </c>
      <c r="U225" s="3" t="str">
        <f>IFERROR(__xludf.DUMMYFUNCTION("""COMPUTED_VALUE"""),"dontknow")</f>
        <v>dontknow</v>
      </c>
      <c r="V225" s="3" t="str">
        <f>IFERROR(__xludf.DUMMYFUNCTION("""COMPUTED_VALUE"""),"agree")</f>
        <v>agree</v>
      </c>
      <c r="W225" s="3" t="str">
        <f>IFERROR(__xludf.DUMMYFUNCTION("""COMPUTED_VALUE"""),"disagree")</f>
        <v>disagree</v>
      </c>
      <c r="X225" s="3" t="str">
        <f>IFERROR(__xludf.DUMMYFUNCTION("""COMPUTED_VALUE"""),"Gold")</f>
        <v>Gold</v>
      </c>
      <c r="Y225" s="3" t="str">
        <f>IFERROR(__xludf.DUMMYFUNCTION("""COMPUTED_VALUE"""),"cash")</f>
        <v>cash</v>
      </c>
      <c r="Z225" s="3" t="str">
        <f>IFERROR(__xludf.DUMMYFUNCTION("""COMPUTED_VALUE"""),"monthly")</f>
        <v>monthly</v>
      </c>
      <c r="AA225" s="3">
        <f>IFERROR(__xludf.DUMMYFUNCTION("""COMPUTED_VALUE"""),100.0)</f>
        <v>100</v>
      </c>
      <c r="AB225" s="3" t="str">
        <f>IFERROR(__xludf.DUMMYFUNCTION("""COMPUTED_VALUE"""),"online")</f>
        <v>online</v>
      </c>
      <c r="AC225" s="3" t="str">
        <f>IFERROR(__xludf.DUMMYFUNCTION("""COMPUTED_VALUE"""),"Yes")</f>
        <v>Yes</v>
      </c>
      <c r="AD225" s="3" t="str">
        <f>IFERROR(__xludf.DUMMYFUNCTION("""COMPUTED_VALUE"""),"Gold")</f>
        <v>Gold</v>
      </c>
      <c r="AE225" s="3" t="str">
        <f>IFERROR(__xludf.DUMMYFUNCTION("""COMPUTED_VALUE"""),"Yes")</f>
        <v>Yes</v>
      </c>
      <c r="AF225" s="3" t="str">
        <f>IFERROR(__xludf.DUMMYFUNCTION("""COMPUTED_VALUE"""),"Yes")</f>
        <v>Yes</v>
      </c>
      <c r="AG225" s="3" t="str">
        <f>IFERROR(__xludf.DUMMYFUNCTION("""COMPUTED_VALUE"""),"No")</f>
        <v>No</v>
      </c>
      <c r="AH225" s="3"/>
      <c r="AI225" s="3">
        <f>IFERROR(__xludf.DUMMYFUNCTION("""COMPUTED_VALUE"""),1.0)</f>
        <v>1</v>
      </c>
      <c r="AJ225" s="3">
        <f>IFERROR(__xludf.DUMMYFUNCTION("""COMPUTED_VALUE"""),1.0)</f>
        <v>1</v>
      </c>
      <c r="AK225" s="3">
        <f>IFERROR(__xludf.DUMMYFUNCTION("""COMPUTED_VALUE"""),1.0)</f>
        <v>1</v>
      </c>
      <c r="AL225" s="3">
        <f>IFERROR(__xludf.DUMMYFUNCTION("""COMPUTED_VALUE"""),0.0)</f>
        <v>0</v>
      </c>
      <c r="AM225" s="3" t="str">
        <f>IFERROR(__xludf.DUMMYFUNCTION("""COMPUTED_VALUE"""),"Yes")</f>
        <v>Yes</v>
      </c>
      <c r="AN225" s="3">
        <f>IFERROR(__xludf.DUMMYFUNCTION("""COMPUTED_VALUE"""),7.83579949E8)</f>
        <v>783579949</v>
      </c>
      <c r="AO225" s="3"/>
      <c r="AP225" s="3">
        <f>IFERROR(__xludf.DUMMYFUNCTION("""COMPUTED_VALUE"""),4.90398613E8)</f>
        <v>490398613</v>
      </c>
      <c r="AQ225" s="3" t="str">
        <f>IFERROR(__xludf.DUMMYFUNCTION("""COMPUTED_VALUE"""),"c22a7720-2335-4ba9-8176-f93d0fcf0eb6")</f>
        <v>c22a7720-2335-4ba9-8176-f93d0fcf0eb6</v>
      </c>
      <c r="AR225" s="3">
        <f>IFERROR(__xludf.DUMMYFUNCTION("""COMPUTED_VALUE"""),45809.41784722222)</f>
        <v>45809.41785</v>
      </c>
      <c r="AS225" s="3"/>
      <c r="AT225" s="3"/>
      <c r="AU225" s="3" t="str">
        <f>IFERROR(__xludf.DUMMYFUNCTION("""COMPUTED_VALUE"""),"submitted_via_web")</f>
        <v>submitted_via_web</v>
      </c>
      <c r="AV225" s="3"/>
      <c r="AW225" s="3" t="str">
        <f>IFERROR(__xludf.DUMMYFUNCTION("""COMPUTED_VALUE"""),"vgUJxCcLkhbxcmcrDMVzkY")</f>
        <v>vgUJxCcLkhbxcmcrDMVzkY</v>
      </c>
      <c r="AX225" s="3"/>
      <c r="AY225" s="3">
        <f>IFERROR(__xludf.DUMMYFUNCTION("""COMPUTED_VALUE"""),224.0)</f>
        <v>224</v>
      </c>
    </row>
    <row r="226">
      <c r="A226" s="3" t="str">
        <f>IFERROR(__xludf.DUMMYFUNCTION("""COMPUTED_VALUE"""),"Yes")</f>
        <v>Yes</v>
      </c>
      <c r="B226" s="3"/>
      <c r="C226" s="3" t="str">
        <f>IFERROR(__xludf.DUMMYFUNCTION("""COMPUTED_VALUE"""),"mozambique")</f>
        <v>mozambique</v>
      </c>
      <c r="D226" s="3"/>
      <c r="E226" s="3" t="str">
        <f>IFERROR(__xludf.DUMMYFUNCTION("""COMPUTED_VALUE"""),"south_africa")</f>
        <v>south_africa</v>
      </c>
      <c r="F226" s="3" t="str">
        <f>IFERROR(__xludf.DUMMYFUNCTION("""COMPUTED_VALUE"""),"City of Tshwane Metropolitan Municipality")</f>
        <v>City of Tshwane Metropolitan Municipality</v>
      </c>
      <c r="G226" s="3">
        <f>IFERROR(__xludf.DUMMYFUNCTION("""COMPUTED_VALUE"""),34.0)</f>
        <v>34</v>
      </c>
      <c r="H226" s="3" t="str">
        <f>IFERROR(__xludf.DUMMYFUNCTION("""COMPUTED_VALUE"""),"female")</f>
        <v>female</v>
      </c>
      <c r="I226" s="3" t="str">
        <f>IFERROR(__xludf.DUMMYFUNCTION("""COMPUTED_VALUE"""),"over5")</f>
        <v>over5</v>
      </c>
      <c r="J226" s="3" t="str">
        <f>IFERROR(__xludf.DUMMYFUNCTION("""COMPUTED_VALUE"""),"unemployed")</f>
        <v>unemployed</v>
      </c>
      <c r="K226" s="3" t="str">
        <f>IFERROR(__xludf.DUMMYFUNCTION("""COMPUTED_VALUE"""),"secondary")</f>
        <v>secondary</v>
      </c>
      <c r="L226" s="3"/>
      <c r="M226" s="3" t="str">
        <f>IFERROR(__xludf.DUMMYFUNCTION("""COMPUTED_VALUE"""),"agree")</f>
        <v>agree</v>
      </c>
      <c r="N226" s="3" t="str">
        <f>IFERROR(__xludf.DUMMYFUNCTION("""COMPUTED_VALUE"""),"agree")</f>
        <v>agree</v>
      </c>
      <c r="O226" s="3" t="str">
        <f>IFERROR(__xludf.DUMMYFUNCTION("""COMPUTED_VALUE"""),"disagree")</f>
        <v>disagree</v>
      </c>
      <c r="P226" s="3"/>
      <c r="Q226" s="3" t="str">
        <f>IFERROR(__xludf.DUMMYFUNCTION("""COMPUTED_VALUE"""),"agree")</f>
        <v>agree</v>
      </c>
      <c r="R226" s="3" t="str">
        <f>IFERROR(__xludf.DUMMYFUNCTION("""COMPUTED_VALUE"""),"agree")</f>
        <v>agree</v>
      </c>
      <c r="S226" s="3" t="str">
        <f>IFERROR(__xludf.DUMMYFUNCTION("""COMPUTED_VALUE"""),"dontknow")</f>
        <v>dontknow</v>
      </c>
      <c r="T226" s="3" t="str">
        <f>IFERROR(__xludf.DUMMYFUNCTION("""COMPUTED_VALUE"""),"dontknow")</f>
        <v>dontknow</v>
      </c>
      <c r="U226" s="3" t="str">
        <f>IFERROR(__xludf.DUMMYFUNCTION("""COMPUTED_VALUE"""),"agree")</f>
        <v>agree</v>
      </c>
      <c r="V226" s="3" t="str">
        <f>IFERROR(__xludf.DUMMYFUNCTION("""COMPUTED_VALUE"""),"agree")</f>
        <v>agree</v>
      </c>
      <c r="W226" s="3" t="str">
        <f>IFERROR(__xludf.DUMMYFUNCTION("""COMPUTED_VALUE"""),"disagree")</f>
        <v>disagree</v>
      </c>
      <c r="X226" s="3" t="str">
        <f>IFERROR(__xludf.DUMMYFUNCTION("""COMPUTED_VALUE"""),"Gold")</f>
        <v>Gold</v>
      </c>
      <c r="Y226" s="3" t="str">
        <f>IFERROR(__xludf.DUMMYFUNCTION("""COMPUTED_VALUE"""),"prepaid")</f>
        <v>prepaid</v>
      </c>
      <c r="Z226" s="3" t="str">
        <f>IFERROR(__xludf.DUMMYFUNCTION("""COMPUTED_VALUE"""),"quarterly")</f>
        <v>quarterly</v>
      </c>
      <c r="AA226" s="3">
        <f>IFERROR(__xludf.DUMMYFUNCTION("""COMPUTED_VALUE"""),50.0)</f>
        <v>50</v>
      </c>
      <c r="AB226" s="3" t="str">
        <f>IFERROR(__xludf.DUMMYFUNCTION("""COMPUTED_VALUE"""),"assisted")</f>
        <v>assisted</v>
      </c>
      <c r="AC226" s="3" t="str">
        <f>IFERROR(__xludf.DUMMYFUNCTION("""COMPUTED_VALUE"""),"I am not an employer")</f>
        <v>I am not an employer</v>
      </c>
      <c r="AD226" s="3"/>
      <c r="AE226" s="3"/>
      <c r="AF226" s="3" t="str">
        <f>IFERROR(__xludf.DUMMYFUNCTION("""COMPUTED_VALUE"""),"Yes")</f>
        <v>Yes</v>
      </c>
      <c r="AG226" s="3" t="str">
        <f>IFERROR(__xludf.DUMMYFUNCTION("""COMPUTED_VALUE"""),"Yes")</f>
        <v>Yes</v>
      </c>
      <c r="AH226" s="3">
        <f>IFERROR(__xludf.DUMMYFUNCTION("""COMPUTED_VALUE"""),300.0)</f>
        <v>300</v>
      </c>
      <c r="AI226" s="3">
        <f>IFERROR(__xludf.DUMMYFUNCTION("""COMPUTED_VALUE"""),0.0)</f>
        <v>0</v>
      </c>
      <c r="AJ226" s="3">
        <f>IFERROR(__xludf.DUMMYFUNCTION("""COMPUTED_VALUE"""),0.0)</f>
        <v>0</v>
      </c>
      <c r="AK226" s="3">
        <f>IFERROR(__xludf.DUMMYFUNCTION("""COMPUTED_VALUE"""),1.0)</f>
        <v>1</v>
      </c>
      <c r="AL226" s="3">
        <f>IFERROR(__xludf.DUMMYFUNCTION("""COMPUTED_VALUE"""),0.0)</f>
        <v>0</v>
      </c>
      <c r="AM226" s="3" t="str">
        <f>IFERROR(__xludf.DUMMYFUNCTION("""COMPUTED_VALUE"""),"Yes")</f>
        <v>Yes</v>
      </c>
      <c r="AN226" s="3">
        <f>IFERROR(__xludf.DUMMYFUNCTION("""COMPUTED_VALUE"""),7.87607612E8)</f>
        <v>787607612</v>
      </c>
      <c r="AO226" s="3"/>
      <c r="AP226" s="3">
        <f>IFERROR(__xludf.DUMMYFUNCTION("""COMPUTED_VALUE"""),4.90400697E8)</f>
        <v>490400697</v>
      </c>
      <c r="AQ226" s="3" t="str">
        <f>IFERROR(__xludf.DUMMYFUNCTION("""COMPUTED_VALUE"""),"ca80d211-84df-48bb-9ba6-b64bde882807")</f>
        <v>ca80d211-84df-48bb-9ba6-b64bde882807</v>
      </c>
      <c r="AR226" s="3">
        <f>IFERROR(__xludf.DUMMYFUNCTION("""COMPUTED_VALUE"""),45809.421006944445)</f>
        <v>45809.42101</v>
      </c>
      <c r="AS226" s="3"/>
      <c r="AT226" s="3"/>
      <c r="AU226" s="3" t="str">
        <f>IFERROR(__xludf.DUMMYFUNCTION("""COMPUTED_VALUE"""),"submitted_via_web")</f>
        <v>submitted_via_web</v>
      </c>
      <c r="AV226" s="3"/>
      <c r="AW226" s="3" t="str">
        <f>IFERROR(__xludf.DUMMYFUNCTION("""COMPUTED_VALUE"""),"vckVTgNzM4XXtKAKNnsHpB")</f>
        <v>vckVTgNzM4XXtKAKNnsHpB</v>
      </c>
      <c r="AX226" s="3"/>
      <c r="AY226" s="3">
        <f>IFERROR(__xludf.DUMMYFUNCTION("""COMPUTED_VALUE"""),225.0)</f>
        <v>225</v>
      </c>
    </row>
    <row r="227">
      <c r="A227" s="3" t="str">
        <f>IFERROR(__xludf.DUMMYFUNCTION("""COMPUTED_VALUE"""),"Yes")</f>
        <v>Yes</v>
      </c>
      <c r="B227" s="3"/>
      <c r="C227" s="3" t="str">
        <f>IFERROR(__xludf.DUMMYFUNCTION("""COMPUTED_VALUE"""),"lesotho")</f>
        <v>lesotho</v>
      </c>
      <c r="D227" s="3"/>
      <c r="E227" s="3" t="str">
        <f>IFERROR(__xludf.DUMMYFUNCTION("""COMPUTED_VALUE"""),"south_africa")</f>
        <v>south_africa</v>
      </c>
      <c r="F227" s="3" t="str">
        <f>IFERROR(__xludf.DUMMYFUNCTION("""COMPUTED_VALUE"""),"City of Johannesburg Metropolitan Municipality")</f>
        <v>City of Johannesburg Metropolitan Municipality</v>
      </c>
      <c r="G227" s="3">
        <f>IFERROR(__xludf.DUMMYFUNCTION("""COMPUTED_VALUE"""),24.0)</f>
        <v>24</v>
      </c>
      <c r="H227" s="3" t="str">
        <f>IFERROR(__xludf.DUMMYFUNCTION("""COMPUTED_VALUE"""),"female")</f>
        <v>female</v>
      </c>
      <c r="I227" s="3" t="str">
        <f>IFERROR(__xludf.DUMMYFUNCTION("""COMPUTED_VALUE"""),"1to5")</f>
        <v>1to5</v>
      </c>
      <c r="J227" s="3" t="str">
        <f>IFERROR(__xludf.DUMMYFUNCTION("""COMPUTED_VALUE"""),"informal")</f>
        <v>informal</v>
      </c>
      <c r="K227" s="3" t="str">
        <f>IFERROR(__xludf.DUMMYFUNCTION("""COMPUTED_VALUE"""),"secondary")</f>
        <v>secondary</v>
      </c>
      <c r="L227" s="3"/>
      <c r="M227" s="3" t="str">
        <f>IFERROR(__xludf.DUMMYFUNCTION("""COMPUTED_VALUE"""),"agree")</f>
        <v>agree</v>
      </c>
      <c r="N227" s="3" t="str">
        <f>IFERROR(__xludf.DUMMYFUNCTION("""COMPUTED_VALUE"""),"agree")</f>
        <v>agree</v>
      </c>
      <c r="O227" s="3" t="str">
        <f>IFERROR(__xludf.DUMMYFUNCTION("""COMPUTED_VALUE"""),"disagree")</f>
        <v>disagree</v>
      </c>
      <c r="P227" s="3"/>
      <c r="Q227" s="3" t="str">
        <f>IFERROR(__xludf.DUMMYFUNCTION("""COMPUTED_VALUE"""),"disagree")</f>
        <v>disagree</v>
      </c>
      <c r="R227" s="3" t="str">
        <f>IFERROR(__xludf.DUMMYFUNCTION("""COMPUTED_VALUE"""),"disagree")</f>
        <v>disagree</v>
      </c>
      <c r="S227" s="3" t="str">
        <f>IFERROR(__xludf.DUMMYFUNCTION("""COMPUTED_VALUE"""),"disagree")</f>
        <v>disagree</v>
      </c>
      <c r="T227" s="3" t="str">
        <f>IFERROR(__xludf.DUMMYFUNCTION("""COMPUTED_VALUE"""),"disagree")</f>
        <v>disagree</v>
      </c>
      <c r="U227" s="3" t="str">
        <f>IFERROR(__xludf.DUMMYFUNCTION("""COMPUTED_VALUE"""),"dontknow")</f>
        <v>dontknow</v>
      </c>
      <c r="V227" s="3" t="str">
        <f>IFERROR(__xludf.DUMMYFUNCTION("""COMPUTED_VALUE"""),"agree")</f>
        <v>agree</v>
      </c>
      <c r="W227" s="3" t="str">
        <f>IFERROR(__xludf.DUMMYFUNCTION("""COMPUTED_VALUE"""),"disagree")</f>
        <v>disagree</v>
      </c>
      <c r="X227" s="3" t="str">
        <f>IFERROR(__xludf.DUMMYFUNCTION("""COMPUTED_VALUE"""),"Gold")</f>
        <v>Gold</v>
      </c>
      <c r="Y227" s="3" t="str">
        <f>IFERROR(__xludf.DUMMYFUNCTION("""COMPUTED_VALUE"""),"card")</f>
        <v>card</v>
      </c>
      <c r="Z227" s="3" t="str">
        <f>IFERROR(__xludf.DUMMYFUNCTION("""COMPUTED_VALUE"""),"once")</f>
        <v>once</v>
      </c>
      <c r="AA227" s="3">
        <f>IFERROR(__xludf.DUMMYFUNCTION("""COMPUTED_VALUE"""),10.0)</f>
        <v>10</v>
      </c>
      <c r="AB227" s="3" t="str">
        <f>IFERROR(__xludf.DUMMYFUNCTION("""COMPUTED_VALUE"""),"assisted")</f>
        <v>assisted</v>
      </c>
      <c r="AC227" s="3" t="str">
        <f>IFERROR(__xludf.DUMMYFUNCTION("""COMPUTED_VALUE"""),"I am not an employer")</f>
        <v>I am not an employer</v>
      </c>
      <c r="AD227" s="3"/>
      <c r="AE227" s="3"/>
      <c r="AF227" s="3" t="str">
        <f>IFERROR(__xludf.DUMMYFUNCTION("""COMPUTED_VALUE"""),"Yes")</f>
        <v>Yes</v>
      </c>
      <c r="AG227" s="3" t="str">
        <f>IFERROR(__xludf.DUMMYFUNCTION("""COMPUTED_VALUE"""),"Yes")</f>
        <v>Yes</v>
      </c>
      <c r="AH227" s="3">
        <f>IFERROR(__xludf.DUMMYFUNCTION("""COMPUTED_VALUE"""),1000.0)</f>
        <v>1000</v>
      </c>
      <c r="AI227" s="3">
        <f>IFERROR(__xludf.DUMMYFUNCTION("""COMPUTED_VALUE"""),0.0)</f>
        <v>0</v>
      </c>
      <c r="AJ227" s="3">
        <f>IFERROR(__xludf.DUMMYFUNCTION("""COMPUTED_VALUE"""),0.0)</f>
        <v>0</v>
      </c>
      <c r="AK227" s="3">
        <f>IFERROR(__xludf.DUMMYFUNCTION("""COMPUTED_VALUE"""),0.0)</f>
        <v>0</v>
      </c>
      <c r="AL227" s="3">
        <f>IFERROR(__xludf.DUMMYFUNCTION("""COMPUTED_VALUE"""),1.0)</f>
        <v>1</v>
      </c>
      <c r="AM227" s="3" t="str">
        <f>IFERROR(__xludf.DUMMYFUNCTION("""COMPUTED_VALUE"""),"Yes")</f>
        <v>Yes</v>
      </c>
      <c r="AN227" s="3">
        <f>IFERROR(__xludf.DUMMYFUNCTION("""COMPUTED_VALUE"""),6.05632909E8)</f>
        <v>605632909</v>
      </c>
      <c r="AO227" s="3"/>
      <c r="AP227" s="3">
        <f>IFERROR(__xludf.DUMMYFUNCTION("""COMPUTED_VALUE"""),4.9040118E8)</f>
        <v>490401180</v>
      </c>
      <c r="AQ227" s="3" t="str">
        <f>IFERROR(__xludf.DUMMYFUNCTION("""COMPUTED_VALUE"""),"32ed35a0-d150-4746-82b0-6e41aa2f1745")</f>
        <v>32ed35a0-d150-4746-82b0-6e41aa2f1745</v>
      </c>
      <c r="AR227" s="3">
        <f>IFERROR(__xludf.DUMMYFUNCTION("""COMPUTED_VALUE"""),45809.42184027778)</f>
        <v>45809.42184</v>
      </c>
      <c r="AS227" s="3"/>
      <c r="AT227" s="3"/>
      <c r="AU227" s="3" t="str">
        <f>IFERROR(__xludf.DUMMYFUNCTION("""COMPUTED_VALUE"""),"submitted_via_web")</f>
        <v>submitted_via_web</v>
      </c>
      <c r="AV227" s="3"/>
      <c r="AW227" s="3" t="str">
        <f>IFERROR(__xludf.DUMMYFUNCTION("""COMPUTED_VALUE"""),"vckVTgNzM4XXtKAKNnsHpB")</f>
        <v>vckVTgNzM4XXtKAKNnsHpB</v>
      </c>
      <c r="AX227" s="3"/>
      <c r="AY227" s="3">
        <f>IFERROR(__xludf.DUMMYFUNCTION("""COMPUTED_VALUE"""),226.0)</f>
        <v>226</v>
      </c>
    </row>
    <row r="228">
      <c r="A228" s="3" t="str">
        <f>IFERROR(__xludf.DUMMYFUNCTION("""COMPUTED_VALUE"""),"Yes")</f>
        <v>Yes</v>
      </c>
      <c r="B228" s="3"/>
      <c r="C228" s="3" t="str">
        <f>IFERROR(__xludf.DUMMYFUNCTION("""COMPUTED_VALUE"""),"mozambique")</f>
        <v>mozambique</v>
      </c>
      <c r="D228" s="3"/>
      <c r="E228" s="3" t="str">
        <f>IFERROR(__xludf.DUMMYFUNCTION("""COMPUTED_VALUE"""),"south_africa")</f>
        <v>south_africa</v>
      </c>
      <c r="F228" s="3" t="str">
        <f>IFERROR(__xludf.DUMMYFUNCTION("""COMPUTED_VALUE"""),"City of Tshwane Metropolitan Municipality")</f>
        <v>City of Tshwane Metropolitan Municipality</v>
      </c>
      <c r="G228" s="3">
        <f>IFERROR(__xludf.DUMMYFUNCTION("""COMPUTED_VALUE"""),25.0)</f>
        <v>25</v>
      </c>
      <c r="H228" s="3" t="str">
        <f>IFERROR(__xludf.DUMMYFUNCTION("""COMPUTED_VALUE"""),"male")</f>
        <v>male</v>
      </c>
      <c r="I228" s="3" t="str">
        <f>IFERROR(__xludf.DUMMYFUNCTION("""COMPUTED_VALUE"""),"1to5")</f>
        <v>1to5</v>
      </c>
      <c r="J228" s="3" t="str">
        <f>IFERROR(__xludf.DUMMYFUNCTION("""COMPUTED_VALUE"""),"unemployed")</f>
        <v>unemployed</v>
      </c>
      <c r="K228" s="3" t="str">
        <f>IFERROR(__xludf.DUMMYFUNCTION("""COMPUTED_VALUE"""),"secondary")</f>
        <v>secondary</v>
      </c>
      <c r="L228" s="3"/>
      <c r="M228" s="3" t="str">
        <f>IFERROR(__xludf.DUMMYFUNCTION("""COMPUTED_VALUE"""),"agree")</f>
        <v>agree</v>
      </c>
      <c r="N228" s="3" t="str">
        <f>IFERROR(__xludf.DUMMYFUNCTION("""COMPUTED_VALUE"""),"agree")</f>
        <v>agree</v>
      </c>
      <c r="O228" s="3" t="str">
        <f>IFERROR(__xludf.DUMMYFUNCTION("""COMPUTED_VALUE"""),"agree")</f>
        <v>agree</v>
      </c>
      <c r="P228" s="3"/>
      <c r="Q228" s="3" t="str">
        <f>IFERROR(__xludf.DUMMYFUNCTION("""COMPUTED_VALUE"""),"agree")</f>
        <v>agree</v>
      </c>
      <c r="R228" s="3" t="str">
        <f>IFERROR(__xludf.DUMMYFUNCTION("""COMPUTED_VALUE"""),"agree")</f>
        <v>agree</v>
      </c>
      <c r="S228" s="3" t="str">
        <f>IFERROR(__xludf.DUMMYFUNCTION("""COMPUTED_VALUE"""),"agree")</f>
        <v>agree</v>
      </c>
      <c r="T228" s="3" t="str">
        <f>IFERROR(__xludf.DUMMYFUNCTION("""COMPUTED_VALUE"""),"agree")</f>
        <v>agree</v>
      </c>
      <c r="U228" s="3" t="str">
        <f>IFERROR(__xludf.DUMMYFUNCTION("""COMPUTED_VALUE"""),"agree")</f>
        <v>agree</v>
      </c>
      <c r="V228" s="3"/>
      <c r="W228" s="3"/>
      <c r="X228" s="3" t="str">
        <f>IFERROR(__xludf.DUMMYFUNCTION("""COMPUTED_VALUE"""),"Gold")</f>
        <v>Gold</v>
      </c>
      <c r="Y228" s="3" t="str">
        <f>IFERROR(__xludf.DUMMYFUNCTION("""COMPUTED_VALUE"""),"card")</f>
        <v>card</v>
      </c>
      <c r="Z228" s="3" t="str">
        <f>IFERROR(__xludf.DUMMYFUNCTION("""COMPUTED_VALUE"""),"quarterly")</f>
        <v>quarterly</v>
      </c>
      <c r="AA228" s="3">
        <f>IFERROR(__xludf.DUMMYFUNCTION("""COMPUTED_VALUE"""),50.0)</f>
        <v>50</v>
      </c>
      <c r="AB228" s="3" t="str">
        <f>IFERROR(__xludf.DUMMYFUNCTION("""COMPUTED_VALUE"""),"employer")</f>
        <v>employer</v>
      </c>
      <c r="AC228" s="3" t="str">
        <f>IFERROR(__xludf.DUMMYFUNCTION("""COMPUTED_VALUE"""),"I am not an employer")</f>
        <v>I am not an employer</v>
      </c>
      <c r="AD228" s="3"/>
      <c r="AE228" s="3"/>
      <c r="AF228" s="3" t="str">
        <f>IFERROR(__xludf.DUMMYFUNCTION("""COMPUTED_VALUE"""),"Yes")</f>
        <v>Yes</v>
      </c>
      <c r="AG228" s="3" t="str">
        <f>IFERROR(__xludf.DUMMYFUNCTION("""COMPUTED_VALUE"""),"Yes")</f>
        <v>Yes</v>
      </c>
      <c r="AH228" s="3">
        <f>IFERROR(__xludf.DUMMYFUNCTION("""COMPUTED_VALUE"""),250.0)</f>
        <v>250</v>
      </c>
      <c r="AI228" s="3">
        <f>IFERROR(__xludf.DUMMYFUNCTION("""COMPUTED_VALUE"""),0.0)</f>
        <v>0</v>
      </c>
      <c r="AJ228" s="3">
        <f>IFERROR(__xludf.DUMMYFUNCTION("""COMPUTED_VALUE"""),0.0)</f>
        <v>0</v>
      </c>
      <c r="AK228" s="3">
        <f>IFERROR(__xludf.DUMMYFUNCTION("""COMPUTED_VALUE"""),0.0)</f>
        <v>0</v>
      </c>
      <c r="AL228" s="3">
        <f>IFERROR(__xludf.DUMMYFUNCTION("""COMPUTED_VALUE"""),1.0)</f>
        <v>1</v>
      </c>
      <c r="AM228" s="3" t="str">
        <f>IFERROR(__xludf.DUMMYFUNCTION("""COMPUTED_VALUE"""),"Yes")</f>
        <v>Yes</v>
      </c>
      <c r="AN228" s="3">
        <f>IFERROR(__xludf.DUMMYFUNCTION("""COMPUTED_VALUE"""),6.74566012E8)</f>
        <v>674566012</v>
      </c>
      <c r="AO228" s="3"/>
      <c r="AP228" s="3">
        <f>IFERROR(__xludf.DUMMYFUNCTION("""COMPUTED_VALUE"""),4.90402922E8)</f>
        <v>490402922</v>
      </c>
      <c r="AQ228" s="3" t="str">
        <f>IFERROR(__xludf.DUMMYFUNCTION("""COMPUTED_VALUE"""),"5d80001b-42dd-45f5-974b-a336192ad603")</f>
        <v>5d80001b-42dd-45f5-974b-a336192ad603</v>
      </c>
      <c r="AR228" s="3">
        <f>IFERROR(__xludf.DUMMYFUNCTION("""COMPUTED_VALUE"""),45809.4252662037)</f>
        <v>45809.42527</v>
      </c>
      <c r="AS228" s="3"/>
      <c r="AT228" s="3"/>
      <c r="AU228" s="3" t="str">
        <f>IFERROR(__xludf.DUMMYFUNCTION("""COMPUTED_VALUE"""),"submitted_via_web")</f>
        <v>submitted_via_web</v>
      </c>
      <c r="AV228" s="3"/>
      <c r="AW228" s="3" t="str">
        <f>IFERROR(__xludf.DUMMYFUNCTION("""COMPUTED_VALUE"""),"vckVTgNzM4XXtKAKNnsHpB")</f>
        <v>vckVTgNzM4XXtKAKNnsHpB</v>
      </c>
      <c r="AX228" s="3"/>
      <c r="AY228" s="3">
        <f>IFERROR(__xludf.DUMMYFUNCTION("""COMPUTED_VALUE"""),227.0)</f>
        <v>227</v>
      </c>
    </row>
    <row r="229">
      <c r="A229" s="3" t="str">
        <f>IFERROR(__xludf.DUMMYFUNCTION("""COMPUTED_VALUE"""),"Yes")</f>
        <v>Yes</v>
      </c>
      <c r="B229" s="3"/>
      <c r="C229" s="3" t="str">
        <f>IFERROR(__xludf.DUMMYFUNCTION("""COMPUTED_VALUE"""),"mozambique")</f>
        <v>mozambique</v>
      </c>
      <c r="D229" s="3"/>
      <c r="E229" s="3" t="str">
        <f>IFERROR(__xludf.DUMMYFUNCTION("""COMPUTED_VALUE"""),"south_africa")</f>
        <v>south_africa</v>
      </c>
      <c r="F229" s="3" t="str">
        <f>IFERROR(__xludf.DUMMYFUNCTION("""COMPUTED_VALUE"""),"City of Tshwane Metropolitan Municipality")</f>
        <v>City of Tshwane Metropolitan Municipality</v>
      </c>
      <c r="G229" s="3">
        <f>IFERROR(__xludf.DUMMYFUNCTION("""COMPUTED_VALUE"""),39.0)</f>
        <v>39</v>
      </c>
      <c r="H229" s="3" t="str">
        <f>IFERROR(__xludf.DUMMYFUNCTION("""COMPUTED_VALUE"""),"male")</f>
        <v>male</v>
      </c>
      <c r="I229" s="3" t="str">
        <f>IFERROR(__xludf.DUMMYFUNCTION("""COMPUTED_VALUE"""),"over5")</f>
        <v>over5</v>
      </c>
      <c r="J229" s="3" t="str">
        <f>IFERROR(__xludf.DUMMYFUNCTION("""COMPUTED_VALUE"""),"informal")</f>
        <v>informal</v>
      </c>
      <c r="K229" s="3" t="str">
        <f>IFERROR(__xludf.DUMMYFUNCTION("""COMPUTED_VALUE"""),"secondary")</f>
        <v>secondary</v>
      </c>
      <c r="L229" s="3"/>
      <c r="M229" s="3" t="str">
        <f>IFERROR(__xludf.DUMMYFUNCTION("""COMPUTED_VALUE"""),"agree")</f>
        <v>agree</v>
      </c>
      <c r="N229" s="3" t="str">
        <f>IFERROR(__xludf.DUMMYFUNCTION("""COMPUTED_VALUE"""),"agree")</f>
        <v>agree</v>
      </c>
      <c r="O229" s="3" t="str">
        <f>IFERROR(__xludf.DUMMYFUNCTION("""COMPUTED_VALUE"""),"disagree")</f>
        <v>disagree</v>
      </c>
      <c r="P229" s="3"/>
      <c r="Q229" s="3" t="str">
        <f>IFERROR(__xludf.DUMMYFUNCTION("""COMPUTED_VALUE"""),"agree")</f>
        <v>agree</v>
      </c>
      <c r="R229" s="3" t="str">
        <f>IFERROR(__xludf.DUMMYFUNCTION("""COMPUTED_VALUE"""),"agree")</f>
        <v>agree</v>
      </c>
      <c r="S229" s="3" t="str">
        <f>IFERROR(__xludf.DUMMYFUNCTION("""COMPUTED_VALUE"""),"agree")</f>
        <v>agree</v>
      </c>
      <c r="T229" s="3" t="str">
        <f>IFERROR(__xludf.DUMMYFUNCTION("""COMPUTED_VALUE"""),"agree")</f>
        <v>agree</v>
      </c>
      <c r="U229" s="3" t="str">
        <f>IFERROR(__xludf.DUMMYFUNCTION("""COMPUTED_VALUE"""),"agree")</f>
        <v>agree</v>
      </c>
      <c r="V229" s="3" t="str">
        <f>IFERROR(__xludf.DUMMYFUNCTION("""COMPUTED_VALUE"""),"agree")</f>
        <v>agree</v>
      </c>
      <c r="W229" s="3" t="str">
        <f>IFERROR(__xludf.DUMMYFUNCTION("""COMPUTED_VALUE"""),"agree")</f>
        <v>agree</v>
      </c>
      <c r="X229" s="3" t="str">
        <f>IFERROR(__xludf.DUMMYFUNCTION("""COMPUTED_VALUE"""),"Gold")</f>
        <v>Gold</v>
      </c>
      <c r="Y229" s="3" t="str">
        <f>IFERROR(__xludf.DUMMYFUNCTION("""COMPUTED_VALUE"""),"prepaid")</f>
        <v>prepaid</v>
      </c>
      <c r="Z229" s="3" t="str">
        <f>IFERROR(__xludf.DUMMYFUNCTION("""COMPUTED_VALUE"""),"biannual")</f>
        <v>biannual</v>
      </c>
      <c r="AA229" s="3">
        <f>IFERROR(__xludf.DUMMYFUNCTION("""COMPUTED_VALUE"""),100.0)</f>
        <v>100</v>
      </c>
      <c r="AB229" s="3" t="str">
        <f>IFERROR(__xludf.DUMMYFUNCTION("""COMPUTED_VALUE"""),"assisted")</f>
        <v>assisted</v>
      </c>
      <c r="AC229" s="3" t="str">
        <f>IFERROR(__xludf.DUMMYFUNCTION("""COMPUTED_VALUE"""),"I am not an employer")</f>
        <v>I am not an employer</v>
      </c>
      <c r="AD229" s="3"/>
      <c r="AE229" s="3"/>
      <c r="AF229" s="3" t="str">
        <f>IFERROR(__xludf.DUMMYFUNCTION("""COMPUTED_VALUE"""),"Yes")</f>
        <v>Yes</v>
      </c>
      <c r="AG229" s="3" t="str">
        <f>IFERROR(__xludf.DUMMYFUNCTION("""COMPUTED_VALUE"""),"Yes")</f>
        <v>Yes</v>
      </c>
      <c r="AH229" s="3">
        <f>IFERROR(__xludf.DUMMYFUNCTION("""COMPUTED_VALUE"""),200.0)</f>
        <v>200</v>
      </c>
      <c r="AI229" s="3">
        <f>IFERROR(__xludf.DUMMYFUNCTION("""COMPUTED_VALUE"""),0.0)</f>
        <v>0</v>
      </c>
      <c r="AJ229" s="3">
        <f>IFERROR(__xludf.DUMMYFUNCTION("""COMPUTED_VALUE"""),0.0)</f>
        <v>0</v>
      </c>
      <c r="AK229" s="3">
        <f>IFERROR(__xludf.DUMMYFUNCTION("""COMPUTED_VALUE"""),0.0)</f>
        <v>0</v>
      </c>
      <c r="AL229" s="3">
        <f>IFERROR(__xludf.DUMMYFUNCTION("""COMPUTED_VALUE"""),1.0)</f>
        <v>1</v>
      </c>
      <c r="AM229" s="3" t="str">
        <f>IFERROR(__xludf.DUMMYFUNCTION("""COMPUTED_VALUE"""),"Yes")</f>
        <v>Yes</v>
      </c>
      <c r="AN229" s="3">
        <f>IFERROR(__xludf.DUMMYFUNCTION("""COMPUTED_VALUE"""),7.86258839E8)</f>
        <v>786258839</v>
      </c>
      <c r="AO229" s="3"/>
      <c r="AP229" s="3">
        <f>IFERROR(__xludf.DUMMYFUNCTION("""COMPUTED_VALUE"""),4.90403501E8)</f>
        <v>490403501</v>
      </c>
      <c r="AQ229" s="3" t="str">
        <f>IFERROR(__xludf.DUMMYFUNCTION("""COMPUTED_VALUE"""),"660f2b7a-e3b6-45aa-9ecd-916b57e7bb90")</f>
        <v>660f2b7a-e3b6-45aa-9ecd-916b57e7bb90</v>
      </c>
      <c r="AR229" s="3">
        <f>IFERROR(__xludf.DUMMYFUNCTION("""COMPUTED_VALUE"""),45809.42668981481)</f>
        <v>45809.42669</v>
      </c>
      <c r="AS229" s="3"/>
      <c r="AT229" s="3"/>
      <c r="AU229" s="3" t="str">
        <f>IFERROR(__xludf.DUMMYFUNCTION("""COMPUTED_VALUE"""),"submitted_via_web")</f>
        <v>submitted_via_web</v>
      </c>
      <c r="AV229" s="3"/>
      <c r="AW229" s="3" t="str">
        <f>IFERROR(__xludf.DUMMYFUNCTION("""COMPUTED_VALUE"""),"vckVTgNzM4XXtKAKNnsHpB")</f>
        <v>vckVTgNzM4XXtKAKNnsHpB</v>
      </c>
      <c r="AX229" s="3"/>
      <c r="AY229" s="3">
        <f>IFERROR(__xludf.DUMMYFUNCTION("""COMPUTED_VALUE"""),228.0)</f>
        <v>228</v>
      </c>
    </row>
    <row r="230">
      <c r="A230" s="3" t="str">
        <f>IFERROR(__xludf.DUMMYFUNCTION("""COMPUTED_VALUE"""),"Yes")</f>
        <v>Yes</v>
      </c>
      <c r="B230" s="3"/>
      <c r="C230" s="3" t="str">
        <f>IFERROR(__xludf.DUMMYFUNCTION("""COMPUTED_VALUE"""),"lesotho")</f>
        <v>lesotho</v>
      </c>
      <c r="D230" s="3"/>
      <c r="E230" s="3" t="str">
        <f>IFERROR(__xludf.DUMMYFUNCTION("""COMPUTED_VALUE"""),"south_africa")</f>
        <v>south_africa</v>
      </c>
      <c r="F230" s="3" t="str">
        <f>IFERROR(__xludf.DUMMYFUNCTION("""COMPUTED_VALUE"""),"City of Johannesburg Metropolitan Municipality")</f>
        <v>City of Johannesburg Metropolitan Municipality</v>
      </c>
      <c r="G230" s="3">
        <f>IFERROR(__xludf.DUMMYFUNCTION("""COMPUTED_VALUE"""),27.0)</f>
        <v>27</v>
      </c>
      <c r="H230" s="3" t="str">
        <f>IFERROR(__xludf.DUMMYFUNCTION("""COMPUTED_VALUE"""),"male")</f>
        <v>male</v>
      </c>
      <c r="I230" s="3" t="str">
        <f>IFERROR(__xludf.DUMMYFUNCTION("""COMPUTED_VALUE"""),"1to5")</f>
        <v>1to5</v>
      </c>
      <c r="J230" s="3" t="str">
        <f>IFERROR(__xludf.DUMMYFUNCTION("""COMPUTED_VALUE"""),"unemployed")</f>
        <v>unemployed</v>
      </c>
      <c r="K230" s="3"/>
      <c r="L230" s="3"/>
      <c r="M230" s="3" t="str">
        <f>IFERROR(__xludf.DUMMYFUNCTION("""COMPUTED_VALUE"""),"agree")</f>
        <v>agree</v>
      </c>
      <c r="N230" s="3" t="str">
        <f>IFERROR(__xludf.DUMMYFUNCTION("""COMPUTED_VALUE"""),"agree")</f>
        <v>agree</v>
      </c>
      <c r="O230" s="3" t="str">
        <f>IFERROR(__xludf.DUMMYFUNCTION("""COMPUTED_VALUE"""),"disagree")</f>
        <v>disagree</v>
      </c>
      <c r="P230" s="3"/>
      <c r="Q230" s="3" t="str">
        <f>IFERROR(__xludf.DUMMYFUNCTION("""COMPUTED_VALUE"""),"disagree")</f>
        <v>disagree</v>
      </c>
      <c r="R230" s="3" t="str">
        <f>IFERROR(__xludf.DUMMYFUNCTION("""COMPUTED_VALUE"""),"disagree")</f>
        <v>disagree</v>
      </c>
      <c r="S230" s="3" t="str">
        <f>IFERROR(__xludf.DUMMYFUNCTION("""COMPUTED_VALUE"""),"disagree")</f>
        <v>disagree</v>
      </c>
      <c r="T230" s="3" t="str">
        <f>IFERROR(__xludf.DUMMYFUNCTION("""COMPUTED_VALUE"""),"disagree")</f>
        <v>disagree</v>
      </c>
      <c r="U230" s="3" t="str">
        <f>IFERROR(__xludf.DUMMYFUNCTION("""COMPUTED_VALUE"""),"dontknow")</f>
        <v>dontknow</v>
      </c>
      <c r="V230" s="3" t="str">
        <f>IFERROR(__xludf.DUMMYFUNCTION("""COMPUTED_VALUE"""),"agree")</f>
        <v>agree</v>
      </c>
      <c r="W230" s="3" t="str">
        <f>IFERROR(__xludf.DUMMYFUNCTION("""COMPUTED_VALUE"""),"disagree")</f>
        <v>disagree</v>
      </c>
      <c r="X230" s="3" t="str">
        <f>IFERROR(__xludf.DUMMYFUNCTION("""COMPUTED_VALUE"""),"Gold")</f>
        <v>Gold</v>
      </c>
      <c r="Y230" s="3" t="str">
        <f>IFERROR(__xludf.DUMMYFUNCTION("""COMPUTED_VALUE"""),"cash")</f>
        <v>cash</v>
      </c>
      <c r="Z230" s="3" t="str">
        <f>IFERROR(__xludf.DUMMYFUNCTION("""COMPUTED_VALUE"""),"once")</f>
        <v>once</v>
      </c>
      <c r="AA230" s="3">
        <f>IFERROR(__xludf.DUMMYFUNCTION("""COMPUTED_VALUE"""),50.0)</f>
        <v>50</v>
      </c>
      <c r="AB230" s="3" t="str">
        <f>IFERROR(__xludf.DUMMYFUNCTION("""COMPUTED_VALUE"""),"assisted")</f>
        <v>assisted</v>
      </c>
      <c r="AC230" s="3" t="str">
        <f>IFERROR(__xludf.DUMMYFUNCTION("""COMPUTED_VALUE"""),"I am not an employer")</f>
        <v>I am not an employer</v>
      </c>
      <c r="AD230" s="3"/>
      <c r="AE230" s="3"/>
      <c r="AF230" s="3" t="str">
        <f>IFERROR(__xludf.DUMMYFUNCTION("""COMPUTED_VALUE"""),"Yes")</f>
        <v>Yes</v>
      </c>
      <c r="AG230" s="3" t="str">
        <f>IFERROR(__xludf.DUMMYFUNCTION("""COMPUTED_VALUE"""),"Yes")</f>
        <v>Yes</v>
      </c>
      <c r="AH230" s="3">
        <f>IFERROR(__xludf.DUMMYFUNCTION("""COMPUTED_VALUE"""),500.0)</f>
        <v>500</v>
      </c>
      <c r="AI230" s="3">
        <f>IFERROR(__xludf.DUMMYFUNCTION("""COMPUTED_VALUE"""),1.0)</f>
        <v>1</v>
      </c>
      <c r="AJ230" s="3">
        <f>IFERROR(__xludf.DUMMYFUNCTION("""COMPUTED_VALUE"""),1.0)</f>
        <v>1</v>
      </c>
      <c r="AK230" s="3">
        <f>IFERROR(__xludf.DUMMYFUNCTION("""COMPUTED_VALUE"""),1.0)</f>
        <v>1</v>
      </c>
      <c r="AL230" s="3">
        <f>IFERROR(__xludf.DUMMYFUNCTION("""COMPUTED_VALUE"""),1.0)</f>
        <v>1</v>
      </c>
      <c r="AM230" s="3" t="str">
        <f>IFERROR(__xludf.DUMMYFUNCTION("""COMPUTED_VALUE"""),"Yes")</f>
        <v>Yes</v>
      </c>
      <c r="AN230" s="3">
        <f>IFERROR(__xludf.DUMMYFUNCTION("""COMPUTED_VALUE"""),7.52289743E8)</f>
        <v>752289743</v>
      </c>
      <c r="AO230" s="3"/>
      <c r="AP230" s="3">
        <f>IFERROR(__xludf.DUMMYFUNCTION("""COMPUTED_VALUE"""),4.9040369E8)</f>
        <v>490403690</v>
      </c>
      <c r="AQ230" s="3" t="str">
        <f>IFERROR(__xludf.DUMMYFUNCTION("""COMPUTED_VALUE"""),"7a205220-a3f8-4ddb-99cc-40a31894dab8")</f>
        <v>7a205220-a3f8-4ddb-99cc-40a31894dab8</v>
      </c>
      <c r="AR230" s="3">
        <f>IFERROR(__xludf.DUMMYFUNCTION("""COMPUTED_VALUE"""),45809.42711805556)</f>
        <v>45809.42712</v>
      </c>
      <c r="AS230" s="3"/>
      <c r="AT230" s="3"/>
      <c r="AU230" s="3" t="str">
        <f>IFERROR(__xludf.DUMMYFUNCTION("""COMPUTED_VALUE"""),"submitted_via_web")</f>
        <v>submitted_via_web</v>
      </c>
      <c r="AV230" s="3"/>
      <c r="AW230" s="3" t="str">
        <f>IFERROR(__xludf.DUMMYFUNCTION("""COMPUTED_VALUE"""),"vckVTgNzM4XXtKAKNnsHpB")</f>
        <v>vckVTgNzM4XXtKAKNnsHpB</v>
      </c>
      <c r="AX230" s="3"/>
      <c r="AY230" s="3">
        <f>IFERROR(__xludf.DUMMYFUNCTION("""COMPUTED_VALUE"""),229.0)</f>
        <v>229</v>
      </c>
    </row>
    <row r="231">
      <c r="A231" s="3" t="str">
        <f>IFERROR(__xludf.DUMMYFUNCTION("""COMPUTED_VALUE"""),"Yes")</f>
        <v>Yes</v>
      </c>
      <c r="B231" s="3"/>
      <c r="C231" s="3" t="str">
        <f>IFERROR(__xludf.DUMMYFUNCTION("""COMPUTED_VALUE"""),"mozambique")</f>
        <v>mozambique</v>
      </c>
      <c r="D231" s="3"/>
      <c r="E231" s="3" t="str">
        <f>IFERROR(__xludf.DUMMYFUNCTION("""COMPUTED_VALUE"""),"south_africa")</f>
        <v>south_africa</v>
      </c>
      <c r="F231" s="3" t="str">
        <f>IFERROR(__xludf.DUMMYFUNCTION("""COMPUTED_VALUE"""),"City of Tshwane Metropolitan Municipality")</f>
        <v>City of Tshwane Metropolitan Municipality</v>
      </c>
      <c r="G231" s="3">
        <f>IFERROR(__xludf.DUMMYFUNCTION("""COMPUTED_VALUE"""),31.0)</f>
        <v>31</v>
      </c>
      <c r="H231" s="3" t="str">
        <f>IFERROR(__xludf.DUMMYFUNCTION("""COMPUTED_VALUE"""),"male")</f>
        <v>male</v>
      </c>
      <c r="I231" s="3" t="str">
        <f>IFERROR(__xludf.DUMMYFUNCTION("""COMPUTED_VALUE"""),"1to5")</f>
        <v>1to5</v>
      </c>
      <c r="J231" s="3" t="str">
        <f>IFERROR(__xludf.DUMMYFUNCTION("""COMPUTED_VALUE"""),"ownbusiness")</f>
        <v>ownbusiness</v>
      </c>
      <c r="K231" s="3" t="str">
        <f>IFERROR(__xludf.DUMMYFUNCTION("""COMPUTED_VALUE"""),"secondary")</f>
        <v>secondary</v>
      </c>
      <c r="L231" s="3"/>
      <c r="M231" s="3" t="str">
        <f>IFERROR(__xludf.DUMMYFUNCTION("""COMPUTED_VALUE"""),"agree")</f>
        <v>agree</v>
      </c>
      <c r="N231" s="3" t="str">
        <f>IFERROR(__xludf.DUMMYFUNCTION("""COMPUTED_VALUE"""),"agree")</f>
        <v>agree</v>
      </c>
      <c r="O231" s="3" t="str">
        <f>IFERROR(__xludf.DUMMYFUNCTION("""COMPUTED_VALUE"""),"agree")</f>
        <v>agree</v>
      </c>
      <c r="P231" s="3"/>
      <c r="Q231" s="3" t="str">
        <f>IFERROR(__xludf.DUMMYFUNCTION("""COMPUTED_VALUE"""),"agree")</f>
        <v>agree</v>
      </c>
      <c r="R231" s="3" t="str">
        <f>IFERROR(__xludf.DUMMYFUNCTION("""COMPUTED_VALUE"""),"agree")</f>
        <v>agree</v>
      </c>
      <c r="S231" s="3" t="str">
        <f>IFERROR(__xludf.DUMMYFUNCTION("""COMPUTED_VALUE"""),"agree")</f>
        <v>agree</v>
      </c>
      <c r="T231" s="3" t="str">
        <f>IFERROR(__xludf.DUMMYFUNCTION("""COMPUTED_VALUE"""),"agree")</f>
        <v>agree</v>
      </c>
      <c r="U231" s="3" t="str">
        <f>IFERROR(__xludf.DUMMYFUNCTION("""COMPUTED_VALUE"""),"agree")</f>
        <v>agree</v>
      </c>
      <c r="V231" s="3" t="str">
        <f>IFERROR(__xludf.DUMMYFUNCTION("""COMPUTED_VALUE"""),"agree")</f>
        <v>agree</v>
      </c>
      <c r="W231" s="3" t="str">
        <f>IFERROR(__xludf.DUMMYFUNCTION("""COMPUTED_VALUE"""),"agree")</f>
        <v>agree</v>
      </c>
      <c r="X231" s="3" t="str">
        <f>IFERROR(__xludf.DUMMYFUNCTION("""COMPUTED_VALUE"""),"Gold")</f>
        <v>Gold</v>
      </c>
      <c r="Y231" s="3" t="str">
        <f>IFERROR(__xludf.DUMMYFUNCTION("""COMPUTED_VALUE"""),"prepaid")</f>
        <v>prepaid</v>
      </c>
      <c r="Z231" s="3" t="str">
        <f>IFERROR(__xludf.DUMMYFUNCTION("""COMPUTED_VALUE"""),"monthly")</f>
        <v>monthly</v>
      </c>
      <c r="AA231" s="3">
        <f>IFERROR(__xludf.DUMMYFUNCTION("""COMPUTED_VALUE"""),30.0)</f>
        <v>30</v>
      </c>
      <c r="AB231" s="3" t="str">
        <f>IFERROR(__xludf.DUMMYFUNCTION("""COMPUTED_VALUE"""),"assisted")</f>
        <v>assisted</v>
      </c>
      <c r="AC231" s="3" t="str">
        <f>IFERROR(__xludf.DUMMYFUNCTION("""COMPUTED_VALUE"""),"I am not an employer")</f>
        <v>I am not an employer</v>
      </c>
      <c r="AD231" s="3"/>
      <c r="AE231" s="3"/>
      <c r="AF231" s="3" t="str">
        <f>IFERROR(__xludf.DUMMYFUNCTION("""COMPUTED_VALUE"""),"Yes")</f>
        <v>Yes</v>
      </c>
      <c r="AG231" s="3" t="str">
        <f>IFERROR(__xludf.DUMMYFUNCTION("""COMPUTED_VALUE"""),"Yes")</f>
        <v>Yes</v>
      </c>
      <c r="AH231" s="3">
        <f>IFERROR(__xludf.DUMMYFUNCTION("""COMPUTED_VALUE"""),300.0)</f>
        <v>300</v>
      </c>
      <c r="AI231" s="3">
        <f>IFERROR(__xludf.DUMMYFUNCTION("""COMPUTED_VALUE"""),0.0)</f>
        <v>0</v>
      </c>
      <c r="AJ231" s="3">
        <f>IFERROR(__xludf.DUMMYFUNCTION("""COMPUTED_VALUE"""),0.0)</f>
        <v>0</v>
      </c>
      <c r="AK231" s="3">
        <f>IFERROR(__xludf.DUMMYFUNCTION("""COMPUTED_VALUE"""),0.0)</f>
        <v>0</v>
      </c>
      <c r="AL231" s="3">
        <f>IFERROR(__xludf.DUMMYFUNCTION("""COMPUTED_VALUE"""),1.0)</f>
        <v>1</v>
      </c>
      <c r="AM231" s="3" t="str">
        <f>IFERROR(__xludf.DUMMYFUNCTION("""COMPUTED_VALUE"""),"Yes")</f>
        <v>Yes</v>
      </c>
      <c r="AN231" s="3">
        <f>IFERROR(__xludf.DUMMYFUNCTION("""COMPUTED_VALUE"""),6.99109406E8)</f>
        <v>699109406</v>
      </c>
      <c r="AO231" s="3"/>
      <c r="AP231" s="3">
        <f>IFERROR(__xludf.DUMMYFUNCTION("""COMPUTED_VALUE"""),4.90404323E8)</f>
        <v>490404323</v>
      </c>
      <c r="AQ231" s="3" t="str">
        <f>IFERROR(__xludf.DUMMYFUNCTION("""COMPUTED_VALUE"""),"cef6841b-a29e-4959-9fa5-d16ea10f8ee6")</f>
        <v>cef6841b-a29e-4959-9fa5-d16ea10f8ee6</v>
      </c>
      <c r="AR231" s="3">
        <f>IFERROR(__xludf.DUMMYFUNCTION("""COMPUTED_VALUE"""),45809.42836805555)</f>
        <v>45809.42837</v>
      </c>
      <c r="AS231" s="3"/>
      <c r="AT231" s="3"/>
      <c r="AU231" s="3" t="str">
        <f>IFERROR(__xludf.DUMMYFUNCTION("""COMPUTED_VALUE"""),"submitted_via_web")</f>
        <v>submitted_via_web</v>
      </c>
      <c r="AV231" s="3"/>
      <c r="AW231" s="3" t="str">
        <f>IFERROR(__xludf.DUMMYFUNCTION("""COMPUTED_VALUE"""),"vckVTgNzM4XXtKAKNnsHpB")</f>
        <v>vckVTgNzM4XXtKAKNnsHpB</v>
      </c>
      <c r="AX231" s="3"/>
      <c r="AY231" s="3">
        <f>IFERROR(__xludf.DUMMYFUNCTION("""COMPUTED_VALUE"""),230.0)</f>
        <v>230</v>
      </c>
    </row>
    <row r="232">
      <c r="A232" s="3" t="str">
        <f>IFERROR(__xludf.DUMMYFUNCTION("""COMPUTED_VALUE"""),"Yes")</f>
        <v>Yes</v>
      </c>
      <c r="B232" s="3"/>
      <c r="C232" s="3" t="str">
        <f>IFERROR(__xludf.DUMMYFUNCTION("""COMPUTED_VALUE"""),"mozambique")</f>
        <v>mozambique</v>
      </c>
      <c r="D232" s="3"/>
      <c r="E232" s="3" t="str">
        <f>IFERROR(__xludf.DUMMYFUNCTION("""COMPUTED_VALUE"""),"south_africa")</f>
        <v>south_africa</v>
      </c>
      <c r="F232" s="3" t="str">
        <f>IFERROR(__xludf.DUMMYFUNCTION("""COMPUTED_VALUE"""),"City of Tshwane Metropolitan Municipality")</f>
        <v>City of Tshwane Metropolitan Municipality</v>
      </c>
      <c r="G232" s="3">
        <f>IFERROR(__xludf.DUMMYFUNCTION("""COMPUTED_VALUE"""),29.0)</f>
        <v>29</v>
      </c>
      <c r="H232" s="3" t="str">
        <f>IFERROR(__xludf.DUMMYFUNCTION("""COMPUTED_VALUE"""),"female")</f>
        <v>female</v>
      </c>
      <c r="I232" s="3" t="str">
        <f>IFERROR(__xludf.DUMMYFUNCTION("""COMPUTED_VALUE"""),"1to5")</f>
        <v>1to5</v>
      </c>
      <c r="J232" s="3" t="str">
        <f>IFERROR(__xludf.DUMMYFUNCTION("""COMPUTED_VALUE"""),"ownbusiness")</f>
        <v>ownbusiness</v>
      </c>
      <c r="K232" s="3" t="str">
        <f>IFERROR(__xludf.DUMMYFUNCTION("""COMPUTED_VALUE"""),"secondary")</f>
        <v>secondary</v>
      </c>
      <c r="L232" s="3"/>
      <c r="M232" s="3" t="str">
        <f>IFERROR(__xludf.DUMMYFUNCTION("""COMPUTED_VALUE"""),"agree")</f>
        <v>agree</v>
      </c>
      <c r="N232" s="3" t="str">
        <f>IFERROR(__xludf.DUMMYFUNCTION("""COMPUTED_VALUE"""),"agree")</f>
        <v>agree</v>
      </c>
      <c r="O232" s="3" t="str">
        <f>IFERROR(__xludf.DUMMYFUNCTION("""COMPUTED_VALUE"""),"agree")</f>
        <v>agree</v>
      </c>
      <c r="P232" s="3"/>
      <c r="Q232" s="3" t="str">
        <f>IFERROR(__xludf.DUMMYFUNCTION("""COMPUTED_VALUE"""),"agree")</f>
        <v>agree</v>
      </c>
      <c r="R232" s="3" t="str">
        <f>IFERROR(__xludf.DUMMYFUNCTION("""COMPUTED_VALUE"""),"agree")</f>
        <v>agree</v>
      </c>
      <c r="S232" s="3" t="str">
        <f>IFERROR(__xludf.DUMMYFUNCTION("""COMPUTED_VALUE"""),"agree")</f>
        <v>agree</v>
      </c>
      <c r="T232" s="3" t="str">
        <f>IFERROR(__xludf.DUMMYFUNCTION("""COMPUTED_VALUE"""),"agree")</f>
        <v>agree</v>
      </c>
      <c r="U232" s="3" t="str">
        <f>IFERROR(__xludf.DUMMYFUNCTION("""COMPUTED_VALUE"""),"agree")</f>
        <v>agree</v>
      </c>
      <c r="V232" s="3" t="str">
        <f>IFERROR(__xludf.DUMMYFUNCTION("""COMPUTED_VALUE"""),"agree")</f>
        <v>agree</v>
      </c>
      <c r="W232" s="3" t="str">
        <f>IFERROR(__xludf.DUMMYFUNCTION("""COMPUTED_VALUE"""),"agree")</f>
        <v>agree</v>
      </c>
      <c r="X232" s="3" t="str">
        <f>IFERROR(__xludf.DUMMYFUNCTION("""COMPUTED_VALUE"""),"Gold")</f>
        <v>Gold</v>
      </c>
      <c r="Y232" s="3" t="str">
        <f>IFERROR(__xludf.DUMMYFUNCTION("""COMPUTED_VALUE"""),"prepaid")</f>
        <v>prepaid</v>
      </c>
      <c r="Z232" s="3" t="str">
        <f>IFERROR(__xludf.DUMMYFUNCTION("""COMPUTED_VALUE"""),"quarterly")</f>
        <v>quarterly</v>
      </c>
      <c r="AA232" s="3">
        <f>IFERROR(__xludf.DUMMYFUNCTION("""COMPUTED_VALUE"""),50.0)</f>
        <v>50</v>
      </c>
      <c r="AB232" s="3" t="str">
        <f>IFERROR(__xludf.DUMMYFUNCTION("""COMPUTED_VALUE"""),"assisted")</f>
        <v>assisted</v>
      </c>
      <c r="AC232" s="3" t="str">
        <f>IFERROR(__xludf.DUMMYFUNCTION("""COMPUTED_VALUE"""),"I am not an employer")</f>
        <v>I am not an employer</v>
      </c>
      <c r="AD232" s="3"/>
      <c r="AE232" s="3"/>
      <c r="AF232" s="3" t="str">
        <f>IFERROR(__xludf.DUMMYFUNCTION("""COMPUTED_VALUE"""),"Yes")</f>
        <v>Yes</v>
      </c>
      <c r="AG232" s="3" t="str">
        <f>IFERROR(__xludf.DUMMYFUNCTION("""COMPUTED_VALUE"""),"Yes")</f>
        <v>Yes</v>
      </c>
      <c r="AH232" s="3">
        <f>IFERROR(__xludf.DUMMYFUNCTION("""COMPUTED_VALUE"""),400.0)</f>
        <v>400</v>
      </c>
      <c r="AI232" s="3">
        <f>IFERROR(__xludf.DUMMYFUNCTION("""COMPUTED_VALUE"""),0.0)</f>
        <v>0</v>
      </c>
      <c r="AJ232" s="3">
        <f>IFERROR(__xludf.DUMMYFUNCTION("""COMPUTED_VALUE"""),1.0)</f>
        <v>1</v>
      </c>
      <c r="AK232" s="3">
        <f>IFERROR(__xludf.DUMMYFUNCTION("""COMPUTED_VALUE"""),0.0)</f>
        <v>0</v>
      </c>
      <c r="AL232" s="3">
        <f>IFERROR(__xludf.DUMMYFUNCTION("""COMPUTED_VALUE"""),0.0)</f>
        <v>0</v>
      </c>
      <c r="AM232" s="3" t="str">
        <f>IFERROR(__xludf.DUMMYFUNCTION("""COMPUTED_VALUE"""),"Yes")</f>
        <v>Yes</v>
      </c>
      <c r="AN232" s="3">
        <f>IFERROR(__xludf.DUMMYFUNCTION("""COMPUTED_VALUE"""),7.16268779E8)</f>
        <v>716268779</v>
      </c>
      <c r="AO232" s="3"/>
      <c r="AP232" s="3">
        <f>IFERROR(__xludf.DUMMYFUNCTION("""COMPUTED_VALUE"""),4.90404925E8)</f>
        <v>490404925</v>
      </c>
      <c r="AQ232" s="3" t="str">
        <f>IFERROR(__xludf.DUMMYFUNCTION("""COMPUTED_VALUE"""),"d798c6a5-b3be-4680-bfba-dd2cb633875f")</f>
        <v>d798c6a5-b3be-4680-bfba-dd2cb633875f</v>
      </c>
      <c r="AR232" s="3">
        <f>IFERROR(__xludf.DUMMYFUNCTION("""COMPUTED_VALUE"""),45809.429618055554)</f>
        <v>45809.42962</v>
      </c>
      <c r="AS232" s="3"/>
      <c r="AT232" s="3"/>
      <c r="AU232" s="3" t="str">
        <f>IFERROR(__xludf.DUMMYFUNCTION("""COMPUTED_VALUE"""),"submitted_via_web")</f>
        <v>submitted_via_web</v>
      </c>
      <c r="AV232" s="3"/>
      <c r="AW232" s="3" t="str">
        <f>IFERROR(__xludf.DUMMYFUNCTION("""COMPUTED_VALUE"""),"vckVTgNzM4XXtKAKNnsHpB")</f>
        <v>vckVTgNzM4XXtKAKNnsHpB</v>
      </c>
      <c r="AX232" s="3"/>
      <c r="AY232" s="3">
        <f>IFERROR(__xludf.DUMMYFUNCTION("""COMPUTED_VALUE"""),231.0)</f>
        <v>231</v>
      </c>
    </row>
    <row r="233">
      <c r="A233" s="3" t="str">
        <f>IFERROR(__xludf.DUMMYFUNCTION("""COMPUTED_VALUE"""),"Yes")</f>
        <v>Yes</v>
      </c>
      <c r="B233" s="3"/>
      <c r="C233" s="3" t="str">
        <f>IFERROR(__xludf.DUMMYFUNCTION("""COMPUTED_VALUE"""),"mozambique")</f>
        <v>mozambique</v>
      </c>
      <c r="D233" s="3"/>
      <c r="E233" s="3" t="str">
        <f>IFERROR(__xludf.DUMMYFUNCTION("""COMPUTED_VALUE"""),"south_africa")</f>
        <v>south_africa</v>
      </c>
      <c r="F233" s="3" t="str">
        <f>IFERROR(__xludf.DUMMYFUNCTION("""COMPUTED_VALUE"""),"City of Tshwane Metropolitan Municipality")</f>
        <v>City of Tshwane Metropolitan Municipality</v>
      </c>
      <c r="G233" s="3">
        <f>IFERROR(__xludf.DUMMYFUNCTION("""COMPUTED_VALUE"""),36.0)</f>
        <v>36</v>
      </c>
      <c r="H233" s="3" t="str">
        <f>IFERROR(__xludf.DUMMYFUNCTION("""COMPUTED_VALUE"""),"male")</f>
        <v>male</v>
      </c>
      <c r="I233" s="3" t="str">
        <f>IFERROR(__xludf.DUMMYFUNCTION("""COMPUTED_VALUE"""),"1to5")</f>
        <v>1to5</v>
      </c>
      <c r="J233" s="3" t="str">
        <f>IFERROR(__xludf.DUMMYFUNCTION("""COMPUTED_VALUE"""),"ownbusiness")</f>
        <v>ownbusiness</v>
      </c>
      <c r="K233" s="3" t="str">
        <f>IFERROR(__xludf.DUMMYFUNCTION("""COMPUTED_VALUE"""),"secondary")</f>
        <v>secondary</v>
      </c>
      <c r="L233" s="3"/>
      <c r="M233" s="3" t="str">
        <f>IFERROR(__xludf.DUMMYFUNCTION("""COMPUTED_VALUE"""),"agree")</f>
        <v>agree</v>
      </c>
      <c r="N233" s="3" t="str">
        <f>IFERROR(__xludf.DUMMYFUNCTION("""COMPUTED_VALUE"""),"agree")</f>
        <v>agree</v>
      </c>
      <c r="O233" s="3" t="str">
        <f>IFERROR(__xludf.DUMMYFUNCTION("""COMPUTED_VALUE"""),"agree")</f>
        <v>agree</v>
      </c>
      <c r="P233" s="3"/>
      <c r="Q233" s="3" t="str">
        <f>IFERROR(__xludf.DUMMYFUNCTION("""COMPUTED_VALUE"""),"agree")</f>
        <v>agree</v>
      </c>
      <c r="R233" s="3" t="str">
        <f>IFERROR(__xludf.DUMMYFUNCTION("""COMPUTED_VALUE"""),"agree")</f>
        <v>agree</v>
      </c>
      <c r="S233" s="3" t="str">
        <f>IFERROR(__xludf.DUMMYFUNCTION("""COMPUTED_VALUE"""),"agree")</f>
        <v>agree</v>
      </c>
      <c r="T233" s="3" t="str">
        <f>IFERROR(__xludf.DUMMYFUNCTION("""COMPUTED_VALUE"""),"agree")</f>
        <v>agree</v>
      </c>
      <c r="U233" s="3" t="str">
        <f>IFERROR(__xludf.DUMMYFUNCTION("""COMPUTED_VALUE"""),"agree")</f>
        <v>agree</v>
      </c>
      <c r="V233" s="3" t="str">
        <f>IFERROR(__xludf.DUMMYFUNCTION("""COMPUTED_VALUE"""),"agree")</f>
        <v>agree</v>
      </c>
      <c r="W233" s="3" t="str">
        <f>IFERROR(__xludf.DUMMYFUNCTION("""COMPUTED_VALUE"""),"agree")</f>
        <v>agree</v>
      </c>
      <c r="X233" s="3" t="str">
        <f>IFERROR(__xludf.DUMMYFUNCTION("""COMPUTED_VALUE"""),"Gold")</f>
        <v>Gold</v>
      </c>
      <c r="Y233" s="3" t="str">
        <f>IFERROR(__xludf.DUMMYFUNCTION("""COMPUTED_VALUE"""),"card")</f>
        <v>card</v>
      </c>
      <c r="Z233" s="3" t="str">
        <f>IFERROR(__xludf.DUMMYFUNCTION("""COMPUTED_VALUE"""),"monthly")</f>
        <v>monthly</v>
      </c>
      <c r="AA233" s="3">
        <f>IFERROR(__xludf.DUMMYFUNCTION("""COMPUTED_VALUE"""),50.0)</f>
        <v>50</v>
      </c>
      <c r="AB233" s="3" t="str">
        <f>IFERROR(__xludf.DUMMYFUNCTION("""COMPUTED_VALUE"""),"assisted")</f>
        <v>assisted</v>
      </c>
      <c r="AC233" s="3" t="str">
        <f>IFERROR(__xludf.DUMMYFUNCTION("""COMPUTED_VALUE"""),"Yes")</f>
        <v>Yes</v>
      </c>
      <c r="AD233" s="3" t="str">
        <f>IFERROR(__xludf.DUMMYFUNCTION("""COMPUTED_VALUE"""),"Gold")</f>
        <v>Gold</v>
      </c>
      <c r="AE233" s="3" t="str">
        <f>IFERROR(__xludf.DUMMYFUNCTION("""COMPUTED_VALUE"""),"Yes")</f>
        <v>Yes</v>
      </c>
      <c r="AF233" s="3" t="str">
        <f>IFERROR(__xludf.DUMMYFUNCTION("""COMPUTED_VALUE"""),"Yes")</f>
        <v>Yes</v>
      </c>
      <c r="AG233" s="3" t="str">
        <f>IFERROR(__xludf.DUMMYFUNCTION("""COMPUTED_VALUE"""),"Yes")</f>
        <v>Yes</v>
      </c>
      <c r="AH233" s="3">
        <f>IFERROR(__xludf.DUMMYFUNCTION("""COMPUTED_VALUE"""),500.0)</f>
        <v>500</v>
      </c>
      <c r="AI233" s="3">
        <f>IFERROR(__xludf.DUMMYFUNCTION("""COMPUTED_VALUE"""),1.0)</f>
        <v>1</v>
      </c>
      <c r="AJ233" s="3">
        <f>IFERROR(__xludf.DUMMYFUNCTION("""COMPUTED_VALUE"""),0.0)</f>
        <v>0</v>
      </c>
      <c r="AK233" s="3">
        <f>IFERROR(__xludf.DUMMYFUNCTION("""COMPUTED_VALUE"""),0.0)</f>
        <v>0</v>
      </c>
      <c r="AL233" s="3">
        <f>IFERROR(__xludf.DUMMYFUNCTION("""COMPUTED_VALUE"""),0.0)</f>
        <v>0</v>
      </c>
      <c r="AM233" s="3" t="str">
        <f>IFERROR(__xludf.DUMMYFUNCTION("""COMPUTED_VALUE"""),"Yes")</f>
        <v>Yes</v>
      </c>
      <c r="AN233" s="3">
        <f>IFERROR(__xludf.DUMMYFUNCTION("""COMPUTED_VALUE"""),6.93327725E8)</f>
        <v>693327725</v>
      </c>
      <c r="AO233" s="3"/>
      <c r="AP233" s="3">
        <f>IFERROR(__xludf.DUMMYFUNCTION("""COMPUTED_VALUE"""),4.90405777E8)</f>
        <v>490405777</v>
      </c>
      <c r="AQ233" s="3" t="str">
        <f>IFERROR(__xludf.DUMMYFUNCTION("""COMPUTED_VALUE"""),"5a465c92-c020-4bec-b821-91a157bdce66")</f>
        <v>5a465c92-c020-4bec-b821-91a157bdce66</v>
      </c>
      <c r="AR233" s="3">
        <f>IFERROR(__xludf.DUMMYFUNCTION("""COMPUTED_VALUE"""),45809.43125)</f>
        <v>45809.43125</v>
      </c>
      <c r="AS233" s="3"/>
      <c r="AT233" s="3"/>
      <c r="AU233" s="3" t="str">
        <f>IFERROR(__xludf.DUMMYFUNCTION("""COMPUTED_VALUE"""),"submitted_via_web")</f>
        <v>submitted_via_web</v>
      </c>
      <c r="AV233" s="3"/>
      <c r="AW233" s="3" t="str">
        <f>IFERROR(__xludf.DUMMYFUNCTION("""COMPUTED_VALUE"""),"vckVTgNzM4XXtKAKNnsHpB")</f>
        <v>vckVTgNzM4XXtKAKNnsHpB</v>
      </c>
      <c r="AX233" s="3"/>
      <c r="AY233" s="3">
        <f>IFERROR(__xludf.DUMMYFUNCTION("""COMPUTED_VALUE"""),232.0)</f>
        <v>232</v>
      </c>
    </row>
    <row r="234">
      <c r="A234" s="3" t="str">
        <f>IFERROR(__xludf.DUMMYFUNCTION("""COMPUTED_VALUE"""),"Yes")</f>
        <v>Yes</v>
      </c>
      <c r="B234" s="3"/>
      <c r="C234" s="3" t="str">
        <f>IFERROR(__xludf.DUMMYFUNCTION("""COMPUTED_VALUE"""),"mozambique")</f>
        <v>mozambique</v>
      </c>
      <c r="D234" s="3"/>
      <c r="E234" s="3" t="str">
        <f>IFERROR(__xludf.DUMMYFUNCTION("""COMPUTED_VALUE"""),"south_africa")</f>
        <v>south_africa</v>
      </c>
      <c r="F234" s="3" t="str">
        <f>IFERROR(__xludf.DUMMYFUNCTION("""COMPUTED_VALUE"""),"City of Tshwane Metropolitan Municipality")</f>
        <v>City of Tshwane Metropolitan Municipality</v>
      </c>
      <c r="G234" s="3">
        <f>IFERROR(__xludf.DUMMYFUNCTION("""COMPUTED_VALUE"""),23.0)</f>
        <v>23</v>
      </c>
      <c r="H234" s="3" t="str">
        <f>IFERROR(__xludf.DUMMYFUNCTION("""COMPUTED_VALUE"""),"male")</f>
        <v>male</v>
      </c>
      <c r="I234" s="3" t="str">
        <f>IFERROR(__xludf.DUMMYFUNCTION("""COMPUTED_VALUE"""),"1to5")</f>
        <v>1to5</v>
      </c>
      <c r="J234" s="3" t="str">
        <f>IFERROR(__xludf.DUMMYFUNCTION("""COMPUTED_VALUE"""),"informal")</f>
        <v>informal</v>
      </c>
      <c r="K234" s="3" t="str">
        <f>IFERROR(__xludf.DUMMYFUNCTION("""COMPUTED_VALUE"""),"primary")</f>
        <v>primary</v>
      </c>
      <c r="L234" s="3"/>
      <c r="M234" s="3" t="str">
        <f>IFERROR(__xludf.DUMMYFUNCTION("""COMPUTED_VALUE"""),"agree")</f>
        <v>agree</v>
      </c>
      <c r="N234" s="3" t="str">
        <f>IFERROR(__xludf.DUMMYFUNCTION("""COMPUTED_VALUE"""),"agree")</f>
        <v>agree</v>
      </c>
      <c r="O234" s="3" t="str">
        <f>IFERROR(__xludf.DUMMYFUNCTION("""COMPUTED_VALUE"""),"dontknow")</f>
        <v>dontknow</v>
      </c>
      <c r="P234" s="3"/>
      <c r="Q234" s="3" t="str">
        <f>IFERROR(__xludf.DUMMYFUNCTION("""COMPUTED_VALUE"""),"agree")</f>
        <v>agree</v>
      </c>
      <c r="R234" s="3" t="str">
        <f>IFERROR(__xludf.DUMMYFUNCTION("""COMPUTED_VALUE"""),"agree")</f>
        <v>agree</v>
      </c>
      <c r="S234" s="3" t="str">
        <f>IFERROR(__xludf.DUMMYFUNCTION("""COMPUTED_VALUE"""),"dontknow")</f>
        <v>dontknow</v>
      </c>
      <c r="T234" s="3" t="str">
        <f>IFERROR(__xludf.DUMMYFUNCTION("""COMPUTED_VALUE"""),"dontknow")</f>
        <v>dontknow</v>
      </c>
      <c r="U234" s="3" t="str">
        <f>IFERROR(__xludf.DUMMYFUNCTION("""COMPUTED_VALUE"""),"agree")</f>
        <v>agree</v>
      </c>
      <c r="V234" s="3" t="str">
        <f>IFERROR(__xludf.DUMMYFUNCTION("""COMPUTED_VALUE"""),"agree")</f>
        <v>agree</v>
      </c>
      <c r="W234" s="3" t="str">
        <f>IFERROR(__xludf.DUMMYFUNCTION("""COMPUTED_VALUE"""),"agree")</f>
        <v>agree</v>
      </c>
      <c r="X234" s="3" t="str">
        <f>IFERROR(__xludf.DUMMYFUNCTION("""COMPUTED_VALUE"""),"Gold")</f>
        <v>Gold</v>
      </c>
      <c r="Y234" s="3" t="str">
        <f>IFERROR(__xludf.DUMMYFUNCTION("""COMPUTED_VALUE"""),"card")</f>
        <v>card</v>
      </c>
      <c r="Z234" s="3" t="str">
        <f>IFERROR(__xludf.DUMMYFUNCTION("""COMPUTED_VALUE"""),"annual")</f>
        <v>annual</v>
      </c>
      <c r="AA234" s="3">
        <f>IFERROR(__xludf.DUMMYFUNCTION("""COMPUTED_VALUE"""),100.0)</f>
        <v>100</v>
      </c>
      <c r="AB234" s="3" t="str">
        <f>IFERROR(__xludf.DUMMYFUNCTION("""COMPUTED_VALUE"""),"assisted")</f>
        <v>assisted</v>
      </c>
      <c r="AC234" s="3" t="str">
        <f>IFERROR(__xludf.DUMMYFUNCTION("""COMPUTED_VALUE"""),"I am not an employer")</f>
        <v>I am not an employer</v>
      </c>
      <c r="AD234" s="3"/>
      <c r="AE234" s="3"/>
      <c r="AF234" s="3" t="str">
        <f>IFERROR(__xludf.DUMMYFUNCTION("""COMPUTED_VALUE"""),"Yes")</f>
        <v>Yes</v>
      </c>
      <c r="AG234" s="3" t="str">
        <f>IFERROR(__xludf.DUMMYFUNCTION("""COMPUTED_VALUE"""),"Yes")</f>
        <v>Yes</v>
      </c>
      <c r="AH234" s="3">
        <f>IFERROR(__xludf.DUMMYFUNCTION("""COMPUTED_VALUE"""),400.0)</f>
        <v>400</v>
      </c>
      <c r="AI234" s="3">
        <f>IFERROR(__xludf.DUMMYFUNCTION("""COMPUTED_VALUE"""),0.0)</f>
        <v>0</v>
      </c>
      <c r="AJ234" s="3">
        <f>IFERROR(__xludf.DUMMYFUNCTION("""COMPUTED_VALUE"""),0.0)</f>
        <v>0</v>
      </c>
      <c r="AK234" s="3">
        <f>IFERROR(__xludf.DUMMYFUNCTION("""COMPUTED_VALUE"""),0.0)</f>
        <v>0</v>
      </c>
      <c r="AL234" s="3">
        <f>IFERROR(__xludf.DUMMYFUNCTION("""COMPUTED_VALUE"""),1.0)</f>
        <v>1</v>
      </c>
      <c r="AM234" s="3" t="str">
        <f>IFERROR(__xludf.DUMMYFUNCTION("""COMPUTED_VALUE"""),"Yes")</f>
        <v>Yes</v>
      </c>
      <c r="AN234" s="3">
        <f>IFERROR(__xludf.DUMMYFUNCTION("""COMPUTED_VALUE"""),8.33399373E8)</f>
        <v>833399373</v>
      </c>
      <c r="AO234" s="3"/>
      <c r="AP234" s="3">
        <f>IFERROR(__xludf.DUMMYFUNCTION("""COMPUTED_VALUE"""),4.90406456E8)</f>
        <v>490406456</v>
      </c>
      <c r="AQ234" s="3" t="str">
        <f>IFERROR(__xludf.DUMMYFUNCTION("""COMPUTED_VALUE"""),"4fceef02-3cc4-4cd6-9002-a34dde28595c")</f>
        <v>4fceef02-3cc4-4cd6-9002-a34dde28595c</v>
      </c>
      <c r="AR234" s="3">
        <f>IFERROR(__xludf.DUMMYFUNCTION("""COMPUTED_VALUE"""),45809.432604166665)</f>
        <v>45809.4326</v>
      </c>
      <c r="AS234" s="3"/>
      <c r="AT234" s="3"/>
      <c r="AU234" s="3" t="str">
        <f>IFERROR(__xludf.DUMMYFUNCTION("""COMPUTED_VALUE"""),"submitted_via_web")</f>
        <v>submitted_via_web</v>
      </c>
      <c r="AV234" s="3"/>
      <c r="AW234" s="3" t="str">
        <f>IFERROR(__xludf.DUMMYFUNCTION("""COMPUTED_VALUE"""),"vckVTgNzM4XXtKAKNnsHpB")</f>
        <v>vckVTgNzM4XXtKAKNnsHpB</v>
      </c>
      <c r="AX234" s="3"/>
      <c r="AY234" s="3">
        <f>IFERROR(__xludf.DUMMYFUNCTION("""COMPUTED_VALUE"""),233.0)</f>
        <v>233</v>
      </c>
    </row>
    <row r="235">
      <c r="A235" s="3" t="str">
        <f>IFERROR(__xludf.DUMMYFUNCTION("""COMPUTED_VALUE"""),"Yes")</f>
        <v>Yes</v>
      </c>
      <c r="B235" s="3"/>
      <c r="C235" s="3" t="str">
        <f>IFERROR(__xludf.DUMMYFUNCTION("""COMPUTED_VALUE"""),"mozambique")</f>
        <v>mozambique</v>
      </c>
      <c r="D235" s="3"/>
      <c r="E235" s="3" t="str">
        <f>IFERROR(__xludf.DUMMYFUNCTION("""COMPUTED_VALUE"""),"south_africa")</f>
        <v>south_africa</v>
      </c>
      <c r="F235" s="3" t="str">
        <f>IFERROR(__xludf.DUMMYFUNCTION("""COMPUTED_VALUE"""),"City of Tshwane Metropolitan Municipality")</f>
        <v>City of Tshwane Metropolitan Municipality</v>
      </c>
      <c r="G235" s="3">
        <f>IFERROR(__xludf.DUMMYFUNCTION("""COMPUTED_VALUE"""),32.0)</f>
        <v>32</v>
      </c>
      <c r="H235" s="3" t="str">
        <f>IFERROR(__xludf.DUMMYFUNCTION("""COMPUTED_VALUE"""),"male")</f>
        <v>male</v>
      </c>
      <c r="I235" s="3" t="str">
        <f>IFERROR(__xludf.DUMMYFUNCTION("""COMPUTED_VALUE"""),"1to5")</f>
        <v>1to5</v>
      </c>
      <c r="J235" s="3" t="str">
        <f>IFERROR(__xludf.DUMMYFUNCTION("""COMPUTED_VALUE"""),"informal")</f>
        <v>informal</v>
      </c>
      <c r="K235" s="3" t="str">
        <f>IFERROR(__xludf.DUMMYFUNCTION("""COMPUTED_VALUE"""),"secondary")</f>
        <v>secondary</v>
      </c>
      <c r="L235" s="3"/>
      <c r="M235" s="3" t="str">
        <f>IFERROR(__xludf.DUMMYFUNCTION("""COMPUTED_VALUE"""),"agree")</f>
        <v>agree</v>
      </c>
      <c r="N235" s="3" t="str">
        <f>IFERROR(__xludf.DUMMYFUNCTION("""COMPUTED_VALUE"""),"agree")</f>
        <v>agree</v>
      </c>
      <c r="O235" s="3" t="str">
        <f>IFERROR(__xludf.DUMMYFUNCTION("""COMPUTED_VALUE"""),"disagree")</f>
        <v>disagree</v>
      </c>
      <c r="P235" s="3"/>
      <c r="Q235" s="3" t="str">
        <f>IFERROR(__xludf.DUMMYFUNCTION("""COMPUTED_VALUE"""),"agree")</f>
        <v>agree</v>
      </c>
      <c r="R235" s="3" t="str">
        <f>IFERROR(__xludf.DUMMYFUNCTION("""COMPUTED_VALUE"""),"agree")</f>
        <v>agree</v>
      </c>
      <c r="S235" s="3" t="str">
        <f>IFERROR(__xludf.DUMMYFUNCTION("""COMPUTED_VALUE"""),"agree")</f>
        <v>agree</v>
      </c>
      <c r="T235" s="3" t="str">
        <f>IFERROR(__xludf.DUMMYFUNCTION("""COMPUTED_VALUE"""),"agree")</f>
        <v>agree</v>
      </c>
      <c r="U235" s="3" t="str">
        <f>IFERROR(__xludf.DUMMYFUNCTION("""COMPUTED_VALUE"""),"agree")</f>
        <v>agree</v>
      </c>
      <c r="V235" s="3" t="str">
        <f>IFERROR(__xludf.DUMMYFUNCTION("""COMPUTED_VALUE"""),"agree")</f>
        <v>agree</v>
      </c>
      <c r="W235" s="3" t="str">
        <f>IFERROR(__xludf.DUMMYFUNCTION("""COMPUTED_VALUE"""),"agree")</f>
        <v>agree</v>
      </c>
      <c r="X235" s="3" t="str">
        <f>IFERROR(__xludf.DUMMYFUNCTION("""COMPUTED_VALUE"""),"Gold")</f>
        <v>Gold</v>
      </c>
      <c r="Y235" s="3" t="str">
        <f>IFERROR(__xludf.DUMMYFUNCTION("""COMPUTED_VALUE"""),"prepaid")</f>
        <v>prepaid</v>
      </c>
      <c r="Z235" s="3" t="str">
        <f>IFERROR(__xludf.DUMMYFUNCTION("""COMPUTED_VALUE"""),"annual")</f>
        <v>annual</v>
      </c>
      <c r="AA235" s="3">
        <f>IFERROR(__xludf.DUMMYFUNCTION("""COMPUTED_VALUE"""),50.0)</f>
        <v>50</v>
      </c>
      <c r="AB235" s="3" t="str">
        <f>IFERROR(__xludf.DUMMYFUNCTION("""COMPUTED_VALUE"""),"assisted")</f>
        <v>assisted</v>
      </c>
      <c r="AC235" s="3" t="str">
        <f>IFERROR(__xludf.DUMMYFUNCTION("""COMPUTED_VALUE"""),"I am not an employer")</f>
        <v>I am not an employer</v>
      </c>
      <c r="AD235" s="3"/>
      <c r="AE235" s="3"/>
      <c r="AF235" s="3" t="str">
        <f>IFERROR(__xludf.DUMMYFUNCTION("""COMPUTED_VALUE"""),"Yes")</f>
        <v>Yes</v>
      </c>
      <c r="AG235" s="3" t="str">
        <f>IFERROR(__xludf.DUMMYFUNCTION("""COMPUTED_VALUE"""),"Yes")</f>
        <v>Yes</v>
      </c>
      <c r="AH235" s="3">
        <f>IFERROR(__xludf.DUMMYFUNCTION("""COMPUTED_VALUE"""),300.0)</f>
        <v>300</v>
      </c>
      <c r="AI235" s="3">
        <f>IFERROR(__xludf.DUMMYFUNCTION("""COMPUTED_VALUE"""),1.0)</f>
        <v>1</v>
      </c>
      <c r="AJ235" s="3">
        <f>IFERROR(__xludf.DUMMYFUNCTION("""COMPUTED_VALUE"""),0.0)</f>
        <v>0</v>
      </c>
      <c r="AK235" s="3">
        <f>IFERROR(__xludf.DUMMYFUNCTION("""COMPUTED_VALUE"""),0.0)</f>
        <v>0</v>
      </c>
      <c r="AL235" s="3">
        <f>IFERROR(__xludf.DUMMYFUNCTION("""COMPUTED_VALUE"""),0.0)</f>
        <v>0</v>
      </c>
      <c r="AM235" s="3" t="str">
        <f>IFERROR(__xludf.DUMMYFUNCTION("""COMPUTED_VALUE"""),"Yes")</f>
        <v>Yes</v>
      </c>
      <c r="AN235" s="3">
        <f>IFERROR(__xludf.DUMMYFUNCTION("""COMPUTED_VALUE"""),6.65478753E8)</f>
        <v>665478753</v>
      </c>
      <c r="AO235" s="3"/>
      <c r="AP235" s="3">
        <f>IFERROR(__xludf.DUMMYFUNCTION("""COMPUTED_VALUE"""),4.90407148E8)</f>
        <v>490407148</v>
      </c>
      <c r="AQ235" s="3" t="str">
        <f>IFERROR(__xludf.DUMMYFUNCTION("""COMPUTED_VALUE"""),"6c7429c7-f5fc-405f-b6cb-baccf6313171")</f>
        <v>6c7429c7-f5fc-405f-b6cb-baccf6313171</v>
      </c>
      <c r="AR235" s="3">
        <f>IFERROR(__xludf.DUMMYFUNCTION("""COMPUTED_VALUE"""),45809.43402777778)</f>
        <v>45809.43403</v>
      </c>
      <c r="AS235" s="3"/>
      <c r="AT235" s="3"/>
      <c r="AU235" s="3" t="str">
        <f>IFERROR(__xludf.DUMMYFUNCTION("""COMPUTED_VALUE"""),"submitted_via_web")</f>
        <v>submitted_via_web</v>
      </c>
      <c r="AV235" s="3"/>
      <c r="AW235" s="3" t="str">
        <f>IFERROR(__xludf.DUMMYFUNCTION("""COMPUTED_VALUE"""),"vckVTgNzM4XXtKAKNnsHpB")</f>
        <v>vckVTgNzM4XXtKAKNnsHpB</v>
      </c>
      <c r="AX235" s="3"/>
      <c r="AY235" s="3">
        <f>IFERROR(__xludf.DUMMYFUNCTION("""COMPUTED_VALUE"""),234.0)</f>
        <v>234</v>
      </c>
    </row>
    <row r="236">
      <c r="A236" s="3" t="str">
        <f>IFERROR(__xludf.DUMMYFUNCTION("""COMPUTED_VALUE"""),"Yes")</f>
        <v>Yes</v>
      </c>
      <c r="B236" s="3"/>
      <c r="C236" s="3" t="str">
        <f>IFERROR(__xludf.DUMMYFUNCTION("""COMPUTED_VALUE"""),"mozambique")</f>
        <v>mozambique</v>
      </c>
      <c r="D236" s="3"/>
      <c r="E236" s="3" t="str">
        <f>IFERROR(__xludf.DUMMYFUNCTION("""COMPUTED_VALUE"""),"south_africa")</f>
        <v>south_africa</v>
      </c>
      <c r="F236" s="3" t="str">
        <f>IFERROR(__xludf.DUMMYFUNCTION("""COMPUTED_VALUE"""),"City of Tshwane Metropolitan Municipality")</f>
        <v>City of Tshwane Metropolitan Municipality</v>
      </c>
      <c r="G236" s="3">
        <f>IFERROR(__xludf.DUMMYFUNCTION("""COMPUTED_VALUE"""),33.0)</f>
        <v>33</v>
      </c>
      <c r="H236" s="3" t="str">
        <f>IFERROR(__xludf.DUMMYFUNCTION("""COMPUTED_VALUE"""),"female")</f>
        <v>female</v>
      </c>
      <c r="I236" s="3" t="str">
        <f>IFERROR(__xludf.DUMMYFUNCTION("""COMPUTED_VALUE"""),"1to5")</f>
        <v>1to5</v>
      </c>
      <c r="J236" s="3" t="str">
        <f>IFERROR(__xludf.DUMMYFUNCTION("""COMPUTED_VALUE"""),"ownbusiness")</f>
        <v>ownbusiness</v>
      </c>
      <c r="K236" s="3" t="str">
        <f>IFERROR(__xludf.DUMMYFUNCTION("""COMPUTED_VALUE"""),"secondary")</f>
        <v>secondary</v>
      </c>
      <c r="L236" s="3"/>
      <c r="M236" s="3" t="str">
        <f>IFERROR(__xludf.DUMMYFUNCTION("""COMPUTED_VALUE"""),"agree")</f>
        <v>agree</v>
      </c>
      <c r="N236" s="3" t="str">
        <f>IFERROR(__xludf.DUMMYFUNCTION("""COMPUTED_VALUE"""),"agree")</f>
        <v>agree</v>
      </c>
      <c r="O236" s="3" t="str">
        <f>IFERROR(__xludf.DUMMYFUNCTION("""COMPUTED_VALUE"""),"dontknow")</f>
        <v>dontknow</v>
      </c>
      <c r="P236" s="3"/>
      <c r="Q236" s="3" t="str">
        <f>IFERROR(__xludf.DUMMYFUNCTION("""COMPUTED_VALUE"""),"agree")</f>
        <v>agree</v>
      </c>
      <c r="R236" s="3" t="str">
        <f>IFERROR(__xludf.DUMMYFUNCTION("""COMPUTED_VALUE"""),"agree")</f>
        <v>agree</v>
      </c>
      <c r="S236" s="3" t="str">
        <f>IFERROR(__xludf.DUMMYFUNCTION("""COMPUTED_VALUE"""),"agree")</f>
        <v>agree</v>
      </c>
      <c r="T236" s="3" t="str">
        <f>IFERROR(__xludf.DUMMYFUNCTION("""COMPUTED_VALUE"""),"agree")</f>
        <v>agree</v>
      </c>
      <c r="U236" s="3" t="str">
        <f>IFERROR(__xludf.DUMMYFUNCTION("""COMPUTED_VALUE"""),"agree")</f>
        <v>agree</v>
      </c>
      <c r="V236" s="3" t="str">
        <f>IFERROR(__xludf.DUMMYFUNCTION("""COMPUTED_VALUE"""),"agree")</f>
        <v>agree</v>
      </c>
      <c r="W236" s="3" t="str">
        <f>IFERROR(__xludf.DUMMYFUNCTION("""COMPUTED_VALUE"""),"agree")</f>
        <v>agree</v>
      </c>
      <c r="X236" s="3" t="str">
        <f>IFERROR(__xludf.DUMMYFUNCTION("""COMPUTED_VALUE"""),"Gold")</f>
        <v>Gold</v>
      </c>
      <c r="Y236" s="3" t="str">
        <f>IFERROR(__xludf.DUMMYFUNCTION("""COMPUTED_VALUE"""),"prepaid")</f>
        <v>prepaid</v>
      </c>
      <c r="Z236" s="3" t="str">
        <f>IFERROR(__xludf.DUMMYFUNCTION("""COMPUTED_VALUE"""),"quarterly")</f>
        <v>quarterly</v>
      </c>
      <c r="AA236" s="3">
        <f>IFERROR(__xludf.DUMMYFUNCTION("""COMPUTED_VALUE"""),50.0)</f>
        <v>50</v>
      </c>
      <c r="AB236" s="3" t="str">
        <f>IFERROR(__xludf.DUMMYFUNCTION("""COMPUTED_VALUE"""),"employer")</f>
        <v>employer</v>
      </c>
      <c r="AC236" s="3" t="str">
        <f>IFERROR(__xludf.DUMMYFUNCTION("""COMPUTED_VALUE"""),"I am not an employer")</f>
        <v>I am not an employer</v>
      </c>
      <c r="AD236" s="3"/>
      <c r="AE236" s="3"/>
      <c r="AF236" s="3" t="str">
        <f>IFERROR(__xludf.DUMMYFUNCTION("""COMPUTED_VALUE"""),"Yes")</f>
        <v>Yes</v>
      </c>
      <c r="AG236" s="3" t="str">
        <f>IFERROR(__xludf.DUMMYFUNCTION("""COMPUTED_VALUE"""),"No")</f>
        <v>No</v>
      </c>
      <c r="AH236" s="3"/>
      <c r="AI236" s="3">
        <f>IFERROR(__xludf.DUMMYFUNCTION("""COMPUTED_VALUE"""),0.0)</f>
        <v>0</v>
      </c>
      <c r="AJ236" s="3">
        <f>IFERROR(__xludf.DUMMYFUNCTION("""COMPUTED_VALUE"""),0.0)</f>
        <v>0</v>
      </c>
      <c r="AK236" s="3">
        <f>IFERROR(__xludf.DUMMYFUNCTION("""COMPUTED_VALUE"""),0.0)</f>
        <v>0</v>
      </c>
      <c r="AL236" s="3">
        <f>IFERROR(__xludf.DUMMYFUNCTION("""COMPUTED_VALUE"""),1.0)</f>
        <v>1</v>
      </c>
      <c r="AM236" s="3" t="str">
        <f>IFERROR(__xludf.DUMMYFUNCTION("""COMPUTED_VALUE"""),"Yes")</f>
        <v>Yes</v>
      </c>
      <c r="AN236" s="3">
        <f>IFERROR(__xludf.DUMMYFUNCTION("""COMPUTED_VALUE"""),7.96732437E8)</f>
        <v>796732437</v>
      </c>
      <c r="AO236" s="3"/>
      <c r="AP236" s="3">
        <f>IFERROR(__xludf.DUMMYFUNCTION("""COMPUTED_VALUE"""),4.90407718E8)</f>
        <v>490407718</v>
      </c>
      <c r="AQ236" s="3" t="str">
        <f>IFERROR(__xludf.DUMMYFUNCTION("""COMPUTED_VALUE"""),"b2bbb4aa-dc55-4952-a16b-246e5b0c2279")</f>
        <v>b2bbb4aa-dc55-4952-a16b-246e5b0c2279</v>
      </c>
      <c r="AR236" s="3">
        <f>IFERROR(__xludf.DUMMYFUNCTION("""COMPUTED_VALUE"""),45809.435219907406)</f>
        <v>45809.43522</v>
      </c>
      <c r="AS236" s="3"/>
      <c r="AT236" s="3"/>
      <c r="AU236" s="3" t="str">
        <f>IFERROR(__xludf.DUMMYFUNCTION("""COMPUTED_VALUE"""),"submitted_via_web")</f>
        <v>submitted_via_web</v>
      </c>
      <c r="AV236" s="3"/>
      <c r="AW236" s="3" t="str">
        <f>IFERROR(__xludf.DUMMYFUNCTION("""COMPUTED_VALUE"""),"vckVTgNzM4XXtKAKNnsHpB")</f>
        <v>vckVTgNzM4XXtKAKNnsHpB</v>
      </c>
      <c r="AX236" s="3"/>
      <c r="AY236" s="3">
        <f>IFERROR(__xludf.DUMMYFUNCTION("""COMPUTED_VALUE"""),235.0)</f>
        <v>235</v>
      </c>
    </row>
    <row r="237">
      <c r="A237" s="3" t="str">
        <f>IFERROR(__xludf.DUMMYFUNCTION("""COMPUTED_VALUE"""),"Yes")</f>
        <v>Yes</v>
      </c>
      <c r="B237" s="3"/>
      <c r="C237" s="3" t="str">
        <f>IFERROR(__xludf.DUMMYFUNCTION("""COMPUTED_VALUE"""),"mozambique")</f>
        <v>mozambique</v>
      </c>
      <c r="D237" s="3"/>
      <c r="E237" s="3" t="str">
        <f>IFERROR(__xludf.DUMMYFUNCTION("""COMPUTED_VALUE"""),"south_africa")</f>
        <v>south_africa</v>
      </c>
      <c r="F237" s="3" t="str">
        <f>IFERROR(__xludf.DUMMYFUNCTION("""COMPUTED_VALUE"""),"City of Tshwane Metropolitan Municipality")</f>
        <v>City of Tshwane Metropolitan Municipality</v>
      </c>
      <c r="G237" s="3">
        <f>IFERROR(__xludf.DUMMYFUNCTION("""COMPUTED_VALUE"""),32.0)</f>
        <v>32</v>
      </c>
      <c r="H237" s="3" t="str">
        <f>IFERROR(__xludf.DUMMYFUNCTION("""COMPUTED_VALUE"""),"male")</f>
        <v>male</v>
      </c>
      <c r="I237" s="3" t="str">
        <f>IFERROR(__xludf.DUMMYFUNCTION("""COMPUTED_VALUE"""),"1to5")</f>
        <v>1to5</v>
      </c>
      <c r="J237" s="3" t="str">
        <f>IFERROR(__xludf.DUMMYFUNCTION("""COMPUTED_VALUE"""),"informal")</f>
        <v>informal</v>
      </c>
      <c r="K237" s="3" t="str">
        <f>IFERROR(__xludf.DUMMYFUNCTION("""COMPUTED_VALUE"""),"primary")</f>
        <v>primary</v>
      </c>
      <c r="L237" s="3"/>
      <c r="M237" s="3" t="str">
        <f>IFERROR(__xludf.DUMMYFUNCTION("""COMPUTED_VALUE"""),"agree")</f>
        <v>agree</v>
      </c>
      <c r="N237" s="3" t="str">
        <f>IFERROR(__xludf.DUMMYFUNCTION("""COMPUTED_VALUE"""),"agree")</f>
        <v>agree</v>
      </c>
      <c r="O237" s="3" t="str">
        <f>IFERROR(__xludf.DUMMYFUNCTION("""COMPUTED_VALUE"""),"dontknow")</f>
        <v>dontknow</v>
      </c>
      <c r="P237" s="3"/>
      <c r="Q237" s="3" t="str">
        <f>IFERROR(__xludf.DUMMYFUNCTION("""COMPUTED_VALUE"""),"agree")</f>
        <v>agree</v>
      </c>
      <c r="R237" s="3" t="str">
        <f>IFERROR(__xludf.DUMMYFUNCTION("""COMPUTED_VALUE"""),"agree")</f>
        <v>agree</v>
      </c>
      <c r="S237" s="3" t="str">
        <f>IFERROR(__xludf.DUMMYFUNCTION("""COMPUTED_VALUE"""),"agree")</f>
        <v>agree</v>
      </c>
      <c r="T237" s="3" t="str">
        <f>IFERROR(__xludf.DUMMYFUNCTION("""COMPUTED_VALUE"""),"agree")</f>
        <v>agree</v>
      </c>
      <c r="U237" s="3" t="str">
        <f>IFERROR(__xludf.DUMMYFUNCTION("""COMPUTED_VALUE"""),"agree")</f>
        <v>agree</v>
      </c>
      <c r="V237" s="3" t="str">
        <f>IFERROR(__xludf.DUMMYFUNCTION("""COMPUTED_VALUE"""),"agree")</f>
        <v>agree</v>
      </c>
      <c r="W237" s="3" t="str">
        <f>IFERROR(__xludf.DUMMYFUNCTION("""COMPUTED_VALUE"""),"agree")</f>
        <v>agree</v>
      </c>
      <c r="X237" s="3" t="str">
        <f>IFERROR(__xludf.DUMMYFUNCTION("""COMPUTED_VALUE"""),"Gold")</f>
        <v>Gold</v>
      </c>
      <c r="Y237" s="3" t="str">
        <f>IFERROR(__xludf.DUMMYFUNCTION("""COMPUTED_VALUE"""),"prepaid")</f>
        <v>prepaid</v>
      </c>
      <c r="Z237" s="3" t="str">
        <f>IFERROR(__xludf.DUMMYFUNCTION("""COMPUTED_VALUE"""),"quarterly")</f>
        <v>quarterly</v>
      </c>
      <c r="AA237" s="3">
        <f>IFERROR(__xludf.DUMMYFUNCTION("""COMPUTED_VALUE"""),30.0)</f>
        <v>30</v>
      </c>
      <c r="AB237" s="3" t="str">
        <f>IFERROR(__xludf.DUMMYFUNCTION("""COMPUTED_VALUE"""),"employer")</f>
        <v>employer</v>
      </c>
      <c r="AC237" s="3" t="str">
        <f>IFERROR(__xludf.DUMMYFUNCTION("""COMPUTED_VALUE"""),"I am not an employer")</f>
        <v>I am not an employer</v>
      </c>
      <c r="AD237" s="3"/>
      <c r="AE237" s="3"/>
      <c r="AF237" s="3" t="str">
        <f>IFERROR(__xludf.DUMMYFUNCTION("""COMPUTED_VALUE"""),"Yes")</f>
        <v>Yes</v>
      </c>
      <c r="AG237" s="3" t="str">
        <f>IFERROR(__xludf.DUMMYFUNCTION("""COMPUTED_VALUE"""),"No")</f>
        <v>No</v>
      </c>
      <c r="AH237" s="3"/>
      <c r="AI237" s="3">
        <f>IFERROR(__xludf.DUMMYFUNCTION("""COMPUTED_VALUE"""),0.0)</f>
        <v>0</v>
      </c>
      <c r="AJ237" s="3">
        <f>IFERROR(__xludf.DUMMYFUNCTION("""COMPUTED_VALUE"""),0.0)</f>
        <v>0</v>
      </c>
      <c r="AK237" s="3">
        <f>IFERROR(__xludf.DUMMYFUNCTION("""COMPUTED_VALUE"""),0.0)</f>
        <v>0</v>
      </c>
      <c r="AL237" s="3">
        <f>IFERROR(__xludf.DUMMYFUNCTION("""COMPUTED_VALUE"""),1.0)</f>
        <v>1</v>
      </c>
      <c r="AM237" s="3" t="str">
        <f>IFERROR(__xludf.DUMMYFUNCTION("""COMPUTED_VALUE"""),"Yes")</f>
        <v>Yes</v>
      </c>
      <c r="AN237" s="3">
        <f>IFERROR(__xludf.DUMMYFUNCTION("""COMPUTED_VALUE"""),7.12023238E8)</f>
        <v>712023238</v>
      </c>
      <c r="AO237" s="3"/>
      <c r="AP237" s="3">
        <f>IFERROR(__xludf.DUMMYFUNCTION("""COMPUTED_VALUE"""),4.90409053E8)</f>
        <v>490409053</v>
      </c>
      <c r="AQ237" s="3" t="str">
        <f>IFERROR(__xludf.DUMMYFUNCTION("""COMPUTED_VALUE"""),"5266b511-227a-4e97-87b8-24c8e664a49e")</f>
        <v>5266b511-227a-4e97-87b8-24c8e664a49e</v>
      </c>
      <c r="AR237" s="3">
        <f>IFERROR(__xludf.DUMMYFUNCTION("""COMPUTED_VALUE"""),45809.43813657408)</f>
        <v>45809.43814</v>
      </c>
      <c r="AS237" s="3"/>
      <c r="AT237" s="3"/>
      <c r="AU237" s="3" t="str">
        <f>IFERROR(__xludf.DUMMYFUNCTION("""COMPUTED_VALUE"""),"submitted_via_web")</f>
        <v>submitted_via_web</v>
      </c>
      <c r="AV237" s="3"/>
      <c r="AW237" s="3" t="str">
        <f>IFERROR(__xludf.DUMMYFUNCTION("""COMPUTED_VALUE"""),"vckVTgNzM4XXtKAKNnsHpB")</f>
        <v>vckVTgNzM4XXtKAKNnsHpB</v>
      </c>
      <c r="AX237" s="3"/>
      <c r="AY237" s="3">
        <f>IFERROR(__xludf.DUMMYFUNCTION("""COMPUTED_VALUE"""),236.0)</f>
        <v>236</v>
      </c>
    </row>
    <row r="238">
      <c r="A238" s="3" t="str">
        <f>IFERROR(__xludf.DUMMYFUNCTION("""COMPUTED_VALUE"""),"Yes")</f>
        <v>Yes</v>
      </c>
      <c r="B238" s="3"/>
      <c r="C238" s="3" t="str">
        <f>IFERROR(__xludf.DUMMYFUNCTION("""COMPUTED_VALUE"""),"mozambique")</f>
        <v>mozambique</v>
      </c>
      <c r="D238" s="3"/>
      <c r="E238" s="3" t="str">
        <f>IFERROR(__xludf.DUMMYFUNCTION("""COMPUTED_VALUE"""),"south_africa")</f>
        <v>south_africa</v>
      </c>
      <c r="F238" s="3" t="str">
        <f>IFERROR(__xludf.DUMMYFUNCTION("""COMPUTED_VALUE"""),"City of Tshwane Metropolitan Municipality")</f>
        <v>City of Tshwane Metropolitan Municipality</v>
      </c>
      <c r="G238" s="3">
        <f>IFERROR(__xludf.DUMMYFUNCTION("""COMPUTED_VALUE"""),29.0)</f>
        <v>29</v>
      </c>
      <c r="H238" s="3" t="str">
        <f>IFERROR(__xludf.DUMMYFUNCTION("""COMPUTED_VALUE"""),"male")</f>
        <v>male</v>
      </c>
      <c r="I238" s="3" t="str">
        <f>IFERROR(__xludf.DUMMYFUNCTION("""COMPUTED_VALUE"""),"1to5")</f>
        <v>1to5</v>
      </c>
      <c r="J238" s="3" t="str">
        <f>IFERROR(__xludf.DUMMYFUNCTION("""COMPUTED_VALUE"""),"informal")</f>
        <v>informal</v>
      </c>
      <c r="K238" s="3" t="str">
        <f>IFERROR(__xludf.DUMMYFUNCTION("""COMPUTED_VALUE"""),"secondary")</f>
        <v>secondary</v>
      </c>
      <c r="L238" s="3"/>
      <c r="M238" s="3" t="str">
        <f>IFERROR(__xludf.DUMMYFUNCTION("""COMPUTED_VALUE"""),"agree")</f>
        <v>agree</v>
      </c>
      <c r="N238" s="3" t="str">
        <f>IFERROR(__xludf.DUMMYFUNCTION("""COMPUTED_VALUE"""),"agree")</f>
        <v>agree</v>
      </c>
      <c r="O238" s="3" t="str">
        <f>IFERROR(__xludf.DUMMYFUNCTION("""COMPUTED_VALUE"""),"agree")</f>
        <v>agree</v>
      </c>
      <c r="P238" s="3"/>
      <c r="Q238" s="3" t="str">
        <f>IFERROR(__xludf.DUMMYFUNCTION("""COMPUTED_VALUE"""),"agree")</f>
        <v>agree</v>
      </c>
      <c r="R238" s="3" t="str">
        <f>IFERROR(__xludf.DUMMYFUNCTION("""COMPUTED_VALUE"""),"agree")</f>
        <v>agree</v>
      </c>
      <c r="S238" s="3" t="str">
        <f>IFERROR(__xludf.DUMMYFUNCTION("""COMPUTED_VALUE"""),"agree")</f>
        <v>agree</v>
      </c>
      <c r="T238" s="3" t="str">
        <f>IFERROR(__xludf.DUMMYFUNCTION("""COMPUTED_VALUE"""),"agree")</f>
        <v>agree</v>
      </c>
      <c r="U238" s="3" t="str">
        <f>IFERROR(__xludf.DUMMYFUNCTION("""COMPUTED_VALUE"""),"agree")</f>
        <v>agree</v>
      </c>
      <c r="V238" s="3" t="str">
        <f>IFERROR(__xludf.DUMMYFUNCTION("""COMPUTED_VALUE"""),"agree")</f>
        <v>agree</v>
      </c>
      <c r="W238" s="3" t="str">
        <f>IFERROR(__xludf.DUMMYFUNCTION("""COMPUTED_VALUE"""),"agree")</f>
        <v>agree</v>
      </c>
      <c r="X238" s="3" t="str">
        <f>IFERROR(__xludf.DUMMYFUNCTION("""COMPUTED_VALUE"""),"Gold")</f>
        <v>Gold</v>
      </c>
      <c r="Y238" s="3" t="str">
        <f>IFERROR(__xludf.DUMMYFUNCTION("""COMPUTED_VALUE"""),"prepaid")</f>
        <v>prepaid</v>
      </c>
      <c r="Z238" s="3" t="str">
        <f>IFERROR(__xludf.DUMMYFUNCTION("""COMPUTED_VALUE"""),"quarterly")</f>
        <v>quarterly</v>
      </c>
      <c r="AA238" s="3">
        <f>IFERROR(__xludf.DUMMYFUNCTION("""COMPUTED_VALUE"""),100.0)</f>
        <v>100</v>
      </c>
      <c r="AB238" s="3" t="str">
        <f>IFERROR(__xludf.DUMMYFUNCTION("""COMPUTED_VALUE"""),"employer")</f>
        <v>employer</v>
      </c>
      <c r="AC238" s="3" t="str">
        <f>IFERROR(__xludf.DUMMYFUNCTION("""COMPUTED_VALUE"""),"I am not an employer")</f>
        <v>I am not an employer</v>
      </c>
      <c r="AD238" s="3"/>
      <c r="AE238" s="3"/>
      <c r="AF238" s="3" t="str">
        <f>IFERROR(__xludf.DUMMYFUNCTION("""COMPUTED_VALUE"""),"Yes")</f>
        <v>Yes</v>
      </c>
      <c r="AG238" s="3" t="str">
        <f>IFERROR(__xludf.DUMMYFUNCTION("""COMPUTED_VALUE"""),"Yes")</f>
        <v>Yes</v>
      </c>
      <c r="AH238" s="3"/>
      <c r="AI238" s="3">
        <f>IFERROR(__xludf.DUMMYFUNCTION("""COMPUTED_VALUE"""),0.0)</f>
        <v>0</v>
      </c>
      <c r="AJ238" s="3">
        <f>IFERROR(__xludf.DUMMYFUNCTION("""COMPUTED_VALUE"""),0.0)</f>
        <v>0</v>
      </c>
      <c r="AK238" s="3">
        <f>IFERROR(__xludf.DUMMYFUNCTION("""COMPUTED_VALUE"""),0.0)</f>
        <v>0</v>
      </c>
      <c r="AL238" s="3">
        <f>IFERROR(__xludf.DUMMYFUNCTION("""COMPUTED_VALUE"""),1.0)</f>
        <v>1</v>
      </c>
      <c r="AM238" s="3" t="str">
        <f>IFERROR(__xludf.DUMMYFUNCTION("""COMPUTED_VALUE"""),"Yes")</f>
        <v>Yes</v>
      </c>
      <c r="AN238" s="3">
        <f>IFERROR(__xludf.DUMMYFUNCTION("""COMPUTED_VALUE"""),6.55254617E8)</f>
        <v>655254617</v>
      </c>
      <c r="AO238" s="3"/>
      <c r="AP238" s="3">
        <f>IFERROR(__xludf.DUMMYFUNCTION("""COMPUTED_VALUE"""),4.90409857E8)</f>
        <v>490409857</v>
      </c>
      <c r="AQ238" s="3" t="str">
        <f>IFERROR(__xludf.DUMMYFUNCTION("""COMPUTED_VALUE"""),"a238bfbb-7a45-46d5-a96d-47bf38a18653")</f>
        <v>a238bfbb-7a45-46d5-a96d-47bf38a18653</v>
      </c>
      <c r="AR238" s="3">
        <f>IFERROR(__xludf.DUMMYFUNCTION("""COMPUTED_VALUE"""),45809.43989583333)</f>
        <v>45809.4399</v>
      </c>
      <c r="AS238" s="3"/>
      <c r="AT238" s="3"/>
      <c r="AU238" s="3" t="str">
        <f>IFERROR(__xludf.DUMMYFUNCTION("""COMPUTED_VALUE"""),"submitted_via_web")</f>
        <v>submitted_via_web</v>
      </c>
      <c r="AV238" s="3"/>
      <c r="AW238" s="3" t="str">
        <f>IFERROR(__xludf.DUMMYFUNCTION("""COMPUTED_VALUE"""),"vckVTgNzM4XXtKAKNnsHpB")</f>
        <v>vckVTgNzM4XXtKAKNnsHpB</v>
      </c>
      <c r="AX238" s="3"/>
      <c r="AY238" s="3">
        <f>IFERROR(__xludf.DUMMYFUNCTION("""COMPUTED_VALUE"""),237.0)</f>
        <v>237</v>
      </c>
    </row>
    <row r="239">
      <c r="A239" s="3" t="str">
        <f>IFERROR(__xludf.DUMMYFUNCTION("""COMPUTED_VALUE"""),"Yes")</f>
        <v>Yes</v>
      </c>
      <c r="B239" s="3"/>
      <c r="C239" s="3" t="str">
        <f>IFERROR(__xludf.DUMMYFUNCTION("""COMPUTED_VALUE"""),"mozambique")</f>
        <v>mozambique</v>
      </c>
      <c r="D239" s="3"/>
      <c r="E239" s="3" t="str">
        <f>IFERROR(__xludf.DUMMYFUNCTION("""COMPUTED_VALUE"""),"south_africa")</f>
        <v>south_africa</v>
      </c>
      <c r="F239" s="3" t="str">
        <f>IFERROR(__xludf.DUMMYFUNCTION("""COMPUTED_VALUE"""),"City of Tshwane Metropolitan Municipality")</f>
        <v>City of Tshwane Metropolitan Municipality</v>
      </c>
      <c r="G239" s="3">
        <f>IFERROR(__xludf.DUMMYFUNCTION("""COMPUTED_VALUE"""),32.0)</f>
        <v>32</v>
      </c>
      <c r="H239" s="3" t="str">
        <f>IFERROR(__xludf.DUMMYFUNCTION("""COMPUTED_VALUE"""),"male")</f>
        <v>male</v>
      </c>
      <c r="I239" s="3" t="str">
        <f>IFERROR(__xludf.DUMMYFUNCTION("""COMPUTED_VALUE"""),"over5")</f>
        <v>over5</v>
      </c>
      <c r="J239" s="3" t="str">
        <f>IFERROR(__xludf.DUMMYFUNCTION("""COMPUTED_VALUE"""),"informal")</f>
        <v>informal</v>
      </c>
      <c r="K239" s="3" t="str">
        <f>IFERROR(__xludf.DUMMYFUNCTION("""COMPUTED_VALUE"""),"secondary")</f>
        <v>secondary</v>
      </c>
      <c r="L239" s="3"/>
      <c r="M239" s="3" t="str">
        <f>IFERROR(__xludf.DUMMYFUNCTION("""COMPUTED_VALUE"""),"agree")</f>
        <v>agree</v>
      </c>
      <c r="N239" s="3" t="str">
        <f>IFERROR(__xludf.DUMMYFUNCTION("""COMPUTED_VALUE"""),"agree")</f>
        <v>agree</v>
      </c>
      <c r="O239" s="3" t="str">
        <f>IFERROR(__xludf.DUMMYFUNCTION("""COMPUTED_VALUE"""),"agree")</f>
        <v>agree</v>
      </c>
      <c r="P239" s="3"/>
      <c r="Q239" s="3" t="str">
        <f>IFERROR(__xludf.DUMMYFUNCTION("""COMPUTED_VALUE"""),"agree")</f>
        <v>agree</v>
      </c>
      <c r="R239" s="3" t="str">
        <f>IFERROR(__xludf.DUMMYFUNCTION("""COMPUTED_VALUE"""),"agree")</f>
        <v>agree</v>
      </c>
      <c r="S239" s="3" t="str">
        <f>IFERROR(__xludf.DUMMYFUNCTION("""COMPUTED_VALUE"""),"agree")</f>
        <v>agree</v>
      </c>
      <c r="T239" s="3" t="str">
        <f>IFERROR(__xludf.DUMMYFUNCTION("""COMPUTED_VALUE"""),"agree")</f>
        <v>agree</v>
      </c>
      <c r="U239" s="3" t="str">
        <f>IFERROR(__xludf.DUMMYFUNCTION("""COMPUTED_VALUE"""),"agree")</f>
        <v>agree</v>
      </c>
      <c r="V239" s="3" t="str">
        <f>IFERROR(__xludf.DUMMYFUNCTION("""COMPUTED_VALUE"""),"agree")</f>
        <v>agree</v>
      </c>
      <c r="W239" s="3" t="str">
        <f>IFERROR(__xludf.DUMMYFUNCTION("""COMPUTED_VALUE"""),"agree")</f>
        <v>agree</v>
      </c>
      <c r="X239" s="3" t="str">
        <f>IFERROR(__xludf.DUMMYFUNCTION("""COMPUTED_VALUE"""),"Gold")</f>
        <v>Gold</v>
      </c>
      <c r="Y239" s="3" t="str">
        <f>IFERROR(__xludf.DUMMYFUNCTION("""COMPUTED_VALUE"""),"card")</f>
        <v>card</v>
      </c>
      <c r="Z239" s="3" t="str">
        <f>IFERROR(__xludf.DUMMYFUNCTION("""COMPUTED_VALUE"""),"monthly")</f>
        <v>monthly</v>
      </c>
      <c r="AA239" s="3">
        <f>IFERROR(__xludf.DUMMYFUNCTION("""COMPUTED_VALUE"""),50.0)</f>
        <v>50</v>
      </c>
      <c r="AB239" s="3" t="str">
        <f>IFERROR(__xludf.DUMMYFUNCTION("""COMPUTED_VALUE"""),"employer")</f>
        <v>employer</v>
      </c>
      <c r="AC239" s="3" t="str">
        <f>IFERROR(__xludf.DUMMYFUNCTION("""COMPUTED_VALUE"""),"I am not an employer")</f>
        <v>I am not an employer</v>
      </c>
      <c r="AD239" s="3"/>
      <c r="AE239" s="3"/>
      <c r="AF239" s="3" t="str">
        <f>IFERROR(__xludf.DUMMYFUNCTION("""COMPUTED_VALUE"""),"Yes")</f>
        <v>Yes</v>
      </c>
      <c r="AG239" s="3" t="str">
        <f>IFERROR(__xludf.DUMMYFUNCTION("""COMPUTED_VALUE"""),"Yes")</f>
        <v>Yes</v>
      </c>
      <c r="AH239" s="3"/>
      <c r="AI239" s="3">
        <f>IFERROR(__xludf.DUMMYFUNCTION("""COMPUTED_VALUE"""),0.0)</f>
        <v>0</v>
      </c>
      <c r="AJ239" s="3">
        <f>IFERROR(__xludf.DUMMYFUNCTION("""COMPUTED_VALUE"""),0.0)</f>
        <v>0</v>
      </c>
      <c r="AK239" s="3">
        <f>IFERROR(__xludf.DUMMYFUNCTION("""COMPUTED_VALUE"""),0.0)</f>
        <v>0</v>
      </c>
      <c r="AL239" s="3">
        <f>IFERROR(__xludf.DUMMYFUNCTION("""COMPUTED_VALUE"""),1.0)</f>
        <v>1</v>
      </c>
      <c r="AM239" s="3" t="str">
        <f>IFERROR(__xludf.DUMMYFUNCTION("""COMPUTED_VALUE"""),"Yes")</f>
        <v>Yes</v>
      </c>
      <c r="AN239" s="3">
        <f>IFERROR(__xludf.DUMMYFUNCTION("""COMPUTED_VALUE"""),6.01406742E8)</f>
        <v>601406742</v>
      </c>
      <c r="AO239" s="3"/>
      <c r="AP239" s="3">
        <f>IFERROR(__xludf.DUMMYFUNCTION("""COMPUTED_VALUE"""),4.90410637E8)</f>
        <v>490410637</v>
      </c>
      <c r="AQ239" s="3" t="str">
        <f>IFERROR(__xludf.DUMMYFUNCTION("""COMPUTED_VALUE"""),"0d28a466-5d42-4d4a-8bb1-362e209e2912")</f>
        <v>0d28a466-5d42-4d4a-8bb1-362e209e2912</v>
      </c>
      <c r="AR239" s="3">
        <f>IFERROR(__xludf.DUMMYFUNCTION("""COMPUTED_VALUE"""),45809.441666666666)</f>
        <v>45809.44167</v>
      </c>
      <c r="AS239" s="3"/>
      <c r="AT239" s="3"/>
      <c r="AU239" s="3" t="str">
        <f>IFERROR(__xludf.DUMMYFUNCTION("""COMPUTED_VALUE"""),"submitted_via_web")</f>
        <v>submitted_via_web</v>
      </c>
      <c r="AV239" s="3"/>
      <c r="AW239" s="3" t="str">
        <f>IFERROR(__xludf.DUMMYFUNCTION("""COMPUTED_VALUE"""),"vckVTgNzM4XXtKAKNnsHpB")</f>
        <v>vckVTgNzM4XXtKAKNnsHpB</v>
      </c>
      <c r="AX239" s="3"/>
      <c r="AY239" s="3">
        <f>IFERROR(__xludf.DUMMYFUNCTION("""COMPUTED_VALUE"""),238.0)</f>
        <v>238</v>
      </c>
    </row>
    <row r="240">
      <c r="A240" s="3" t="str">
        <f>IFERROR(__xludf.DUMMYFUNCTION("""COMPUTED_VALUE"""),"Yes")</f>
        <v>Yes</v>
      </c>
      <c r="B240" s="3"/>
      <c r="C240" s="3" t="str">
        <f>IFERROR(__xludf.DUMMYFUNCTION("""COMPUTED_VALUE"""),"mozambique")</f>
        <v>mozambique</v>
      </c>
      <c r="D240" s="3"/>
      <c r="E240" s="3" t="str">
        <f>IFERROR(__xludf.DUMMYFUNCTION("""COMPUTED_VALUE"""),"south_africa")</f>
        <v>south_africa</v>
      </c>
      <c r="F240" s="3" t="str">
        <f>IFERROR(__xludf.DUMMYFUNCTION("""COMPUTED_VALUE"""),"City of Tshwane Metropolitan Municipality")</f>
        <v>City of Tshwane Metropolitan Municipality</v>
      </c>
      <c r="G240" s="3">
        <f>IFERROR(__xludf.DUMMYFUNCTION("""COMPUTED_VALUE"""),43.0)</f>
        <v>43</v>
      </c>
      <c r="H240" s="3" t="str">
        <f>IFERROR(__xludf.DUMMYFUNCTION("""COMPUTED_VALUE"""),"male")</f>
        <v>male</v>
      </c>
      <c r="I240" s="3"/>
      <c r="J240" s="3" t="str">
        <f>IFERROR(__xludf.DUMMYFUNCTION("""COMPUTED_VALUE"""),"ownbusiness")</f>
        <v>ownbusiness</v>
      </c>
      <c r="K240" s="3" t="str">
        <f>IFERROR(__xludf.DUMMYFUNCTION("""COMPUTED_VALUE"""),"primary")</f>
        <v>primary</v>
      </c>
      <c r="L240" s="3"/>
      <c r="M240" s="3" t="str">
        <f>IFERROR(__xludf.DUMMYFUNCTION("""COMPUTED_VALUE"""),"agree")</f>
        <v>agree</v>
      </c>
      <c r="N240" s="3" t="str">
        <f>IFERROR(__xludf.DUMMYFUNCTION("""COMPUTED_VALUE"""),"agree")</f>
        <v>agree</v>
      </c>
      <c r="O240" s="3" t="str">
        <f>IFERROR(__xludf.DUMMYFUNCTION("""COMPUTED_VALUE"""),"dontknow")</f>
        <v>dontknow</v>
      </c>
      <c r="P240" s="3"/>
      <c r="Q240" s="3" t="str">
        <f>IFERROR(__xludf.DUMMYFUNCTION("""COMPUTED_VALUE"""),"agree")</f>
        <v>agree</v>
      </c>
      <c r="R240" s="3" t="str">
        <f>IFERROR(__xludf.DUMMYFUNCTION("""COMPUTED_VALUE"""),"agree")</f>
        <v>agree</v>
      </c>
      <c r="S240" s="3" t="str">
        <f>IFERROR(__xludf.DUMMYFUNCTION("""COMPUTED_VALUE"""),"agree")</f>
        <v>agree</v>
      </c>
      <c r="T240" s="3" t="str">
        <f>IFERROR(__xludf.DUMMYFUNCTION("""COMPUTED_VALUE"""),"agree")</f>
        <v>agree</v>
      </c>
      <c r="U240" s="3" t="str">
        <f>IFERROR(__xludf.DUMMYFUNCTION("""COMPUTED_VALUE"""),"agree")</f>
        <v>agree</v>
      </c>
      <c r="V240" s="3" t="str">
        <f>IFERROR(__xludf.DUMMYFUNCTION("""COMPUTED_VALUE"""),"agree")</f>
        <v>agree</v>
      </c>
      <c r="W240" s="3" t="str">
        <f>IFERROR(__xludf.DUMMYFUNCTION("""COMPUTED_VALUE"""),"agree")</f>
        <v>agree</v>
      </c>
      <c r="X240" s="3" t="str">
        <f>IFERROR(__xludf.DUMMYFUNCTION("""COMPUTED_VALUE"""),"Gold")</f>
        <v>Gold</v>
      </c>
      <c r="Y240" s="3" t="str">
        <f>IFERROR(__xludf.DUMMYFUNCTION("""COMPUTED_VALUE"""),"prepaid")</f>
        <v>prepaid</v>
      </c>
      <c r="Z240" s="3" t="str">
        <f>IFERROR(__xludf.DUMMYFUNCTION("""COMPUTED_VALUE"""),"annual")</f>
        <v>annual</v>
      </c>
      <c r="AA240" s="3">
        <f>IFERROR(__xludf.DUMMYFUNCTION("""COMPUTED_VALUE"""),50.0)</f>
        <v>50</v>
      </c>
      <c r="AB240" s="3" t="str">
        <f>IFERROR(__xludf.DUMMYFUNCTION("""COMPUTED_VALUE"""),"employer")</f>
        <v>employer</v>
      </c>
      <c r="AC240" s="3" t="str">
        <f>IFERROR(__xludf.DUMMYFUNCTION("""COMPUTED_VALUE"""),"I am not an employer")</f>
        <v>I am not an employer</v>
      </c>
      <c r="AD240" s="3"/>
      <c r="AE240" s="3"/>
      <c r="AF240" s="3" t="str">
        <f>IFERROR(__xludf.DUMMYFUNCTION("""COMPUTED_VALUE"""),"Yes")</f>
        <v>Yes</v>
      </c>
      <c r="AG240" s="3" t="str">
        <f>IFERROR(__xludf.DUMMYFUNCTION("""COMPUTED_VALUE"""),"Yes")</f>
        <v>Yes</v>
      </c>
      <c r="AH240" s="3">
        <f>IFERROR(__xludf.DUMMYFUNCTION("""COMPUTED_VALUE"""),400.0)</f>
        <v>400</v>
      </c>
      <c r="AI240" s="3">
        <f>IFERROR(__xludf.DUMMYFUNCTION("""COMPUTED_VALUE"""),0.0)</f>
        <v>0</v>
      </c>
      <c r="AJ240" s="3">
        <f>IFERROR(__xludf.DUMMYFUNCTION("""COMPUTED_VALUE"""),0.0)</f>
        <v>0</v>
      </c>
      <c r="AK240" s="3">
        <f>IFERROR(__xludf.DUMMYFUNCTION("""COMPUTED_VALUE"""),0.0)</f>
        <v>0</v>
      </c>
      <c r="AL240" s="3">
        <f>IFERROR(__xludf.DUMMYFUNCTION("""COMPUTED_VALUE"""),1.0)</f>
        <v>1</v>
      </c>
      <c r="AM240" s="3"/>
      <c r="AN240" s="3"/>
      <c r="AO240" s="3"/>
      <c r="AP240" s="3">
        <f>IFERROR(__xludf.DUMMYFUNCTION("""COMPUTED_VALUE"""),4.9041142E8)</f>
        <v>490411420</v>
      </c>
      <c r="AQ240" s="3" t="str">
        <f>IFERROR(__xludf.DUMMYFUNCTION("""COMPUTED_VALUE"""),"02cd7445-3637-4310-af29-13cb62c65a57")</f>
        <v>02cd7445-3637-4310-af29-13cb62c65a57</v>
      </c>
      <c r="AR240" s="3">
        <f>IFERROR(__xludf.DUMMYFUNCTION("""COMPUTED_VALUE"""),45809.443032407406)</f>
        <v>45809.44303</v>
      </c>
      <c r="AS240" s="3"/>
      <c r="AT240" s="3"/>
      <c r="AU240" s="3" t="str">
        <f>IFERROR(__xludf.DUMMYFUNCTION("""COMPUTED_VALUE"""),"submitted_via_web")</f>
        <v>submitted_via_web</v>
      </c>
      <c r="AV240" s="3"/>
      <c r="AW240" s="3" t="str">
        <f>IFERROR(__xludf.DUMMYFUNCTION("""COMPUTED_VALUE"""),"vckVTgNzM4XXtKAKNnsHpB")</f>
        <v>vckVTgNzM4XXtKAKNnsHpB</v>
      </c>
      <c r="AX240" s="3"/>
      <c r="AY240" s="3">
        <f>IFERROR(__xludf.DUMMYFUNCTION("""COMPUTED_VALUE"""),239.0)</f>
        <v>239</v>
      </c>
    </row>
    <row r="241">
      <c r="A241" s="3" t="str">
        <f>IFERROR(__xludf.DUMMYFUNCTION("""COMPUTED_VALUE"""),"Yes")</f>
        <v>Yes</v>
      </c>
      <c r="B241" s="3"/>
      <c r="C241" s="3" t="str">
        <f>IFERROR(__xludf.DUMMYFUNCTION("""COMPUTED_VALUE"""),"mozambique")</f>
        <v>mozambique</v>
      </c>
      <c r="D241" s="3"/>
      <c r="E241" s="3" t="str">
        <f>IFERROR(__xludf.DUMMYFUNCTION("""COMPUTED_VALUE"""),"south_africa")</f>
        <v>south_africa</v>
      </c>
      <c r="F241" s="3" t="str">
        <f>IFERROR(__xludf.DUMMYFUNCTION("""COMPUTED_VALUE"""),"City of Tshwane Metropolitan Municipality")</f>
        <v>City of Tshwane Metropolitan Municipality</v>
      </c>
      <c r="G241" s="3">
        <f>IFERROR(__xludf.DUMMYFUNCTION("""COMPUTED_VALUE"""),26.0)</f>
        <v>26</v>
      </c>
      <c r="H241" s="3" t="str">
        <f>IFERROR(__xludf.DUMMYFUNCTION("""COMPUTED_VALUE"""),"male")</f>
        <v>male</v>
      </c>
      <c r="I241" s="3" t="str">
        <f>IFERROR(__xludf.DUMMYFUNCTION("""COMPUTED_VALUE"""),"1to5")</f>
        <v>1to5</v>
      </c>
      <c r="J241" s="3" t="str">
        <f>IFERROR(__xludf.DUMMYFUNCTION("""COMPUTED_VALUE"""),"ownbusiness")</f>
        <v>ownbusiness</v>
      </c>
      <c r="K241" s="3" t="str">
        <f>IFERROR(__xludf.DUMMYFUNCTION("""COMPUTED_VALUE"""),"secondary")</f>
        <v>secondary</v>
      </c>
      <c r="L241" s="3"/>
      <c r="M241" s="3" t="str">
        <f>IFERROR(__xludf.DUMMYFUNCTION("""COMPUTED_VALUE"""),"agree")</f>
        <v>agree</v>
      </c>
      <c r="N241" s="3" t="str">
        <f>IFERROR(__xludf.DUMMYFUNCTION("""COMPUTED_VALUE"""),"agree")</f>
        <v>agree</v>
      </c>
      <c r="O241" s="3" t="str">
        <f>IFERROR(__xludf.DUMMYFUNCTION("""COMPUTED_VALUE"""),"disagree")</f>
        <v>disagree</v>
      </c>
      <c r="P241" s="3"/>
      <c r="Q241" s="3" t="str">
        <f>IFERROR(__xludf.DUMMYFUNCTION("""COMPUTED_VALUE"""),"agree")</f>
        <v>agree</v>
      </c>
      <c r="R241" s="3" t="str">
        <f>IFERROR(__xludf.DUMMYFUNCTION("""COMPUTED_VALUE"""),"agree")</f>
        <v>agree</v>
      </c>
      <c r="S241" s="3" t="str">
        <f>IFERROR(__xludf.DUMMYFUNCTION("""COMPUTED_VALUE"""),"agree")</f>
        <v>agree</v>
      </c>
      <c r="T241" s="3" t="str">
        <f>IFERROR(__xludf.DUMMYFUNCTION("""COMPUTED_VALUE"""),"agree")</f>
        <v>agree</v>
      </c>
      <c r="U241" s="3" t="str">
        <f>IFERROR(__xludf.DUMMYFUNCTION("""COMPUTED_VALUE"""),"agree")</f>
        <v>agree</v>
      </c>
      <c r="V241" s="3" t="str">
        <f>IFERROR(__xludf.DUMMYFUNCTION("""COMPUTED_VALUE"""),"agree")</f>
        <v>agree</v>
      </c>
      <c r="W241" s="3" t="str">
        <f>IFERROR(__xludf.DUMMYFUNCTION("""COMPUTED_VALUE"""),"agree")</f>
        <v>agree</v>
      </c>
      <c r="X241" s="3" t="str">
        <f>IFERROR(__xludf.DUMMYFUNCTION("""COMPUTED_VALUE"""),"Gold")</f>
        <v>Gold</v>
      </c>
      <c r="Y241" s="3" t="str">
        <f>IFERROR(__xludf.DUMMYFUNCTION("""COMPUTED_VALUE"""),"card")</f>
        <v>card</v>
      </c>
      <c r="Z241" s="3" t="str">
        <f>IFERROR(__xludf.DUMMYFUNCTION("""COMPUTED_VALUE"""),"quarterly")</f>
        <v>quarterly</v>
      </c>
      <c r="AA241" s="3">
        <f>IFERROR(__xludf.DUMMYFUNCTION("""COMPUTED_VALUE"""),100.0)</f>
        <v>100</v>
      </c>
      <c r="AB241" s="3" t="str">
        <f>IFERROR(__xludf.DUMMYFUNCTION("""COMPUTED_VALUE"""),"employer")</f>
        <v>employer</v>
      </c>
      <c r="AC241" s="3" t="str">
        <f>IFERROR(__xludf.DUMMYFUNCTION("""COMPUTED_VALUE"""),"I am not an employer")</f>
        <v>I am not an employer</v>
      </c>
      <c r="AD241" s="3"/>
      <c r="AE241" s="3"/>
      <c r="AF241" s="3"/>
      <c r="AG241" s="3" t="str">
        <f>IFERROR(__xludf.DUMMYFUNCTION("""COMPUTED_VALUE"""),"Yes")</f>
        <v>Yes</v>
      </c>
      <c r="AH241" s="3">
        <f>IFERROR(__xludf.DUMMYFUNCTION("""COMPUTED_VALUE"""),500.0)</f>
        <v>500</v>
      </c>
      <c r="AI241" s="3">
        <f>IFERROR(__xludf.DUMMYFUNCTION("""COMPUTED_VALUE"""),0.0)</f>
        <v>0</v>
      </c>
      <c r="AJ241" s="3">
        <f>IFERROR(__xludf.DUMMYFUNCTION("""COMPUTED_VALUE"""),0.0)</f>
        <v>0</v>
      </c>
      <c r="AK241" s="3">
        <f>IFERROR(__xludf.DUMMYFUNCTION("""COMPUTED_VALUE"""),0.0)</f>
        <v>0</v>
      </c>
      <c r="AL241" s="3">
        <f>IFERROR(__xludf.DUMMYFUNCTION("""COMPUTED_VALUE"""),1.0)</f>
        <v>1</v>
      </c>
      <c r="AM241" s="3" t="str">
        <f>IFERROR(__xludf.DUMMYFUNCTION("""COMPUTED_VALUE"""),"Yes")</f>
        <v>Yes</v>
      </c>
      <c r="AN241" s="3">
        <f>IFERROR(__xludf.DUMMYFUNCTION("""COMPUTED_VALUE"""),6.99134499E8)</f>
        <v>699134499</v>
      </c>
      <c r="AO241" s="3"/>
      <c r="AP241" s="3">
        <f>IFERROR(__xludf.DUMMYFUNCTION("""COMPUTED_VALUE"""),4.90412359E8)</f>
        <v>490412359</v>
      </c>
      <c r="AQ241" s="3" t="str">
        <f>IFERROR(__xludf.DUMMYFUNCTION("""COMPUTED_VALUE"""),"c2f6a596-6756-4665-9549-f5b652cbf0cf")</f>
        <v>c2f6a596-6756-4665-9549-f5b652cbf0cf</v>
      </c>
      <c r="AR241" s="3">
        <f>IFERROR(__xludf.DUMMYFUNCTION("""COMPUTED_VALUE"""),45809.445335648146)</f>
        <v>45809.44534</v>
      </c>
      <c r="AS241" s="3"/>
      <c r="AT241" s="3"/>
      <c r="AU241" s="3" t="str">
        <f>IFERROR(__xludf.DUMMYFUNCTION("""COMPUTED_VALUE"""),"submitted_via_web")</f>
        <v>submitted_via_web</v>
      </c>
      <c r="AV241" s="3"/>
      <c r="AW241" s="3" t="str">
        <f>IFERROR(__xludf.DUMMYFUNCTION("""COMPUTED_VALUE"""),"vckVTgNzM4XXtKAKNnsHpB")</f>
        <v>vckVTgNzM4XXtKAKNnsHpB</v>
      </c>
      <c r="AX241" s="3"/>
      <c r="AY241" s="3">
        <f>IFERROR(__xludf.DUMMYFUNCTION("""COMPUTED_VALUE"""),240.0)</f>
        <v>240</v>
      </c>
    </row>
    <row r="242">
      <c r="A242" s="3" t="str">
        <f>IFERROR(__xludf.DUMMYFUNCTION("""COMPUTED_VALUE"""),"Yes")</f>
        <v>Yes</v>
      </c>
      <c r="B242" s="3"/>
      <c r="C242" s="3" t="str">
        <f>IFERROR(__xludf.DUMMYFUNCTION("""COMPUTED_VALUE"""),"south_africa")</f>
        <v>south_africa</v>
      </c>
      <c r="D242" s="3"/>
      <c r="E242" s="3" t="str">
        <f>IFERROR(__xludf.DUMMYFUNCTION("""COMPUTED_VALUE"""),"south_africa")</f>
        <v>south_africa</v>
      </c>
      <c r="F242" s="3" t="str">
        <f>IFERROR(__xludf.DUMMYFUNCTION("""COMPUTED_VALUE"""),"City of Tshwane Metropolitan Municipality")</f>
        <v>City of Tshwane Metropolitan Municipality</v>
      </c>
      <c r="G242" s="3">
        <f>IFERROR(__xludf.DUMMYFUNCTION("""COMPUTED_VALUE"""),41.0)</f>
        <v>41</v>
      </c>
      <c r="H242" s="3" t="str">
        <f>IFERROR(__xludf.DUMMYFUNCTION("""COMPUTED_VALUE"""),"male")</f>
        <v>male</v>
      </c>
      <c r="I242" s="3" t="str">
        <f>IFERROR(__xludf.DUMMYFUNCTION("""COMPUTED_VALUE"""),"citizen")</f>
        <v>citizen</v>
      </c>
      <c r="J242" s="3" t="str">
        <f>IFERROR(__xludf.DUMMYFUNCTION("""COMPUTED_VALUE"""),"unemployed")</f>
        <v>unemployed</v>
      </c>
      <c r="K242" s="3" t="str">
        <f>IFERROR(__xludf.DUMMYFUNCTION("""COMPUTED_VALUE"""),"tertiary")</f>
        <v>tertiary</v>
      </c>
      <c r="L242" s="3"/>
      <c r="M242" s="3" t="str">
        <f>IFERROR(__xludf.DUMMYFUNCTION("""COMPUTED_VALUE"""),"agree")</f>
        <v>agree</v>
      </c>
      <c r="N242" s="3" t="str">
        <f>IFERROR(__xludf.DUMMYFUNCTION("""COMPUTED_VALUE"""),"agree")</f>
        <v>agree</v>
      </c>
      <c r="O242" s="3" t="str">
        <f>IFERROR(__xludf.DUMMYFUNCTION("""COMPUTED_VALUE"""),"agree")</f>
        <v>agree</v>
      </c>
      <c r="P242" s="3"/>
      <c r="Q242" s="3" t="str">
        <f>IFERROR(__xludf.DUMMYFUNCTION("""COMPUTED_VALUE"""),"disagree")</f>
        <v>disagree</v>
      </c>
      <c r="R242" s="3" t="str">
        <f>IFERROR(__xludf.DUMMYFUNCTION("""COMPUTED_VALUE"""),"disagree")</f>
        <v>disagree</v>
      </c>
      <c r="S242" s="3" t="str">
        <f>IFERROR(__xludf.DUMMYFUNCTION("""COMPUTED_VALUE"""),"disagree")</f>
        <v>disagree</v>
      </c>
      <c r="T242" s="3" t="str">
        <f>IFERROR(__xludf.DUMMYFUNCTION("""COMPUTED_VALUE"""),"disagree")</f>
        <v>disagree</v>
      </c>
      <c r="U242" s="3" t="str">
        <f>IFERROR(__xludf.DUMMYFUNCTION("""COMPUTED_VALUE"""),"agree")</f>
        <v>agree</v>
      </c>
      <c r="V242" s="3" t="str">
        <f>IFERROR(__xludf.DUMMYFUNCTION("""COMPUTED_VALUE"""),"agree")</f>
        <v>agree</v>
      </c>
      <c r="W242" s="3" t="str">
        <f>IFERROR(__xludf.DUMMYFUNCTION("""COMPUTED_VALUE"""),"disagree")</f>
        <v>disagree</v>
      </c>
      <c r="X242" s="3" t="str">
        <f>IFERROR(__xludf.DUMMYFUNCTION("""COMPUTED_VALUE"""),"Gold")</f>
        <v>Gold</v>
      </c>
      <c r="Y242" s="3" t="str">
        <f>IFERROR(__xludf.DUMMYFUNCTION("""COMPUTED_VALUE"""),"na")</f>
        <v>na</v>
      </c>
      <c r="Z242" s="3" t="str">
        <f>IFERROR(__xludf.DUMMYFUNCTION("""COMPUTED_VALUE"""),"monthly")</f>
        <v>monthly</v>
      </c>
      <c r="AA242" s="3">
        <f>IFERROR(__xludf.DUMMYFUNCTION("""COMPUTED_VALUE"""),100.0)</f>
        <v>100</v>
      </c>
      <c r="AB242" s="3" t="str">
        <f>IFERROR(__xludf.DUMMYFUNCTION("""COMPUTED_VALUE"""),"online")</f>
        <v>online</v>
      </c>
      <c r="AC242" s="3" t="str">
        <f>IFERROR(__xludf.DUMMYFUNCTION("""COMPUTED_VALUE"""),"I am not an employer")</f>
        <v>I am not an employer</v>
      </c>
      <c r="AD242" s="3"/>
      <c r="AE242" s="3"/>
      <c r="AF242" s="3" t="str">
        <f>IFERROR(__xludf.DUMMYFUNCTION("""COMPUTED_VALUE"""),"Yes")</f>
        <v>Yes</v>
      </c>
      <c r="AG242" s="3" t="str">
        <f>IFERROR(__xludf.DUMMYFUNCTION("""COMPUTED_VALUE"""),"Yes")</f>
        <v>Yes</v>
      </c>
      <c r="AH242" s="3">
        <f>IFERROR(__xludf.DUMMYFUNCTION("""COMPUTED_VALUE"""),50.0)</f>
        <v>50</v>
      </c>
      <c r="AI242" s="3">
        <f>IFERROR(__xludf.DUMMYFUNCTION("""COMPUTED_VALUE"""),0.0)</f>
        <v>0</v>
      </c>
      <c r="AJ242" s="3">
        <f>IFERROR(__xludf.DUMMYFUNCTION("""COMPUTED_VALUE"""),0.0)</f>
        <v>0</v>
      </c>
      <c r="AK242" s="3">
        <f>IFERROR(__xludf.DUMMYFUNCTION("""COMPUTED_VALUE"""),0.0)</f>
        <v>0</v>
      </c>
      <c r="AL242" s="3">
        <f>IFERROR(__xludf.DUMMYFUNCTION("""COMPUTED_VALUE"""),1.0)</f>
        <v>1</v>
      </c>
      <c r="AM242" s="3" t="str">
        <f>IFERROR(__xludf.DUMMYFUNCTION("""COMPUTED_VALUE"""),"Yes")</f>
        <v>Yes</v>
      </c>
      <c r="AN242" s="3"/>
      <c r="AO242" s="3"/>
      <c r="AP242" s="3">
        <f>IFERROR(__xludf.DUMMYFUNCTION("""COMPUTED_VALUE"""),4.90413733E8)</f>
        <v>490413733</v>
      </c>
      <c r="AQ242" s="3" t="str">
        <f>IFERROR(__xludf.DUMMYFUNCTION("""COMPUTED_VALUE"""),"b7571c8b-1166-4d67-b7c5-903e4c43e156")</f>
        <v>b7571c8b-1166-4d67-b7c5-903e4c43e156</v>
      </c>
      <c r="AR242" s="3">
        <f>IFERROR(__xludf.DUMMYFUNCTION("""COMPUTED_VALUE"""),45809.44829861111)</f>
        <v>45809.4483</v>
      </c>
      <c r="AS242" s="3"/>
      <c r="AT242" s="3"/>
      <c r="AU242" s="3" t="str">
        <f>IFERROR(__xludf.DUMMYFUNCTION("""COMPUTED_VALUE"""),"submitted_via_web")</f>
        <v>submitted_via_web</v>
      </c>
      <c r="AV242" s="3"/>
      <c r="AW242" s="3" t="str">
        <f>IFERROR(__xludf.DUMMYFUNCTION("""COMPUTED_VALUE"""),"vckVTgNzM4XXtKAKNnsHpB")</f>
        <v>vckVTgNzM4XXtKAKNnsHpB</v>
      </c>
      <c r="AX242" s="3"/>
      <c r="AY242" s="3">
        <f>IFERROR(__xludf.DUMMYFUNCTION("""COMPUTED_VALUE"""),241.0)</f>
        <v>241</v>
      </c>
    </row>
    <row r="243">
      <c r="A243" s="3" t="str">
        <f>IFERROR(__xludf.DUMMYFUNCTION("""COMPUTED_VALUE"""),"Yes")</f>
        <v>Yes</v>
      </c>
      <c r="B243" s="3"/>
      <c r="C243" s="3" t="str">
        <f>IFERROR(__xludf.DUMMYFUNCTION("""COMPUTED_VALUE"""),"lesotho")</f>
        <v>lesotho</v>
      </c>
      <c r="D243" s="3"/>
      <c r="E243" s="3" t="str">
        <f>IFERROR(__xludf.DUMMYFUNCTION("""COMPUTED_VALUE"""),"south_africa")</f>
        <v>south_africa</v>
      </c>
      <c r="F243" s="3" t="str">
        <f>IFERROR(__xludf.DUMMYFUNCTION("""COMPUTED_VALUE"""),"Sedibeng District")</f>
        <v>Sedibeng District</v>
      </c>
      <c r="G243" s="3">
        <f>IFERROR(__xludf.DUMMYFUNCTION("""COMPUTED_VALUE"""),31.0)</f>
        <v>31</v>
      </c>
      <c r="H243" s="3" t="str">
        <f>IFERROR(__xludf.DUMMYFUNCTION("""COMPUTED_VALUE"""),"female")</f>
        <v>female</v>
      </c>
      <c r="I243" s="3" t="str">
        <f>IFERROR(__xludf.DUMMYFUNCTION("""COMPUTED_VALUE"""),"1to5")</f>
        <v>1to5</v>
      </c>
      <c r="J243" s="3" t="str">
        <f>IFERROR(__xludf.DUMMYFUNCTION("""COMPUTED_VALUE"""),"informal")</f>
        <v>informal</v>
      </c>
      <c r="K243" s="3" t="str">
        <f>IFERROR(__xludf.DUMMYFUNCTION("""COMPUTED_VALUE"""),"secondary")</f>
        <v>secondary</v>
      </c>
      <c r="L243" s="3"/>
      <c r="M243" s="3" t="str">
        <f>IFERROR(__xludf.DUMMYFUNCTION("""COMPUTED_VALUE"""),"agree")</f>
        <v>agree</v>
      </c>
      <c r="N243" s="3" t="str">
        <f>IFERROR(__xludf.DUMMYFUNCTION("""COMPUTED_VALUE"""),"agree")</f>
        <v>agree</v>
      </c>
      <c r="O243" s="3" t="str">
        <f>IFERROR(__xludf.DUMMYFUNCTION("""COMPUTED_VALUE"""),"disagree")</f>
        <v>disagree</v>
      </c>
      <c r="P243" s="3"/>
      <c r="Q243" s="3" t="str">
        <f>IFERROR(__xludf.DUMMYFUNCTION("""COMPUTED_VALUE"""),"disagree")</f>
        <v>disagree</v>
      </c>
      <c r="R243" s="3" t="str">
        <f>IFERROR(__xludf.DUMMYFUNCTION("""COMPUTED_VALUE"""),"disagree")</f>
        <v>disagree</v>
      </c>
      <c r="S243" s="3" t="str">
        <f>IFERROR(__xludf.DUMMYFUNCTION("""COMPUTED_VALUE"""),"agree")</f>
        <v>agree</v>
      </c>
      <c r="T243" s="3" t="str">
        <f>IFERROR(__xludf.DUMMYFUNCTION("""COMPUTED_VALUE"""),"agree")</f>
        <v>agree</v>
      </c>
      <c r="U243" s="3" t="str">
        <f>IFERROR(__xludf.DUMMYFUNCTION("""COMPUTED_VALUE"""),"dontknow")</f>
        <v>dontknow</v>
      </c>
      <c r="V243" s="3" t="str">
        <f>IFERROR(__xludf.DUMMYFUNCTION("""COMPUTED_VALUE"""),"agree")</f>
        <v>agree</v>
      </c>
      <c r="W243" s="3" t="str">
        <f>IFERROR(__xludf.DUMMYFUNCTION("""COMPUTED_VALUE"""),"disagree")</f>
        <v>disagree</v>
      </c>
      <c r="X243" s="3" t="str">
        <f>IFERROR(__xludf.DUMMYFUNCTION("""COMPUTED_VALUE"""),"Gold")</f>
        <v>Gold</v>
      </c>
      <c r="Y243" s="3" t="str">
        <f>IFERROR(__xludf.DUMMYFUNCTION("""COMPUTED_VALUE"""),"cash")</f>
        <v>cash</v>
      </c>
      <c r="Z243" s="3" t="str">
        <f>IFERROR(__xludf.DUMMYFUNCTION("""COMPUTED_VALUE"""),"once")</f>
        <v>once</v>
      </c>
      <c r="AA243" s="3">
        <f>IFERROR(__xludf.DUMMYFUNCTION("""COMPUTED_VALUE"""),10.0)</f>
        <v>10</v>
      </c>
      <c r="AB243" s="3" t="str">
        <f>IFERROR(__xludf.DUMMYFUNCTION("""COMPUTED_VALUE"""),"assisted")</f>
        <v>assisted</v>
      </c>
      <c r="AC243" s="3" t="str">
        <f>IFERROR(__xludf.DUMMYFUNCTION("""COMPUTED_VALUE"""),"I am not an employer")</f>
        <v>I am not an employer</v>
      </c>
      <c r="AD243" s="3"/>
      <c r="AE243" s="3"/>
      <c r="AF243" s="3" t="str">
        <f>IFERROR(__xludf.DUMMYFUNCTION("""COMPUTED_VALUE"""),"Yes")</f>
        <v>Yes</v>
      </c>
      <c r="AG243" s="3" t="str">
        <f>IFERROR(__xludf.DUMMYFUNCTION("""COMPUTED_VALUE"""),"No")</f>
        <v>No</v>
      </c>
      <c r="AH243" s="3"/>
      <c r="AI243" s="3">
        <f>IFERROR(__xludf.DUMMYFUNCTION("""COMPUTED_VALUE"""),1.0)</f>
        <v>1</v>
      </c>
      <c r="AJ243" s="3">
        <f>IFERROR(__xludf.DUMMYFUNCTION("""COMPUTED_VALUE"""),1.0)</f>
        <v>1</v>
      </c>
      <c r="AK243" s="3">
        <f>IFERROR(__xludf.DUMMYFUNCTION("""COMPUTED_VALUE"""),1.0)</f>
        <v>1</v>
      </c>
      <c r="AL243" s="3">
        <f>IFERROR(__xludf.DUMMYFUNCTION("""COMPUTED_VALUE"""),1.0)</f>
        <v>1</v>
      </c>
      <c r="AM243" s="3" t="str">
        <f>IFERROR(__xludf.DUMMYFUNCTION("""COMPUTED_VALUE"""),"No")</f>
        <v>No</v>
      </c>
      <c r="AN243" s="3"/>
      <c r="AO243" s="3"/>
      <c r="AP243" s="3">
        <f>IFERROR(__xludf.DUMMYFUNCTION("""COMPUTED_VALUE"""),4.90413758E8)</f>
        <v>490413758</v>
      </c>
      <c r="AQ243" s="3" t="str">
        <f>IFERROR(__xludf.DUMMYFUNCTION("""COMPUTED_VALUE"""),"0ec49203-df94-4cdf-aa91-07b5a772ae60")</f>
        <v>0ec49203-df94-4cdf-aa91-07b5a772ae60</v>
      </c>
      <c r="AR243" s="3">
        <f>IFERROR(__xludf.DUMMYFUNCTION("""COMPUTED_VALUE"""),45809.448379629626)</f>
        <v>45809.44838</v>
      </c>
      <c r="AS243" s="3"/>
      <c r="AT243" s="3"/>
      <c r="AU243" s="3" t="str">
        <f>IFERROR(__xludf.DUMMYFUNCTION("""COMPUTED_VALUE"""),"submitted_via_web")</f>
        <v>submitted_via_web</v>
      </c>
      <c r="AV243" s="3"/>
      <c r="AW243" s="3" t="str">
        <f>IFERROR(__xludf.DUMMYFUNCTION("""COMPUTED_VALUE"""),"vckVTgNzM4XXtKAKNnsHpB")</f>
        <v>vckVTgNzM4XXtKAKNnsHpB</v>
      </c>
      <c r="AX243" s="3"/>
      <c r="AY243" s="3">
        <f>IFERROR(__xludf.DUMMYFUNCTION("""COMPUTED_VALUE"""),242.0)</f>
        <v>242</v>
      </c>
    </row>
    <row r="244">
      <c r="A244" s="3" t="str">
        <f>IFERROR(__xludf.DUMMYFUNCTION("""COMPUTED_VALUE"""),"Yes")</f>
        <v>Yes</v>
      </c>
      <c r="B244" s="3"/>
      <c r="C244" s="3" t="str">
        <f>IFERROR(__xludf.DUMMYFUNCTION("""COMPUTED_VALUE"""),"mozambique")</f>
        <v>mozambique</v>
      </c>
      <c r="D244" s="3"/>
      <c r="E244" s="3" t="str">
        <f>IFERROR(__xludf.DUMMYFUNCTION("""COMPUTED_VALUE"""),"south_africa")</f>
        <v>south_africa</v>
      </c>
      <c r="F244" s="3" t="str">
        <f>IFERROR(__xludf.DUMMYFUNCTION("""COMPUTED_VALUE"""),"City of Tshwane Metropolitan Municipality")</f>
        <v>City of Tshwane Metropolitan Municipality</v>
      </c>
      <c r="G244" s="3">
        <f>IFERROR(__xludf.DUMMYFUNCTION("""COMPUTED_VALUE"""),33.0)</f>
        <v>33</v>
      </c>
      <c r="H244" s="3" t="str">
        <f>IFERROR(__xludf.DUMMYFUNCTION("""COMPUTED_VALUE"""),"female")</f>
        <v>female</v>
      </c>
      <c r="I244" s="3" t="str">
        <f>IFERROR(__xludf.DUMMYFUNCTION("""COMPUTED_VALUE"""),"over5")</f>
        <v>over5</v>
      </c>
      <c r="J244" s="3" t="str">
        <f>IFERROR(__xludf.DUMMYFUNCTION("""COMPUTED_VALUE"""),"ownbusiness")</f>
        <v>ownbusiness</v>
      </c>
      <c r="K244" s="3" t="str">
        <f>IFERROR(__xludf.DUMMYFUNCTION("""COMPUTED_VALUE"""),"secondary")</f>
        <v>secondary</v>
      </c>
      <c r="L244" s="3"/>
      <c r="M244" s="3" t="str">
        <f>IFERROR(__xludf.DUMMYFUNCTION("""COMPUTED_VALUE"""),"agree")</f>
        <v>agree</v>
      </c>
      <c r="N244" s="3" t="str">
        <f>IFERROR(__xludf.DUMMYFUNCTION("""COMPUTED_VALUE"""),"agree")</f>
        <v>agree</v>
      </c>
      <c r="O244" s="3" t="str">
        <f>IFERROR(__xludf.DUMMYFUNCTION("""COMPUTED_VALUE"""),"disagree")</f>
        <v>disagree</v>
      </c>
      <c r="P244" s="3"/>
      <c r="Q244" s="3" t="str">
        <f>IFERROR(__xludf.DUMMYFUNCTION("""COMPUTED_VALUE"""),"agree")</f>
        <v>agree</v>
      </c>
      <c r="R244" s="3" t="str">
        <f>IFERROR(__xludf.DUMMYFUNCTION("""COMPUTED_VALUE"""),"agree")</f>
        <v>agree</v>
      </c>
      <c r="S244" s="3" t="str">
        <f>IFERROR(__xludf.DUMMYFUNCTION("""COMPUTED_VALUE"""),"agree")</f>
        <v>agree</v>
      </c>
      <c r="T244" s="3" t="str">
        <f>IFERROR(__xludf.DUMMYFUNCTION("""COMPUTED_VALUE"""),"agree")</f>
        <v>agree</v>
      </c>
      <c r="U244" s="3" t="str">
        <f>IFERROR(__xludf.DUMMYFUNCTION("""COMPUTED_VALUE"""),"agree")</f>
        <v>agree</v>
      </c>
      <c r="V244" s="3" t="str">
        <f>IFERROR(__xludf.DUMMYFUNCTION("""COMPUTED_VALUE"""),"agree")</f>
        <v>agree</v>
      </c>
      <c r="W244" s="3" t="str">
        <f>IFERROR(__xludf.DUMMYFUNCTION("""COMPUTED_VALUE"""),"agree")</f>
        <v>agree</v>
      </c>
      <c r="X244" s="3" t="str">
        <f>IFERROR(__xludf.DUMMYFUNCTION("""COMPUTED_VALUE"""),"Gold")</f>
        <v>Gold</v>
      </c>
      <c r="Y244" s="3" t="str">
        <f>IFERROR(__xludf.DUMMYFUNCTION("""COMPUTED_VALUE"""),"prepaid")</f>
        <v>prepaid</v>
      </c>
      <c r="Z244" s="3" t="str">
        <f>IFERROR(__xludf.DUMMYFUNCTION("""COMPUTED_VALUE"""),"annual")</f>
        <v>annual</v>
      </c>
      <c r="AA244" s="3">
        <f>IFERROR(__xludf.DUMMYFUNCTION("""COMPUTED_VALUE"""),100.0)</f>
        <v>100</v>
      </c>
      <c r="AB244" s="3" t="str">
        <f>IFERROR(__xludf.DUMMYFUNCTION("""COMPUTED_VALUE"""),"assisted")</f>
        <v>assisted</v>
      </c>
      <c r="AC244" s="3" t="str">
        <f>IFERROR(__xludf.DUMMYFUNCTION("""COMPUTED_VALUE"""),"I am not an employer")</f>
        <v>I am not an employer</v>
      </c>
      <c r="AD244" s="3"/>
      <c r="AE244" s="3"/>
      <c r="AF244" s="3" t="str">
        <f>IFERROR(__xludf.DUMMYFUNCTION("""COMPUTED_VALUE"""),"Yes")</f>
        <v>Yes</v>
      </c>
      <c r="AG244" s="3" t="str">
        <f>IFERROR(__xludf.DUMMYFUNCTION("""COMPUTED_VALUE"""),"Yes")</f>
        <v>Yes</v>
      </c>
      <c r="AH244" s="3">
        <f>IFERROR(__xludf.DUMMYFUNCTION("""COMPUTED_VALUE"""),500.0)</f>
        <v>500</v>
      </c>
      <c r="AI244" s="3">
        <f>IFERROR(__xludf.DUMMYFUNCTION("""COMPUTED_VALUE"""),0.0)</f>
        <v>0</v>
      </c>
      <c r="AJ244" s="3">
        <f>IFERROR(__xludf.DUMMYFUNCTION("""COMPUTED_VALUE"""),0.0)</f>
        <v>0</v>
      </c>
      <c r="AK244" s="3">
        <f>IFERROR(__xludf.DUMMYFUNCTION("""COMPUTED_VALUE"""),0.0)</f>
        <v>0</v>
      </c>
      <c r="AL244" s="3">
        <f>IFERROR(__xludf.DUMMYFUNCTION("""COMPUTED_VALUE"""),1.0)</f>
        <v>1</v>
      </c>
      <c r="AM244" s="3" t="str">
        <f>IFERROR(__xludf.DUMMYFUNCTION("""COMPUTED_VALUE"""),"Yes")</f>
        <v>Yes</v>
      </c>
      <c r="AN244" s="3">
        <f>IFERROR(__xludf.DUMMYFUNCTION("""COMPUTED_VALUE"""),7.27923016E8)</f>
        <v>727923016</v>
      </c>
      <c r="AO244" s="3"/>
      <c r="AP244" s="3">
        <f>IFERROR(__xludf.DUMMYFUNCTION("""COMPUTED_VALUE"""),4.90414212E8)</f>
        <v>490414212</v>
      </c>
      <c r="AQ244" s="3" t="str">
        <f>IFERROR(__xludf.DUMMYFUNCTION("""COMPUTED_VALUE"""),"e00381e2-27f8-4d7e-bbad-f5fe29107784")</f>
        <v>e00381e2-27f8-4d7e-bbad-f5fe29107784</v>
      </c>
      <c r="AR244" s="3">
        <f>IFERROR(__xludf.DUMMYFUNCTION("""COMPUTED_VALUE"""),45809.44950231481)</f>
        <v>45809.4495</v>
      </c>
      <c r="AS244" s="3"/>
      <c r="AT244" s="3"/>
      <c r="AU244" s="3" t="str">
        <f>IFERROR(__xludf.DUMMYFUNCTION("""COMPUTED_VALUE"""),"submitted_via_web")</f>
        <v>submitted_via_web</v>
      </c>
      <c r="AV244" s="3"/>
      <c r="AW244" s="3" t="str">
        <f>IFERROR(__xludf.DUMMYFUNCTION("""COMPUTED_VALUE"""),"vckVTgNzM4XXtKAKNnsHpB")</f>
        <v>vckVTgNzM4XXtKAKNnsHpB</v>
      </c>
      <c r="AX244" s="3"/>
      <c r="AY244" s="3">
        <f>IFERROR(__xludf.DUMMYFUNCTION("""COMPUTED_VALUE"""),243.0)</f>
        <v>243</v>
      </c>
    </row>
    <row r="245">
      <c r="A245" s="3" t="str">
        <f>IFERROR(__xludf.DUMMYFUNCTION("""COMPUTED_VALUE"""),"Yes")</f>
        <v>Yes</v>
      </c>
      <c r="B245" s="3"/>
      <c r="C245" s="3" t="str">
        <f>IFERROR(__xludf.DUMMYFUNCTION("""COMPUTED_VALUE"""),"mozambique")</f>
        <v>mozambique</v>
      </c>
      <c r="D245" s="3"/>
      <c r="E245" s="3" t="str">
        <f>IFERROR(__xludf.DUMMYFUNCTION("""COMPUTED_VALUE"""),"south_africa")</f>
        <v>south_africa</v>
      </c>
      <c r="F245" s="3" t="str">
        <f>IFERROR(__xludf.DUMMYFUNCTION("""COMPUTED_VALUE"""),"City of Tshwane Metropolitan Municipality")</f>
        <v>City of Tshwane Metropolitan Municipality</v>
      </c>
      <c r="G245" s="3">
        <f>IFERROR(__xludf.DUMMYFUNCTION("""COMPUTED_VALUE"""),29.0)</f>
        <v>29</v>
      </c>
      <c r="H245" s="3" t="str">
        <f>IFERROR(__xludf.DUMMYFUNCTION("""COMPUTED_VALUE"""),"male")</f>
        <v>male</v>
      </c>
      <c r="I245" s="3" t="str">
        <f>IFERROR(__xludf.DUMMYFUNCTION("""COMPUTED_VALUE"""),"1to5")</f>
        <v>1to5</v>
      </c>
      <c r="J245" s="3" t="str">
        <f>IFERROR(__xludf.DUMMYFUNCTION("""COMPUTED_VALUE"""),"informal")</f>
        <v>informal</v>
      </c>
      <c r="K245" s="3" t="str">
        <f>IFERROR(__xludf.DUMMYFUNCTION("""COMPUTED_VALUE"""),"primary")</f>
        <v>primary</v>
      </c>
      <c r="L245" s="3"/>
      <c r="M245" s="3" t="str">
        <f>IFERROR(__xludf.DUMMYFUNCTION("""COMPUTED_VALUE"""),"agree")</f>
        <v>agree</v>
      </c>
      <c r="N245" s="3" t="str">
        <f>IFERROR(__xludf.DUMMYFUNCTION("""COMPUTED_VALUE"""),"agree")</f>
        <v>agree</v>
      </c>
      <c r="O245" s="3" t="str">
        <f>IFERROR(__xludf.DUMMYFUNCTION("""COMPUTED_VALUE"""),"dontknow")</f>
        <v>dontknow</v>
      </c>
      <c r="P245" s="3"/>
      <c r="Q245" s="3" t="str">
        <f>IFERROR(__xludf.DUMMYFUNCTION("""COMPUTED_VALUE"""),"agree")</f>
        <v>agree</v>
      </c>
      <c r="R245" s="3" t="str">
        <f>IFERROR(__xludf.DUMMYFUNCTION("""COMPUTED_VALUE"""),"agree")</f>
        <v>agree</v>
      </c>
      <c r="S245" s="3" t="str">
        <f>IFERROR(__xludf.DUMMYFUNCTION("""COMPUTED_VALUE"""),"agree")</f>
        <v>agree</v>
      </c>
      <c r="T245" s="3" t="str">
        <f>IFERROR(__xludf.DUMMYFUNCTION("""COMPUTED_VALUE"""),"agree")</f>
        <v>agree</v>
      </c>
      <c r="U245" s="3" t="str">
        <f>IFERROR(__xludf.DUMMYFUNCTION("""COMPUTED_VALUE"""),"agree")</f>
        <v>agree</v>
      </c>
      <c r="V245" s="3" t="str">
        <f>IFERROR(__xludf.DUMMYFUNCTION("""COMPUTED_VALUE"""),"agree")</f>
        <v>agree</v>
      </c>
      <c r="W245" s="3" t="str">
        <f>IFERROR(__xludf.DUMMYFUNCTION("""COMPUTED_VALUE"""),"agree")</f>
        <v>agree</v>
      </c>
      <c r="X245" s="3" t="str">
        <f>IFERROR(__xludf.DUMMYFUNCTION("""COMPUTED_VALUE"""),"Gold")</f>
        <v>Gold</v>
      </c>
      <c r="Y245" s="3" t="str">
        <f>IFERROR(__xludf.DUMMYFUNCTION("""COMPUTED_VALUE"""),"prepaid")</f>
        <v>prepaid</v>
      </c>
      <c r="Z245" s="3" t="str">
        <f>IFERROR(__xludf.DUMMYFUNCTION("""COMPUTED_VALUE"""),"biannual")</f>
        <v>biannual</v>
      </c>
      <c r="AA245" s="3">
        <f>IFERROR(__xludf.DUMMYFUNCTION("""COMPUTED_VALUE"""),50.0)</f>
        <v>50</v>
      </c>
      <c r="AB245" s="3" t="str">
        <f>IFERROR(__xludf.DUMMYFUNCTION("""COMPUTED_VALUE"""),"employer")</f>
        <v>employer</v>
      </c>
      <c r="AC245" s="3"/>
      <c r="AD245" s="3"/>
      <c r="AE245" s="3"/>
      <c r="AF245" s="3" t="str">
        <f>IFERROR(__xludf.DUMMYFUNCTION("""COMPUTED_VALUE"""),"Yes")</f>
        <v>Yes</v>
      </c>
      <c r="AG245" s="3" t="str">
        <f>IFERROR(__xludf.DUMMYFUNCTION("""COMPUTED_VALUE"""),"No")</f>
        <v>No</v>
      </c>
      <c r="AH245" s="3"/>
      <c r="AI245" s="3">
        <f>IFERROR(__xludf.DUMMYFUNCTION("""COMPUTED_VALUE"""),0.0)</f>
        <v>0</v>
      </c>
      <c r="AJ245" s="3">
        <f>IFERROR(__xludf.DUMMYFUNCTION("""COMPUTED_VALUE"""),0.0)</f>
        <v>0</v>
      </c>
      <c r="AK245" s="3">
        <f>IFERROR(__xludf.DUMMYFUNCTION("""COMPUTED_VALUE"""),0.0)</f>
        <v>0</v>
      </c>
      <c r="AL245" s="3">
        <f>IFERROR(__xludf.DUMMYFUNCTION("""COMPUTED_VALUE"""),1.0)</f>
        <v>1</v>
      </c>
      <c r="AM245" s="3" t="str">
        <f>IFERROR(__xludf.DUMMYFUNCTION("""COMPUTED_VALUE"""),"Yes")</f>
        <v>Yes</v>
      </c>
      <c r="AN245" s="3">
        <f>IFERROR(__xludf.DUMMYFUNCTION("""COMPUTED_VALUE"""),7.38978684E8)</f>
        <v>738978684</v>
      </c>
      <c r="AO245" s="3"/>
      <c r="AP245" s="3">
        <f>IFERROR(__xludf.DUMMYFUNCTION("""COMPUTED_VALUE"""),4.9041502E8)</f>
        <v>490415020</v>
      </c>
      <c r="AQ245" s="3" t="str">
        <f>IFERROR(__xludf.DUMMYFUNCTION("""COMPUTED_VALUE"""),"c0e747be-0c26-494a-b8d2-0f27cc6ade79")</f>
        <v>c0e747be-0c26-494a-b8d2-0f27cc6ade79</v>
      </c>
      <c r="AR245" s="3">
        <f>IFERROR(__xludf.DUMMYFUNCTION("""COMPUTED_VALUE"""),45809.45144675926)</f>
        <v>45809.45145</v>
      </c>
      <c r="AS245" s="3"/>
      <c r="AT245" s="3"/>
      <c r="AU245" s="3" t="str">
        <f>IFERROR(__xludf.DUMMYFUNCTION("""COMPUTED_VALUE"""),"submitted_via_web")</f>
        <v>submitted_via_web</v>
      </c>
      <c r="AV245" s="3"/>
      <c r="AW245" s="3" t="str">
        <f>IFERROR(__xludf.DUMMYFUNCTION("""COMPUTED_VALUE"""),"vckVTgNzM4XXtKAKNnsHpB")</f>
        <v>vckVTgNzM4XXtKAKNnsHpB</v>
      </c>
      <c r="AX245" s="3"/>
      <c r="AY245" s="3">
        <f>IFERROR(__xludf.DUMMYFUNCTION("""COMPUTED_VALUE"""),244.0)</f>
        <v>244</v>
      </c>
    </row>
    <row r="246">
      <c r="A246" s="3" t="str">
        <f>IFERROR(__xludf.DUMMYFUNCTION("""COMPUTED_VALUE"""),"Yes")</f>
        <v>Yes</v>
      </c>
      <c r="B246" s="3"/>
      <c r="C246" s="3" t="str">
        <f>IFERROR(__xludf.DUMMYFUNCTION("""COMPUTED_VALUE"""),"mozambique")</f>
        <v>mozambique</v>
      </c>
      <c r="D246" s="3"/>
      <c r="E246" s="3" t="str">
        <f>IFERROR(__xludf.DUMMYFUNCTION("""COMPUTED_VALUE"""),"south_africa")</f>
        <v>south_africa</v>
      </c>
      <c r="F246" s="3" t="str">
        <f>IFERROR(__xludf.DUMMYFUNCTION("""COMPUTED_VALUE"""),"City of Tshwane Metropolitan Municipality")</f>
        <v>City of Tshwane Metropolitan Municipality</v>
      </c>
      <c r="G246" s="3">
        <f>IFERROR(__xludf.DUMMYFUNCTION("""COMPUTED_VALUE"""),38.0)</f>
        <v>38</v>
      </c>
      <c r="H246" s="3" t="str">
        <f>IFERROR(__xludf.DUMMYFUNCTION("""COMPUTED_VALUE"""),"male")</f>
        <v>male</v>
      </c>
      <c r="I246" s="3" t="str">
        <f>IFERROR(__xludf.DUMMYFUNCTION("""COMPUTED_VALUE"""),"over5")</f>
        <v>over5</v>
      </c>
      <c r="J246" s="3" t="str">
        <f>IFERROR(__xludf.DUMMYFUNCTION("""COMPUTED_VALUE"""),"ownbusiness")</f>
        <v>ownbusiness</v>
      </c>
      <c r="K246" s="3" t="str">
        <f>IFERROR(__xludf.DUMMYFUNCTION("""COMPUTED_VALUE"""),"secondary")</f>
        <v>secondary</v>
      </c>
      <c r="L246" s="3"/>
      <c r="M246" s="3" t="str">
        <f>IFERROR(__xludf.DUMMYFUNCTION("""COMPUTED_VALUE"""),"agree")</f>
        <v>agree</v>
      </c>
      <c r="N246" s="3" t="str">
        <f>IFERROR(__xludf.DUMMYFUNCTION("""COMPUTED_VALUE"""),"agree")</f>
        <v>agree</v>
      </c>
      <c r="O246" s="3" t="str">
        <f>IFERROR(__xludf.DUMMYFUNCTION("""COMPUTED_VALUE"""),"disagree")</f>
        <v>disagree</v>
      </c>
      <c r="P246" s="3"/>
      <c r="Q246" s="3" t="str">
        <f>IFERROR(__xludf.DUMMYFUNCTION("""COMPUTED_VALUE"""),"disagree")</f>
        <v>disagree</v>
      </c>
      <c r="R246" s="3" t="str">
        <f>IFERROR(__xludf.DUMMYFUNCTION("""COMPUTED_VALUE"""),"disagree")</f>
        <v>disagree</v>
      </c>
      <c r="S246" s="3" t="str">
        <f>IFERROR(__xludf.DUMMYFUNCTION("""COMPUTED_VALUE"""),"agree")</f>
        <v>agree</v>
      </c>
      <c r="T246" s="3" t="str">
        <f>IFERROR(__xludf.DUMMYFUNCTION("""COMPUTED_VALUE"""),"disagree")</f>
        <v>disagree</v>
      </c>
      <c r="U246" s="3" t="str">
        <f>IFERROR(__xludf.DUMMYFUNCTION("""COMPUTED_VALUE"""),"disagree")</f>
        <v>disagree</v>
      </c>
      <c r="V246" s="3" t="str">
        <f>IFERROR(__xludf.DUMMYFUNCTION("""COMPUTED_VALUE"""),"disagree")</f>
        <v>disagree</v>
      </c>
      <c r="W246" s="3" t="str">
        <f>IFERROR(__xludf.DUMMYFUNCTION("""COMPUTED_VALUE"""),"disagree")</f>
        <v>disagree</v>
      </c>
      <c r="X246" s="3" t="str">
        <f>IFERROR(__xludf.DUMMYFUNCTION("""COMPUTED_VALUE"""),"Silver")</f>
        <v>Silver</v>
      </c>
      <c r="Y246" s="3" t="str">
        <f>IFERROR(__xludf.DUMMYFUNCTION("""COMPUTED_VALUE"""),"cash")</f>
        <v>cash</v>
      </c>
      <c r="Z246" s="3" t="str">
        <f>IFERROR(__xludf.DUMMYFUNCTION("""COMPUTED_VALUE"""),"annual")</f>
        <v>annual</v>
      </c>
      <c r="AA246" s="3">
        <f>IFERROR(__xludf.DUMMYFUNCTION("""COMPUTED_VALUE"""),100.0)</f>
        <v>100</v>
      </c>
      <c r="AB246" s="3" t="str">
        <f>IFERROR(__xludf.DUMMYFUNCTION("""COMPUTED_VALUE"""),"online")</f>
        <v>online</v>
      </c>
      <c r="AC246" s="3" t="str">
        <f>IFERROR(__xludf.DUMMYFUNCTION("""COMPUTED_VALUE"""),"Yes")</f>
        <v>Yes</v>
      </c>
      <c r="AD246" s="3" t="str">
        <f>IFERROR(__xludf.DUMMYFUNCTION("""COMPUTED_VALUE"""),"Gold")</f>
        <v>Gold</v>
      </c>
      <c r="AE246" s="3" t="str">
        <f>IFERROR(__xludf.DUMMYFUNCTION("""COMPUTED_VALUE"""),"Yes")</f>
        <v>Yes</v>
      </c>
      <c r="AF246" s="3" t="str">
        <f>IFERROR(__xludf.DUMMYFUNCTION("""COMPUTED_VALUE"""),"Yes")</f>
        <v>Yes</v>
      </c>
      <c r="AG246" s="3" t="str">
        <f>IFERROR(__xludf.DUMMYFUNCTION("""COMPUTED_VALUE"""),"Yes")</f>
        <v>Yes</v>
      </c>
      <c r="AH246" s="3">
        <f>IFERROR(__xludf.DUMMYFUNCTION("""COMPUTED_VALUE"""),10.0)</f>
        <v>10</v>
      </c>
      <c r="AI246" s="3">
        <f>IFERROR(__xludf.DUMMYFUNCTION("""COMPUTED_VALUE"""),1.0)</f>
        <v>1</v>
      </c>
      <c r="AJ246" s="3">
        <f>IFERROR(__xludf.DUMMYFUNCTION("""COMPUTED_VALUE"""),0.0)</f>
        <v>0</v>
      </c>
      <c r="AK246" s="3">
        <f>IFERROR(__xludf.DUMMYFUNCTION("""COMPUTED_VALUE"""),0.0)</f>
        <v>0</v>
      </c>
      <c r="AL246" s="3">
        <f>IFERROR(__xludf.DUMMYFUNCTION("""COMPUTED_VALUE"""),0.0)</f>
        <v>0</v>
      </c>
      <c r="AM246" s="3" t="str">
        <f>IFERROR(__xludf.DUMMYFUNCTION("""COMPUTED_VALUE"""),"Yes")</f>
        <v>Yes</v>
      </c>
      <c r="AN246" s="3">
        <f>IFERROR(__xludf.DUMMYFUNCTION("""COMPUTED_VALUE"""),6.04436785E8)</f>
        <v>604436785</v>
      </c>
      <c r="AO246" s="3"/>
      <c r="AP246" s="3">
        <f>IFERROR(__xludf.DUMMYFUNCTION("""COMPUTED_VALUE"""),4.90415423E8)</f>
        <v>490415423</v>
      </c>
      <c r="AQ246" s="3" t="str">
        <f>IFERROR(__xludf.DUMMYFUNCTION("""COMPUTED_VALUE"""),"1addaf6d-849c-48c6-89eb-d68f7d03df6c")</f>
        <v>1addaf6d-849c-48c6-89eb-d68f7d03df6c</v>
      </c>
      <c r="AR246" s="3">
        <f>IFERROR(__xludf.DUMMYFUNCTION("""COMPUTED_VALUE"""),45809.452048611114)</f>
        <v>45809.45205</v>
      </c>
      <c r="AS246" s="3"/>
      <c r="AT246" s="3"/>
      <c r="AU246" s="3" t="str">
        <f>IFERROR(__xludf.DUMMYFUNCTION("""COMPUTED_VALUE"""),"submitted_via_web")</f>
        <v>submitted_via_web</v>
      </c>
      <c r="AV246" s="3"/>
      <c r="AW246" s="3" t="str">
        <f>IFERROR(__xludf.DUMMYFUNCTION("""COMPUTED_VALUE"""),"vckVTgNzM4XXtKAKNnsHpB")</f>
        <v>vckVTgNzM4XXtKAKNnsHpB</v>
      </c>
      <c r="AX246" s="3"/>
      <c r="AY246" s="3">
        <f>IFERROR(__xludf.DUMMYFUNCTION("""COMPUTED_VALUE"""),245.0)</f>
        <v>245</v>
      </c>
    </row>
    <row r="247">
      <c r="A247" s="3" t="str">
        <f>IFERROR(__xludf.DUMMYFUNCTION("""COMPUTED_VALUE"""),"Yes")</f>
        <v>Yes</v>
      </c>
      <c r="B247" s="3"/>
      <c r="C247" s="3" t="str">
        <f>IFERROR(__xludf.DUMMYFUNCTION("""COMPUTED_VALUE"""),"zimbabwe")</f>
        <v>zimbabwe</v>
      </c>
      <c r="D247" s="3"/>
      <c r="E247" s="3" t="str">
        <f>IFERROR(__xludf.DUMMYFUNCTION("""COMPUTED_VALUE"""),"south_africa")</f>
        <v>south_africa</v>
      </c>
      <c r="F247" s="3" t="str">
        <f>IFERROR(__xludf.DUMMYFUNCTION("""COMPUTED_VALUE"""),"City of Tshwane Metropolitan Municipality")</f>
        <v>City of Tshwane Metropolitan Municipality</v>
      </c>
      <c r="G247" s="3">
        <f>IFERROR(__xludf.DUMMYFUNCTION("""COMPUTED_VALUE"""),43.0)</f>
        <v>43</v>
      </c>
      <c r="H247" s="3" t="str">
        <f>IFERROR(__xludf.DUMMYFUNCTION("""COMPUTED_VALUE"""),"male")</f>
        <v>male</v>
      </c>
      <c r="I247" s="3" t="str">
        <f>IFERROR(__xludf.DUMMYFUNCTION("""COMPUTED_VALUE"""),"over5")</f>
        <v>over5</v>
      </c>
      <c r="J247" s="3" t="str">
        <f>IFERROR(__xludf.DUMMYFUNCTION("""COMPUTED_VALUE"""),"unemployed")</f>
        <v>unemployed</v>
      </c>
      <c r="K247" s="3" t="str">
        <f>IFERROR(__xludf.DUMMYFUNCTION("""COMPUTED_VALUE"""),"primary")</f>
        <v>primary</v>
      </c>
      <c r="L247" s="3"/>
      <c r="M247" s="3" t="str">
        <f>IFERROR(__xludf.DUMMYFUNCTION("""COMPUTED_VALUE"""),"agree")</f>
        <v>agree</v>
      </c>
      <c r="N247" s="3" t="str">
        <f>IFERROR(__xludf.DUMMYFUNCTION("""COMPUTED_VALUE"""),"agree")</f>
        <v>agree</v>
      </c>
      <c r="O247" s="3" t="str">
        <f>IFERROR(__xludf.DUMMYFUNCTION("""COMPUTED_VALUE"""),"disagree")</f>
        <v>disagree</v>
      </c>
      <c r="P247" s="3"/>
      <c r="Q247" s="3" t="str">
        <f>IFERROR(__xludf.DUMMYFUNCTION("""COMPUTED_VALUE"""),"agree")</f>
        <v>agree</v>
      </c>
      <c r="R247" s="3" t="str">
        <f>IFERROR(__xludf.DUMMYFUNCTION("""COMPUTED_VALUE"""),"agree")</f>
        <v>agree</v>
      </c>
      <c r="S247" s="3" t="str">
        <f>IFERROR(__xludf.DUMMYFUNCTION("""COMPUTED_VALUE"""),"dontknow")</f>
        <v>dontknow</v>
      </c>
      <c r="T247" s="3" t="str">
        <f>IFERROR(__xludf.DUMMYFUNCTION("""COMPUTED_VALUE"""),"agree")</f>
        <v>agree</v>
      </c>
      <c r="U247" s="3" t="str">
        <f>IFERROR(__xludf.DUMMYFUNCTION("""COMPUTED_VALUE"""),"agree")</f>
        <v>agree</v>
      </c>
      <c r="V247" s="3" t="str">
        <f>IFERROR(__xludf.DUMMYFUNCTION("""COMPUTED_VALUE"""),"agree")</f>
        <v>agree</v>
      </c>
      <c r="W247" s="3" t="str">
        <f>IFERROR(__xludf.DUMMYFUNCTION("""COMPUTED_VALUE"""),"agree")</f>
        <v>agree</v>
      </c>
      <c r="X247" s="3" t="str">
        <f>IFERROR(__xludf.DUMMYFUNCTION("""COMPUTED_VALUE"""),"Gold")</f>
        <v>Gold</v>
      </c>
      <c r="Y247" s="3" t="str">
        <f>IFERROR(__xludf.DUMMYFUNCTION("""COMPUTED_VALUE"""),"prepaid")</f>
        <v>prepaid</v>
      </c>
      <c r="Z247" s="3" t="str">
        <f>IFERROR(__xludf.DUMMYFUNCTION("""COMPUTED_VALUE"""),"annual")</f>
        <v>annual</v>
      </c>
      <c r="AA247" s="3">
        <f>IFERROR(__xludf.DUMMYFUNCTION("""COMPUTED_VALUE"""),50.0)</f>
        <v>50</v>
      </c>
      <c r="AB247" s="3" t="str">
        <f>IFERROR(__xludf.DUMMYFUNCTION("""COMPUTED_VALUE"""),"employer")</f>
        <v>employer</v>
      </c>
      <c r="AC247" s="3" t="str">
        <f>IFERROR(__xludf.DUMMYFUNCTION("""COMPUTED_VALUE"""),"I am not an employer")</f>
        <v>I am not an employer</v>
      </c>
      <c r="AD247" s="3"/>
      <c r="AE247" s="3"/>
      <c r="AF247" s="3" t="str">
        <f>IFERROR(__xludf.DUMMYFUNCTION("""COMPUTED_VALUE"""),"Yes")</f>
        <v>Yes</v>
      </c>
      <c r="AG247" s="3" t="str">
        <f>IFERROR(__xludf.DUMMYFUNCTION("""COMPUTED_VALUE"""),"Yes")</f>
        <v>Yes</v>
      </c>
      <c r="AH247" s="3">
        <f>IFERROR(__xludf.DUMMYFUNCTION("""COMPUTED_VALUE"""),500.0)</f>
        <v>500</v>
      </c>
      <c r="AI247" s="3">
        <f>IFERROR(__xludf.DUMMYFUNCTION("""COMPUTED_VALUE"""),0.0)</f>
        <v>0</v>
      </c>
      <c r="AJ247" s="3">
        <f>IFERROR(__xludf.DUMMYFUNCTION("""COMPUTED_VALUE"""),0.0)</f>
        <v>0</v>
      </c>
      <c r="AK247" s="3">
        <f>IFERROR(__xludf.DUMMYFUNCTION("""COMPUTED_VALUE"""),0.0)</f>
        <v>0</v>
      </c>
      <c r="AL247" s="3">
        <f>IFERROR(__xludf.DUMMYFUNCTION("""COMPUTED_VALUE"""),1.0)</f>
        <v>1</v>
      </c>
      <c r="AM247" s="3" t="str">
        <f>IFERROR(__xludf.DUMMYFUNCTION("""COMPUTED_VALUE"""),"Yes")</f>
        <v>Yes</v>
      </c>
      <c r="AN247" s="3">
        <f>IFERROR(__xludf.DUMMYFUNCTION("""COMPUTED_VALUE"""),7.12667257E8)</f>
        <v>712667257</v>
      </c>
      <c r="AO247" s="3"/>
      <c r="AP247" s="3">
        <f>IFERROR(__xludf.DUMMYFUNCTION("""COMPUTED_VALUE"""),4.90415882E8)</f>
        <v>490415882</v>
      </c>
      <c r="AQ247" s="3" t="str">
        <f>IFERROR(__xludf.DUMMYFUNCTION("""COMPUTED_VALUE"""),"538a4a68-89fe-4347-aec8-152d60726376")</f>
        <v>538a4a68-89fe-4347-aec8-152d60726376</v>
      </c>
      <c r="AR247" s="3">
        <f>IFERROR(__xludf.DUMMYFUNCTION("""COMPUTED_VALUE"""),45809.45297453704)</f>
        <v>45809.45297</v>
      </c>
      <c r="AS247" s="3"/>
      <c r="AT247" s="3"/>
      <c r="AU247" s="3" t="str">
        <f>IFERROR(__xludf.DUMMYFUNCTION("""COMPUTED_VALUE"""),"submitted_via_web")</f>
        <v>submitted_via_web</v>
      </c>
      <c r="AV247" s="3"/>
      <c r="AW247" s="3" t="str">
        <f>IFERROR(__xludf.DUMMYFUNCTION("""COMPUTED_VALUE"""),"vckVTgNzM4XXtKAKNnsHpB")</f>
        <v>vckVTgNzM4XXtKAKNnsHpB</v>
      </c>
      <c r="AX247" s="3"/>
      <c r="AY247" s="3">
        <f>IFERROR(__xludf.DUMMYFUNCTION("""COMPUTED_VALUE"""),246.0)</f>
        <v>246</v>
      </c>
    </row>
    <row r="248">
      <c r="A248" s="3" t="str">
        <f>IFERROR(__xludf.DUMMYFUNCTION("""COMPUTED_VALUE"""),"Yes")</f>
        <v>Yes</v>
      </c>
      <c r="B248" s="3"/>
      <c r="C248" s="3" t="str">
        <f>IFERROR(__xludf.DUMMYFUNCTION("""COMPUTED_VALUE"""),"zimbabwe")</f>
        <v>zimbabwe</v>
      </c>
      <c r="D248" s="3"/>
      <c r="E248" s="3" t="str">
        <f>IFERROR(__xludf.DUMMYFUNCTION("""COMPUTED_VALUE"""),"south_africa")</f>
        <v>south_africa</v>
      </c>
      <c r="F248" s="3" t="str">
        <f>IFERROR(__xludf.DUMMYFUNCTION("""COMPUTED_VALUE"""),"City of Tshwane Metropolitan Municipality")</f>
        <v>City of Tshwane Metropolitan Municipality</v>
      </c>
      <c r="G248" s="3">
        <f>IFERROR(__xludf.DUMMYFUNCTION("""COMPUTED_VALUE"""),36.0)</f>
        <v>36</v>
      </c>
      <c r="H248" s="3" t="str">
        <f>IFERROR(__xludf.DUMMYFUNCTION("""COMPUTED_VALUE"""),"female")</f>
        <v>female</v>
      </c>
      <c r="I248" s="3" t="str">
        <f>IFERROR(__xludf.DUMMYFUNCTION("""COMPUTED_VALUE"""),"over5")</f>
        <v>over5</v>
      </c>
      <c r="J248" s="3" t="str">
        <f>IFERROR(__xludf.DUMMYFUNCTION("""COMPUTED_VALUE"""),"ownbusiness")</f>
        <v>ownbusiness</v>
      </c>
      <c r="K248" s="3" t="str">
        <f>IFERROR(__xludf.DUMMYFUNCTION("""COMPUTED_VALUE"""),"primary")</f>
        <v>primary</v>
      </c>
      <c r="L248" s="3"/>
      <c r="M248" s="3" t="str">
        <f>IFERROR(__xludf.DUMMYFUNCTION("""COMPUTED_VALUE"""),"agree")</f>
        <v>agree</v>
      </c>
      <c r="N248" s="3" t="str">
        <f>IFERROR(__xludf.DUMMYFUNCTION("""COMPUTED_VALUE"""),"agree")</f>
        <v>agree</v>
      </c>
      <c r="O248" s="3" t="str">
        <f>IFERROR(__xludf.DUMMYFUNCTION("""COMPUTED_VALUE"""),"disagree")</f>
        <v>disagree</v>
      </c>
      <c r="P248" s="3"/>
      <c r="Q248" s="3" t="str">
        <f>IFERROR(__xludf.DUMMYFUNCTION("""COMPUTED_VALUE"""),"agree")</f>
        <v>agree</v>
      </c>
      <c r="R248" s="3" t="str">
        <f>IFERROR(__xludf.DUMMYFUNCTION("""COMPUTED_VALUE"""),"agree")</f>
        <v>agree</v>
      </c>
      <c r="S248" s="3" t="str">
        <f>IFERROR(__xludf.DUMMYFUNCTION("""COMPUTED_VALUE"""),"agree")</f>
        <v>agree</v>
      </c>
      <c r="T248" s="3" t="str">
        <f>IFERROR(__xludf.DUMMYFUNCTION("""COMPUTED_VALUE"""),"agree")</f>
        <v>agree</v>
      </c>
      <c r="U248" s="3" t="str">
        <f>IFERROR(__xludf.DUMMYFUNCTION("""COMPUTED_VALUE"""),"agree")</f>
        <v>agree</v>
      </c>
      <c r="V248" s="3" t="str">
        <f>IFERROR(__xludf.DUMMYFUNCTION("""COMPUTED_VALUE"""),"agree")</f>
        <v>agree</v>
      </c>
      <c r="W248" s="3" t="str">
        <f>IFERROR(__xludf.DUMMYFUNCTION("""COMPUTED_VALUE"""),"agree")</f>
        <v>agree</v>
      </c>
      <c r="X248" s="3" t="str">
        <f>IFERROR(__xludf.DUMMYFUNCTION("""COMPUTED_VALUE"""),"Gold")</f>
        <v>Gold</v>
      </c>
      <c r="Y248" s="3" t="str">
        <f>IFERROR(__xludf.DUMMYFUNCTION("""COMPUTED_VALUE"""),"cash")</f>
        <v>cash</v>
      </c>
      <c r="Z248" s="3" t="str">
        <f>IFERROR(__xludf.DUMMYFUNCTION("""COMPUTED_VALUE"""),"biannual")</f>
        <v>biannual</v>
      </c>
      <c r="AA248" s="3">
        <f>IFERROR(__xludf.DUMMYFUNCTION("""COMPUTED_VALUE"""),100.0)</f>
        <v>100</v>
      </c>
      <c r="AB248" s="3" t="str">
        <f>IFERROR(__xludf.DUMMYFUNCTION("""COMPUTED_VALUE"""),"employer")</f>
        <v>employer</v>
      </c>
      <c r="AC248" s="3" t="str">
        <f>IFERROR(__xludf.DUMMYFUNCTION("""COMPUTED_VALUE"""),"I am not an employer")</f>
        <v>I am not an employer</v>
      </c>
      <c r="AD248" s="3"/>
      <c r="AE248" s="3"/>
      <c r="AF248" s="3" t="str">
        <f>IFERROR(__xludf.DUMMYFUNCTION("""COMPUTED_VALUE"""),"Yes")</f>
        <v>Yes</v>
      </c>
      <c r="AG248" s="3" t="str">
        <f>IFERROR(__xludf.DUMMYFUNCTION("""COMPUTED_VALUE"""),"No")</f>
        <v>No</v>
      </c>
      <c r="AH248" s="3"/>
      <c r="AI248" s="3">
        <f>IFERROR(__xludf.DUMMYFUNCTION("""COMPUTED_VALUE"""),1.0)</f>
        <v>1</v>
      </c>
      <c r="AJ248" s="3">
        <f>IFERROR(__xludf.DUMMYFUNCTION("""COMPUTED_VALUE"""),0.0)</f>
        <v>0</v>
      </c>
      <c r="AK248" s="3">
        <f>IFERROR(__xludf.DUMMYFUNCTION("""COMPUTED_VALUE"""),0.0)</f>
        <v>0</v>
      </c>
      <c r="AL248" s="3">
        <f>IFERROR(__xludf.DUMMYFUNCTION("""COMPUTED_VALUE"""),0.0)</f>
        <v>0</v>
      </c>
      <c r="AM248" s="3" t="str">
        <f>IFERROR(__xludf.DUMMYFUNCTION("""COMPUTED_VALUE"""),"Yes")</f>
        <v>Yes</v>
      </c>
      <c r="AN248" s="3">
        <f>IFERROR(__xludf.DUMMYFUNCTION("""COMPUTED_VALUE"""),8.37472508E8)</f>
        <v>837472508</v>
      </c>
      <c r="AO248" s="3"/>
      <c r="AP248" s="3">
        <f>IFERROR(__xludf.DUMMYFUNCTION("""COMPUTED_VALUE"""),4.90416674E8)</f>
        <v>490416674</v>
      </c>
      <c r="AQ248" s="3" t="str">
        <f>IFERROR(__xludf.DUMMYFUNCTION("""COMPUTED_VALUE"""),"d48e2238-d067-453b-8016-70b31c9ba88b")</f>
        <v>d48e2238-d067-453b-8016-70b31c9ba88b</v>
      </c>
      <c r="AR248" s="3">
        <f>IFERROR(__xludf.DUMMYFUNCTION("""COMPUTED_VALUE"""),45809.45445601852)</f>
        <v>45809.45446</v>
      </c>
      <c r="AS248" s="3"/>
      <c r="AT248" s="3"/>
      <c r="AU248" s="3" t="str">
        <f>IFERROR(__xludf.DUMMYFUNCTION("""COMPUTED_VALUE"""),"submitted_via_web")</f>
        <v>submitted_via_web</v>
      </c>
      <c r="AV248" s="3"/>
      <c r="AW248" s="3" t="str">
        <f>IFERROR(__xludf.DUMMYFUNCTION("""COMPUTED_VALUE"""),"vckVTgNzM4XXtKAKNnsHpB")</f>
        <v>vckVTgNzM4XXtKAKNnsHpB</v>
      </c>
      <c r="AX248" s="3"/>
      <c r="AY248" s="3">
        <f>IFERROR(__xludf.DUMMYFUNCTION("""COMPUTED_VALUE"""),247.0)</f>
        <v>247</v>
      </c>
    </row>
    <row r="249">
      <c r="A249" s="3" t="str">
        <f>IFERROR(__xludf.DUMMYFUNCTION("""COMPUTED_VALUE"""),"Yes")</f>
        <v>Yes</v>
      </c>
      <c r="B249" s="3"/>
      <c r="C249" s="3" t="str">
        <f>IFERROR(__xludf.DUMMYFUNCTION("""COMPUTED_VALUE"""),"zimbabwe")</f>
        <v>zimbabwe</v>
      </c>
      <c r="D249" s="3"/>
      <c r="E249" s="3" t="str">
        <f>IFERROR(__xludf.DUMMYFUNCTION("""COMPUTED_VALUE"""),"south_africa")</f>
        <v>south_africa</v>
      </c>
      <c r="F249" s="3" t="str">
        <f>IFERROR(__xludf.DUMMYFUNCTION("""COMPUTED_VALUE"""),"City of Tshwane Metropolitan Municipality")</f>
        <v>City of Tshwane Metropolitan Municipality</v>
      </c>
      <c r="G249" s="3">
        <f>IFERROR(__xludf.DUMMYFUNCTION("""COMPUTED_VALUE"""),33.0)</f>
        <v>33</v>
      </c>
      <c r="H249" s="3" t="str">
        <f>IFERROR(__xludf.DUMMYFUNCTION("""COMPUTED_VALUE"""),"male")</f>
        <v>male</v>
      </c>
      <c r="I249" s="3" t="str">
        <f>IFERROR(__xludf.DUMMYFUNCTION("""COMPUTED_VALUE"""),"1to5")</f>
        <v>1to5</v>
      </c>
      <c r="J249" s="3" t="str">
        <f>IFERROR(__xludf.DUMMYFUNCTION("""COMPUTED_VALUE"""),"ownbusiness")</f>
        <v>ownbusiness</v>
      </c>
      <c r="K249" s="3" t="str">
        <f>IFERROR(__xludf.DUMMYFUNCTION("""COMPUTED_VALUE"""),"primary")</f>
        <v>primary</v>
      </c>
      <c r="L249" s="3"/>
      <c r="M249" s="3" t="str">
        <f>IFERROR(__xludf.DUMMYFUNCTION("""COMPUTED_VALUE"""),"agree")</f>
        <v>agree</v>
      </c>
      <c r="N249" s="3" t="str">
        <f>IFERROR(__xludf.DUMMYFUNCTION("""COMPUTED_VALUE"""),"agree")</f>
        <v>agree</v>
      </c>
      <c r="O249" s="3" t="str">
        <f>IFERROR(__xludf.DUMMYFUNCTION("""COMPUTED_VALUE"""),"dontknow")</f>
        <v>dontknow</v>
      </c>
      <c r="P249" s="3"/>
      <c r="Q249" s="3" t="str">
        <f>IFERROR(__xludf.DUMMYFUNCTION("""COMPUTED_VALUE"""),"agree")</f>
        <v>agree</v>
      </c>
      <c r="R249" s="3" t="str">
        <f>IFERROR(__xludf.DUMMYFUNCTION("""COMPUTED_VALUE"""),"agree")</f>
        <v>agree</v>
      </c>
      <c r="S249" s="3" t="str">
        <f>IFERROR(__xludf.DUMMYFUNCTION("""COMPUTED_VALUE"""),"agree")</f>
        <v>agree</v>
      </c>
      <c r="T249" s="3" t="str">
        <f>IFERROR(__xludf.DUMMYFUNCTION("""COMPUTED_VALUE"""),"agree")</f>
        <v>agree</v>
      </c>
      <c r="U249" s="3" t="str">
        <f>IFERROR(__xludf.DUMMYFUNCTION("""COMPUTED_VALUE"""),"agree")</f>
        <v>agree</v>
      </c>
      <c r="V249" s="3" t="str">
        <f>IFERROR(__xludf.DUMMYFUNCTION("""COMPUTED_VALUE"""),"agree")</f>
        <v>agree</v>
      </c>
      <c r="W249" s="3" t="str">
        <f>IFERROR(__xludf.DUMMYFUNCTION("""COMPUTED_VALUE"""),"agree")</f>
        <v>agree</v>
      </c>
      <c r="X249" s="3" t="str">
        <f>IFERROR(__xludf.DUMMYFUNCTION("""COMPUTED_VALUE"""),"Gold")</f>
        <v>Gold</v>
      </c>
      <c r="Y249" s="3" t="str">
        <f>IFERROR(__xludf.DUMMYFUNCTION("""COMPUTED_VALUE"""),"prepaid")</f>
        <v>prepaid</v>
      </c>
      <c r="Z249" s="3"/>
      <c r="AA249" s="3">
        <f>IFERROR(__xludf.DUMMYFUNCTION("""COMPUTED_VALUE"""),50.0)</f>
        <v>50</v>
      </c>
      <c r="AB249" s="3" t="str">
        <f>IFERROR(__xludf.DUMMYFUNCTION("""COMPUTED_VALUE"""),"employer")</f>
        <v>employer</v>
      </c>
      <c r="AC249" s="3" t="str">
        <f>IFERROR(__xludf.DUMMYFUNCTION("""COMPUTED_VALUE"""),"I am not an employer")</f>
        <v>I am not an employer</v>
      </c>
      <c r="AD249" s="3"/>
      <c r="AE249" s="3"/>
      <c r="AF249" s="3" t="str">
        <f>IFERROR(__xludf.DUMMYFUNCTION("""COMPUTED_VALUE"""),"Yes")</f>
        <v>Yes</v>
      </c>
      <c r="AG249" s="3" t="str">
        <f>IFERROR(__xludf.DUMMYFUNCTION("""COMPUTED_VALUE"""),"No")</f>
        <v>No</v>
      </c>
      <c r="AH249" s="3"/>
      <c r="AI249" s="3">
        <f>IFERROR(__xludf.DUMMYFUNCTION("""COMPUTED_VALUE"""),0.0)</f>
        <v>0</v>
      </c>
      <c r="AJ249" s="3">
        <f>IFERROR(__xludf.DUMMYFUNCTION("""COMPUTED_VALUE"""),0.0)</f>
        <v>0</v>
      </c>
      <c r="AK249" s="3">
        <f>IFERROR(__xludf.DUMMYFUNCTION("""COMPUTED_VALUE"""),0.0)</f>
        <v>0</v>
      </c>
      <c r="AL249" s="3">
        <f>IFERROR(__xludf.DUMMYFUNCTION("""COMPUTED_VALUE"""),1.0)</f>
        <v>1</v>
      </c>
      <c r="AM249" s="3" t="str">
        <f>IFERROR(__xludf.DUMMYFUNCTION("""COMPUTED_VALUE"""),"Yes")</f>
        <v>Yes</v>
      </c>
      <c r="AN249" s="3">
        <f>IFERROR(__xludf.DUMMYFUNCTION("""COMPUTED_VALUE"""),7.87472508E8)</f>
        <v>787472508</v>
      </c>
      <c r="AO249" s="3"/>
      <c r="AP249" s="3">
        <f>IFERROR(__xludf.DUMMYFUNCTION("""COMPUTED_VALUE"""),4.90417179E8)</f>
        <v>490417179</v>
      </c>
      <c r="AQ249" s="3" t="str">
        <f>IFERROR(__xludf.DUMMYFUNCTION("""COMPUTED_VALUE"""),"eb8a5363-7109-444d-844d-582bd841a4d5")</f>
        <v>eb8a5363-7109-444d-844d-582bd841a4d5</v>
      </c>
      <c r="AR249" s="3">
        <f>IFERROR(__xludf.DUMMYFUNCTION("""COMPUTED_VALUE"""),45809.455555555556)</f>
        <v>45809.45556</v>
      </c>
      <c r="AS249" s="3"/>
      <c r="AT249" s="3"/>
      <c r="AU249" s="3" t="str">
        <f>IFERROR(__xludf.DUMMYFUNCTION("""COMPUTED_VALUE"""),"submitted_via_web")</f>
        <v>submitted_via_web</v>
      </c>
      <c r="AV249" s="3"/>
      <c r="AW249" s="3" t="str">
        <f>IFERROR(__xludf.DUMMYFUNCTION("""COMPUTED_VALUE"""),"vckVTgNzM4XXtKAKNnsHpB")</f>
        <v>vckVTgNzM4XXtKAKNnsHpB</v>
      </c>
      <c r="AX249" s="3"/>
      <c r="AY249" s="3">
        <f>IFERROR(__xludf.DUMMYFUNCTION("""COMPUTED_VALUE"""),248.0)</f>
        <v>248</v>
      </c>
    </row>
    <row r="250">
      <c r="A250" s="3" t="str">
        <f>IFERROR(__xludf.DUMMYFUNCTION("""COMPUTED_VALUE"""),"Yes")</f>
        <v>Yes</v>
      </c>
      <c r="B250" s="3"/>
      <c r="C250" s="3" t="str">
        <f>IFERROR(__xludf.DUMMYFUNCTION("""COMPUTED_VALUE"""),"zimbabwe")</f>
        <v>zimbabwe</v>
      </c>
      <c r="D250" s="3"/>
      <c r="E250" s="3" t="str">
        <f>IFERROR(__xludf.DUMMYFUNCTION("""COMPUTED_VALUE"""),"south_africa")</f>
        <v>south_africa</v>
      </c>
      <c r="F250" s="3" t="str">
        <f>IFERROR(__xludf.DUMMYFUNCTION("""COMPUTED_VALUE"""),"City of Tshwane Metropolitan Municipality")</f>
        <v>City of Tshwane Metropolitan Municipality</v>
      </c>
      <c r="G250" s="3">
        <f>IFERROR(__xludf.DUMMYFUNCTION("""COMPUTED_VALUE"""),45.0)</f>
        <v>45</v>
      </c>
      <c r="H250" s="3" t="str">
        <f>IFERROR(__xludf.DUMMYFUNCTION("""COMPUTED_VALUE"""),"female")</f>
        <v>female</v>
      </c>
      <c r="I250" s="3" t="str">
        <f>IFERROR(__xludf.DUMMYFUNCTION("""COMPUTED_VALUE"""),"1to5")</f>
        <v>1to5</v>
      </c>
      <c r="J250" s="3" t="str">
        <f>IFERROR(__xludf.DUMMYFUNCTION("""COMPUTED_VALUE"""),"ownbusiness")</f>
        <v>ownbusiness</v>
      </c>
      <c r="K250" s="3" t="str">
        <f>IFERROR(__xludf.DUMMYFUNCTION("""COMPUTED_VALUE"""),"secondary")</f>
        <v>secondary</v>
      </c>
      <c r="L250" s="3"/>
      <c r="M250" s="3" t="str">
        <f>IFERROR(__xludf.DUMMYFUNCTION("""COMPUTED_VALUE"""),"agree")</f>
        <v>agree</v>
      </c>
      <c r="N250" s="3" t="str">
        <f>IFERROR(__xludf.DUMMYFUNCTION("""COMPUTED_VALUE"""),"agree")</f>
        <v>agree</v>
      </c>
      <c r="O250" s="3" t="str">
        <f>IFERROR(__xludf.DUMMYFUNCTION("""COMPUTED_VALUE"""),"disagree")</f>
        <v>disagree</v>
      </c>
      <c r="P250" s="3"/>
      <c r="Q250" s="3" t="str">
        <f>IFERROR(__xludf.DUMMYFUNCTION("""COMPUTED_VALUE"""),"agree")</f>
        <v>agree</v>
      </c>
      <c r="R250" s="3" t="str">
        <f>IFERROR(__xludf.DUMMYFUNCTION("""COMPUTED_VALUE"""),"agree")</f>
        <v>agree</v>
      </c>
      <c r="S250" s="3" t="str">
        <f>IFERROR(__xludf.DUMMYFUNCTION("""COMPUTED_VALUE"""),"agree")</f>
        <v>agree</v>
      </c>
      <c r="T250" s="3" t="str">
        <f>IFERROR(__xludf.DUMMYFUNCTION("""COMPUTED_VALUE"""),"agree")</f>
        <v>agree</v>
      </c>
      <c r="U250" s="3" t="str">
        <f>IFERROR(__xludf.DUMMYFUNCTION("""COMPUTED_VALUE"""),"agree")</f>
        <v>agree</v>
      </c>
      <c r="V250" s="3" t="str">
        <f>IFERROR(__xludf.DUMMYFUNCTION("""COMPUTED_VALUE"""),"agree")</f>
        <v>agree</v>
      </c>
      <c r="W250" s="3" t="str">
        <f>IFERROR(__xludf.DUMMYFUNCTION("""COMPUTED_VALUE"""),"agree")</f>
        <v>agree</v>
      </c>
      <c r="X250" s="3" t="str">
        <f>IFERROR(__xludf.DUMMYFUNCTION("""COMPUTED_VALUE"""),"Gold")</f>
        <v>Gold</v>
      </c>
      <c r="Y250" s="3" t="str">
        <f>IFERROR(__xludf.DUMMYFUNCTION("""COMPUTED_VALUE"""),"card")</f>
        <v>card</v>
      </c>
      <c r="Z250" s="3" t="str">
        <f>IFERROR(__xludf.DUMMYFUNCTION("""COMPUTED_VALUE"""),"annual")</f>
        <v>annual</v>
      </c>
      <c r="AA250" s="3">
        <f>IFERROR(__xludf.DUMMYFUNCTION("""COMPUTED_VALUE"""),100.0)</f>
        <v>100</v>
      </c>
      <c r="AB250" s="3" t="str">
        <f>IFERROR(__xludf.DUMMYFUNCTION("""COMPUTED_VALUE"""),"assisted")</f>
        <v>assisted</v>
      </c>
      <c r="AC250" s="3" t="str">
        <f>IFERROR(__xludf.DUMMYFUNCTION("""COMPUTED_VALUE"""),"I am not an employer")</f>
        <v>I am not an employer</v>
      </c>
      <c r="AD250" s="3"/>
      <c r="AE250" s="3"/>
      <c r="AF250" s="3" t="str">
        <f>IFERROR(__xludf.DUMMYFUNCTION("""COMPUTED_VALUE"""),"Yes")</f>
        <v>Yes</v>
      </c>
      <c r="AG250" s="3" t="str">
        <f>IFERROR(__xludf.DUMMYFUNCTION("""COMPUTED_VALUE"""),"No")</f>
        <v>No</v>
      </c>
      <c r="AH250" s="3"/>
      <c r="AI250" s="3">
        <f>IFERROR(__xludf.DUMMYFUNCTION("""COMPUTED_VALUE"""),0.0)</f>
        <v>0</v>
      </c>
      <c r="AJ250" s="3">
        <f>IFERROR(__xludf.DUMMYFUNCTION("""COMPUTED_VALUE"""),0.0)</f>
        <v>0</v>
      </c>
      <c r="AK250" s="3">
        <f>IFERROR(__xludf.DUMMYFUNCTION("""COMPUTED_VALUE"""),0.0)</f>
        <v>0</v>
      </c>
      <c r="AL250" s="3">
        <f>IFERROR(__xludf.DUMMYFUNCTION("""COMPUTED_VALUE"""),1.0)</f>
        <v>1</v>
      </c>
      <c r="AM250" s="3" t="str">
        <f>IFERROR(__xludf.DUMMYFUNCTION("""COMPUTED_VALUE"""),"Yes")</f>
        <v>Yes</v>
      </c>
      <c r="AN250" s="3">
        <f>IFERROR(__xludf.DUMMYFUNCTION("""COMPUTED_VALUE"""),7.19438817E8)</f>
        <v>719438817</v>
      </c>
      <c r="AO250" s="3"/>
      <c r="AP250" s="3">
        <f>IFERROR(__xludf.DUMMYFUNCTION("""COMPUTED_VALUE"""),4.90417778E8)</f>
        <v>490417778</v>
      </c>
      <c r="AQ250" s="3" t="str">
        <f>IFERROR(__xludf.DUMMYFUNCTION("""COMPUTED_VALUE"""),"c934bdd8-e6f6-4657-b815-7843482649d2")</f>
        <v>c934bdd8-e6f6-4657-b815-7843482649d2</v>
      </c>
      <c r="AR250" s="3">
        <f>IFERROR(__xludf.DUMMYFUNCTION("""COMPUTED_VALUE"""),45809.457094907404)</f>
        <v>45809.45709</v>
      </c>
      <c r="AS250" s="3"/>
      <c r="AT250" s="3"/>
      <c r="AU250" s="3" t="str">
        <f>IFERROR(__xludf.DUMMYFUNCTION("""COMPUTED_VALUE"""),"submitted_via_web")</f>
        <v>submitted_via_web</v>
      </c>
      <c r="AV250" s="3"/>
      <c r="AW250" s="3" t="str">
        <f>IFERROR(__xludf.DUMMYFUNCTION("""COMPUTED_VALUE"""),"vckVTgNzM4XXtKAKNnsHpB")</f>
        <v>vckVTgNzM4XXtKAKNnsHpB</v>
      </c>
      <c r="AX250" s="3"/>
      <c r="AY250" s="3">
        <f>IFERROR(__xludf.DUMMYFUNCTION("""COMPUTED_VALUE"""),249.0)</f>
        <v>249</v>
      </c>
    </row>
    <row r="251">
      <c r="A251" s="3" t="str">
        <f>IFERROR(__xludf.DUMMYFUNCTION("""COMPUTED_VALUE"""),"Yes")</f>
        <v>Yes</v>
      </c>
      <c r="B251" s="3"/>
      <c r="C251" s="3" t="str">
        <f>IFERROR(__xludf.DUMMYFUNCTION("""COMPUTED_VALUE"""),"zimbabwe")</f>
        <v>zimbabwe</v>
      </c>
      <c r="D251" s="3"/>
      <c r="E251" s="3" t="str">
        <f>IFERROR(__xludf.DUMMYFUNCTION("""COMPUTED_VALUE"""),"south_africa")</f>
        <v>south_africa</v>
      </c>
      <c r="F251" s="3" t="str">
        <f>IFERROR(__xludf.DUMMYFUNCTION("""COMPUTED_VALUE"""),"City of Tshwane Metropolitan Municipality")</f>
        <v>City of Tshwane Metropolitan Municipality</v>
      </c>
      <c r="G251" s="3">
        <f>IFERROR(__xludf.DUMMYFUNCTION("""COMPUTED_VALUE"""),44.0)</f>
        <v>44</v>
      </c>
      <c r="H251" s="3" t="str">
        <f>IFERROR(__xludf.DUMMYFUNCTION("""COMPUTED_VALUE"""),"female")</f>
        <v>female</v>
      </c>
      <c r="I251" s="3" t="str">
        <f>IFERROR(__xludf.DUMMYFUNCTION("""COMPUTED_VALUE"""),"over5")</f>
        <v>over5</v>
      </c>
      <c r="J251" s="3" t="str">
        <f>IFERROR(__xludf.DUMMYFUNCTION("""COMPUTED_VALUE"""),"informal")</f>
        <v>informal</v>
      </c>
      <c r="K251" s="3" t="str">
        <f>IFERROR(__xludf.DUMMYFUNCTION("""COMPUTED_VALUE"""),"secondary")</f>
        <v>secondary</v>
      </c>
      <c r="L251" s="3"/>
      <c r="M251" s="3" t="str">
        <f>IFERROR(__xludf.DUMMYFUNCTION("""COMPUTED_VALUE"""),"agree")</f>
        <v>agree</v>
      </c>
      <c r="N251" s="3" t="str">
        <f>IFERROR(__xludf.DUMMYFUNCTION("""COMPUTED_VALUE"""),"agree")</f>
        <v>agree</v>
      </c>
      <c r="O251" s="3" t="str">
        <f>IFERROR(__xludf.DUMMYFUNCTION("""COMPUTED_VALUE"""),"disagree")</f>
        <v>disagree</v>
      </c>
      <c r="P251" s="3"/>
      <c r="Q251" s="3" t="str">
        <f>IFERROR(__xludf.DUMMYFUNCTION("""COMPUTED_VALUE"""),"agree")</f>
        <v>agree</v>
      </c>
      <c r="R251" s="3" t="str">
        <f>IFERROR(__xludf.DUMMYFUNCTION("""COMPUTED_VALUE"""),"agree")</f>
        <v>agree</v>
      </c>
      <c r="S251" s="3" t="str">
        <f>IFERROR(__xludf.DUMMYFUNCTION("""COMPUTED_VALUE"""),"disagree")</f>
        <v>disagree</v>
      </c>
      <c r="T251" s="3" t="str">
        <f>IFERROR(__xludf.DUMMYFUNCTION("""COMPUTED_VALUE"""),"disagree")</f>
        <v>disagree</v>
      </c>
      <c r="U251" s="3" t="str">
        <f>IFERROR(__xludf.DUMMYFUNCTION("""COMPUTED_VALUE"""),"agree")</f>
        <v>agree</v>
      </c>
      <c r="V251" s="3" t="str">
        <f>IFERROR(__xludf.DUMMYFUNCTION("""COMPUTED_VALUE"""),"agree")</f>
        <v>agree</v>
      </c>
      <c r="W251" s="3" t="str">
        <f>IFERROR(__xludf.DUMMYFUNCTION("""COMPUTED_VALUE"""),"disagree")</f>
        <v>disagree</v>
      </c>
      <c r="X251" s="3"/>
      <c r="Y251" s="3" t="str">
        <f>IFERROR(__xludf.DUMMYFUNCTION("""COMPUTED_VALUE"""),"cash")</f>
        <v>cash</v>
      </c>
      <c r="Z251" s="3" t="str">
        <f>IFERROR(__xludf.DUMMYFUNCTION("""COMPUTED_VALUE"""),"annual")</f>
        <v>annual</v>
      </c>
      <c r="AA251" s="3">
        <f>IFERROR(__xludf.DUMMYFUNCTION("""COMPUTED_VALUE"""),100.0)</f>
        <v>100</v>
      </c>
      <c r="AB251" s="3" t="str">
        <f>IFERROR(__xludf.DUMMYFUNCTION("""COMPUTED_VALUE"""),"employer")</f>
        <v>employer</v>
      </c>
      <c r="AC251" s="3" t="str">
        <f>IFERROR(__xludf.DUMMYFUNCTION("""COMPUTED_VALUE"""),"I am not an employer")</f>
        <v>I am not an employer</v>
      </c>
      <c r="AD251" s="3"/>
      <c r="AE251" s="3"/>
      <c r="AF251" s="3" t="str">
        <f>IFERROR(__xludf.DUMMYFUNCTION("""COMPUTED_VALUE"""),"Yes")</f>
        <v>Yes</v>
      </c>
      <c r="AG251" s="3" t="str">
        <f>IFERROR(__xludf.DUMMYFUNCTION("""COMPUTED_VALUE"""),"No")</f>
        <v>No</v>
      </c>
      <c r="AH251" s="3"/>
      <c r="AI251" s="3">
        <f>IFERROR(__xludf.DUMMYFUNCTION("""COMPUTED_VALUE"""),0.0)</f>
        <v>0</v>
      </c>
      <c r="AJ251" s="3">
        <f>IFERROR(__xludf.DUMMYFUNCTION("""COMPUTED_VALUE"""),0.0)</f>
        <v>0</v>
      </c>
      <c r="AK251" s="3">
        <f>IFERROR(__xludf.DUMMYFUNCTION("""COMPUTED_VALUE"""),0.0)</f>
        <v>0</v>
      </c>
      <c r="AL251" s="3">
        <f>IFERROR(__xludf.DUMMYFUNCTION("""COMPUTED_VALUE"""),1.0)</f>
        <v>1</v>
      </c>
      <c r="AM251" s="3" t="str">
        <f>IFERROR(__xludf.DUMMYFUNCTION("""COMPUTED_VALUE"""),"Yes")</f>
        <v>Yes</v>
      </c>
      <c r="AN251" s="3">
        <f>IFERROR(__xludf.DUMMYFUNCTION("""COMPUTED_VALUE"""),6.56267166E8)</f>
        <v>656267166</v>
      </c>
      <c r="AO251" s="3"/>
      <c r="AP251" s="3">
        <f>IFERROR(__xludf.DUMMYFUNCTION("""COMPUTED_VALUE"""),4.90418598E8)</f>
        <v>490418598</v>
      </c>
      <c r="AQ251" s="3" t="str">
        <f>IFERROR(__xludf.DUMMYFUNCTION("""COMPUTED_VALUE"""),"cfa4f899-601b-490b-bdd1-f72a9077ec61")</f>
        <v>cfa4f899-601b-490b-bdd1-f72a9077ec61</v>
      </c>
      <c r="AR251" s="3">
        <f>IFERROR(__xludf.DUMMYFUNCTION("""COMPUTED_VALUE"""),45809.45890046296)</f>
        <v>45809.4589</v>
      </c>
      <c r="AS251" s="3"/>
      <c r="AT251" s="3"/>
      <c r="AU251" s="3" t="str">
        <f>IFERROR(__xludf.DUMMYFUNCTION("""COMPUTED_VALUE"""),"submitted_via_web")</f>
        <v>submitted_via_web</v>
      </c>
      <c r="AV251" s="3"/>
      <c r="AW251" s="3" t="str">
        <f>IFERROR(__xludf.DUMMYFUNCTION("""COMPUTED_VALUE"""),"vckVTgNzM4XXtKAKNnsHpB")</f>
        <v>vckVTgNzM4XXtKAKNnsHpB</v>
      </c>
      <c r="AX251" s="3"/>
      <c r="AY251" s="3">
        <f>IFERROR(__xludf.DUMMYFUNCTION("""COMPUTED_VALUE"""),250.0)</f>
        <v>250</v>
      </c>
    </row>
    <row r="252">
      <c r="A252" s="3" t="str">
        <f>IFERROR(__xludf.DUMMYFUNCTION("""COMPUTED_VALUE"""),"Yes")</f>
        <v>Yes</v>
      </c>
      <c r="B252" s="3"/>
      <c r="C252" s="3" t="str">
        <f>IFERROR(__xludf.DUMMYFUNCTION("""COMPUTED_VALUE"""),"zimbabwe")</f>
        <v>zimbabwe</v>
      </c>
      <c r="D252" s="3"/>
      <c r="E252" s="3" t="str">
        <f>IFERROR(__xludf.DUMMYFUNCTION("""COMPUTED_VALUE"""),"south_africa")</f>
        <v>south_africa</v>
      </c>
      <c r="F252" s="3" t="str">
        <f>IFERROR(__xludf.DUMMYFUNCTION("""COMPUTED_VALUE"""),"City of Tshwane Metropolitan Municipality")</f>
        <v>City of Tshwane Metropolitan Municipality</v>
      </c>
      <c r="G252" s="3">
        <f>IFERROR(__xludf.DUMMYFUNCTION("""COMPUTED_VALUE"""),29.0)</f>
        <v>29</v>
      </c>
      <c r="H252" s="3" t="str">
        <f>IFERROR(__xludf.DUMMYFUNCTION("""COMPUTED_VALUE"""),"female")</f>
        <v>female</v>
      </c>
      <c r="I252" s="3" t="str">
        <f>IFERROR(__xludf.DUMMYFUNCTION("""COMPUTED_VALUE"""),"over5")</f>
        <v>over5</v>
      </c>
      <c r="J252" s="3" t="str">
        <f>IFERROR(__xludf.DUMMYFUNCTION("""COMPUTED_VALUE"""),"ownbusiness")</f>
        <v>ownbusiness</v>
      </c>
      <c r="K252" s="3" t="str">
        <f>IFERROR(__xludf.DUMMYFUNCTION("""COMPUTED_VALUE"""),"secondary")</f>
        <v>secondary</v>
      </c>
      <c r="L252" s="3"/>
      <c r="M252" s="3" t="str">
        <f>IFERROR(__xludf.DUMMYFUNCTION("""COMPUTED_VALUE"""),"agree")</f>
        <v>agree</v>
      </c>
      <c r="N252" s="3" t="str">
        <f>IFERROR(__xludf.DUMMYFUNCTION("""COMPUTED_VALUE"""),"agree")</f>
        <v>agree</v>
      </c>
      <c r="O252" s="3" t="str">
        <f>IFERROR(__xludf.DUMMYFUNCTION("""COMPUTED_VALUE"""),"agree")</f>
        <v>agree</v>
      </c>
      <c r="P252" s="3"/>
      <c r="Q252" s="3" t="str">
        <f>IFERROR(__xludf.DUMMYFUNCTION("""COMPUTED_VALUE"""),"agree")</f>
        <v>agree</v>
      </c>
      <c r="R252" s="3" t="str">
        <f>IFERROR(__xludf.DUMMYFUNCTION("""COMPUTED_VALUE"""),"agree")</f>
        <v>agree</v>
      </c>
      <c r="S252" s="3" t="str">
        <f>IFERROR(__xludf.DUMMYFUNCTION("""COMPUTED_VALUE"""),"agree")</f>
        <v>agree</v>
      </c>
      <c r="T252" s="3" t="str">
        <f>IFERROR(__xludf.DUMMYFUNCTION("""COMPUTED_VALUE"""),"agree")</f>
        <v>agree</v>
      </c>
      <c r="U252" s="3" t="str">
        <f>IFERROR(__xludf.DUMMYFUNCTION("""COMPUTED_VALUE"""),"agree")</f>
        <v>agree</v>
      </c>
      <c r="V252" s="3" t="str">
        <f>IFERROR(__xludf.DUMMYFUNCTION("""COMPUTED_VALUE"""),"agree")</f>
        <v>agree</v>
      </c>
      <c r="W252" s="3" t="str">
        <f>IFERROR(__xludf.DUMMYFUNCTION("""COMPUTED_VALUE"""),"agree")</f>
        <v>agree</v>
      </c>
      <c r="X252" s="3" t="str">
        <f>IFERROR(__xludf.DUMMYFUNCTION("""COMPUTED_VALUE"""),"Gold")</f>
        <v>Gold</v>
      </c>
      <c r="Y252" s="3" t="str">
        <f>IFERROR(__xludf.DUMMYFUNCTION("""COMPUTED_VALUE"""),"prepaid")</f>
        <v>prepaid</v>
      </c>
      <c r="Z252" s="3" t="str">
        <f>IFERROR(__xludf.DUMMYFUNCTION("""COMPUTED_VALUE"""),"biannual")</f>
        <v>biannual</v>
      </c>
      <c r="AA252" s="3">
        <f>IFERROR(__xludf.DUMMYFUNCTION("""COMPUTED_VALUE"""),100.0)</f>
        <v>100</v>
      </c>
      <c r="AB252" s="3" t="str">
        <f>IFERROR(__xludf.DUMMYFUNCTION("""COMPUTED_VALUE"""),"employer")</f>
        <v>employer</v>
      </c>
      <c r="AC252" s="3" t="str">
        <f>IFERROR(__xludf.DUMMYFUNCTION("""COMPUTED_VALUE"""),"I am not an employer")</f>
        <v>I am not an employer</v>
      </c>
      <c r="AD252" s="3"/>
      <c r="AE252" s="3"/>
      <c r="AF252" s="3" t="str">
        <f>IFERROR(__xludf.DUMMYFUNCTION("""COMPUTED_VALUE"""),"Yes")</f>
        <v>Yes</v>
      </c>
      <c r="AG252" s="3"/>
      <c r="AH252" s="3"/>
      <c r="AI252" s="3">
        <f>IFERROR(__xludf.DUMMYFUNCTION("""COMPUTED_VALUE"""),0.0)</f>
        <v>0</v>
      </c>
      <c r="AJ252" s="3">
        <f>IFERROR(__xludf.DUMMYFUNCTION("""COMPUTED_VALUE"""),0.0)</f>
        <v>0</v>
      </c>
      <c r="AK252" s="3">
        <f>IFERROR(__xludf.DUMMYFUNCTION("""COMPUTED_VALUE"""),0.0)</f>
        <v>0</v>
      </c>
      <c r="AL252" s="3">
        <f>IFERROR(__xludf.DUMMYFUNCTION("""COMPUTED_VALUE"""),1.0)</f>
        <v>1</v>
      </c>
      <c r="AM252" s="3" t="str">
        <f>IFERROR(__xludf.DUMMYFUNCTION("""COMPUTED_VALUE"""),"Yes")</f>
        <v>Yes</v>
      </c>
      <c r="AN252" s="3">
        <f>IFERROR(__xludf.DUMMYFUNCTION("""COMPUTED_VALUE"""),7.38839923E8)</f>
        <v>738839923</v>
      </c>
      <c r="AO252" s="3"/>
      <c r="AP252" s="3">
        <f>IFERROR(__xludf.DUMMYFUNCTION("""COMPUTED_VALUE"""),4.904193E8)</f>
        <v>490419300</v>
      </c>
      <c r="AQ252" s="3" t="str">
        <f>IFERROR(__xludf.DUMMYFUNCTION("""COMPUTED_VALUE"""),"1973b53f-7078-420f-83a7-deff5efeb824")</f>
        <v>1973b53f-7078-420f-83a7-deff5efeb824</v>
      </c>
      <c r="AR252" s="3">
        <f>IFERROR(__xludf.DUMMYFUNCTION("""COMPUTED_VALUE"""),45809.46008101852)</f>
        <v>45809.46008</v>
      </c>
      <c r="AS252" s="3"/>
      <c r="AT252" s="3"/>
      <c r="AU252" s="3" t="str">
        <f>IFERROR(__xludf.DUMMYFUNCTION("""COMPUTED_VALUE"""),"submitted_via_web")</f>
        <v>submitted_via_web</v>
      </c>
      <c r="AV252" s="3"/>
      <c r="AW252" s="3" t="str">
        <f>IFERROR(__xludf.DUMMYFUNCTION("""COMPUTED_VALUE"""),"vckVTgNzM4XXtKAKNnsHpB")</f>
        <v>vckVTgNzM4XXtKAKNnsHpB</v>
      </c>
      <c r="AX252" s="3"/>
      <c r="AY252" s="3">
        <f>IFERROR(__xludf.DUMMYFUNCTION("""COMPUTED_VALUE"""),251.0)</f>
        <v>251</v>
      </c>
    </row>
    <row r="253">
      <c r="A253" s="3" t="str">
        <f>IFERROR(__xludf.DUMMYFUNCTION("""COMPUTED_VALUE"""),"Yes")</f>
        <v>Yes</v>
      </c>
      <c r="B253" s="3"/>
      <c r="C253" s="3" t="str">
        <f>IFERROR(__xludf.DUMMYFUNCTION("""COMPUTED_VALUE"""),"zimbabwe")</f>
        <v>zimbabwe</v>
      </c>
      <c r="D253" s="3"/>
      <c r="E253" s="3" t="str">
        <f>IFERROR(__xludf.DUMMYFUNCTION("""COMPUTED_VALUE"""),"south_africa")</f>
        <v>south_africa</v>
      </c>
      <c r="F253" s="3" t="str">
        <f>IFERROR(__xludf.DUMMYFUNCTION("""COMPUTED_VALUE"""),"City of Tshwane Metropolitan Municipality")</f>
        <v>City of Tshwane Metropolitan Municipality</v>
      </c>
      <c r="G253" s="3">
        <f>IFERROR(__xludf.DUMMYFUNCTION("""COMPUTED_VALUE"""),40.0)</f>
        <v>40</v>
      </c>
      <c r="H253" s="3" t="str">
        <f>IFERROR(__xludf.DUMMYFUNCTION("""COMPUTED_VALUE"""),"male")</f>
        <v>male</v>
      </c>
      <c r="I253" s="3" t="str">
        <f>IFERROR(__xludf.DUMMYFUNCTION("""COMPUTED_VALUE"""),"over5")</f>
        <v>over5</v>
      </c>
      <c r="J253" s="3" t="str">
        <f>IFERROR(__xludf.DUMMYFUNCTION("""COMPUTED_VALUE"""),"ownbusiness")</f>
        <v>ownbusiness</v>
      </c>
      <c r="K253" s="3" t="str">
        <f>IFERROR(__xludf.DUMMYFUNCTION("""COMPUTED_VALUE"""),"secondary")</f>
        <v>secondary</v>
      </c>
      <c r="L253" s="3"/>
      <c r="M253" s="3" t="str">
        <f>IFERROR(__xludf.DUMMYFUNCTION("""COMPUTED_VALUE"""),"agree")</f>
        <v>agree</v>
      </c>
      <c r="N253" s="3" t="str">
        <f>IFERROR(__xludf.DUMMYFUNCTION("""COMPUTED_VALUE"""),"agree")</f>
        <v>agree</v>
      </c>
      <c r="O253" s="3" t="str">
        <f>IFERROR(__xludf.DUMMYFUNCTION("""COMPUTED_VALUE"""),"disagree")</f>
        <v>disagree</v>
      </c>
      <c r="P253" s="3"/>
      <c r="Q253" s="3" t="str">
        <f>IFERROR(__xludf.DUMMYFUNCTION("""COMPUTED_VALUE"""),"agree")</f>
        <v>agree</v>
      </c>
      <c r="R253" s="3" t="str">
        <f>IFERROR(__xludf.DUMMYFUNCTION("""COMPUTED_VALUE"""),"agree")</f>
        <v>agree</v>
      </c>
      <c r="S253" s="3" t="str">
        <f>IFERROR(__xludf.DUMMYFUNCTION("""COMPUTED_VALUE"""),"disagree")</f>
        <v>disagree</v>
      </c>
      <c r="T253" s="3" t="str">
        <f>IFERROR(__xludf.DUMMYFUNCTION("""COMPUTED_VALUE"""),"agree")</f>
        <v>agree</v>
      </c>
      <c r="U253" s="3" t="str">
        <f>IFERROR(__xludf.DUMMYFUNCTION("""COMPUTED_VALUE"""),"dontknow")</f>
        <v>dontknow</v>
      </c>
      <c r="V253" s="3" t="str">
        <f>IFERROR(__xludf.DUMMYFUNCTION("""COMPUTED_VALUE"""),"agree")</f>
        <v>agree</v>
      </c>
      <c r="W253" s="3" t="str">
        <f>IFERROR(__xludf.DUMMYFUNCTION("""COMPUTED_VALUE"""),"disagree")</f>
        <v>disagree</v>
      </c>
      <c r="X253" s="3" t="str">
        <f>IFERROR(__xludf.DUMMYFUNCTION("""COMPUTED_VALUE"""),"Silver")</f>
        <v>Silver</v>
      </c>
      <c r="Y253" s="3"/>
      <c r="Z253" s="3" t="str">
        <f>IFERROR(__xludf.DUMMYFUNCTION("""COMPUTED_VALUE"""),"monthly")</f>
        <v>monthly</v>
      </c>
      <c r="AA253" s="3">
        <f>IFERROR(__xludf.DUMMYFUNCTION("""COMPUTED_VALUE"""),50.0)</f>
        <v>50</v>
      </c>
      <c r="AB253" s="3" t="str">
        <f>IFERROR(__xludf.DUMMYFUNCTION("""COMPUTED_VALUE"""),"online")</f>
        <v>online</v>
      </c>
      <c r="AC253" s="3" t="str">
        <f>IFERROR(__xludf.DUMMYFUNCTION("""COMPUTED_VALUE"""),"Yes")</f>
        <v>Yes</v>
      </c>
      <c r="AD253" s="3" t="str">
        <f>IFERROR(__xludf.DUMMYFUNCTION("""COMPUTED_VALUE"""),"Gold")</f>
        <v>Gold</v>
      </c>
      <c r="AE253" s="3" t="str">
        <f>IFERROR(__xludf.DUMMYFUNCTION("""COMPUTED_VALUE"""),"Yes")</f>
        <v>Yes</v>
      </c>
      <c r="AF253" s="3" t="str">
        <f>IFERROR(__xludf.DUMMYFUNCTION("""COMPUTED_VALUE"""),"Yes")</f>
        <v>Yes</v>
      </c>
      <c r="AG253" s="3" t="str">
        <f>IFERROR(__xludf.DUMMYFUNCTION("""COMPUTED_VALUE"""),"Yes")</f>
        <v>Yes</v>
      </c>
      <c r="AH253" s="3">
        <f>IFERROR(__xludf.DUMMYFUNCTION("""COMPUTED_VALUE"""),20.0)</f>
        <v>20</v>
      </c>
      <c r="AI253" s="3">
        <f>IFERROR(__xludf.DUMMYFUNCTION("""COMPUTED_VALUE"""),1.0)</f>
        <v>1</v>
      </c>
      <c r="AJ253" s="3">
        <f>IFERROR(__xludf.DUMMYFUNCTION("""COMPUTED_VALUE"""),0.0)</f>
        <v>0</v>
      </c>
      <c r="AK253" s="3">
        <f>IFERROR(__xludf.DUMMYFUNCTION("""COMPUTED_VALUE"""),0.0)</f>
        <v>0</v>
      </c>
      <c r="AL253" s="3">
        <f>IFERROR(__xludf.DUMMYFUNCTION("""COMPUTED_VALUE"""),0.0)</f>
        <v>0</v>
      </c>
      <c r="AM253" s="3" t="str">
        <f>IFERROR(__xludf.DUMMYFUNCTION("""COMPUTED_VALUE"""),"Yes")</f>
        <v>Yes</v>
      </c>
      <c r="AN253" s="3">
        <f>IFERROR(__xludf.DUMMYFUNCTION("""COMPUTED_VALUE"""),6.2639941E8)</f>
        <v>626399410</v>
      </c>
      <c r="AO253" s="3"/>
      <c r="AP253" s="3">
        <f>IFERROR(__xludf.DUMMYFUNCTION("""COMPUTED_VALUE"""),4.90422919E8)</f>
        <v>490422919</v>
      </c>
      <c r="AQ253" s="3" t="str">
        <f>IFERROR(__xludf.DUMMYFUNCTION("""COMPUTED_VALUE"""),"b5c48109-0a22-43de-8d9d-38bd339c52d5")</f>
        <v>b5c48109-0a22-43de-8d9d-38bd339c52d5</v>
      </c>
      <c r="AR253" s="3">
        <f>IFERROR(__xludf.DUMMYFUNCTION("""COMPUTED_VALUE"""),45809.46800925926)</f>
        <v>45809.46801</v>
      </c>
      <c r="AS253" s="3"/>
      <c r="AT253" s="3"/>
      <c r="AU253" s="3" t="str">
        <f>IFERROR(__xludf.DUMMYFUNCTION("""COMPUTED_VALUE"""),"submitted_via_web")</f>
        <v>submitted_via_web</v>
      </c>
      <c r="AV253" s="3"/>
      <c r="AW253" s="3" t="str">
        <f>IFERROR(__xludf.DUMMYFUNCTION("""COMPUTED_VALUE"""),"vckVTgNzM4XXtKAKNnsHpB")</f>
        <v>vckVTgNzM4XXtKAKNnsHpB</v>
      </c>
      <c r="AX253" s="3"/>
      <c r="AY253" s="3">
        <f>IFERROR(__xludf.DUMMYFUNCTION("""COMPUTED_VALUE"""),252.0)</f>
        <v>252</v>
      </c>
    </row>
    <row r="254">
      <c r="A254" s="3" t="str">
        <f>IFERROR(__xludf.DUMMYFUNCTION("""COMPUTED_VALUE"""),"Yes")</f>
        <v>Yes</v>
      </c>
      <c r="B254" s="3"/>
      <c r="C254" s="3" t="str">
        <f>IFERROR(__xludf.DUMMYFUNCTION("""COMPUTED_VALUE"""),"zimbabwe")</f>
        <v>zimbabwe</v>
      </c>
      <c r="D254" s="3"/>
      <c r="E254" s="3" t="str">
        <f>IFERROR(__xludf.DUMMYFUNCTION("""COMPUTED_VALUE"""),"south_africa")</f>
        <v>south_africa</v>
      </c>
      <c r="F254" s="3" t="str">
        <f>IFERROR(__xludf.DUMMYFUNCTION("""COMPUTED_VALUE"""),"City of Tshwane Metropolitan Municipality")</f>
        <v>City of Tshwane Metropolitan Municipality</v>
      </c>
      <c r="G254" s="3">
        <f>IFERROR(__xludf.DUMMYFUNCTION("""COMPUTED_VALUE"""),29.0)</f>
        <v>29</v>
      </c>
      <c r="H254" s="3" t="str">
        <f>IFERROR(__xludf.DUMMYFUNCTION("""COMPUTED_VALUE"""),"male")</f>
        <v>male</v>
      </c>
      <c r="I254" s="3" t="str">
        <f>IFERROR(__xludf.DUMMYFUNCTION("""COMPUTED_VALUE"""),"1to5")</f>
        <v>1to5</v>
      </c>
      <c r="J254" s="3" t="str">
        <f>IFERROR(__xludf.DUMMYFUNCTION("""COMPUTED_VALUE"""),"informal")</f>
        <v>informal</v>
      </c>
      <c r="K254" s="3" t="str">
        <f>IFERROR(__xludf.DUMMYFUNCTION("""COMPUTED_VALUE"""),"primary")</f>
        <v>primary</v>
      </c>
      <c r="L254" s="3"/>
      <c r="M254" s="3" t="str">
        <f>IFERROR(__xludf.DUMMYFUNCTION("""COMPUTED_VALUE"""),"agree")</f>
        <v>agree</v>
      </c>
      <c r="N254" s="3" t="str">
        <f>IFERROR(__xludf.DUMMYFUNCTION("""COMPUTED_VALUE"""),"agree")</f>
        <v>agree</v>
      </c>
      <c r="O254" s="3" t="str">
        <f>IFERROR(__xludf.DUMMYFUNCTION("""COMPUTED_VALUE"""),"disagree")</f>
        <v>disagree</v>
      </c>
      <c r="P254" s="3"/>
      <c r="Q254" s="3" t="str">
        <f>IFERROR(__xludf.DUMMYFUNCTION("""COMPUTED_VALUE"""),"agree")</f>
        <v>agree</v>
      </c>
      <c r="R254" s="3" t="str">
        <f>IFERROR(__xludf.DUMMYFUNCTION("""COMPUTED_VALUE"""),"agree")</f>
        <v>agree</v>
      </c>
      <c r="S254" s="3" t="str">
        <f>IFERROR(__xludf.DUMMYFUNCTION("""COMPUTED_VALUE"""),"agree")</f>
        <v>agree</v>
      </c>
      <c r="T254" s="3" t="str">
        <f>IFERROR(__xludf.DUMMYFUNCTION("""COMPUTED_VALUE"""),"agree")</f>
        <v>agree</v>
      </c>
      <c r="U254" s="3" t="str">
        <f>IFERROR(__xludf.DUMMYFUNCTION("""COMPUTED_VALUE"""),"agree")</f>
        <v>agree</v>
      </c>
      <c r="V254" s="3" t="str">
        <f>IFERROR(__xludf.DUMMYFUNCTION("""COMPUTED_VALUE"""),"agree")</f>
        <v>agree</v>
      </c>
      <c r="W254" s="3" t="str">
        <f>IFERROR(__xludf.DUMMYFUNCTION("""COMPUTED_VALUE"""),"agree")</f>
        <v>agree</v>
      </c>
      <c r="X254" s="3" t="str">
        <f>IFERROR(__xludf.DUMMYFUNCTION("""COMPUTED_VALUE"""),"Gold")</f>
        <v>Gold</v>
      </c>
      <c r="Y254" s="3" t="str">
        <f>IFERROR(__xludf.DUMMYFUNCTION("""COMPUTED_VALUE"""),"prepaid")</f>
        <v>prepaid</v>
      </c>
      <c r="Z254" s="3" t="str">
        <f>IFERROR(__xludf.DUMMYFUNCTION("""COMPUTED_VALUE"""),"annual")</f>
        <v>annual</v>
      </c>
      <c r="AA254" s="3">
        <f>IFERROR(__xludf.DUMMYFUNCTION("""COMPUTED_VALUE"""),100.0)</f>
        <v>100</v>
      </c>
      <c r="AB254" s="3" t="str">
        <f>IFERROR(__xludf.DUMMYFUNCTION("""COMPUTED_VALUE"""),"employer")</f>
        <v>employer</v>
      </c>
      <c r="AC254" s="3" t="str">
        <f>IFERROR(__xludf.DUMMYFUNCTION("""COMPUTED_VALUE"""),"I am not an employer")</f>
        <v>I am not an employer</v>
      </c>
      <c r="AD254" s="3"/>
      <c r="AE254" s="3"/>
      <c r="AF254" s="3" t="str">
        <f>IFERROR(__xludf.DUMMYFUNCTION("""COMPUTED_VALUE"""),"Yes")</f>
        <v>Yes</v>
      </c>
      <c r="AG254" s="3" t="str">
        <f>IFERROR(__xludf.DUMMYFUNCTION("""COMPUTED_VALUE"""),"No")</f>
        <v>No</v>
      </c>
      <c r="AH254" s="3"/>
      <c r="AI254" s="3">
        <f>IFERROR(__xludf.DUMMYFUNCTION("""COMPUTED_VALUE"""),0.0)</f>
        <v>0</v>
      </c>
      <c r="AJ254" s="3">
        <f>IFERROR(__xludf.DUMMYFUNCTION("""COMPUTED_VALUE"""),0.0)</f>
        <v>0</v>
      </c>
      <c r="AK254" s="3">
        <f>IFERROR(__xludf.DUMMYFUNCTION("""COMPUTED_VALUE"""),0.0)</f>
        <v>0</v>
      </c>
      <c r="AL254" s="3">
        <f>IFERROR(__xludf.DUMMYFUNCTION("""COMPUTED_VALUE"""),1.0)</f>
        <v>1</v>
      </c>
      <c r="AM254" s="3" t="str">
        <f>IFERROR(__xludf.DUMMYFUNCTION("""COMPUTED_VALUE"""),"Yes")</f>
        <v>Yes</v>
      </c>
      <c r="AN254" s="3">
        <f>IFERROR(__xludf.DUMMYFUNCTION("""COMPUTED_VALUE"""),6.7069764E8)</f>
        <v>670697640</v>
      </c>
      <c r="AO254" s="3"/>
      <c r="AP254" s="3">
        <f>IFERROR(__xludf.DUMMYFUNCTION("""COMPUTED_VALUE"""),4.90424099E8)</f>
        <v>490424099</v>
      </c>
      <c r="AQ254" s="3" t="str">
        <f>IFERROR(__xludf.DUMMYFUNCTION("""COMPUTED_VALUE"""),"b5a1c752-101b-4df3-9dfa-80be9cd18a88")</f>
        <v>b5a1c752-101b-4df3-9dfa-80be9cd18a88</v>
      </c>
      <c r="AR254" s="3">
        <f>IFERROR(__xludf.DUMMYFUNCTION("""COMPUTED_VALUE"""),45809.47068287037)</f>
        <v>45809.47068</v>
      </c>
      <c r="AS254" s="3"/>
      <c r="AT254" s="3"/>
      <c r="AU254" s="3" t="str">
        <f>IFERROR(__xludf.DUMMYFUNCTION("""COMPUTED_VALUE"""),"submitted_via_web")</f>
        <v>submitted_via_web</v>
      </c>
      <c r="AV254" s="3"/>
      <c r="AW254" s="3" t="str">
        <f>IFERROR(__xludf.DUMMYFUNCTION("""COMPUTED_VALUE"""),"vckVTgNzM4XXtKAKNnsHpB")</f>
        <v>vckVTgNzM4XXtKAKNnsHpB</v>
      </c>
      <c r="AX254" s="3"/>
      <c r="AY254" s="3">
        <f>IFERROR(__xludf.DUMMYFUNCTION("""COMPUTED_VALUE"""),253.0)</f>
        <v>253</v>
      </c>
    </row>
    <row r="255">
      <c r="A255" s="3" t="str">
        <f>IFERROR(__xludf.DUMMYFUNCTION("""COMPUTED_VALUE"""),"Yes")</f>
        <v>Yes</v>
      </c>
      <c r="B255" s="3"/>
      <c r="C255" s="3" t="str">
        <f>IFERROR(__xludf.DUMMYFUNCTION("""COMPUTED_VALUE"""),"zimbabwe")</f>
        <v>zimbabwe</v>
      </c>
      <c r="D255" s="3"/>
      <c r="E255" s="3" t="str">
        <f>IFERROR(__xludf.DUMMYFUNCTION("""COMPUTED_VALUE"""),"south_africa")</f>
        <v>south_africa</v>
      </c>
      <c r="F255" s="3" t="str">
        <f>IFERROR(__xludf.DUMMYFUNCTION("""COMPUTED_VALUE"""),"City of Tshwane Metropolitan Municipality")</f>
        <v>City of Tshwane Metropolitan Municipality</v>
      </c>
      <c r="G255" s="3">
        <f>IFERROR(__xludf.DUMMYFUNCTION("""COMPUTED_VALUE"""),30.0)</f>
        <v>30</v>
      </c>
      <c r="H255" s="3" t="str">
        <f>IFERROR(__xludf.DUMMYFUNCTION("""COMPUTED_VALUE"""),"male")</f>
        <v>male</v>
      </c>
      <c r="I255" s="3" t="str">
        <f>IFERROR(__xludf.DUMMYFUNCTION("""COMPUTED_VALUE"""),"1to5")</f>
        <v>1to5</v>
      </c>
      <c r="J255" s="3" t="str">
        <f>IFERROR(__xludf.DUMMYFUNCTION("""COMPUTED_VALUE"""),"informal")</f>
        <v>informal</v>
      </c>
      <c r="K255" s="3" t="str">
        <f>IFERROR(__xludf.DUMMYFUNCTION("""COMPUTED_VALUE"""),"secondary")</f>
        <v>secondary</v>
      </c>
      <c r="L255" s="3"/>
      <c r="M255" s="3" t="str">
        <f>IFERROR(__xludf.DUMMYFUNCTION("""COMPUTED_VALUE"""),"agree")</f>
        <v>agree</v>
      </c>
      <c r="N255" s="3" t="str">
        <f>IFERROR(__xludf.DUMMYFUNCTION("""COMPUTED_VALUE"""),"agree")</f>
        <v>agree</v>
      </c>
      <c r="O255" s="3" t="str">
        <f>IFERROR(__xludf.DUMMYFUNCTION("""COMPUTED_VALUE"""),"disagree")</f>
        <v>disagree</v>
      </c>
      <c r="P255" s="3"/>
      <c r="Q255" s="3" t="str">
        <f>IFERROR(__xludf.DUMMYFUNCTION("""COMPUTED_VALUE"""),"disagree")</f>
        <v>disagree</v>
      </c>
      <c r="R255" s="3" t="str">
        <f>IFERROR(__xludf.DUMMYFUNCTION("""COMPUTED_VALUE"""),"agree")</f>
        <v>agree</v>
      </c>
      <c r="S255" s="3" t="str">
        <f>IFERROR(__xludf.DUMMYFUNCTION("""COMPUTED_VALUE"""),"agree")</f>
        <v>agree</v>
      </c>
      <c r="T255" s="3" t="str">
        <f>IFERROR(__xludf.DUMMYFUNCTION("""COMPUTED_VALUE"""),"agree")</f>
        <v>agree</v>
      </c>
      <c r="U255" s="3" t="str">
        <f>IFERROR(__xludf.DUMMYFUNCTION("""COMPUTED_VALUE"""),"agree")</f>
        <v>agree</v>
      </c>
      <c r="V255" s="3" t="str">
        <f>IFERROR(__xludf.DUMMYFUNCTION("""COMPUTED_VALUE"""),"agree")</f>
        <v>agree</v>
      </c>
      <c r="W255" s="3" t="str">
        <f>IFERROR(__xludf.DUMMYFUNCTION("""COMPUTED_VALUE"""),"agree")</f>
        <v>agree</v>
      </c>
      <c r="X255" s="3" t="str">
        <f>IFERROR(__xludf.DUMMYFUNCTION("""COMPUTED_VALUE"""),"Gold")</f>
        <v>Gold</v>
      </c>
      <c r="Y255" s="3" t="str">
        <f>IFERROR(__xludf.DUMMYFUNCTION("""COMPUTED_VALUE"""),"prepaid")</f>
        <v>prepaid</v>
      </c>
      <c r="Z255" s="3" t="str">
        <f>IFERROR(__xludf.DUMMYFUNCTION("""COMPUTED_VALUE"""),"annual")</f>
        <v>annual</v>
      </c>
      <c r="AA255" s="3">
        <f>IFERROR(__xludf.DUMMYFUNCTION("""COMPUTED_VALUE"""),100.0)</f>
        <v>100</v>
      </c>
      <c r="AB255" s="3" t="str">
        <f>IFERROR(__xludf.DUMMYFUNCTION("""COMPUTED_VALUE"""),"assisted")</f>
        <v>assisted</v>
      </c>
      <c r="AC255" s="3" t="str">
        <f>IFERROR(__xludf.DUMMYFUNCTION("""COMPUTED_VALUE"""),"I am not an employer")</f>
        <v>I am not an employer</v>
      </c>
      <c r="AD255" s="3"/>
      <c r="AE255" s="3"/>
      <c r="AF255" s="3" t="str">
        <f>IFERROR(__xludf.DUMMYFUNCTION("""COMPUTED_VALUE"""),"Yes")</f>
        <v>Yes</v>
      </c>
      <c r="AG255" s="3"/>
      <c r="AH255" s="3"/>
      <c r="AI255" s="3">
        <f>IFERROR(__xludf.DUMMYFUNCTION("""COMPUTED_VALUE"""),0.0)</f>
        <v>0</v>
      </c>
      <c r="AJ255" s="3">
        <f>IFERROR(__xludf.DUMMYFUNCTION("""COMPUTED_VALUE"""),0.0)</f>
        <v>0</v>
      </c>
      <c r="AK255" s="3">
        <f>IFERROR(__xludf.DUMMYFUNCTION("""COMPUTED_VALUE"""),0.0)</f>
        <v>0</v>
      </c>
      <c r="AL255" s="3">
        <f>IFERROR(__xludf.DUMMYFUNCTION("""COMPUTED_VALUE"""),1.0)</f>
        <v>1</v>
      </c>
      <c r="AM255" s="3" t="str">
        <f>IFERROR(__xludf.DUMMYFUNCTION("""COMPUTED_VALUE"""),"Yes")</f>
        <v>Yes</v>
      </c>
      <c r="AN255" s="3">
        <f>IFERROR(__xludf.DUMMYFUNCTION("""COMPUTED_VALUE"""),8.18158267E8)</f>
        <v>818158267</v>
      </c>
      <c r="AO255" s="3"/>
      <c r="AP255" s="3">
        <f>IFERROR(__xludf.DUMMYFUNCTION("""COMPUTED_VALUE"""),4.90424695E8)</f>
        <v>490424695</v>
      </c>
      <c r="AQ255" s="3" t="str">
        <f>IFERROR(__xludf.DUMMYFUNCTION("""COMPUTED_VALUE"""),"8acf9443-da56-4014-8aa4-c5a64721c804")</f>
        <v>8acf9443-da56-4014-8aa4-c5a64721c804</v>
      </c>
      <c r="AR255" s="3">
        <f>IFERROR(__xludf.DUMMYFUNCTION("""COMPUTED_VALUE"""),45809.47248842593)</f>
        <v>45809.47249</v>
      </c>
      <c r="AS255" s="3"/>
      <c r="AT255" s="3"/>
      <c r="AU255" s="3" t="str">
        <f>IFERROR(__xludf.DUMMYFUNCTION("""COMPUTED_VALUE"""),"submitted_via_web")</f>
        <v>submitted_via_web</v>
      </c>
      <c r="AV255" s="3"/>
      <c r="AW255" s="3" t="str">
        <f>IFERROR(__xludf.DUMMYFUNCTION("""COMPUTED_VALUE"""),"vckVTgNzM4XXtKAKNnsHpB")</f>
        <v>vckVTgNzM4XXtKAKNnsHpB</v>
      </c>
      <c r="AX255" s="3"/>
      <c r="AY255" s="3">
        <f>IFERROR(__xludf.DUMMYFUNCTION("""COMPUTED_VALUE"""),254.0)</f>
        <v>254</v>
      </c>
    </row>
    <row r="256">
      <c r="A256" s="3" t="str">
        <f>IFERROR(__xludf.DUMMYFUNCTION("""COMPUTED_VALUE"""),"Yes")</f>
        <v>Yes</v>
      </c>
      <c r="B256" s="3"/>
      <c r="C256" s="3" t="str">
        <f>IFERROR(__xludf.DUMMYFUNCTION("""COMPUTED_VALUE"""),"zimbabwe")</f>
        <v>zimbabwe</v>
      </c>
      <c r="D256" s="3"/>
      <c r="E256" s="3" t="str">
        <f>IFERROR(__xludf.DUMMYFUNCTION("""COMPUTED_VALUE"""),"south_africa")</f>
        <v>south_africa</v>
      </c>
      <c r="F256" s="3" t="str">
        <f>IFERROR(__xludf.DUMMYFUNCTION("""COMPUTED_VALUE"""),"City of Tshwane Metropolitan Municipality")</f>
        <v>City of Tshwane Metropolitan Municipality</v>
      </c>
      <c r="G256" s="3">
        <f>IFERROR(__xludf.DUMMYFUNCTION("""COMPUTED_VALUE"""),27.0)</f>
        <v>27</v>
      </c>
      <c r="H256" s="3" t="str">
        <f>IFERROR(__xludf.DUMMYFUNCTION("""COMPUTED_VALUE"""),"male")</f>
        <v>male</v>
      </c>
      <c r="I256" s="3" t="str">
        <f>IFERROR(__xludf.DUMMYFUNCTION("""COMPUTED_VALUE"""),"1to5")</f>
        <v>1to5</v>
      </c>
      <c r="J256" s="3" t="str">
        <f>IFERROR(__xludf.DUMMYFUNCTION("""COMPUTED_VALUE"""),"informal")</f>
        <v>informal</v>
      </c>
      <c r="K256" s="3" t="str">
        <f>IFERROR(__xludf.DUMMYFUNCTION("""COMPUTED_VALUE"""),"secondary")</f>
        <v>secondary</v>
      </c>
      <c r="L256" s="3"/>
      <c r="M256" s="3" t="str">
        <f>IFERROR(__xludf.DUMMYFUNCTION("""COMPUTED_VALUE"""),"agree")</f>
        <v>agree</v>
      </c>
      <c r="N256" s="3" t="str">
        <f>IFERROR(__xludf.DUMMYFUNCTION("""COMPUTED_VALUE"""),"agree")</f>
        <v>agree</v>
      </c>
      <c r="O256" s="3" t="str">
        <f>IFERROR(__xludf.DUMMYFUNCTION("""COMPUTED_VALUE"""),"disagree")</f>
        <v>disagree</v>
      </c>
      <c r="P256" s="3"/>
      <c r="Q256" s="3" t="str">
        <f>IFERROR(__xludf.DUMMYFUNCTION("""COMPUTED_VALUE"""),"agree")</f>
        <v>agree</v>
      </c>
      <c r="R256" s="3" t="str">
        <f>IFERROR(__xludf.DUMMYFUNCTION("""COMPUTED_VALUE"""),"agree")</f>
        <v>agree</v>
      </c>
      <c r="S256" s="3" t="str">
        <f>IFERROR(__xludf.DUMMYFUNCTION("""COMPUTED_VALUE"""),"agree")</f>
        <v>agree</v>
      </c>
      <c r="T256" s="3" t="str">
        <f>IFERROR(__xludf.DUMMYFUNCTION("""COMPUTED_VALUE"""),"agree")</f>
        <v>agree</v>
      </c>
      <c r="U256" s="3" t="str">
        <f>IFERROR(__xludf.DUMMYFUNCTION("""COMPUTED_VALUE"""),"agree")</f>
        <v>agree</v>
      </c>
      <c r="V256" s="3" t="str">
        <f>IFERROR(__xludf.DUMMYFUNCTION("""COMPUTED_VALUE"""),"agree")</f>
        <v>agree</v>
      </c>
      <c r="W256" s="3" t="str">
        <f>IFERROR(__xludf.DUMMYFUNCTION("""COMPUTED_VALUE"""),"agree")</f>
        <v>agree</v>
      </c>
      <c r="X256" s="3" t="str">
        <f>IFERROR(__xludf.DUMMYFUNCTION("""COMPUTED_VALUE"""),"Gold")</f>
        <v>Gold</v>
      </c>
      <c r="Y256" s="3" t="str">
        <f>IFERROR(__xludf.DUMMYFUNCTION("""COMPUTED_VALUE"""),"prepaid")</f>
        <v>prepaid</v>
      </c>
      <c r="Z256" s="3" t="str">
        <f>IFERROR(__xludf.DUMMYFUNCTION("""COMPUTED_VALUE"""),"annual")</f>
        <v>annual</v>
      </c>
      <c r="AA256" s="3">
        <f>IFERROR(__xludf.DUMMYFUNCTION("""COMPUTED_VALUE"""),50.0)</f>
        <v>50</v>
      </c>
      <c r="AB256" s="3" t="str">
        <f>IFERROR(__xludf.DUMMYFUNCTION("""COMPUTED_VALUE"""),"assisted")</f>
        <v>assisted</v>
      </c>
      <c r="AC256" s="3" t="str">
        <f>IFERROR(__xludf.DUMMYFUNCTION("""COMPUTED_VALUE"""),"I am not an employer")</f>
        <v>I am not an employer</v>
      </c>
      <c r="AD256" s="3"/>
      <c r="AE256" s="3"/>
      <c r="AF256" s="3" t="str">
        <f>IFERROR(__xludf.DUMMYFUNCTION("""COMPUTED_VALUE"""),"Yes")</f>
        <v>Yes</v>
      </c>
      <c r="AG256" s="3" t="str">
        <f>IFERROR(__xludf.DUMMYFUNCTION("""COMPUTED_VALUE"""),"Yes")</f>
        <v>Yes</v>
      </c>
      <c r="AH256" s="3">
        <f>IFERROR(__xludf.DUMMYFUNCTION("""COMPUTED_VALUE"""),300.0)</f>
        <v>300</v>
      </c>
      <c r="AI256" s="3">
        <f>IFERROR(__xludf.DUMMYFUNCTION("""COMPUTED_VALUE"""),0.0)</f>
        <v>0</v>
      </c>
      <c r="AJ256" s="3">
        <f>IFERROR(__xludf.DUMMYFUNCTION("""COMPUTED_VALUE"""),0.0)</f>
        <v>0</v>
      </c>
      <c r="AK256" s="3">
        <f>IFERROR(__xludf.DUMMYFUNCTION("""COMPUTED_VALUE"""),0.0)</f>
        <v>0</v>
      </c>
      <c r="AL256" s="3">
        <f>IFERROR(__xludf.DUMMYFUNCTION("""COMPUTED_VALUE"""),1.0)</f>
        <v>1</v>
      </c>
      <c r="AM256" s="3" t="str">
        <f>IFERROR(__xludf.DUMMYFUNCTION("""COMPUTED_VALUE"""),"Yes")</f>
        <v>Yes</v>
      </c>
      <c r="AN256" s="3">
        <f>IFERROR(__xludf.DUMMYFUNCTION("""COMPUTED_VALUE"""),7.29861635E8)</f>
        <v>729861635</v>
      </c>
      <c r="AO256" s="3"/>
      <c r="AP256" s="3">
        <f>IFERROR(__xludf.DUMMYFUNCTION("""COMPUTED_VALUE"""),4.90425587E8)</f>
        <v>490425587</v>
      </c>
      <c r="AQ256" s="3" t="str">
        <f>IFERROR(__xludf.DUMMYFUNCTION("""COMPUTED_VALUE"""),"4b22af6a-b22b-4fb3-ab0b-c7984e7bda09")</f>
        <v>4b22af6a-b22b-4fb3-ab0b-c7984e7bda09</v>
      </c>
      <c r="AR256" s="3">
        <f>IFERROR(__xludf.DUMMYFUNCTION("""COMPUTED_VALUE"""),45809.474270833336)</f>
        <v>45809.47427</v>
      </c>
      <c r="AS256" s="3"/>
      <c r="AT256" s="3"/>
      <c r="AU256" s="3" t="str">
        <f>IFERROR(__xludf.DUMMYFUNCTION("""COMPUTED_VALUE"""),"submitted_via_web")</f>
        <v>submitted_via_web</v>
      </c>
      <c r="AV256" s="3"/>
      <c r="AW256" s="3" t="str">
        <f>IFERROR(__xludf.DUMMYFUNCTION("""COMPUTED_VALUE"""),"vckVTgNzM4XXtKAKNnsHpB")</f>
        <v>vckVTgNzM4XXtKAKNnsHpB</v>
      </c>
      <c r="AX256" s="3"/>
      <c r="AY256" s="3">
        <f>IFERROR(__xludf.DUMMYFUNCTION("""COMPUTED_VALUE"""),255.0)</f>
        <v>255</v>
      </c>
    </row>
    <row r="257">
      <c r="A257" s="3" t="str">
        <f>IFERROR(__xludf.DUMMYFUNCTION("""COMPUTED_VALUE"""),"Yes")</f>
        <v>Yes</v>
      </c>
      <c r="B257" s="3"/>
      <c r="C257" s="3" t="str">
        <f>IFERROR(__xludf.DUMMYFUNCTION("""COMPUTED_VALUE"""),"malawi")</f>
        <v>malawi</v>
      </c>
      <c r="D257" s="3"/>
      <c r="E257" s="3" t="str">
        <f>IFERROR(__xludf.DUMMYFUNCTION("""COMPUTED_VALUE"""),"south_africa")</f>
        <v>south_africa</v>
      </c>
      <c r="F257" s="3" t="str">
        <f>IFERROR(__xludf.DUMMYFUNCTION("""COMPUTED_VALUE"""),"City of Johannesburg Metropolitan Municipality")</f>
        <v>City of Johannesburg Metropolitan Municipality</v>
      </c>
      <c r="G257" s="3">
        <f>IFERROR(__xludf.DUMMYFUNCTION("""COMPUTED_VALUE"""),37.0)</f>
        <v>37</v>
      </c>
      <c r="H257" s="3" t="str">
        <f>IFERROR(__xludf.DUMMYFUNCTION("""COMPUTED_VALUE"""),"male")</f>
        <v>male</v>
      </c>
      <c r="I257" s="3" t="str">
        <f>IFERROR(__xludf.DUMMYFUNCTION("""COMPUTED_VALUE"""),"1to5")</f>
        <v>1to5</v>
      </c>
      <c r="J257" s="3" t="str">
        <f>IFERROR(__xludf.DUMMYFUNCTION("""COMPUTED_VALUE"""),"informal")</f>
        <v>informal</v>
      </c>
      <c r="K257" s="3" t="str">
        <f>IFERROR(__xludf.DUMMYFUNCTION("""COMPUTED_VALUE"""),"none")</f>
        <v>none</v>
      </c>
      <c r="L257" s="3"/>
      <c r="M257" s="3" t="str">
        <f>IFERROR(__xludf.DUMMYFUNCTION("""COMPUTED_VALUE"""),"dontknow")</f>
        <v>dontknow</v>
      </c>
      <c r="N257" s="3" t="str">
        <f>IFERROR(__xludf.DUMMYFUNCTION("""COMPUTED_VALUE"""),"dontknow")</f>
        <v>dontknow</v>
      </c>
      <c r="O257" s="3" t="str">
        <f>IFERROR(__xludf.DUMMYFUNCTION("""COMPUTED_VALUE"""),"disagree")</f>
        <v>disagree</v>
      </c>
      <c r="P257" s="3"/>
      <c r="Q257" s="3" t="str">
        <f>IFERROR(__xludf.DUMMYFUNCTION("""COMPUTED_VALUE"""),"agree")</f>
        <v>agree</v>
      </c>
      <c r="R257" s="3" t="str">
        <f>IFERROR(__xludf.DUMMYFUNCTION("""COMPUTED_VALUE"""),"agree")</f>
        <v>agree</v>
      </c>
      <c r="S257" s="3" t="str">
        <f>IFERROR(__xludf.DUMMYFUNCTION("""COMPUTED_VALUE"""),"agree")</f>
        <v>agree</v>
      </c>
      <c r="T257" s="3" t="str">
        <f>IFERROR(__xludf.DUMMYFUNCTION("""COMPUTED_VALUE"""),"disagree")</f>
        <v>disagree</v>
      </c>
      <c r="U257" s="3" t="str">
        <f>IFERROR(__xludf.DUMMYFUNCTION("""COMPUTED_VALUE"""),"disagree")</f>
        <v>disagree</v>
      </c>
      <c r="V257" s="3" t="str">
        <f>IFERROR(__xludf.DUMMYFUNCTION("""COMPUTED_VALUE"""),"disagree")</f>
        <v>disagree</v>
      </c>
      <c r="W257" s="3" t="str">
        <f>IFERROR(__xludf.DUMMYFUNCTION("""COMPUTED_VALUE"""),"disagree")</f>
        <v>disagree</v>
      </c>
      <c r="X257" s="3" t="str">
        <f>IFERROR(__xludf.DUMMYFUNCTION("""COMPUTED_VALUE"""),"Gold")</f>
        <v>Gold</v>
      </c>
      <c r="Y257" s="3" t="str">
        <f>IFERROR(__xludf.DUMMYFUNCTION("""COMPUTED_VALUE"""),"card")</f>
        <v>card</v>
      </c>
      <c r="Z257" s="3" t="str">
        <f>IFERROR(__xludf.DUMMYFUNCTION("""COMPUTED_VALUE"""),"once")</f>
        <v>once</v>
      </c>
      <c r="AA257" s="3">
        <f>IFERROR(__xludf.DUMMYFUNCTION("""COMPUTED_VALUE"""),10.0)</f>
        <v>10</v>
      </c>
      <c r="AB257" s="3" t="str">
        <f>IFERROR(__xludf.DUMMYFUNCTION("""COMPUTED_VALUE"""),"assisted")</f>
        <v>assisted</v>
      </c>
      <c r="AC257" s="3" t="str">
        <f>IFERROR(__xludf.DUMMYFUNCTION("""COMPUTED_VALUE"""),"I am not an employer")</f>
        <v>I am not an employer</v>
      </c>
      <c r="AD257" s="3"/>
      <c r="AE257" s="3"/>
      <c r="AF257" s="3" t="str">
        <f>IFERROR(__xludf.DUMMYFUNCTION("""COMPUTED_VALUE"""),"Yes")</f>
        <v>Yes</v>
      </c>
      <c r="AG257" s="3" t="str">
        <f>IFERROR(__xludf.DUMMYFUNCTION("""COMPUTED_VALUE"""),"No")</f>
        <v>No</v>
      </c>
      <c r="AH257" s="3"/>
      <c r="AI257" s="3">
        <f>IFERROR(__xludf.DUMMYFUNCTION("""COMPUTED_VALUE"""),0.0)</f>
        <v>0</v>
      </c>
      <c r="AJ257" s="3">
        <f>IFERROR(__xludf.DUMMYFUNCTION("""COMPUTED_VALUE"""),0.0)</f>
        <v>0</v>
      </c>
      <c r="AK257" s="3">
        <f>IFERROR(__xludf.DUMMYFUNCTION("""COMPUTED_VALUE"""),0.0)</f>
        <v>0</v>
      </c>
      <c r="AL257" s="3">
        <f>IFERROR(__xludf.DUMMYFUNCTION("""COMPUTED_VALUE"""),1.0)</f>
        <v>1</v>
      </c>
      <c r="AM257" s="3" t="str">
        <f>IFERROR(__xludf.DUMMYFUNCTION("""COMPUTED_VALUE"""),"No")</f>
        <v>No</v>
      </c>
      <c r="AN257" s="3"/>
      <c r="AO257" s="3"/>
      <c r="AP257" s="3">
        <f>IFERROR(__xludf.DUMMYFUNCTION("""COMPUTED_VALUE"""),4.90425591E8)</f>
        <v>490425591</v>
      </c>
      <c r="AQ257" s="3" t="str">
        <f>IFERROR(__xludf.DUMMYFUNCTION("""COMPUTED_VALUE"""),"0c9138f5-dacd-4f9d-b033-2673882110e0")</f>
        <v>0c9138f5-dacd-4f9d-b033-2673882110e0</v>
      </c>
      <c r="AR257" s="3">
        <f>IFERROR(__xludf.DUMMYFUNCTION("""COMPUTED_VALUE"""),45809.474270833336)</f>
        <v>45809.47427</v>
      </c>
      <c r="AS257" s="3"/>
      <c r="AT257" s="3"/>
      <c r="AU257" s="3" t="str">
        <f>IFERROR(__xludf.DUMMYFUNCTION("""COMPUTED_VALUE"""),"submitted_via_web")</f>
        <v>submitted_via_web</v>
      </c>
      <c r="AV257" s="3"/>
      <c r="AW257" s="3" t="str">
        <f>IFERROR(__xludf.DUMMYFUNCTION("""COMPUTED_VALUE"""),"vckVTgNzM4XXtKAKNnsHpB")</f>
        <v>vckVTgNzM4XXtKAKNnsHpB</v>
      </c>
      <c r="AX257" s="3"/>
      <c r="AY257" s="3">
        <f>IFERROR(__xludf.DUMMYFUNCTION("""COMPUTED_VALUE"""),256.0)</f>
        <v>256</v>
      </c>
    </row>
    <row r="258">
      <c r="A258" s="3" t="str">
        <f>IFERROR(__xludf.DUMMYFUNCTION("""COMPUTED_VALUE"""),"Yes")</f>
        <v>Yes</v>
      </c>
      <c r="B258" s="3"/>
      <c r="C258" s="3" t="str">
        <f>IFERROR(__xludf.DUMMYFUNCTION("""COMPUTED_VALUE"""),"zimbabwe")</f>
        <v>zimbabwe</v>
      </c>
      <c r="D258" s="3"/>
      <c r="E258" s="3" t="str">
        <f>IFERROR(__xludf.DUMMYFUNCTION("""COMPUTED_VALUE"""),"south_africa")</f>
        <v>south_africa</v>
      </c>
      <c r="F258" s="3" t="str">
        <f>IFERROR(__xludf.DUMMYFUNCTION("""COMPUTED_VALUE"""),"City of Tshwane Metropolitan Municipality")</f>
        <v>City of Tshwane Metropolitan Municipality</v>
      </c>
      <c r="G258" s="3">
        <f>IFERROR(__xludf.DUMMYFUNCTION("""COMPUTED_VALUE"""),36.0)</f>
        <v>36</v>
      </c>
      <c r="H258" s="3" t="str">
        <f>IFERROR(__xludf.DUMMYFUNCTION("""COMPUTED_VALUE"""),"male")</f>
        <v>male</v>
      </c>
      <c r="I258" s="3" t="str">
        <f>IFERROR(__xludf.DUMMYFUNCTION("""COMPUTED_VALUE"""),"1to5")</f>
        <v>1to5</v>
      </c>
      <c r="J258" s="3" t="str">
        <f>IFERROR(__xludf.DUMMYFUNCTION("""COMPUTED_VALUE"""),"ownbusiness")</f>
        <v>ownbusiness</v>
      </c>
      <c r="K258" s="3" t="str">
        <f>IFERROR(__xludf.DUMMYFUNCTION("""COMPUTED_VALUE"""),"secondary")</f>
        <v>secondary</v>
      </c>
      <c r="L258" s="3"/>
      <c r="M258" s="3" t="str">
        <f>IFERROR(__xludf.DUMMYFUNCTION("""COMPUTED_VALUE"""),"agree")</f>
        <v>agree</v>
      </c>
      <c r="N258" s="3" t="str">
        <f>IFERROR(__xludf.DUMMYFUNCTION("""COMPUTED_VALUE"""),"agree")</f>
        <v>agree</v>
      </c>
      <c r="O258" s="3" t="str">
        <f>IFERROR(__xludf.DUMMYFUNCTION("""COMPUTED_VALUE"""),"disagree")</f>
        <v>disagree</v>
      </c>
      <c r="P258" s="3"/>
      <c r="Q258" s="3" t="str">
        <f>IFERROR(__xludf.DUMMYFUNCTION("""COMPUTED_VALUE"""),"agree")</f>
        <v>agree</v>
      </c>
      <c r="R258" s="3" t="str">
        <f>IFERROR(__xludf.DUMMYFUNCTION("""COMPUTED_VALUE"""),"agree")</f>
        <v>agree</v>
      </c>
      <c r="S258" s="3" t="str">
        <f>IFERROR(__xludf.DUMMYFUNCTION("""COMPUTED_VALUE"""),"agree")</f>
        <v>agree</v>
      </c>
      <c r="T258" s="3" t="str">
        <f>IFERROR(__xludf.DUMMYFUNCTION("""COMPUTED_VALUE"""),"agree")</f>
        <v>agree</v>
      </c>
      <c r="U258" s="3" t="str">
        <f>IFERROR(__xludf.DUMMYFUNCTION("""COMPUTED_VALUE"""),"disagree")</f>
        <v>disagree</v>
      </c>
      <c r="V258" s="3" t="str">
        <f>IFERROR(__xludf.DUMMYFUNCTION("""COMPUTED_VALUE"""),"disagree")</f>
        <v>disagree</v>
      </c>
      <c r="W258" s="3" t="str">
        <f>IFERROR(__xludf.DUMMYFUNCTION("""COMPUTED_VALUE"""),"disagree")</f>
        <v>disagree</v>
      </c>
      <c r="X258" s="3" t="str">
        <f>IFERROR(__xludf.DUMMYFUNCTION("""COMPUTED_VALUE"""),"Silver")</f>
        <v>Silver</v>
      </c>
      <c r="Y258" s="3" t="str">
        <f>IFERROR(__xludf.DUMMYFUNCTION("""COMPUTED_VALUE"""),"prepaid")</f>
        <v>prepaid</v>
      </c>
      <c r="Z258" s="3" t="str">
        <f>IFERROR(__xludf.DUMMYFUNCTION("""COMPUTED_VALUE"""),"annual")</f>
        <v>annual</v>
      </c>
      <c r="AA258" s="3">
        <f>IFERROR(__xludf.DUMMYFUNCTION("""COMPUTED_VALUE"""),50.0)</f>
        <v>50</v>
      </c>
      <c r="AB258" s="3" t="str">
        <f>IFERROR(__xludf.DUMMYFUNCTION("""COMPUTED_VALUE"""),"employer")</f>
        <v>employer</v>
      </c>
      <c r="AC258" s="3" t="str">
        <f>IFERROR(__xludf.DUMMYFUNCTION("""COMPUTED_VALUE"""),"I am not an employer")</f>
        <v>I am not an employer</v>
      </c>
      <c r="AD258" s="3"/>
      <c r="AE258" s="3"/>
      <c r="AF258" s="3" t="str">
        <f>IFERROR(__xludf.DUMMYFUNCTION("""COMPUTED_VALUE"""),"Yes")</f>
        <v>Yes</v>
      </c>
      <c r="AG258" s="3" t="str">
        <f>IFERROR(__xludf.DUMMYFUNCTION("""COMPUTED_VALUE"""),"Yes")</f>
        <v>Yes</v>
      </c>
      <c r="AH258" s="3">
        <f>IFERROR(__xludf.DUMMYFUNCTION("""COMPUTED_VALUE"""),400.0)</f>
        <v>400</v>
      </c>
      <c r="AI258" s="3">
        <f>IFERROR(__xludf.DUMMYFUNCTION("""COMPUTED_VALUE"""),0.0)</f>
        <v>0</v>
      </c>
      <c r="AJ258" s="3">
        <f>IFERROR(__xludf.DUMMYFUNCTION("""COMPUTED_VALUE"""),0.0)</f>
        <v>0</v>
      </c>
      <c r="AK258" s="3">
        <f>IFERROR(__xludf.DUMMYFUNCTION("""COMPUTED_VALUE"""),0.0)</f>
        <v>0</v>
      </c>
      <c r="AL258" s="3">
        <f>IFERROR(__xludf.DUMMYFUNCTION("""COMPUTED_VALUE"""),1.0)</f>
        <v>1</v>
      </c>
      <c r="AM258" s="3" t="str">
        <f>IFERROR(__xludf.DUMMYFUNCTION("""COMPUTED_VALUE"""),"Yes")</f>
        <v>Yes</v>
      </c>
      <c r="AN258" s="3">
        <f>IFERROR(__xludf.DUMMYFUNCTION("""COMPUTED_VALUE"""),8.43748237E8)</f>
        <v>843748237</v>
      </c>
      <c r="AO258" s="3"/>
      <c r="AP258" s="3">
        <f>IFERROR(__xludf.DUMMYFUNCTION("""COMPUTED_VALUE"""),4.9042629E8)</f>
        <v>490426290</v>
      </c>
      <c r="AQ258" s="3" t="str">
        <f>IFERROR(__xludf.DUMMYFUNCTION("""COMPUTED_VALUE"""),"2a14d248-8cca-45f3-bf9d-a432f91da545")</f>
        <v>2a14d248-8cca-45f3-bf9d-a432f91da545</v>
      </c>
      <c r="AR258" s="3">
        <f>IFERROR(__xludf.DUMMYFUNCTION("""COMPUTED_VALUE"""),45809.47556712963)</f>
        <v>45809.47557</v>
      </c>
      <c r="AS258" s="3"/>
      <c r="AT258" s="3"/>
      <c r="AU258" s="3" t="str">
        <f>IFERROR(__xludf.DUMMYFUNCTION("""COMPUTED_VALUE"""),"submitted_via_web")</f>
        <v>submitted_via_web</v>
      </c>
      <c r="AV258" s="3"/>
      <c r="AW258" s="3" t="str">
        <f>IFERROR(__xludf.DUMMYFUNCTION("""COMPUTED_VALUE"""),"vckVTgNzM4XXtKAKNnsHpB")</f>
        <v>vckVTgNzM4XXtKAKNnsHpB</v>
      </c>
      <c r="AX258" s="3"/>
      <c r="AY258" s="3">
        <f>IFERROR(__xludf.DUMMYFUNCTION("""COMPUTED_VALUE"""),257.0)</f>
        <v>257</v>
      </c>
    </row>
    <row r="259">
      <c r="A259" s="3" t="str">
        <f>IFERROR(__xludf.DUMMYFUNCTION("""COMPUTED_VALUE"""),"Yes")</f>
        <v>Yes</v>
      </c>
      <c r="B259" s="3"/>
      <c r="C259" s="3" t="str">
        <f>IFERROR(__xludf.DUMMYFUNCTION("""COMPUTED_VALUE"""),"zimbabwe")</f>
        <v>zimbabwe</v>
      </c>
      <c r="D259" s="3"/>
      <c r="E259" s="3" t="str">
        <f>IFERROR(__xludf.DUMMYFUNCTION("""COMPUTED_VALUE"""),"south_africa")</f>
        <v>south_africa</v>
      </c>
      <c r="F259" s="3" t="str">
        <f>IFERROR(__xludf.DUMMYFUNCTION("""COMPUTED_VALUE"""),"City of Tshwane Metropolitan Municipality")</f>
        <v>City of Tshwane Metropolitan Municipality</v>
      </c>
      <c r="G259" s="3">
        <f>IFERROR(__xludf.DUMMYFUNCTION("""COMPUTED_VALUE"""),33.0)</f>
        <v>33</v>
      </c>
      <c r="H259" s="3" t="str">
        <f>IFERROR(__xludf.DUMMYFUNCTION("""COMPUTED_VALUE"""),"male")</f>
        <v>male</v>
      </c>
      <c r="I259" s="3" t="str">
        <f>IFERROR(__xludf.DUMMYFUNCTION("""COMPUTED_VALUE"""),"over5")</f>
        <v>over5</v>
      </c>
      <c r="J259" s="3" t="str">
        <f>IFERROR(__xludf.DUMMYFUNCTION("""COMPUTED_VALUE"""),"unemployed")</f>
        <v>unemployed</v>
      </c>
      <c r="K259" s="3" t="str">
        <f>IFERROR(__xludf.DUMMYFUNCTION("""COMPUTED_VALUE"""),"secondary")</f>
        <v>secondary</v>
      </c>
      <c r="L259" s="3"/>
      <c r="M259" s="3" t="str">
        <f>IFERROR(__xludf.DUMMYFUNCTION("""COMPUTED_VALUE"""),"agree")</f>
        <v>agree</v>
      </c>
      <c r="N259" s="3" t="str">
        <f>IFERROR(__xludf.DUMMYFUNCTION("""COMPUTED_VALUE"""),"agree")</f>
        <v>agree</v>
      </c>
      <c r="O259" s="3" t="str">
        <f>IFERROR(__xludf.DUMMYFUNCTION("""COMPUTED_VALUE"""),"agree")</f>
        <v>agree</v>
      </c>
      <c r="P259" s="3"/>
      <c r="Q259" s="3" t="str">
        <f>IFERROR(__xludf.DUMMYFUNCTION("""COMPUTED_VALUE"""),"agree")</f>
        <v>agree</v>
      </c>
      <c r="R259" s="3" t="str">
        <f>IFERROR(__xludf.DUMMYFUNCTION("""COMPUTED_VALUE"""),"agree")</f>
        <v>agree</v>
      </c>
      <c r="S259" s="3" t="str">
        <f>IFERROR(__xludf.DUMMYFUNCTION("""COMPUTED_VALUE"""),"agree")</f>
        <v>agree</v>
      </c>
      <c r="T259" s="3" t="str">
        <f>IFERROR(__xludf.DUMMYFUNCTION("""COMPUTED_VALUE"""),"agree")</f>
        <v>agree</v>
      </c>
      <c r="U259" s="3" t="str">
        <f>IFERROR(__xludf.DUMMYFUNCTION("""COMPUTED_VALUE"""),"agree")</f>
        <v>agree</v>
      </c>
      <c r="V259" s="3" t="str">
        <f>IFERROR(__xludf.DUMMYFUNCTION("""COMPUTED_VALUE"""),"agree")</f>
        <v>agree</v>
      </c>
      <c r="W259" s="3" t="str">
        <f>IFERROR(__xludf.DUMMYFUNCTION("""COMPUTED_VALUE"""),"agree")</f>
        <v>agree</v>
      </c>
      <c r="X259" s="3" t="str">
        <f>IFERROR(__xludf.DUMMYFUNCTION("""COMPUTED_VALUE"""),"Gold")</f>
        <v>Gold</v>
      </c>
      <c r="Y259" s="3" t="str">
        <f>IFERROR(__xludf.DUMMYFUNCTION("""COMPUTED_VALUE"""),"cash")</f>
        <v>cash</v>
      </c>
      <c r="Z259" s="3" t="str">
        <f>IFERROR(__xludf.DUMMYFUNCTION("""COMPUTED_VALUE"""),"annual")</f>
        <v>annual</v>
      </c>
      <c r="AA259" s="3">
        <f>IFERROR(__xludf.DUMMYFUNCTION("""COMPUTED_VALUE"""),50.0)</f>
        <v>50</v>
      </c>
      <c r="AB259" s="3" t="str">
        <f>IFERROR(__xludf.DUMMYFUNCTION("""COMPUTED_VALUE"""),"assisted")</f>
        <v>assisted</v>
      </c>
      <c r="AC259" s="3" t="str">
        <f>IFERROR(__xludf.DUMMYFUNCTION("""COMPUTED_VALUE"""),"I am not an employer")</f>
        <v>I am not an employer</v>
      </c>
      <c r="AD259" s="3"/>
      <c r="AE259" s="3"/>
      <c r="AF259" s="3" t="str">
        <f>IFERROR(__xludf.DUMMYFUNCTION("""COMPUTED_VALUE"""),"Yes")</f>
        <v>Yes</v>
      </c>
      <c r="AG259" s="3"/>
      <c r="AH259" s="3"/>
      <c r="AI259" s="3">
        <f>IFERROR(__xludf.DUMMYFUNCTION("""COMPUTED_VALUE"""),0.0)</f>
        <v>0</v>
      </c>
      <c r="AJ259" s="3">
        <f>IFERROR(__xludf.DUMMYFUNCTION("""COMPUTED_VALUE"""),1.0)</f>
        <v>1</v>
      </c>
      <c r="AK259" s="3">
        <f>IFERROR(__xludf.DUMMYFUNCTION("""COMPUTED_VALUE"""),0.0)</f>
        <v>0</v>
      </c>
      <c r="AL259" s="3">
        <f>IFERROR(__xludf.DUMMYFUNCTION("""COMPUTED_VALUE"""),0.0)</f>
        <v>0</v>
      </c>
      <c r="AM259" s="3" t="str">
        <f>IFERROR(__xludf.DUMMYFUNCTION("""COMPUTED_VALUE"""),"Yes")</f>
        <v>Yes</v>
      </c>
      <c r="AN259" s="3">
        <f>IFERROR(__xludf.DUMMYFUNCTION("""COMPUTED_VALUE"""),7.42414746E8)</f>
        <v>742414746</v>
      </c>
      <c r="AO259" s="3"/>
      <c r="AP259" s="3">
        <f>IFERROR(__xludf.DUMMYFUNCTION("""COMPUTED_VALUE"""),4.90426878E8)</f>
        <v>490426878</v>
      </c>
      <c r="AQ259" s="3" t="str">
        <f>IFERROR(__xludf.DUMMYFUNCTION("""COMPUTED_VALUE"""),"b280f657-1e80-4b66-ba03-41f8a8099429")</f>
        <v>b280f657-1e80-4b66-ba03-41f8a8099429</v>
      </c>
      <c r="AR259" s="3">
        <f>IFERROR(__xludf.DUMMYFUNCTION("""COMPUTED_VALUE"""),45809.476689814815)</f>
        <v>45809.47669</v>
      </c>
      <c r="AS259" s="3"/>
      <c r="AT259" s="3"/>
      <c r="AU259" s="3" t="str">
        <f>IFERROR(__xludf.DUMMYFUNCTION("""COMPUTED_VALUE"""),"submitted_via_web")</f>
        <v>submitted_via_web</v>
      </c>
      <c r="AV259" s="3"/>
      <c r="AW259" s="3" t="str">
        <f>IFERROR(__xludf.DUMMYFUNCTION("""COMPUTED_VALUE"""),"vckVTgNzM4XXtKAKNnsHpB")</f>
        <v>vckVTgNzM4XXtKAKNnsHpB</v>
      </c>
      <c r="AX259" s="3"/>
      <c r="AY259" s="3">
        <f>IFERROR(__xludf.DUMMYFUNCTION("""COMPUTED_VALUE"""),258.0)</f>
        <v>258</v>
      </c>
    </row>
    <row r="260">
      <c r="A260" s="3" t="str">
        <f>IFERROR(__xludf.DUMMYFUNCTION("""COMPUTED_VALUE"""),"Yes")</f>
        <v>Yes</v>
      </c>
      <c r="B260" s="3"/>
      <c r="C260" s="3" t="str">
        <f>IFERROR(__xludf.DUMMYFUNCTION("""COMPUTED_VALUE"""),"zimbabwe")</f>
        <v>zimbabwe</v>
      </c>
      <c r="D260" s="3"/>
      <c r="E260" s="3" t="str">
        <f>IFERROR(__xludf.DUMMYFUNCTION("""COMPUTED_VALUE"""),"south_africa")</f>
        <v>south_africa</v>
      </c>
      <c r="F260" s="3"/>
      <c r="G260" s="3">
        <f>IFERROR(__xludf.DUMMYFUNCTION("""COMPUTED_VALUE"""),26.0)</f>
        <v>26</v>
      </c>
      <c r="H260" s="3" t="str">
        <f>IFERROR(__xludf.DUMMYFUNCTION("""COMPUTED_VALUE"""),"female")</f>
        <v>female</v>
      </c>
      <c r="I260" s="3" t="str">
        <f>IFERROR(__xludf.DUMMYFUNCTION("""COMPUTED_VALUE"""),"over5")</f>
        <v>over5</v>
      </c>
      <c r="J260" s="3" t="str">
        <f>IFERROR(__xludf.DUMMYFUNCTION("""COMPUTED_VALUE"""),"unemployed")</f>
        <v>unemployed</v>
      </c>
      <c r="K260" s="3" t="str">
        <f>IFERROR(__xludf.DUMMYFUNCTION("""COMPUTED_VALUE"""),"secondary")</f>
        <v>secondary</v>
      </c>
      <c r="L260" s="3"/>
      <c r="M260" s="3" t="str">
        <f>IFERROR(__xludf.DUMMYFUNCTION("""COMPUTED_VALUE"""),"agree")</f>
        <v>agree</v>
      </c>
      <c r="N260" s="3" t="str">
        <f>IFERROR(__xludf.DUMMYFUNCTION("""COMPUTED_VALUE"""),"agree")</f>
        <v>agree</v>
      </c>
      <c r="O260" s="3" t="str">
        <f>IFERROR(__xludf.DUMMYFUNCTION("""COMPUTED_VALUE"""),"agree")</f>
        <v>agree</v>
      </c>
      <c r="P260" s="3"/>
      <c r="Q260" s="3" t="str">
        <f>IFERROR(__xludf.DUMMYFUNCTION("""COMPUTED_VALUE"""),"agree")</f>
        <v>agree</v>
      </c>
      <c r="R260" s="3" t="str">
        <f>IFERROR(__xludf.DUMMYFUNCTION("""COMPUTED_VALUE"""),"agree")</f>
        <v>agree</v>
      </c>
      <c r="S260" s="3" t="str">
        <f>IFERROR(__xludf.DUMMYFUNCTION("""COMPUTED_VALUE"""),"agree")</f>
        <v>agree</v>
      </c>
      <c r="T260" s="3" t="str">
        <f>IFERROR(__xludf.DUMMYFUNCTION("""COMPUTED_VALUE"""),"agree")</f>
        <v>agree</v>
      </c>
      <c r="U260" s="3" t="str">
        <f>IFERROR(__xludf.DUMMYFUNCTION("""COMPUTED_VALUE"""),"agree")</f>
        <v>agree</v>
      </c>
      <c r="V260" s="3" t="str">
        <f>IFERROR(__xludf.DUMMYFUNCTION("""COMPUTED_VALUE"""),"agree")</f>
        <v>agree</v>
      </c>
      <c r="W260" s="3" t="str">
        <f>IFERROR(__xludf.DUMMYFUNCTION("""COMPUTED_VALUE"""),"agree")</f>
        <v>agree</v>
      </c>
      <c r="X260" s="3" t="str">
        <f>IFERROR(__xludf.DUMMYFUNCTION("""COMPUTED_VALUE"""),"Gold")</f>
        <v>Gold</v>
      </c>
      <c r="Y260" s="3" t="str">
        <f>IFERROR(__xludf.DUMMYFUNCTION("""COMPUTED_VALUE"""),"prepaid")</f>
        <v>prepaid</v>
      </c>
      <c r="Z260" s="3" t="str">
        <f>IFERROR(__xludf.DUMMYFUNCTION("""COMPUTED_VALUE"""),"annual")</f>
        <v>annual</v>
      </c>
      <c r="AA260" s="3">
        <f>IFERROR(__xludf.DUMMYFUNCTION("""COMPUTED_VALUE"""),50.0)</f>
        <v>50</v>
      </c>
      <c r="AB260" s="3" t="str">
        <f>IFERROR(__xludf.DUMMYFUNCTION("""COMPUTED_VALUE"""),"assisted")</f>
        <v>assisted</v>
      </c>
      <c r="AC260" s="3" t="str">
        <f>IFERROR(__xludf.DUMMYFUNCTION("""COMPUTED_VALUE"""),"I am not an employer")</f>
        <v>I am not an employer</v>
      </c>
      <c r="AD260" s="3"/>
      <c r="AE260" s="3"/>
      <c r="AF260" s="3" t="str">
        <f>IFERROR(__xludf.DUMMYFUNCTION("""COMPUTED_VALUE"""),"Yes")</f>
        <v>Yes</v>
      </c>
      <c r="AG260" s="3"/>
      <c r="AH260" s="3"/>
      <c r="AI260" s="3">
        <f>IFERROR(__xludf.DUMMYFUNCTION("""COMPUTED_VALUE"""),0.0)</f>
        <v>0</v>
      </c>
      <c r="AJ260" s="3">
        <f>IFERROR(__xludf.DUMMYFUNCTION("""COMPUTED_VALUE"""),0.0)</f>
        <v>0</v>
      </c>
      <c r="AK260" s="3">
        <f>IFERROR(__xludf.DUMMYFUNCTION("""COMPUTED_VALUE"""),0.0)</f>
        <v>0</v>
      </c>
      <c r="AL260" s="3">
        <f>IFERROR(__xludf.DUMMYFUNCTION("""COMPUTED_VALUE"""),1.0)</f>
        <v>1</v>
      </c>
      <c r="AM260" s="3" t="str">
        <f>IFERROR(__xludf.DUMMYFUNCTION("""COMPUTED_VALUE"""),"Yes")</f>
        <v>Yes</v>
      </c>
      <c r="AN260" s="3">
        <f>IFERROR(__xludf.DUMMYFUNCTION("""COMPUTED_VALUE"""),7.43074844E8)</f>
        <v>743074844</v>
      </c>
      <c r="AO260" s="3"/>
      <c r="AP260" s="3">
        <f>IFERROR(__xludf.DUMMYFUNCTION("""COMPUTED_VALUE"""),4.90427639E8)</f>
        <v>490427639</v>
      </c>
      <c r="AQ260" s="3" t="str">
        <f>IFERROR(__xludf.DUMMYFUNCTION("""COMPUTED_VALUE"""),"0983776f-c56e-44e3-bd38-a778505aac4d")</f>
        <v>0983776f-c56e-44e3-bd38-a778505aac4d</v>
      </c>
      <c r="AR260" s="3">
        <f>IFERROR(__xludf.DUMMYFUNCTION("""COMPUTED_VALUE"""),45809.477858796294)</f>
        <v>45809.47786</v>
      </c>
      <c r="AS260" s="3"/>
      <c r="AT260" s="3"/>
      <c r="AU260" s="3" t="str">
        <f>IFERROR(__xludf.DUMMYFUNCTION("""COMPUTED_VALUE"""),"submitted_via_web")</f>
        <v>submitted_via_web</v>
      </c>
      <c r="AV260" s="3"/>
      <c r="AW260" s="3" t="str">
        <f>IFERROR(__xludf.DUMMYFUNCTION("""COMPUTED_VALUE"""),"vckVTgNzM4XXtKAKNnsHpB")</f>
        <v>vckVTgNzM4XXtKAKNnsHpB</v>
      </c>
      <c r="AX260" s="3"/>
      <c r="AY260" s="3">
        <f>IFERROR(__xludf.DUMMYFUNCTION("""COMPUTED_VALUE"""),259.0)</f>
        <v>259</v>
      </c>
    </row>
    <row r="261">
      <c r="A261" s="3" t="str">
        <f>IFERROR(__xludf.DUMMYFUNCTION("""COMPUTED_VALUE"""),"Yes")</f>
        <v>Yes</v>
      </c>
      <c r="B261" s="3"/>
      <c r="C261" s="3" t="str">
        <f>IFERROR(__xludf.DUMMYFUNCTION("""COMPUTED_VALUE"""),"zimbabwe")</f>
        <v>zimbabwe</v>
      </c>
      <c r="D261" s="3"/>
      <c r="E261" s="3" t="str">
        <f>IFERROR(__xludf.DUMMYFUNCTION("""COMPUTED_VALUE"""),"south_africa")</f>
        <v>south_africa</v>
      </c>
      <c r="F261" s="3" t="str">
        <f>IFERROR(__xludf.DUMMYFUNCTION("""COMPUTED_VALUE"""),"City of Tshwane Metropolitan Municipality")</f>
        <v>City of Tshwane Metropolitan Municipality</v>
      </c>
      <c r="G261" s="3">
        <f>IFERROR(__xludf.DUMMYFUNCTION("""COMPUTED_VALUE"""),30.0)</f>
        <v>30</v>
      </c>
      <c r="H261" s="3" t="str">
        <f>IFERROR(__xludf.DUMMYFUNCTION("""COMPUTED_VALUE"""),"female")</f>
        <v>female</v>
      </c>
      <c r="I261" s="3" t="str">
        <f>IFERROR(__xludf.DUMMYFUNCTION("""COMPUTED_VALUE"""),"over5")</f>
        <v>over5</v>
      </c>
      <c r="J261" s="3" t="str">
        <f>IFERROR(__xludf.DUMMYFUNCTION("""COMPUTED_VALUE"""),"unemployed")</f>
        <v>unemployed</v>
      </c>
      <c r="K261" s="3" t="str">
        <f>IFERROR(__xludf.DUMMYFUNCTION("""COMPUTED_VALUE"""),"secondary")</f>
        <v>secondary</v>
      </c>
      <c r="L261" s="3"/>
      <c r="M261" s="3" t="str">
        <f>IFERROR(__xludf.DUMMYFUNCTION("""COMPUTED_VALUE"""),"agree")</f>
        <v>agree</v>
      </c>
      <c r="N261" s="3" t="str">
        <f>IFERROR(__xludf.DUMMYFUNCTION("""COMPUTED_VALUE"""),"agree")</f>
        <v>agree</v>
      </c>
      <c r="O261" s="3" t="str">
        <f>IFERROR(__xludf.DUMMYFUNCTION("""COMPUTED_VALUE"""),"agree")</f>
        <v>agree</v>
      </c>
      <c r="P261" s="3"/>
      <c r="Q261" s="3" t="str">
        <f>IFERROR(__xludf.DUMMYFUNCTION("""COMPUTED_VALUE"""),"agree")</f>
        <v>agree</v>
      </c>
      <c r="R261" s="3" t="str">
        <f>IFERROR(__xludf.DUMMYFUNCTION("""COMPUTED_VALUE"""),"agree")</f>
        <v>agree</v>
      </c>
      <c r="S261" s="3" t="str">
        <f>IFERROR(__xludf.DUMMYFUNCTION("""COMPUTED_VALUE"""),"agree")</f>
        <v>agree</v>
      </c>
      <c r="T261" s="3" t="str">
        <f>IFERROR(__xludf.DUMMYFUNCTION("""COMPUTED_VALUE"""),"agree")</f>
        <v>agree</v>
      </c>
      <c r="U261" s="3" t="str">
        <f>IFERROR(__xludf.DUMMYFUNCTION("""COMPUTED_VALUE"""),"agree")</f>
        <v>agree</v>
      </c>
      <c r="V261" s="3" t="str">
        <f>IFERROR(__xludf.DUMMYFUNCTION("""COMPUTED_VALUE"""),"agree")</f>
        <v>agree</v>
      </c>
      <c r="W261" s="3" t="str">
        <f>IFERROR(__xludf.DUMMYFUNCTION("""COMPUTED_VALUE"""),"agree")</f>
        <v>agree</v>
      </c>
      <c r="X261" s="3" t="str">
        <f>IFERROR(__xludf.DUMMYFUNCTION("""COMPUTED_VALUE"""),"Gold")</f>
        <v>Gold</v>
      </c>
      <c r="Y261" s="3" t="str">
        <f>IFERROR(__xludf.DUMMYFUNCTION("""COMPUTED_VALUE"""),"card")</f>
        <v>card</v>
      </c>
      <c r="Z261" s="3" t="str">
        <f>IFERROR(__xludf.DUMMYFUNCTION("""COMPUTED_VALUE"""),"annual")</f>
        <v>annual</v>
      </c>
      <c r="AA261" s="3">
        <f>IFERROR(__xludf.DUMMYFUNCTION("""COMPUTED_VALUE"""),50.0)</f>
        <v>50</v>
      </c>
      <c r="AB261" s="3" t="str">
        <f>IFERROR(__xludf.DUMMYFUNCTION("""COMPUTED_VALUE"""),"assisted")</f>
        <v>assisted</v>
      </c>
      <c r="AC261" s="3" t="str">
        <f>IFERROR(__xludf.DUMMYFUNCTION("""COMPUTED_VALUE"""),"I am not an employer")</f>
        <v>I am not an employer</v>
      </c>
      <c r="AD261" s="3"/>
      <c r="AE261" s="3"/>
      <c r="AF261" s="3" t="str">
        <f>IFERROR(__xludf.DUMMYFUNCTION("""COMPUTED_VALUE"""),"Yes")</f>
        <v>Yes</v>
      </c>
      <c r="AG261" s="3"/>
      <c r="AH261" s="3"/>
      <c r="AI261" s="3">
        <f>IFERROR(__xludf.DUMMYFUNCTION("""COMPUTED_VALUE"""),0.0)</f>
        <v>0</v>
      </c>
      <c r="AJ261" s="3">
        <f>IFERROR(__xludf.DUMMYFUNCTION("""COMPUTED_VALUE"""),0.0)</f>
        <v>0</v>
      </c>
      <c r="AK261" s="3">
        <f>IFERROR(__xludf.DUMMYFUNCTION("""COMPUTED_VALUE"""),0.0)</f>
        <v>0</v>
      </c>
      <c r="AL261" s="3">
        <f>IFERROR(__xludf.DUMMYFUNCTION("""COMPUTED_VALUE"""),1.0)</f>
        <v>1</v>
      </c>
      <c r="AM261" s="3" t="str">
        <f>IFERROR(__xludf.DUMMYFUNCTION("""COMPUTED_VALUE"""),"Yes")</f>
        <v>Yes</v>
      </c>
      <c r="AN261" s="3">
        <f>IFERROR(__xludf.DUMMYFUNCTION("""COMPUTED_VALUE"""),6.44607283E8)</f>
        <v>644607283</v>
      </c>
      <c r="AO261" s="3"/>
      <c r="AP261" s="3">
        <f>IFERROR(__xludf.DUMMYFUNCTION("""COMPUTED_VALUE"""),4.90428229E8)</f>
        <v>490428229</v>
      </c>
      <c r="AQ261" s="3" t="str">
        <f>IFERROR(__xludf.DUMMYFUNCTION("""COMPUTED_VALUE"""),"0eed33b7-7d2d-4342-8ed5-5456a6ec1555")</f>
        <v>0eed33b7-7d2d-4342-8ed5-5456a6ec1555</v>
      </c>
      <c r="AR261" s="3">
        <f>IFERROR(__xludf.DUMMYFUNCTION("""COMPUTED_VALUE"""),45809.47893518519)</f>
        <v>45809.47894</v>
      </c>
      <c r="AS261" s="3"/>
      <c r="AT261" s="3"/>
      <c r="AU261" s="3" t="str">
        <f>IFERROR(__xludf.DUMMYFUNCTION("""COMPUTED_VALUE"""),"submitted_via_web")</f>
        <v>submitted_via_web</v>
      </c>
      <c r="AV261" s="3"/>
      <c r="AW261" s="3" t="str">
        <f>IFERROR(__xludf.DUMMYFUNCTION("""COMPUTED_VALUE"""),"vckVTgNzM4XXtKAKNnsHpB")</f>
        <v>vckVTgNzM4XXtKAKNnsHpB</v>
      </c>
      <c r="AX261" s="3"/>
      <c r="AY261" s="3">
        <f>IFERROR(__xludf.DUMMYFUNCTION("""COMPUTED_VALUE"""),260.0)</f>
        <v>260</v>
      </c>
    </row>
    <row r="262">
      <c r="A262" s="3" t="str">
        <f>IFERROR(__xludf.DUMMYFUNCTION("""COMPUTED_VALUE"""),"Yes")</f>
        <v>Yes</v>
      </c>
      <c r="B262" s="3"/>
      <c r="C262" s="3" t="str">
        <f>IFERROR(__xludf.DUMMYFUNCTION("""COMPUTED_VALUE"""),"zimbabwe")</f>
        <v>zimbabwe</v>
      </c>
      <c r="D262" s="3"/>
      <c r="E262" s="3" t="str">
        <f>IFERROR(__xludf.DUMMYFUNCTION("""COMPUTED_VALUE"""),"south_africa")</f>
        <v>south_africa</v>
      </c>
      <c r="F262" s="3" t="str">
        <f>IFERROR(__xludf.DUMMYFUNCTION("""COMPUTED_VALUE"""),"City of Tshwane Metropolitan Municipality")</f>
        <v>City of Tshwane Metropolitan Municipality</v>
      </c>
      <c r="G262" s="3">
        <f>IFERROR(__xludf.DUMMYFUNCTION("""COMPUTED_VALUE"""),39.0)</f>
        <v>39</v>
      </c>
      <c r="H262" s="3" t="str">
        <f>IFERROR(__xludf.DUMMYFUNCTION("""COMPUTED_VALUE"""),"male")</f>
        <v>male</v>
      </c>
      <c r="I262" s="3" t="str">
        <f>IFERROR(__xludf.DUMMYFUNCTION("""COMPUTED_VALUE"""),"over5")</f>
        <v>over5</v>
      </c>
      <c r="J262" s="3" t="str">
        <f>IFERROR(__xludf.DUMMYFUNCTION("""COMPUTED_VALUE"""),"informal")</f>
        <v>informal</v>
      </c>
      <c r="K262" s="3" t="str">
        <f>IFERROR(__xludf.DUMMYFUNCTION("""COMPUTED_VALUE"""),"secondary")</f>
        <v>secondary</v>
      </c>
      <c r="L262" s="3"/>
      <c r="M262" s="3" t="str">
        <f>IFERROR(__xludf.DUMMYFUNCTION("""COMPUTED_VALUE"""),"agree")</f>
        <v>agree</v>
      </c>
      <c r="N262" s="3" t="str">
        <f>IFERROR(__xludf.DUMMYFUNCTION("""COMPUTED_VALUE"""),"agree")</f>
        <v>agree</v>
      </c>
      <c r="O262" s="3" t="str">
        <f>IFERROR(__xludf.DUMMYFUNCTION("""COMPUTED_VALUE"""),"agree")</f>
        <v>agree</v>
      </c>
      <c r="P262" s="3"/>
      <c r="Q262" s="3" t="str">
        <f>IFERROR(__xludf.DUMMYFUNCTION("""COMPUTED_VALUE"""),"agree")</f>
        <v>agree</v>
      </c>
      <c r="R262" s="3" t="str">
        <f>IFERROR(__xludf.DUMMYFUNCTION("""COMPUTED_VALUE"""),"agree")</f>
        <v>agree</v>
      </c>
      <c r="S262" s="3" t="str">
        <f>IFERROR(__xludf.DUMMYFUNCTION("""COMPUTED_VALUE"""),"agree")</f>
        <v>agree</v>
      </c>
      <c r="T262" s="3" t="str">
        <f>IFERROR(__xludf.DUMMYFUNCTION("""COMPUTED_VALUE"""),"agree")</f>
        <v>agree</v>
      </c>
      <c r="U262" s="3" t="str">
        <f>IFERROR(__xludf.DUMMYFUNCTION("""COMPUTED_VALUE"""),"agree")</f>
        <v>agree</v>
      </c>
      <c r="V262" s="3" t="str">
        <f>IFERROR(__xludf.DUMMYFUNCTION("""COMPUTED_VALUE"""),"agree")</f>
        <v>agree</v>
      </c>
      <c r="W262" s="3" t="str">
        <f>IFERROR(__xludf.DUMMYFUNCTION("""COMPUTED_VALUE"""),"agree")</f>
        <v>agree</v>
      </c>
      <c r="X262" s="3" t="str">
        <f>IFERROR(__xludf.DUMMYFUNCTION("""COMPUTED_VALUE"""),"Gold")</f>
        <v>Gold</v>
      </c>
      <c r="Y262" s="3" t="str">
        <f>IFERROR(__xludf.DUMMYFUNCTION("""COMPUTED_VALUE"""),"prepaid")</f>
        <v>prepaid</v>
      </c>
      <c r="Z262" s="3" t="str">
        <f>IFERROR(__xludf.DUMMYFUNCTION("""COMPUTED_VALUE"""),"annual")</f>
        <v>annual</v>
      </c>
      <c r="AA262" s="3">
        <f>IFERROR(__xludf.DUMMYFUNCTION("""COMPUTED_VALUE"""),50.0)</f>
        <v>50</v>
      </c>
      <c r="AB262" s="3" t="str">
        <f>IFERROR(__xludf.DUMMYFUNCTION("""COMPUTED_VALUE"""),"employer")</f>
        <v>employer</v>
      </c>
      <c r="AC262" s="3" t="str">
        <f>IFERROR(__xludf.DUMMYFUNCTION("""COMPUTED_VALUE"""),"I am not an employer")</f>
        <v>I am not an employer</v>
      </c>
      <c r="AD262" s="3"/>
      <c r="AE262" s="3"/>
      <c r="AF262" s="3" t="str">
        <f>IFERROR(__xludf.DUMMYFUNCTION("""COMPUTED_VALUE"""),"Yes")</f>
        <v>Yes</v>
      </c>
      <c r="AG262" s="3"/>
      <c r="AH262" s="3"/>
      <c r="AI262" s="3">
        <f>IFERROR(__xludf.DUMMYFUNCTION("""COMPUTED_VALUE"""),0.0)</f>
        <v>0</v>
      </c>
      <c r="AJ262" s="3">
        <f>IFERROR(__xludf.DUMMYFUNCTION("""COMPUTED_VALUE"""),0.0)</f>
        <v>0</v>
      </c>
      <c r="AK262" s="3">
        <f>IFERROR(__xludf.DUMMYFUNCTION("""COMPUTED_VALUE"""),0.0)</f>
        <v>0</v>
      </c>
      <c r="AL262" s="3">
        <f>IFERROR(__xludf.DUMMYFUNCTION("""COMPUTED_VALUE"""),1.0)</f>
        <v>1</v>
      </c>
      <c r="AM262" s="3" t="str">
        <f>IFERROR(__xludf.DUMMYFUNCTION("""COMPUTED_VALUE"""),"Yes")</f>
        <v>Yes</v>
      </c>
      <c r="AN262" s="3">
        <f>IFERROR(__xludf.DUMMYFUNCTION("""COMPUTED_VALUE"""),6.1803172E8)</f>
        <v>618031720</v>
      </c>
      <c r="AO262" s="3"/>
      <c r="AP262" s="3">
        <f>IFERROR(__xludf.DUMMYFUNCTION("""COMPUTED_VALUE"""),4.9042889E8)</f>
        <v>490428890</v>
      </c>
      <c r="AQ262" s="3" t="str">
        <f>IFERROR(__xludf.DUMMYFUNCTION("""COMPUTED_VALUE"""),"4ff10dfa-aa80-4cd6-929f-582f69181b4a")</f>
        <v>4ff10dfa-aa80-4cd6-929f-582f69181b4a</v>
      </c>
      <c r="AR262" s="3">
        <f>IFERROR(__xludf.DUMMYFUNCTION("""COMPUTED_VALUE"""),45809.48024305556)</f>
        <v>45809.48024</v>
      </c>
      <c r="AS262" s="3"/>
      <c r="AT262" s="3"/>
      <c r="AU262" s="3" t="str">
        <f>IFERROR(__xludf.DUMMYFUNCTION("""COMPUTED_VALUE"""),"submitted_via_web")</f>
        <v>submitted_via_web</v>
      </c>
      <c r="AV262" s="3"/>
      <c r="AW262" s="3" t="str">
        <f>IFERROR(__xludf.DUMMYFUNCTION("""COMPUTED_VALUE"""),"vckVTgNzM4XXtKAKNnsHpB")</f>
        <v>vckVTgNzM4XXtKAKNnsHpB</v>
      </c>
      <c r="AX262" s="3"/>
      <c r="AY262" s="3">
        <f>IFERROR(__xludf.DUMMYFUNCTION("""COMPUTED_VALUE"""),261.0)</f>
        <v>261</v>
      </c>
    </row>
    <row r="263">
      <c r="A263" s="3" t="str">
        <f>IFERROR(__xludf.DUMMYFUNCTION("""COMPUTED_VALUE"""),"Yes")</f>
        <v>Yes</v>
      </c>
      <c r="B263" s="3"/>
      <c r="C263" s="3" t="str">
        <f>IFERROR(__xludf.DUMMYFUNCTION("""COMPUTED_VALUE"""),"zimbabwe")</f>
        <v>zimbabwe</v>
      </c>
      <c r="D263" s="3"/>
      <c r="E263" s="3" t="str">
        <f>IFERROR(__xludf.DUMMYFUNCTION("""COMPUTED_VALUE"""),"south_africa")</f>
        <v>south_africa</v>
      </c>
      <c r="F263" s="3" t="str">
        <f>IFERROR(__xludf.DUMMYFUNCTION("""COMPUTED_VALUE"""),"City of Tshwane Metropolitan Municipality")</f>
        <v>City of Tshwane Metropolitan Municipality</v>
      </c>
      <c r="G263" s="3">
        <f>IFERROR(__xludf.DUMMYFUNCTION("""COMPUTED_VALUE"""),32.0)</f>
        <v>32</v>
      </c>
      <c r="H263" s="3" t="str">
        <f>IFERROR(__xludf.DUMMYFUNCTION("""COMPUTED_VALUE"""),"female")</f>
        <v>female</v>
      </c>
      <c r="I263" s="3" t="str">
        <f>IFERROR(__xludf.DUMMYFUNCTION("""COMPUTED_VALUE"""),"over5")</f>
        <v>over5</v>
      </c>
      <c r="J263" s="3" t="str">
        <f>IFERROR(__xludf.DUMMYFUNCTION("""COMPUTED_VALUE"""),"informal")</f>
        <v>informal</v>
      </c>
      <c r="K263" s="3" t="str">
        <f>IFERROR(__xludf.DUMMYFUNCTION("""COMPUTED_VALUE"""),"secondary")</f>
        <v>secondary</v>
      </c>
      <c r="L263" s="3"/>
      <c r="M263" s="3" t="str">
        <f>IFERROR(__xludf.DUMMYFUNCTION("""COMPUTED_VALUE"""),"agree")</f>
        <v>agree</v>
      </c>
      <c r="N263" s="3" t="str">
        <f>IFERROR(__xludf.DUMMYFUNCTION("""COMPUTED_VALUE"""),"agree")</f>
        <v>agree</v>
      </c>
      <c r="O263" s="3" t="str">
        <f>IFERROR(__xludf.DUMMYFUNCTION("""COMPUTED_VALUE"""),"agree")</f>
        <v>agree</v>
      </c>
      <c r="P263" s="3"/>
      <c r="Q263" s="3" t="str">
        <f>IFERROR(__xludf.DUMMYFUNCTION("""COMPUTED_VALUE"""),"agree")</f>
        <v>agree</v>
      </c>
      <c r="R263" s="3" t="str">
        <f>IFERROR(__xludf.DUMMYFUNCTION("""COMPUTED_VALUE"""),"agree")</f>
        <v>agree</v>
      </c>
      <c r="S263" s="3" t="str">
        <f>IFERROR(__xludf.DUMMYFUNCTION("""COMPUTED_VALUE"""),"agree")</f>
        <v>agree</v>
      </c>
      <c r="T263" s="3" t="str">
        <f>IFERROR(__xludf.DUMMYFUNCTION("""COMPUTED_VALUE"""),"agree")</f>
        <v>agree</v>
      </c>
      <c r="U263" s="3" t="str">
        <f>IFERROR(__xludf.DUMMYFUNCTION("""COMPUTED_VALUE"""),"agree")</f>
        <v>agree</v>
      </c>
      <c r="V263" s="3" t="str">
        <f>IFERROR(__xludf.DUMMYFUNCTION("""COMPUTED_VALUE"""),"agree")</f>
        <v>agree</v>
      </c>
      <c r="W263" s="3" t="str">
        <f>IFERROR(__xludf.DUMMYFUNCTION("""COMPUTED_VALUE"""),"agree")</f>
        <v>agree</v>
      </c>
      <c r="X263" s="3" t="str">
        <f>IFERROR(__xludf.DUMMYFUNCTION("""COMPUTED_VALUE"""),"Gold")</f>
        <v>Gold</v>
      </c>
      <c r="Y263" s="3" t="str">
        <f>IFERROR(__xludf.DUMMYFUNCTION("""COMPUTED_VALUE"""),"card")</f>
        <v>card</v>
      </c>
      <c r="Z263" s="3" t="str">
        <f>IFERROR(__xludf.DUMMYFUNCTION("""COMPUTED_VALUE"""),"quarterly")</f>
        <v>quarterly</v>
      </c>
      <c r="AA263" s="3">
        <f>IFERROR(__xludf.DUMMYFUNCTION("""COMPUTED_VALUE"""),100.0)</f>
        <v>100</v>
      </c>
      <c r="AB263" s="3" t="str">
        <f>IFERROR(__xludf.DUMMYFUNCTION("""COMPUTED_VALUE"""),"online")</f>
        <v>online</v>
      </c>
      <c r="AC263" s="3" t="str">
        <f>IFERROR(__xludf.DUMMYFUNCTION("""COMPUTED_VALUE"""),"I am not an employer")</f>
        <v>I am not an employer</v>
      </c>
      <c r="AD263" s="3"/>
      <c r="AE263" s="3"/>
      <c r="AF263" s="3" t="str">
        <f>IFERROR(__xludf.DUMMYFUNCTION("""COMPUTED_VALUE"""),"Yes")</f>
        <v>Yes</v>
      </c>
      <c r="AG263" s="3"/>
      <c r="AH263" s="3"/>
      <c r="AI263" s="3">
        <f>IFERROR(__xludf.DUMMYFUNCTION("""COMPUTED_VALUE"""),0.0)</f>
        <v>0</v>
      </c>
      <c r="AJ263" s="3">
        <f>IFERROR(__xludf.DUMMYFUNCTION("""COMPUTED_VALUE"""),0.0)</f>
        <v>0</v>
      </c>
      <c r="AK263" s="3">
        <f>IFERROR(__xludf.DUMMYFUNCTION("""COMPUTED_VALUE"""),0.0)</f>
        <v>0</v>
      </c>
      <c r="AL263" s="3">
        <f>IFERROR(__xludf.DUMMYFUNCTION("""COMPUTED_VALUE"""),1.0)</f>
        <v>1</v>
      </c>
      <c r="AM263" s="3" t="str">
        <f>IFERROR(__xludf.DUMMYFUNCTION("""COMPUTED_VALUE"""),"Yes")</f>
        <v>Yes</v>
      </c>
      <c r="AN263" s="3">
        <f>IFERROR(__xludf.DUMMYFUNCTION("""COMPUTED_VALUE"""),6.56507643E8)</f>
        <v>656507643</v>
      </c>
      <c r="AO263" s="3"/>
      <c r="AP263" s="3">
        <f>IFERROR(__xludf.DUMMYFUNCTION("""COMPUTED_VALUE"""),4.90429346E8)</f>
        <v>490429346</v>
      </c>
      <c r="AQ263" s="3" t="str">
        <f>IFERROR(__xludf.DUMMYFUNCTION("""COMPUTED_VALUE"""),"a51e73ff-e13e-42fa-9e7a-0cb8525a9874")</f>
        <v>a51e73ff-e13e-42fa-9e7a-0cb8525a9874</v>
      </c>
      <c r="AR263" s="3">
        <f>IFERROR(__xludf.DUMMYFUNCTION("""COMPUTED_VALUE"""),45809.48138888889)</f>
        <v>45809.48139</v>
      </c>
      <c r="AS263" s="3"/>
      <c r="AT263" s="3"/>
      <c r="AU263" s="3" t="str">
        <f>IFERROR(__xludf.DUMMYFUNCTION("""COMPUTED_VALUE"""),"submitted_via_web")</f>
        <v>submitted_via_web</v>
      </c>
      <c r="AV263" s="3"/>
      <c r="AW263" s="3" t="str">
        <f>IFERROR(__xludf.DUMMYFUNCTION("""COMPUTED_VALUE"""),"vckVTgNzM4XXtKAKNnsHpB")</f>
        <v>vckVTgNzM4XXtKAKNnsHpB</v>
      </c>
      <c r="AX263" s="3"/>
      <c r="AY263" s="3">
        <f>IFERROR(__xludf.DUMMYFUNCTION("""COMPUTED_VALUE"""),262.0)</f>
        <v>262</v>
      </c>
    </row>
    <row r="264">
      <c r="A264" s="3" t="str">
        <f>IFERROR(__xludf.DUMMYFUNCTION("""COMPUTED_VALUE"""),"Yes")</f>
        <v>Yes</v>
      </c>
      <c r="B264" s="3"/>
      <c r="C264" s="3" t="str">
        <f>IFERROR(__xludf.DUMMYFUNCTION("""COMPUTED_VALUE"""),"zimbabwe")</f>
        <v>zimbabwe</v>
      </c>
      <c r="D264" s="3"/>
      <c r="E264" s="3" t="str">
        <f>IFERROR(__xludf.DUMMYFUNCTION("""COMPUTED_VALUE"""),"south_africa")</f>
        <v>south_africa</v>
      </c>
      <c r="F264" s="3" t="str">
        <f>IFERROR(__xludf.DUMMYFUNCTION("""COMPUTED_VALUE"""),"City of Tshwane Metropolitan Municipality")</f>
        <v>City of Tshwane Metropolitan Municipality</v>
      </c>
      <c r="G264" s="3">
        <f>IFERROR(__xludf.DUMMYFUNCTION("""COMPUTED_VALUE"""),38.0)</f>
        <v>38</v>
      </c>
      <c r="H264" s="3" t="str">
        <f>IFERROR(__xludf.DUMMYFUNCTION("""COMPUTED_VALUE"""),"male")</f>
        <v>male</v>
      </c>
      <c r="I264" s="3" t="str">
        <f>IFERROR(__xludf.DUMMYFUNCTION("""COMPUTED_VALUE"""),"over5")</f>
        <v>over5</v>
      </c>
      <c r="J264" s="3" t="str">
        <f>IFERROR(__xludf.DUMMYFUNCTION("""COMPUTED_VALUE"""),"ownbusiness")</f>
        <v>ownbusiness</v>
      </c>
      <c r="K264" s="3" t="str">
        <f>IFERROR(__xludf.DUMMYFUNCTION("""COMPUTED_VALUE"""),"secondary")</f>
        <v>secondary</v>
      </c>
      <c r="L264" s="3"/>
      <c r="M264" s="3" t="str">
        <f>IFERROR(__xludf.DUMMYFUNCTION("""COMPUTED_VALUE"""),"agree")</f>
        <v>agree</v>
      </c>
      <c r="N264" s="3" t="str">
        <f>IFERROR(__xludf.DUMMYFUNCTION("""COMPUTED_VALUE"""),"agree")</f>
        <v>agree</v>
      </c>
      <c r="O264" s="3" t="str">
        <f>IFERROR(__xludf.DUMMYFUNCTION("""COMPUTED_VALUE"""),"disagree")</f>
        <v>disagree</v>
      </c>
      <c r="P264" s="3"/>
      <c r="Q264" s="3" t="str">
        <f>IFERROR(__xludf.DUMMYFUNCTION("""COMPUTED_VALUE"""),"agree")</f>
        <v>agree</v>
      </c>
      <c r="R264" s="3" t="str">
        <f>IFERROR(__xludf.DUMMYFUNCTION("""COMPUTED_VALUE"""),"agree")</f>
        <v>agree</v>
      </c>
      <c r="S264" s="3" t="str">
        <f>IFERROR(__xludf.DUMMYFUNCTION("""COMPUTED_VALUE"""),"agree")</f>
        <v>agree</v>
      </c>
      <c r="T264" s="3" t="str">
        <f>IFERROR(__xludf.DUMMYFUNCTION("""COMPUTED_VALUE"""),"agree")</f>
        <v>agree</v>
      </c>
      <c r="U264" s="3" t="str">
        <f>IFERROR(__xludf.DUMMYFUNCTION("""COMPUTED_VALUE"""),"agree")</f>
        <v>agree</v>
      </c>
      <c r="V264" s="3" t="str">
        <f>IFERROR(__xludf.DUMMYFUNCTION("""COMPUTED_VALUE"""),"agree")</f>
        <v>agree</v>
      </c>
      <c r="W264" s="3" t="str">
        <f>IFERROR(__xludf.DUMMYFUNCTION("""COMPUTED_VALUE"""),"agree")</f>
        <v>agree</v>
      </c>
      <c r="X264" s="3" t="str">
        <f>IFERROR(__xludf.DUMMYFUNCTION("""COMPUTED_VALUE"""),"Gold")</f>
        <v>Gold</v>
      </c>
      <c r="Y264" s="3" t="str">
        <f>IFERROR(__xludf.DUMMYFUNCTION("""COMPUTED_VALUE"""),"card")</f>
        <v>card</v>
      </c>
      <c r="Z264" s="3" t="str">
        <f>IFERROR(__xludf.DUMMYFUNCTION("""COMPUTED_VALUE"""),"biannual")</f>
        <v>biannual</v>
      </c>
      <c r="AA264" s="3">
        <f>IFERROR(__xludf.DUMMYFUNCTION("""COMPUTED_VALUE"""),100.0)</f>
        <v>100</v>
      </c>
      <c r="AB264" s="3" t="str">
        <f>IFERROR(__xludf.DUMMYFUNCTION("""COMPUTED_VALUE"""),"online")</f>
        <v>online</v>
      </c>
      <c r="AC264" s="3" t="str">
        <f>IFERROR(__xludf.DUMMYFUNCTION("""COMPUTED_VALUE"""),"I am not an employer")</f>
        <v>I am not an employer</v>
      </c>
      <c r="AD264" s="3"/>
      <c r="AE264" s="3"/>
      <c r="AF264" s="3" t="str">
        <f>IFERROR(__xludf.DUMMYFUNCTION("""COMPUTED_VALUE"""),"Yes")</f>
        <v>Yes</v>
      </c>
      <c r="AG264" s="3"/>
      <c r="AH264" s="3"/>
      <c r="AI264" s="3">
        <f>IFERROR(__xludf.DUMMYFUNCTION("""COMPUTED_VALUE"""),0.0)</f>
        <v>0</v>
      </c>
      <c r="AJ264" s="3">
        <f>IFERROR(__xludf.DUMMYFUNCTION("""COMPUTED_VALUE"""),0.0)</f>
        <v>0</v>
      </c>
      <c r="AK264" s="3">
        <f>IFERROR(__xludf.DUMMYFUNCTION("""COMPUTED_VALUE"""),0.0)</f>
        <v>0</v>
      </c>
      <c r="AL264" s="3">
        <f>IFERROR(__xludf.DUMMYFUNCTION("""COMPUTED_VALUE"""),1.0)</f>
        <v>1</v>
      </c>
      <c r="AM264" s="3" t="str">
        <f>IFERROR(__xludf.DUMMYFUNCTION("""COMPUTED_VALUE"""),"Yes")</f>
        <v>Yes</v>
      </c>
      <c r="AN264" s="3">
        <f>IFERROR(__xludf.DUMMYFUNCTION("""COMPUTED_VALUE"""),6.56507643E8)</f>
        <v>656507643</v>
      </c>
      <c r="AO264" s="3"/>
      <c r="AP264" s="3">
        <f>IFERROR(__xludf.DUMMYFUNCTION("""COMPUTED_VALUE"""),4.90429896E8)</f>
        <v>490429896</v>
      </c>
      <c r="AQ264" s="3" t="str">
        <f>IFERROR(__xludf.DUMMYFUNCTION("""COMPUTED_VALUE"""),"21f4d2cf-a18f-4bc9-b7e4-fd6d522da9e6")</f>
        <v>21f4d2cf-a18f-4bc9-b7e4-fd6d522da9e6</v>
      </c>
      <c r="AR264" s="3">
        <f>IFERROR(__xludf.DUMMYFUNCTION("""COMPUTED_VALUE"""),45809.48266203704)</f>
        <v>45809.48266</v>
      </c>
      <c r="AS264" s="3"/>
      <c r="AT264" s="3"/>
      <c r="AU264" s="3" t="str">
        <f>IFERROR(__xludf.DUMMYFUNCTION("""COMPUTED_VALUE"""),"submitted_via_web")</f>
        <v>submitted_via_web</v>
      </c>
      <c r="AV264" s="3"/>
      <c r="AW264" s="3" t="str">
        <f>IFERROR(__xludf.DUMMYFUNCTION("""COMPUTED_VALUE"""),"vckVTgNzM4XXtKAKNnsHpB")</f>
        <v>vckVTgNzM4XXtKAKNnsHpB</v>
      </c>
      <c r="AX264" s="3"/>
      <c r="AY264" s="3">
        <f>IFERROR(__xludf.DUMMYFUNCTION("""COMPUTED_VALUE"""),263.0)</f>
        <v>263</v>
      </c>
    </row>
    <row r="265">
      <c r="A265" s="3" t="str">
        <f>IFERROR(__xludf.DUMMYFUNCTION("""COMPUTED_VALUE"""),"Yes")</f>
        <v>Yes</v>
      </c>
      <c r="B265" s="3"/>
      <c r="C265" s="3" t="str">
        <f>IFERROR(__xludf.DUMMYFUNCTION("""COMPUTED_VALUE"""),"zimbabwe")</f>
        <v>zimbabwe</v>
      </c>
      <c r="D265" s="3"/>
      <c r="E265" s="3" t="str">
        <f>IFERROR(__xludf.DUMMYFUNCTION("""COMPUTED_VALUE"""),"south_africa")</f>
        <v>south_africa</v>
      </c>
      <c r="F265" s="3" t="str">
        <f>IFERROR(__xludf.DUMMYFUNCTION("""COMPUTED_VALUE"""),"City of Tshwane Metropolitan Municipality")</f>
        <v>City of Tshwane Metropolitan Municipality</v>
      </c>
      <c r="G265" s="3">
        <f>IFERROR(__xludf.DUMMYFUNCTION("""COMPUTED_VALUE"""),26.0)</f>
        <v>26</v>
      </c>
      <c r="H265" s="3" t="str">
        <f>IFERROR(__xludf.DUMMYFUNCTION("""COMPUTED_VALUE"""),"male")</f>
        <v>male</v>
      </c>
      <c r="I265" s="3" t="str">
        <f>IFERROR(__xludf.DUMMYFUNCTION("""COMPUTED_VALUE"""),"1to5")</f>
        <v>1to5</v>
      </c>
      <c r="J265" s="3" t="str">
        <f>IFERROR(__xludf.DUMMYFUNCTION("""COMPUTED_VALUE"""),"informal")</f>
        <v>informal</v>
      </c>
      <c r="K265" s="3" t="str">
        <f>IFERROR(__xludf.DUMMYFUNCTION("""COMPUTED_VALUE"""),"secondary")</f>
        <v>secondary</v>
      </c>
      <c r="L265" s="3"/>
      <c r="M265" s="3" t="str">
        <f>IFERROR(__xludf.DUMMYFUNCTION("""COMPUTED_VALUE"""),"agree")</f>
        <v>agree</v>
      </c>
      <c r="N265" s="3" t="str">
        <f>IFERROR(__xludf.DUMMYFUNCTION("""COMPUTED_VALUE"""),"agree")</f>
        <v>agree</v>
      </c>
      <c r="O265" s="3" t="str">
        <f>IFERROR(__xludf.DUMMYFUNCTION("""COMPUTED_VALUE"""),"agree")</f>
        <v>agree</v>
      </c>
      <c r="P265" s="3"/>
      <c r="Q265" s="3" t="str">
        <f>IFERROR(__xludf.DUMMYFUNCTION("""COMPUTED_VALUE"""),"agree")</f>
        <v>agree</v>
      </c>
      <c r="R265" s="3" t="str">
        <f>IFERROR(__xludf.DUMMYFUNCTION("""COMPUTED_VALUE"""),"agree")</f>
        <v>agree</v>
      </c>
      <c r="S265" s="3" t="str">
        <f>IFERROR(__xludf.DUMMYFUNCTION("""COMPUTED_VALUE"""),"agree")</f>
        <v>agree</v>
      </c>
      <c r="T265" s="3" t="str">
        <f>IFERROR(__xludf.DUMMYFUNCTION("""COMPUTED_VALUE"""),"agree")</f>
        <v>agree</v>
      </c>
      <c r="U265" s="3" t="str">
        <f>IFERROR(__xludf.DUMMYFUNCTION("""COMPUTED_VALUE"""),"agree")</f>
        <v>agree</v>
      </c>
      <c r="V265" s="3" t="str">
        <f>IFERROR(__xludf.DUMMYFUNCTION("""COMPUTED_VALUE"""),"agree")</f>
        <v>agree</v>
      </c>
      <c r="W265" s="3" t="str">
        <f>IFERROR(__xludf.DUMMYFUNCTION("""COMPUTED_VALUE"""),"agree")</f>
        <v>agree</v>
      </c>
      <c r="X265" s="3" t="str">
        <f>IFERROR(__xludf.DUMMYFUNCTION("""COMPUTED_VALUE"""),"Gold")</f>
        <v>Gold</v>
      </c>
      <c r="Y265" s="3" t="str">
        <f>IFERROR(__xludf.DUMMYFUNCTION("""COMPUTED_VALUE"""),"card")</f>
        <v>card</v>
      </c>
      <c r="Z265" s="3" t="str">
        <f>IFERROR(__xludf.DUMMYFUNCTION("""COMPUTED_VALUE"""),"biannual")</f>
        <v>biannual</v>
      </c>
      <c r="AA265" s="3">
        <f>IFERROR(__xludf.DUMMYFUNCTION("""COMPUTED_VALUE"""),50.0)</f>
        <v>50</v>
      </c>
      <c r="AB265" s="3" t="str">
        <f>IFERROR(__xludf.DUMMYFUNCTION("""COMPUTED_VALUE"""),"online")</f>
        <v>online</v>
      </c>
      <c r="AC265" s="3" t="str">
        <f>IFERROR(__xludf.DUMMYFUNCTION("""COMPUTED_VALUE"""),"I am not an employer")</f>
        <v>I am not an employer</v>
      </c>
      <c r="AD265" s="3"/>
      <c r="AE265" s="3"/>
      <c r="AF265" s="3" t="str">
        <f>IFERROR(__xludf.DUMMYFUNCTION("""COMPUTED_VALUE"""),"Yes")</f>
        <v>Yes</v>
      </c>
      <c r="AG265" s="3"/>
      <c r="AH265" s="3"/>
      <c r="AI265" s="3">
        <f>IFERROR(__xludf.DUMMYFUNCTION("""COMPUTED_VALUE"""),0.0)</f>
        <v>0</v>
      </c>
      <c r="AJ265" s="3">
        <f>IFERROR(__xludf.DUMMYFUNCTION("""COMPUTED_VALUE"""),0.0)</f>
        <v>0</v>
      </c>
      <c r="AK265" s="3">
        <f>IFERROR(__xludf.DUMMYFUNCTION("""COMPUTED_VALUE"""),0.0)</f>
        <v>0</v>
      </c>
      <c r="AL265" s="3">
        <f>IFERROR(__xludf.DUMMYFUNCTION("""COMPUTED_VALUE"""),1.0)</f>
        <v>1</v>
      </c>
      <c r="AM265" s="3" t="str">
        <f>IFERROR(__xludf.DUMMYFUNCTION("""COMPUTED_VALUE"""),"Yes")</f>
        <v>Yes</v>
      </c>
      <c r="AN265" s="3">
        <f>IFERROR(__xludf.DUMMYFUNCTION("""COMPUTED_VALUE"""),8.45540475E8)</f>
        <v>845540475</v>
      </c>
      <c r="AO265" s="3"/>
      <c r="AP265" s="3">
        <f>IFERROR(__xludf.DUMMYFUNCTION("""COMPUTED_VALUE"""),4.90430332E8)</f>
        <v>490430332</v>
      </c>
      <c r="AQ265" s="3" t="str">
        <f>IFERROR(__xludf.DUMMYFUNCTION("""COMPUTED_VALUE"""),"22f3b526-bbb0-41a7-a1a5-07df94b05303")</f>
        <v>22f3b526-bbb0-41a7-a1a5-07df94b05303</v>
      </c>
      <c r="AR265" s="3">
        <f>IFERROR(__xludf.DUMMYFUNCTION("""COMPUTED_VALUE"""),45809.48391203704)</f>
        <v>45809.48391</v>
      </c>
      <c r="AS265" s="3"/>
      <c r="AT265" s="3"/>
      <c r="AU265" s="3" t="str">
        <f>IFERROR(__xludf.DUMMYFUNCTION("""COMPUTED_VALUE"""),"submitted_via_web")</f>
        <v>submitted_via_web</v>
      </c>
      <c r="AV265" s="3"/>
      <c r="AW265" s="3" t="str">
        <f>IFERROR(__xludf.DUMMYFUNCTION("""COMPUTED_VALUE"""),"vckVTgNzM4XXtKAKNnsHpB")</f>
        <v>vckVTgNzM4XXtKAKNnsHpB</v>
      </c>
      <c r="AX265" s="3"/>
      <c r="AY265" s="3">
        <f>IFERROR(__xludf.DUMMYFUNCTION("""COMPUTED_VALUE"""),264.0)</f>
        <v>264</v>
      </c>
    </row>
    <row r="266">
      <c r="A266" s="3" t="str">
        <f>IFERROR(__xludf.DUMMYFUNCTION("""COMPUTED_VALUE"""),"Yes")</f>
        <v>Yes</v>
      </c>
      <c r="B266" s="3"/>
      <c r="C266" s="3" t="str">
        <f>IFERROR(__xludf.DUMMYFUNCTION("""COMPUTED_VALUE"""),"zimbabwe")</f>
        <v>zimbabwe</v>
      </c>
      <c r="D266" s="3"/>
      <c r="E266" s="3" t="str">
        <f>IFERROR(__xludf.DUMMYFUNCTION("""COMPUTED_VALUE"""),"south_africa")</f>
        <v>south_africa</v>
      </c>
      <c r="F266" s="3" t="str">
        <f>IFERROR(__xludf.DUMMYFUNCTION("""COMPUTED_VALUE"""),"City of Tshwane Metropolitan Municipality")</f>
        <v>City of Tshwane Metropolitan Municipality</v>
      </c>
      <c r="G266" s="3">
        <f>IFERROR(__xludf.DUMMYFUNCTION("""COMPUTED_VALUE"""),35.0)</f>
        <v>35</v>
      </c>
      <c r="H266" s="3" t="str">
        <f>IFERROR(__xludf.DUMMYFUNCTION("""COMPUTED_VALUE"""),"male")</f>
        <v>male</v>
      </c>
      <c r="I266" s="3" t="str">
        <f>IFERROR(__xludf.DUMMYFUNCTION("""COMPUTED_VALUE"""),"over5")</f>
        <v>over5</v>
      </c>
      <c r="J266" s="3" t="str">
        <f>IFERROR(__xludf.DUMMYFUNCTION("""COMPUTED_VALUE"""),"informal")</f>
        <v>informal</v>
      </c>
      <c r="K266" s="3" t="str">
        <f>IFERROR(__xludf.DUMMYFUNCTION("""COMPUTED_VALUE"""),"secondary")</f>
        <v>secondary</v>
      </c>
      <c r="L266" s="3"/>
      <c r="M266" s="3" t="str">
        <f>IFERROR(__xludf.DUMMYFUNCTION("""COMPUTED_VALUE"""),"agree")</f>
        <v>agree</v>
      </c>
      <c r="N266" s="3" t="str">
        <f>IFERROR(__xludf.DUMMYFUNCTION("""COMPUTED_VALUE"""),"agree")</f>
        <v>agree</v>
      </c>
      <c r="O266" s="3" t="str">
        <f>IFERROR(__xludf.DUMMYFUNCTION("""COMPUTED_VALUE"""),"agree")</f>
        <v>agree</v>
      </c>
      <c r="P266" s="3"/>
      <c r="Q266" s="3" t="str">
        <f>IFERROR(__xludf.DUMMYFUNCTION("""COMPUTED_VALUE"""),"agree")</f>
        <v>agree</v>
      </c>
      <c r="R266" s="3" t="str">
        <f>IFERROR(__xludf.DUMMYFUNCTION("""COMPUTED_VALUE"""),"agree")</f>
        <v>agree</v>
      </c>
      <c r="S266" s="3" t="str">
        <f>IFERROR(__xludf.DUMMYFUNCTION("""COMPUTED_VALUE"""),"agree")</f>
        <v>agree</v>
      </c>
      <c r="T266" s="3" t="str">
        <f>IFERROR(__xludf.DUMMYFUNCTION("""COMPUTED_VALUE"""),"agree")</f>
        <v>agree</v>
      </c>
      <c r="U266" s="3" t="str">
        <f>IFERROR(__xludf.DUMMYFUNCTION("""COMPUTED_VALUE"""),"agree")</f>
        <v>agree</v>
      </c>
      <c r="V266" s="3" t="str">
        <f>IFERROR(__xludf.DUMMYFUNCTION("""COMPUTED_VALUE"""),"agree")</f>
        <v>agree</v>
      </c>
      <c r="W266" s="3" t="str">
        <f>IFERROR(__xludf.DUMMYFUNCTION("""COMPUTED_VALUE"""),"agree")</f>
        <v>agree</v>
      </c>
      <c r="X266" s="3"/>
      <c r="Y266" s="3" t="str">
        <f>IFERROR(__xludf.DUMMYFUNCTION("""COMPUTED_VALUE"""),"cash")</f>
        <v>cash</v>
      </c>
      <c r="Z266" s="3" t="str">
        <f>IFERROR(__xludf.DUMMYFUNCTION("""COMPUTED_VALUE"""),"once")</f>
        <v>once</v>
      </c>
      <c r="AA266" s="3">
        <f>IFERROR(__xludf.DUMMYFUNCTION("""COMPUTED_VALUE"""),20.0)</f>
        <v>20</v>
      </c>
      <c r="AB266" s="3" t="str">
        <f>IFERROR(__xludf.DUMMYFUNCTION("""COMPUTED_VALUE"""),"assisted")</f>
        <v>assisted</v>
      </c>
      <c r="AC266" s="3" t="str">
        <f>IFERROR(__xludf.DUMMYFUNCTION("""COMPUTED_VALUE"""),"Yes")</f>
        <v>Yes</v>
      </c>
      <c r="AD266" s="3" t="str">
        <f>IFERROR(__xludf.DUMMYFUNCTION("""COMPUTED_VALUE"""),"Silver")</f>
        <v>Silver</v>
      </c>
      <c r="AE266" s="3"/>
      <c r="AF266" s="3" t="str">
        <f>IFERROR(__xludf.DUMMYFUNCTION("""COMPUTED_VALUE"""),"Yes")</f>
        <v>Yes</v>
      </c>
      <c r="AG266" s="3" t="str">
        <f>IFERROR(__xludf.DUMMYFUNCTION("""COMPUTED_VALUE"""),"Yes")</f>
        <v>Yes</v>
      </c>
      <c r="AH266" s="3"/>
      <c r="AI266" s="3">
        <f>IFERROR(__xludf.DUMMYFUNCTION("""COMPUTED_VALUE"""),0.0)</f>
        <v>0</v>
      </c>
      <c r="AJ266" s="3">
        <f>IFERROR(__xludf.DUMMYFUNCTION("""COMPUTED_VALUE"""),1.0)</f>
        <v>1</v>
      </c>
      <c r="AK266" s="3">
        <f>IFERROR(__xludf.DUMMYFUNCTION("""COMPUTED_VALUE"""),0.0)</f>
        <v>0</v>
      </c>
      <c r="AL266" s="3">
        <f>IFERROR(__xludf.DUMMYFUNCTION("""COMPUTED_VALUE"""),0.0)</f>
        <v>0</v>
      </c>
      <c r="AM266" s="3" t="str">
        <f>IFERROR(__xludf.DUMMYFUNCTION("""COMPUTED_VALUE"""),"Yes")</f>
        <v>Yes</v>
      </c>
      <c r="AN266" s="3"/>
      <c r="AO266" s="3"/>
      <c r="AP266" s="3">
        <f>IFERROR(__xludf.DUMMYFUNCTION("""COMPUTED_VALUE"""),4.90430818E8)</f>
        <v>490430818</v>
      </c>
      <c r="AQ266" s="3" t="str">
        <f>IFERROR(__xludf.DUMMYFUNCTION("""COMPUTED_VALUE"""),"27b748ba-72b2-40c4-95ac-7b60fdd8fef9")</f>
        <v>27b748ba-72b2-40c4-95ac-7b60fdd8fef9</v>
      </c>
      <c r="AR266" s="3">
        <f>IFERROR(__xludf.DUMMYFUNCTION("""COMPUTED_VALUE"""),45809.484872685185)</f>
        <v>45809.48487</v>
      </c>
      <c r="AS266" s="3"/>
      <c r="AT266" s="3"/>
      <c r="AU266" s="3" t="str">
        <f>IFERROR(__xludf.DUMMYFUNCTION("""COMPUTED_VALUE"""),"submitted_via_web")</f>
        <v>submitted_via_web</v>
      </c>
      <c r="AV266" s="3"/>
      <c r="AW266" s="3" t="str">
        <f>IFERROR(__xludf.DUMMYFUNCTION("""COMPUTED_VALUE"""),"vckVTgNzM4XXtKAKNnsHpB")</f>
        <v>vckVTgNzM4XXtKAKNnsHpB</v>
      </c>
      <c r="AX266" s="3"/>
      <c r="AY266" s="3">
        <f>IFERROR(__xludf.DUMMYFUNCTION("""COMPUTED_VALUE"""),265.0)</f>
        <v>265</v>
      </c>
    </row>
    <row r="267">
      <c r="A267" s="3" t="str">
        <f>IFERROR(__xludf.DUMMYFUNCTION("""COMPUTED_VALUE"""),"Yes")</f>
        <v>Yes</v>
      </c>
      <c r="B267" s="3"/>
      <c r="C267" s="3" t="str">
        <f>IFERROR(__xludf.DUMMYFUNCTION("""COMPUTED_VALUE"""),"zimbabwe")</f>
        <v>zimbabwe</v>
      </c>
      <c r="D267" s="3"/>
      <c r="E267" s="3" t="str">
        <f>IFERROR(__xludf.DUMMYFUNCTION("""COMPUTED_VALUE"""),"south_africa")</f>
        <v>south_africa</v>
      </c>
      <c r="F267" s="3" t="str">
        <f>IFERROR(__xludf.DUMMYFUNCTION("""COMPUTED_VALUE"""),"City of Tshwane Metropolitan Municipality")</f>
        <v>City of Tshwane Metropolitan Municipality</v>
      </c>
      <c r="G267" s="3">
        <f>IFERROR(__xludf.DUMMYFUNCTION("""COMPUTED_VALUE"""),30.0)</f>
        <v>30</v>
      </c>
      <c r="H267" s="3" t="str">
        <f>IFERROR(__xludf.DUMMYFUNCTION("""COMPUTED_VALUE"""),"male")</f>
        <v>male</v>
      </c>
      <c r="I267" s="3" t="str">
        <f>IFERROR(__xludf.DUMMYFUNCTION("""COMPUTED_VALUE"""),"1to5")</f>
        <v>1to5</v>
      </c>
      <c r="J267" s="3" t="str">
        <f>IFERROR(__xludf.DUMMYFUNCTION("""COMPUTED_VALUE"""),"informal")</f>
        <v>informal</v>
      </c>
      <c r="K267" s="3" t="str">
        <f>IFERROR(__xludf.DUMMYFUNCTION("""COMPUTED_VALUE"""),"secondary")</f>
        <v>secondary</v>
      </c>
      <c r="L267" s="3"/>
      <c r="M267" s="3" t="str">
        <f>IFERROR(__xludf.DUMMYFUNCTION("""COMPUTED_VALUE"""),"agree")</f>
        <v>agree</v>
      </c>
      <c r="N267" s="3" t="str">
        <f>IFERROR(__xludf.DUMMYFUNCTION("""COMPUTED_VALUE"""),"agree")</f>
        <v>agree</v>
      </c>
      <c r="O267" s="3" t="str">
        <f>IFERROR(__xludf.DUMMYFUNCTION("""COMPUTED_VALUE"""),"disagree")</f>
        <v>disagree</v>
      </c>
      <c r="P267" s="3"/>
      <c r="Q267" s="3" t="str">
        <f>IFERROR(__xludf.DUMMYFUNCTION("""COMPUTED_VALUE"""),"agree")</f>
        <v>agree</v>
      </c>
      <c r="R267" s="3" t="str">
        <f>IFERROR(__xludf.DUMMYFUNCTION("""COMPUTED_VALUE"""),"agree")</f>
        <v>agree</v>
      </c>
      <c r="S267" s="3" t="str">
        <f>IFERROR(__xludf.DUMMYFUNCTION("""COMPUTED_VALUE"""),"disagree")</f>
        <v>disagree</v>
      </c>
      <c r="T267" s="3" t="str">
        <f>IFERROR(__xludf.DUMMYFUNCTION("""COMPUTED_VALUE"""),"disagree")</f>
        <v>disagree</v>
      </c>
      <c r="U267" s="3" t="str">
        <f>IFERROR(__xludf.DUMMYFUNCTION("""COMPUTED_VALUE"""),"disagree")</f>
        <v>disagree</v>
      </c>
      <c r="V267" s="3" t="str">
        <f>IFERROR(__xludf.DUMMYFUNCTION("""COMPUTED_VALUE"""),"agree")</f>
        <v>agree</v>
      </c>
      <c r="W267" s="3" t="str">
        <f>IFERROR(__xludf.DUMMYFUNCTION("""COMPUTED_VALUE"""),"agree")</f>
        <v>agree</v>
      </c>
      <c r="X267" s="3" t="str">
        <f>IFERROR(__xludf.DUMMYFUNCTION("""COMPUTED_VALUE"""),"Gold")</f>
        <v>Gold</v>
      </c>
      <c r="Y267" s="3" t="str">
        <f>IFERROR(__xludf.DUMMYFUNCTION("""COMPUTED_VALUE"""),"prepaid")</f>
        <v>prepaid</v>
      </c>
      <c r="Z267" s="3" t="str">
        <f>IFERROR(__xludf.DUMMYFUNCTION("""COMPUTED_VALUE"""),"annual")</f>
        <v>annual</v>
      </c>
      <c r="AA267" s="3">
        <f>IFERROR(__xludf.DUMMYFUNCTION("""COMPUTED_VALUE"""),100.0)</f>
        <v>100</v>
      </c>
      <c r="AB267" s="3" t="str">
        <f>IFERROR(__xludf.DUMMYFUNCTION("""COMPUTED_VALUE"""),"online")</f>
        <v>online</v>
      </c>
      <c r="AC267" s="3" t="str">
        <f>IFERROR(__xludf.DUMMYFUNCTION("""COMPUTED_VALUE"""),"I am not an employer")</f>
        <v>I am not an employer</v>
      </c>
      <c r="AD267" s="3"/>
      <c r="AE267" s="3"/>
      <c r="AF267" s="3" t="str">
        <f>IFERROR(__xludf.DUMMYFUNCTION("""COMPUTED_VALUE"""),"Yes")</f>
        <v>Yes</v>
      </c>
      <c r="AG267" s="3" t="str">
        <f>IFERROR(__xludf.DUMMYFUNCTION("""COMPUTED_VALUE"""),"No")</f>
        <v>No</v>
      </c>
      <c r="AH267" s="3"/>
      <c r="AI267" s="3">
        <f>IFERROR(__xludf.DUMMYFUNCTION("""COMPUTED_VALUE"""),0.0)</f>
        <v>0</v>
      </c>
      <c r="AJ267" s="3">
        <f>IFERROR(__xludf.DUMMYFUNCTION("""COMPUTED_VALUE"""),0.0)</f>
        <v>0</v>
      </c>
      <c r="AK267" s="3">
        <f>IFERROR(__xludf.DUMMYFUNCTION("""COMPUTED_VALUE"""),0.0)</f>
        <v>0</v>
      </c>
      <c r="AL267" s="3">
        <f>IFERROR(__xludf.DUMMYFUNCTION("""COMPUTED_VALUE"""),1.0)</f>
        <v>1</v>
      </c>
      <c r="AM267" s="3"/>
      <c r="AN267" s="3"/>
      <c r="AO267" s="3"/>
      <c r="AP267" s="3">
        <f>IFERROR(__xludf.DUMMYFUNCTION("""COMPUTED_VALUE"""),4.90431866E8)</f>
        <v>490431866</v>
      </c>
      <c r="AQ267" s="3" t="str">
        <f>IFERROR(__xludf.DUMMYFUNCTION("""COMPUTED_VALUE"""),"b8511c8a-80e9-4894-9035-1d432de4dc1d")</f>
        <v>b8511c8a-80e9-4894-9035-1d432de4dc1d</v>
      </c>
      <c r="AR267" s="3">
        <f>IFERROR(__xludf.DUMMYFUNCTION("""COMPUTED_VALUE"""),45809.487546296295)</f>
        <v>45809.48755</v>
      </c>
      <c r="AS267" s="3"/>
      <c r="AT267" s="3"/>
      <c r="AU267" s="3" t="str">
        <f>IFERROR(__xludf.DUMMYFUNCTION("""COMPUTED_VALUE"""),"submitted_via_web")</f>
        <v>submitted_via_web</v>
      </c>
      <c r="AV267" s="3"/>
      <c r="AW267" s="3" t="str">
        <f>IFERROR(__xludf.DUMMYFUNCTION("""COMPUTED_VALUE"""),"vckVTgNzM4XXtKAKNnsHpB")</f>
        <v>vckVTgNzM4XXtKAKNnsHpB</v>
      </c>
      <c r="AX267" s="3"/>
      <c r="AY267" s="3">
        <f>IFERROR(__xludf.DUMMYFUNCTION("""COMPUTED_VALUE"""),266.0)</f>
        <v>266</v>
      </c>
    </row>
    <row r="268">
      <c r="A268" s="3" t="str">
        <f>IFERROR(__xludf.DUMMYFUNCTION("""COMPUTED_VALUE"""),"Yes")</f>
        <v>Yes</v>
      </c>
      <c r="B268" s="3"/>
      <c r="C268" s="3" t="str">
        <f>IFERROR(__xludf.DUMMYFUNCTION("""COMPUTED_VALUE"""),"zimbabwe")</f>
        <v>zimbabwe</v>
      </c>
      <c r="D268" s="3"/>
      <c r="E268" s="3" t="str">
        <f>IFERROR(__xludf.DUMMYFUNCTION("""COMPUTED_VALUE"""),"south_africa")</f>
        <v>south_africa</v>
      </c>
      <c r="F268" s="3" t="str">
        <f>IFERROR(__xludf.DUMMYFUNCTION("""COMPUTED_VALUE"""),"City of Tshwane Metropolitan Municipality")</f>
        <v>City of Tshwane Metropolitan Municipality</v>
      </c>
      <c r="G268" s="3">
        <f>IFERROR(__xludf.DUMMYFUNCTION("""COMPUTED_VALUE"""),34.0)</f>
        <v>34</v>
      </c>
      <c r="H268" s="3" t="str">
        <f>IFERROR(__xludf.DUMMYFUNCTION("""COMPUTED_VALUE"""),"male")</f>
        <v>male</v>
      </c>
      <c r="I268" s="3" t="str">
        <f>IFERROR(__xludf.DUMMYFUNCTION("""COMPUTED_VALUE"""),"over5")</f>
        <v>over5</v>
      </c>
      <c r="J268" s="3" t="str">
        <f>IFERROR(__xludf.DUMMYFUNCTION("""COMPUTED_VALUE"""),"informal")</f>
        <v>informal</v>
      </c>
      <c r="K268" s="3" t="str">
        <f>IFERROR(__xludf.DUMMYFUNCTION("""COMPUTED_VALUE"""),"secondary")</f>
        <v>secondary</v>
      </c>
      <c r="L268" s="3"/>
      <c r="M268" s="3" t="str">
        <f>IFERROR(__xludf.DUMMYFUNCTION("""COMPUTED_VALUE"""),"agree")</f>
        <v>agree</v>
      </c>
      <c r="N268" s="3" t="str">
        <f>IFERROR(__xludf.DUMMYFUNCTION("""COMPUTED_VALUE"""),"agree")</f>
        <v>agree</v>
      </c>
      <c r="O268" s="3" t="str">
        <f>IFERROR(__xludf.DUMMYFUNCTION("""COMPUTED_VALUE"""),"disagree")</f>
        <v>disagree</v>
      </c>
      <c r="P268" s="3"/>
      <c r="Q268" s="3" t="str">
        <f>IFERROR(__xludf.DUMMYFUNCTION("""COMPUTED_VALUE"""),"agree")</f>
        <v>agree</v>
      </c>
      <c r="R268" s="3" t="str">
        <f>IFERROR(__xludf.DUMMYFUNCTION("""COMPUTED_VALUE"""),"agree")</f>
        <v>agree</v>
      </c>
      <c r="S268" s="3" t="str">
        <f>IFERROR(__xludf.DUMMYFUNCTION("""COMPUTED_VALUE"""),"disagree")</f>
        <v>disagree</v>
      </c>
      <c r="T268" s="3" t="str">
        <f>IFERROR(__xludf.DUMMYFUNCTION("""COMPUTED_VALUE"""),"agree")</f>
        <v>agree</v>
      </c>
      <c r="U268" s="3" t="str">
        <f>IFERROR(__xludf.DUMMYFUNCTION("""COMPUTED_VALUE"""),"agree")</f>
        <v>agree</v>
      </c>
      <c r="V268" s="3" t="str">
        <f>IFERROR(__xludf.DUMMYFUNCTION("""COMPUTED_VALUE"""),"agree")</f>
        <v>agree</v>
      </c>
      <c r="W268" s="3" t="str">
        <f>IFERROR(__xludf.DUMMYFUNCTION("""COMPUTED_VALUE"""),"agree")</f>
        <v>agree</v>
      </c>
      <c r="X268" s="3" t="str">
        <f>IFERROR(__xludf.DUMMYFUNCTION("""COMPUTED_VALUE"""),"Gold")</f>
        <v>Gold</v>
      </c>
      <c r="Y268" s="3" t="str">
        <f>IFERROR(__xludf.DUMMYFUNCTION("""COMPUTED_VALUE"""),"card")</f>
        <v>card</v>
      </c>
      <c r="Z268" s="3" t="str">
        <f>IFERROR(__xludf.DUMMYFUNCTION("""COMPUTED_VALUE"""),"annual")</f>
        <v>annual</v>
      </c>
      <c r="AA268" s="3">
        <f>IFERROR(__xludf.DUMMYFUNCTION("""COMPUTED_VALUE"""),100.0)</f>
        <v>100</v>
      </c>
      <c r="AB268" s="3" t="str">
        <f>IFERROR(__xludf.DUMMYFUNCTION("""COMPUTED_VALUE"""),"online")</f>
        <v>online</v>
      </c>
      <c r="AC268" s="3" t="str">
        <f>IFERROR(__xludf.DUMMYFUNCTION("""COMPUTED_VALUE"""),"I am not an employer")</f>
        <v>I am not an employer</v>
      </c>
      <c r="AD268" s="3"/>
      <c r="AE268" s="3"/>
      <c r="AF268" s="3" t="str">
        <f>IFERROR(__xludf.DUMMYFUNCTION("""COMPUTED_VALUE"""),"Yes")</f>
        <v>Yes</v>
      </c>
      <c r="AG268" s="3"/>
      <c r="AH268" s="3"/>
      <c r="AI268" s="3">
        <f>IFERROR(__xludf.DUMMYFUNCTION("""COMPUTED_VALUE"""),0.0)</f>
        <v>0</v>
      </c>
      <c r="AJ268" s="3">
        <f>IFERROR(__xludf.DUMMYFUNCTION("""COMPUTED_VALUE"""),0.0)</f>
        <v>0</v>
      </c>
      <c r="AK268" s="3">
        <f>IFERROR(__xludf.DUMMYFUNCTION("""COMPUTED_VALUE"""),0.0)</f>
        <v>0</v>
      </c>
      <c r="AL268" s="3">
        <f>IFERROR(__xludf.DUMMYFUNCTION("""COMPUTED_VALUE"""),1.0)</f>
        <v>1</v>
      </c>
      <c r="AM268" s="3" t="str">
        <f>IFERROR(__xludf.DUMMYFUNCTION("""COMPUTED_VALUE"""),"Yes")</f>
        <v>Yes</v>
      </c>
      <c r="AN268" s="3">
        <f>IFERROR(__xludf.DUMMYFUNCTION("""COMPUTED_VALUE"""),8.43131062E8)</f>
        <v>843131062</v>
      </c>
      <c r="AO268" s="3"/>
      <c r="AP268" s="3">
        <f>IFERROR(__xludf.DUMMYFUNCTION("""COMPUTED_VALUE"""),4.904325E8)</f>
        <v>490432500</v>
      </c>
      <c r="AQ268" s="3" t="str">
        <f>IFERROR(__xludf.DUMMYFUNCTION("""COMPUTED_VALUE"""),"96544f48-efd7-4cd0-b979-6f1dc71e6875")</f>
        <v>96544f48-efd7-4cd0-b979-6f1dc71e6875</v>
      </c>
      <c r="AR268" s="3">
        <f>IFERROR(__xludf.DUMMYFUNCTION("""COMPUTED_VALUE"""),45809.48903935185)</f>
        <v>45809.48904</v>
      </c>
      <c r="AS268" s="3"/>
      <c r="AT268" s="3"/>
      <c r="AU268" s="3" t="str">
        <f>IFERROR(__xludf.DUMMYFUNCTION("""COMPUTED_VALUE"""),"submitted_via_web")</f>
        <v>submitted_via_web</v>
      </c>
      <c r="AV268" s="3"/>
      <c r="AW268" s="3" t="str">
        <f>IFERROR(__xludf.DUMMYFUNCTION("""COMPUTED_VALUE"""),"vckVTgNzM4XXtKAKNnsHpB")</f>
        <v>vckVTgNzM4XXtKAKNnsHpB</v>
      </c>
      <c r="AX268" s="3"/>
      <c r="AY268" s="3">
        <f>IFERROR(__xludf.DUMMYFUNCTION("""COMPUTED_VALUE"""),267.0)</f>
        <v>267</v>
      </c>
    </row>
    <row r="269">
      <c r="A269" s="3" t="str">
        <f>IFERROR(__xludf.DUMMYFUNCTION("""COMPUTED_VALUE"""),"Yes")</f>
        <v>Yes</v>
      </c>
      <c r="B269" s="3"/>
      <c r="C269" s="3" t="str">
        <f>IFERROR(__xludf.DUMMYFUNCTION("""COMPUTED_VALUE"""),"zimbabwe")</f>
        <v>zimbabwe</v>
      </c>
      <c r="D269" s="3"/>
      <c r="E269" s="3" t="str">
        <f>IFERROR(__xludf.DUMMYFUNCTION("""COMPUTED_VALUE"""),"south_africa")</f>
        <v>south_africa</v>
      </c>
      <c r="F269" s="3" t="str">
        <f>IFERROR(__xludf.DUMMYFUNCTION("""COMPUTED_VALUE"""),"City of Tshwane Metropolitan Municipality")</f>
        <v>City of Tshwane Metropolitan Municipality</v>
      </c>
      <c r="G269" s="3">
        <f>IFERROR(__xludf.DUMMYFUNCTION("""COMPUTED_VALUE"""),29.0)</f>
        <v>29</v>
      </c>
      <c r="H269" s="3" t="str">
        <f>IFERROR(__xludf.DUMMYFUNCTION("""COMPUTED_VALUE"""),"male")</f>
        <v>male</v>
      </c>
      <c r="I269" s="3" t="str">
        <f>IFERROR(__xludf.DUMMYFUNCTION("""COMPUTED_VALUE"""),"over5")</f>
        <v>over5</v>
      </c>
      <c r="J269" s="3" t="str">
        <f>IFERROR(__xludf.DUMMYFUNCTION("""COMPUTED_VALUE"""),"unemployed")</f>
        <v>unemployed</v>
      </c>
      <c r="K269" s="3" t="str">
        <f>IFERROR(__xludf.DUMMYFUNCTION("""COMPUTED_VALUE"""),"secondary")</f>
        <v>secondary</v>
      </c>
      <c r="L269" s="3"/>
      <c r="M269" s="3" t="str">
        <f>IFERROR(__xludf.DUMMYFUNCTION("""COMPUTED_VALUE"""),"agree")</f>
        <v>agree</v>
      </c>
      <c r="N269" s="3" t="str">
        <f>IFERROR(__xludf.DUMMYFUNCTION("""COMPUTED_VALUE"""),"agree")</f>
        <v>agree</v>
      </c>
      <c r="O269" s="3" t="str">
        <f>IFERROR(__xludf.DUMMYFUNCTION("""COMPUTED_VALUE"""),"agree")</f>
        <v>agree</v>
      </c>
      <c r="P269" s="3"/>
      <c r="Q269" s="3" t="str">
        <f>IFERROR(__xludf.DUMMYFUNCTION("""COMPUTED_VALUE"""),"agree")</f>
        <v>agree</v>
      </c>
      <c r="R269" s="3" t="str">
        <f>IFERROR(__xludf.DUMMYFUNCTION("""COMPUTED_VALUE"""),"agree")</f>
        <v>agree</v>
      </c>
      <c r="S269" s="3" t="str">
        <f>IFERROR(__xludf.DUMMYFUNCTION("""COMPUTED_VALUE"""),"agree")</f>
        <v>agree</v>
      </c>
      <c r="T269" s="3" t="str">
        <f>IFERROR(__xludf.DUMMYFUNCTION("""COMPUTED_VALUE"""),"agree")</f>
        <v>agree</v>
      </c>
      <c r="U269" s="3" t="str">
        <f>IFERROR(__xludf.DUMMYFUNCTION("""COMPUTED_VALUE"""),"dontknow")</f>
        <v>dontknow</v>
      </c>
      <c r="V269" s="3" t="str">
        <f>IFERROR(__xludf.DUMMYFUNCTION("""COMPUTED_VALUE"""),"agree")</f>
        <v>agree</v>
      </c>
      <c r="W269" s="3" t="str">
        <f>IFERROR(__xludf.DUMMYFUNCTION("""COMPUTED_VALUE"""),"agree")</f>
        <v>agree</v>
      </c>
      <c r="X269" s="3" t="str">
        <f>IFERROR(__xludf.DUMMYFUNCTION("""COMPUTED_VALUE"""),"Silver")</f>
        <v>Silver</v>
      </c>
      <c r="Y269" s="3" t="str">
        <f>IFERROR(__xludf.DUMMYFUNCTION("""COMPUTED_VALUE"""),"card")</f>
        <v>card</v>
      </c>
      <c r="Z269" s="3" t="str">
        <f>IFERROR(__xludf.DUMMYFUNCTION("""COMPUTED_VALUE"""),"quarterly")</f>
        <v>quarterly</v>
      </c>
      <c r="AA269" s="3">
        <f>IFERROR(__xludf.DUMMYFUNCTION("""COMPUTED_VALUE"""),100.0)</f>
        <v>100</v>
      </c>
      <c r="AB269" s="3" t="str">
        <f>IFERROR(__xludf.DUMMYFUNCTION("""COMPUTED_VALUE"""),"online")</f>
        <v>online</v>
      </c>
      <c r="AC269" s="3" t="str">
        <f>IFERROR(__xludf.DUMMYFUNCTION("""COMPUTED_VALUE"""),"I am not an employer")</f>
        <v>I am not an employer</v>
      </c>
      <c r="AD269" s="3"/>
      <c r="AE269" s="3"/>
      <c r="AF269" s="3" t="str">
        <f>IFERROR(__xludf.DUMMYFUNCTION("""COMPUTED_VALUE"""),"Yes")</f>
        <v>Yes</v>
      </c>
      <c r="AG269" s="3" t="str">
        <f>IFERROR(__xludf.DUMMYFUNCTION("""COMPUTED_VALUE"""),"Yes")</f>
        <v>Yes</v>
      </c>
      <c r="AH269" s="3">
        <f>IFERROR(__xludf.DUMMYFUNCTION("""COMPUTED_VALUE"""),200.0)</f>
        <v>200</v>
      </c>
      <c r="AI269" s="3">
        <f>IFERROR(__xludf.DUMMYFUNCTION("""COMPUTED_VALUE"""),0.0)</f>
        <v>0</v>
      </c>
      <c r="AJ269" s="3">
        <f>IFERROR(__xludf.DUMMYFUNCTION("""COMPUTED_VALUE"""),0.0)</f>
        <v>0</v>
      </c>
      <c r="AK269" s="3">
        <f>IFERROR(__xludf.DUMMYFUNCTION("""COMPUTED_VALUE"""),1.0)</f>
        <v>1</v>
      </c>
      <c r="AL269" s="3">
        <f>IFERROR(__xludf.DUMMYFUNCTION("""COMPUTED_VALUE"""),0.0)</f>
        <v>0</v>
      </c>
      <c r="AM269" s="3" t="str">
        <f>IFERROR(__xludf.DUMMYFUNCTION("""COMPUTED_VALUE"""),"Yes")</f>
        <v>Yes</v>
      </c>
      <c r="AN269" s="3">
        <f>IFERROR(__xludf.DUMMYFUNCTION("""COMPUTED_VALUE"""),6.38118772E8)</f>
        <v>638118772</v>
      </c>
      <c r="AO269" s="3"/>
      <c r="AP269" s="3">
        <f>IFERROR(__xludf.DUMMYFUNCTION("""COMPUTED_VALUE"""),4.9043351E8)</f>
        <v>490433510</v>
      </c>
      <c r="AQ269" s="3" t="str">
        <f>IFERROR(__xludf.DUMMYFUNCTION("""COMPUTED_VALUE"""),"fdd3699c-e361-4ee3-9906-baad689a7c2a")</f>
        <v>fdd3699c-e361-4ee3-9906-baad689a7c2a</v>
      </c>
      <c r="AR269" s="3">
        <f>IFERROR(__xludf.DUMMYFUNCTION("""COMPUTED_VALUE"""),45809.490694444445)</f>
        <v>45809.49069</v>
      </c>
      <c r="AS269" s="3"/>
      <c r="AT269" s="3"/>
      <c r="AU269" s="3" t="str">
        <f>IFERROR(__xludf.DUMMYFUNCTION("""COMPUTED_VALUE"""),"submitted_via_web")</f>
        <v>submitted_via_web</v>
      </c>
      <c r="AV269" s="3"/>
      <c r="AW269" s="3" t="str">
        <f>IFERROR(__xludf.DUMMYFUNCTION("""COMPUTED_VALUE"""),"vckVTgNzM4XXtKAKNnsHpB")</f>
        <v>vckVTgNzM4XXtKAKNnsHpB</v>
      </c>
      <c r="AX269" s="3"/>
      <c r="AY269" s="3">
        <f>IFERROR(__xludf.DUMMYFUNCTION("""COMPUTED_VALUE"""),268.0)</f>
        <v>268</v>
      </c>
    </row>
    <row r="270">
      <c r="A270" s="3" t="str">
        <f>IFERROR(__xludf.DUMMYFUNCTION("""COMPUTED_VALUE"""),"Yes")</f>
        <v>Yes</v>
      </c>
      <c r="B270" s="3"/>
      <c r="C270" s="3" t="str">
        <f>IFERROR(__xludf.DUMMYFUNCTION("""COMPUTED_VALUE"""),"zimbabwe")</f>
        <v>zimbabwe</v>
      </c>
      <c r="D270" s="3"/>
      <c r="E270" s="3" t="str">
        <f>IFERROR(__xludf.DUMMYFUNCTION("""COMPUTED_VALUE"""),"south_africa")</f>
        <v>south_africa</v>
      </c>
      <c r="F270" s="3" t="str">
        <f>IFERROR(__xludf.DUMMYFUNCTION("""COMPUTED_VALUE"""),"City of Tshwane Metropolitan Municipality")</f>
        <v>City of Tshwane Metropolitan Municipality</v>
      </c>
      <c r="G270" s="3">
        <f>IFERROR(__xludf.DUMMYFUNCTION("""COMPUTED_VALUE"""),32.0)</f>
        <v>32</v>
      </c>
      <c r="H270" s="3" t="str">
        <f>IFERROR(__xludf.DUMMYFUNCTION("""COMPUTED_VALUE"""),"male")</f>
        <v>male</v>
      </c>
      <c r="I270" s="3" t="str">
        <f>IFERROR(__xludf.DUMMYFUNCTION("""COMPUTED_VALUE"""),"over5")</f>
        <v>over5</v>
      </c>
      <c r="J270" s="3" t="str">
        <f>IFERROR(__xludf.DUMMYFUNCTION("""COMPUTED_VALUE"""),"ownbusiness")</f>
        <v>ownbusiness</v>
      </c>
      <c r="K270" s="3" t="str">
        <f>IFERROR(__xludf.DUMMYFUNCTION("""COMPUTED_VALUE"""),"secondary")</f>
        <v>secondary</v>
      </c>
      <c r="L270" s="3"/>
      <c r="M270" s="3" t="str">
        <f>IFERROR(__xludf.DUMMYFUNCTION("""COMPUTED_VALUE"""),"agree")</f>
        <v>agree</v>
      </c>
      <c r="N270" s="3" t="str">
        <f>IFERROR(__xludf.DUMMYFUNCTION("""COMPUTED_VALUE"""),"agree")</f>
        <v>agree</v>
      </c>
      <c r="O270" s="3" t="str">
        <f>IFERROR(__xludf.DUMMYFUNCTION("""COMPUTED_VALUE"""),"dontknow")</f>
        <v>dontknow</v>
      </c>
      <c r="P270" s="3"/>
      <c r="Q270" s="3" t="str">
        <f>IFERROR(__xludf.DUMMYFUNCTION("""COMPUTED_VALUE"""),"agree")</f>
        <v>agree</v>
      </c>
      <c r="R270" s="3" t="str">
        <f>IFERROR(__xludf.DUMMYFUNCTION("""COMPUTED_VALUE"""),"agree")</f>
        <v>agree</v>
      </c>
      <c r="S270" s="3" t="str">
        <f>IFERROR(__xludf.DUMMYFUNCTION("""COMPUTED_VALUE"""),"agree")</f>
        <v>agree</v>
      </c>
      <c r="T270" s="3" t="str">
        <f>IFERROR(__xludf.DUMMYFUNCTION("""COMPUTED_VALUE"""),"disagree")</f>
        <v>disagree</v>
      </c>
      <c r="U270" s="3" t="str">
        <f>IFERROR(__xludf.DUMMYFUNCTION("""COMPUTED_VALUE"""),"agree")</f>
        <v>agree</v>
      </c>
      <c r="V270" s="3" t="str">
        <f>IFERROR(__xludf.DUMMYFUNCTION("""COMPUTED_VALUE"""),"agree")</f>
        <v>agree</v>
      </c>
      <c r="W270" s="3" t="str">
        <f>IFERROR(__xludf.DUMMYFUNCTION("""COMPUTED_VALUE"""),"disagree")</f>
        <v>disagree</v>
      </c>
      <c r="X270" s="3" t="str">
        <f>IFERROR(__xludf.DUMMYFUNCTION("""COMPUTED_VALUE"""),"Silver")</f>
        <v>Silver</v>
      </c>
      <c r="Y270" s="3" t="str">
        <f>IFERROR(__xludf.DUMMYFUNCTION("""COMPUTED_VALUE"""),"card")</f>
        <v>card</v>
      </c>
      <c r="Z270" s="3" t="str">
        <f>IFERROR(__xludf.DUMMYFUNCTION("""COMPUTED_VALUE"""),"biannual")</f>
        <v>biannual</v>
      </c>
      <c r="AA270" s="3">
        <f>IFERROR(__xludf.DUMMYFUNCTION("""COMPUTED_VALUE"""),50.0)</f>
        <v>50</v>
      </c>
      <c r="AB270" s="3" t="str">
        <f>IFERROR(__xludf.DUMMYFUNCTION("""COMPUTED_VALUE"""),"online")</f>
        <v>online</v>
      </c>
      <c r="AC270" s="3" t="str">
        <f>IFERROR(__xludf.DUMMYFUNCTION("""COMPUTED_VALUE"""),"I am not an employer")</f>
        <v>I am not an employer</v>
      </c>
      <c r="AD270" s="3"/>
      <c r="AE270" s="3"/>
      <c r="AF270" s="3" t="str">
        <f>IFERROR(__xludf.DUMMYFUNCTION("""COMPUTED_VALUE"""),"Yes")</f>
        <v>Yes</v>
      </c>
      <c r="AG270" s="3" t="str">
        <f>IFERROR(__xludf.DUMMYFUNCTION("""COMPUTED_VALUE"""),"Yes")</f>
        <v>Yes</v>
      </c>
      <c r="AH270" s="3">
        <f>IFERROR(__xludf.DUMMYFUNCTION("""COMPUTED_VALUE"""),350.0)</f>
        <v>350</v>
      </c>
      <c r="AI270" s="3">
        <f>IFERROR(__xludf.DUMMYFUNCTION("""COMPUTED_VALUE"""),0.0)</f>
        <v>0</v>
      </c>
      <c r="AJ270" s="3">
        <f>IFERROR(__xludf.DUMMYFUNCTION("""COMPUTED_VALUE"""),1.0)</f>
        <v>1</v>
      </c>
      <c r="AK270" s="3">
        <f>IFERROR(__xludf.DUMMYFUNCTION("""COMPUTED_VALUE"""),0.0)</f>
        <v>0</v>
      </c>
      <c r="AL270" s="3">
        <f>IFERROR(__xludf.DUMMYFUNCTION("""COMPUTED_VALUE"""),0.0)</f>
        <v>0</v>
      </c>
      <c r="AM270" s="3" t="str">
        <f>IFERROR(__xludf.DUMMYFUNCTION("""COMPUTED_VALUE"""),"Yes")</f>
        <v>Yes</v>
      </c>
      <c r="AN270" s="3">
        <f>IFERROR(__xludf.DUMMYFUNCTION("""COMPUTED_VALUE"""),6.9334195E8)</f>
        <v>693341950</v>
      </c>
      <c r="AO270" s="3"/>
      <c r="AP270" s="3">
        <f>IFERROR(__xludf.DUMMYFUNCTION("""COMPUTED_VALUE"""),4.90434382E8)</f>
        <v>490434382</v>
      </c>
      <c r="AQ270" s="3" t="str">
        <f>IFERROR(__xludf.DUMMYFUNCTION("""COMPUTED_VALUE"""),"8c6e53e8-07ed-460d-bc8e-4386d3397551")</f>
        <v>8c6e53e8-07ed-460d-bc8e-4386d3397551</v>
      </c>
      <c r="AR270" s="3">
        <f>IFERROR(__xludf.DUMMYFUNCTION("""COMPUTED_VALUE"""),45809.4921875)</f>
        <v>45809.49219</v>
      </c>
      <c r="AS270" s="3"/>
      <c r="AT270" s="3"/>
      <c r="AU270" s="3" t="str">
        <f>IFERROR(__xludf.DUMMYFUNCTION("""COMPUTED_VALUE"""),"submitted_via_web")</f>
        <v>submitted_via_web</v>
      </c>
      <c r="AV270" s="3"/>
      <c r="AW270" s="3" t="str">
        <f>IFERROR(__xludf.DUMMYFUNCTION("""COMPUTED_VALUE"""),"vckVTgNzM4XXtKAKNnsHpB")</f>
        <v>vckVTgNzM4XXtKAKNnsHpB</v>
      </c>
      <c r="AX270" s="3"/>
      <c r="AY270" s="3">
        <f>IFERROR(__xludf.DUMMYFUNCTION("""COMPUTED_VALUE"""),269.0)</f>
        <v>269</v>
      </c>
    </row>
    <row r="271">
      <c r="A271" s="3" t="str">
        <f>IFERROR(__xludf.DUMMYFUNCTION("""COMPUTED_VALUE"""),"Yes")</f>
        <v>Yes</v>
      </c>
      <c r="B271" s="3"/>
      <c r="C271" s="3" t="str">
        <f>IFERROR(__xludf.DUMMYFUNCTION("""COMPUTED_VALUE"""),"zimbabwe")</f>
        <v>zimbabwe</v>
      </c>
      <c r="D271" s="3"/>
      <c r="E271" s="3" t="str">
        <f>IFERROR(__xludf.DUMMYFUNCTION("""COMPUTED_VALUE"""),"south_africa")</f>
        <v>south_africa</v>
      </c>
      <c r="F271" s="3" t="str">
        <f>IFERROR(__xludf.DUMMYFUNCTION("""COMPUTED_VALUE"""),"City of Tshwane Metropolitan Municipality")</f>
        <v>City of Tshwane Metropolitan Municipality</v>
      </c>
      <c r="G271" s="3">
        <f>IFERROR(__xludf.DUMMYFUNCTION("""COMPUTED_VALUE"""),28.0)</f>
        <v>28</v>
      </c>
      <c r="H271" s="3" t="str">
        <f>IFERROR(__xludf.DUMMYFUNCTION("""COMPUTED_VALUE"""),"male")</f>
        <v>male</v>
      </c>
      <c r="I271" s="3" t="str">
        <f>IFERROR(__xludf.DUMMYFUNCTION("""COMPUTED_VALUE"""),"1to5")</f>
        <v>1to5</v>
      </c>
      <c r="J271" s="3" t="str">
        <f>IFERROR(__xludf.DUMMYFUNCTION("""COMPUTED_VALUE"""),"informal")</f>
        <v>informal</v>
      </c>
      <c r="K271" s="3" t="str">
        <f>IFERROR(__xludf.DUMMYFUNCTION("""COMPUTED_VALUE"""),"secondary")</f>
        <v>secondary</v>
      </c>
      <c r="L271" s="3"/>
      <c r="M271" s="3" t="str">
        <f>IFERROR(__xludf.DUMMYFUNCTION("""COMPUTED_VALUE"""),"agree")</f>
        <v>agree</v>
      </c>
      <c r="N271" s="3" t="str">
        <f>IFERROR(__xludf.DUMMYFUNCTION("""COMPUTED_VALUE"""),"agree")</f>
        <v>agree</v>
      </c>
      <c r="O271" s="3" t="str">
        <f>IFERROR(__xludf.DUMMYFUNCTION("""COMPUTED_VALUE"""),"disagree")</f>
        <v>disagree</v>
      </c>
      <c r="P271" s="3"/>
      <c r="Q271" s="3" t="str">
        <f>IFERROR(__xludf.DUMMYFUNCTION("""COMPUTED_VALUE"""),"disagree")</f>
        <v>disagree</v>
      </c>
      <c r="R271" s="3" t="str">
        <f>IFERROR(__xludf.DUMMYFUNCTION("""COMPUTED_VALUE"""),"agree")</f>
        <v>agree</v>
      </c>
      <c r="S271" s="3" t="str">
        <f>IFERROR(__xludf.DUMMYFUNCTION("""COMPUTED_VALUE"""),"agree")</f>
        <v>agree</v>
      </c>
      <c r="T271" s="3" t="str">
        <f>IFERROR(__xludf.DUMMYFUNCTION("""COMPUTED_VALUE"""),"agree")</f>
        <v>agree</v>
      </c>
      <c r="U271" s="3" t="str">
        <f>IFERROR(__xludf.DUMMYFUNCTION("""COMPUTED_VALUE"""),"agree")</f>
        <v>agree</v>
      </c>
      <c r="V271" s="3" t="str">
        <f>IFERROR(__xludf.DUMMYFUNCTION("""COMPUTED_VALUE"""),"agree")</f>
        <v>agree</v>
      </c>
      <c r="W271" s="3" t="str">
        <f>IFERROR(__xludf.DUMMYFUNCTION("""COMPUTED_VALUE"""),"disagree")</f>
        <v>disagree</v>
      </c>
      <c r="X271" s="3" t="str">
        <f>IFERROR(__xludf.DUMMYFUNCTION("""COMPUTED_VALUE"""),"Silver")</f>
        <v>Silver</v>
      </c>
      <c r="Y271" s="3" t="str">
        <f>IFERROR(__xludf.DUMMYFUNCTION("""COMPUTED_VALUE"""),"card")</f>
        <v>card</v>
      </c>
      <c r="Z271" s="3" t="str">
        <f>IFERROR(__xludf.DUMMYFUNCTION("""COMPUTED_VALUE"""),"quarterly")</f>
        <v>quarterly</v>
      </c>
      <c r="AA271" s="3">
        <f>IFERROR(__xludf.DUMMYFUNCTION("""COMPUTED_VALUE"""),100.0)</f>
        <v>100</v>
      </c>
      <c r="AB271" s="3" t="str">
        <f>IFERROR(__xludf.DUMMYFUNCTION("""COMPUTED_VALUE"""),"online")</f>
        <v>online</v>
      </c>
      <c r="AC271" s="3" t="str">
        <f>IFERROR(__xludf.DUMMYFUNCTION("""COMPUTED_VALUE"""),"I am not an employer")</f>
        <v>I am not an employer</v>
      </c>
      <c r="AD271" s="3"/>
      <c r="AE271" s="3"/>
      <c r="AF271" s="3"/>
      <c r="AG271" s="3" t="str">
        <f>IFERROR(__xludf.DUMMYFUNCTION("""COMPUTED_VALUE"""),"Yes")</f>
        <v>Yes</v>
      </c>
      <c r="AH271" s="3">
        <f>IFERROR(__xludf.DUMMYFUNCTION("""COMPUTED_VALUE"""),400.0)</f>
        <v>400</v>
      </c>
      <c r="AI271" s="3">
        <f>IFERROR(__xludf.DUMMYFUNCTION("""COMPUTED_VALUE"""),0.0)</f>
        <v>0</v>
      </c>
      <c r="AJ271" s="3">
        <f>IFERROR(__xludf.DUMMYFUNCTION("""COMPUTED_VALUE"""),0.0)</f>
        <v>0</v>
      </c>
      <c r="AK271" s="3">
        <f>IFERROR(__xludf.DUMMYFUNCTION("""COMPUTED_VALUE"""),0.0)</f>
        <v>0</v>
      </c>
      <c r="AL271" s="3">
        <f>IFERROR(__xludf.DUMMYFUNCTION("""COMPUTED_VALUE"""),1.0)</f>
        <v>1</v>
      </c>
      <c r="AM271" s="3" t="str">
        <f>IFERROR(__xludf.DUMMYFUNCTION("""COMPUTED_VALUE"""),"Yes")</f>
        <v>Yes</v>
      </c>
      <c r="AN271" s="3">
        <f>IFERROR(__xludf.DUMMYFUNCTION("""COMPUTED_VALUE"""),6.93913293E8)</f>
        <v>693913293</v>
      </c>
      <c r="AO271" s="3"/>
      <c r="AP271" s="3">
        <f>IFERROR(__xludf.DUMMYFUNCTION("""COMPUTED_VALUE"""),4.90434959E8)</f>
        <v>490434959</v>
      </c>
      <c r="AQ271" s="3" t="str">
        <f>IFERROR(__xludf.DUMMYFUNCTION("""COMPUTED_VALUE"""),"48c3e74e-43d7-4d1a-aee1-012fa21e776e")</f>
        <v>48c3e74e-43d7-4d1a-aee1-012fa21e776e</v>
      </c>
      <c r="AR271" s="3">
        <f>IFERROR(__xludf.DUMMYFUNCTION("""COMPUTED_VALUE"""),45809.49349537037)</f>
        <v>45809.4935</v>
      </c>
      <c r="AS271" s="3"/>
      <c r="AT271" s="3"/>
      <c r="AU271" s="3" t="str">
        <f>IFERROR(__xludf.DUMMYFUNCTION("""COMPUTED_VALUE"""),"submitted_via_web")</f>
        <v>submitted_via_web</v>
      </c>
      <c r="AV271" s="3"/>
      <c r="AW271" s="3" t="str">
        <f>IFERROR(__xludf.DUMMYFUNCTION("""COMPUTED_VALUE"""),"vckVTgNzM4XXtKAKNnsHpB")</f>
        <v>vckVTgNzM4XXtKAKNnsHpB</v>
      </c>
      <c r="AX271" s="3"/>
      <c r="AY271" s="3">
        <f>IFERROR(__xludf.DUMMYFUNCTION("""COMPUTED_VALUE"""),270.0)</f>
        <v>270</v>
      </c>
    </row>
    <row r="272">
      <c r="A272" s="3" t="str">
        <f>IFERROR(__xludf.DUMMYFUNCTION("""COMPUTED_VALUE"""),"Yes")</f>
        <v>Yes</v>
      </c>
      <c r="B272" s="3"/>
      <c r="C272" s="3" t="str">
        <f>IFERROR(__xludf.DUMMYFUNCTION("""COMPUTED_VALUE"""),"mozambique")</f>
        <v>mozambique</v>
      </c>
      <c r="D272" s="3"/>
      <c r="E272" s="3" t="str">
        <f>IFERROR(__xludf.DUMMYFUNCTION("""COMPUTED_VALUE"""),"south_africa")</f>
        <v>south_africa</v>
      </c>
      <c r="F272" s="3" t="str">
        <f>IFERROR(__xludf.DUMMYFUNCTION("""COMPUTED_VALUE"""),"City of Tshwane Metropolitan Municipality")</f>
        <v>City of Tshwane Metropolitan Municipality</v>
      </c>
      <c r="G272" s="3">
        <f>IFERROR(__xludf.DUMMYFUNCTION("""COMPUTED_VALUE"""),32.0)</f>
        <v>32</v>
      </c>
      <c r="H272" s="3" t="str">
        <f>IFERROR(__xludf.DUMMYFUNCTION("""COMPUTED_VALUE"""),"male")</f>
        <v>male</v>
      </c>
      <c r="I272" s="3" t="str">
        <f>IFERROR(__xludf.DUMMYFUNCTION("""COMPUTED_VALUE"""),"over5")</f>
        <v>over5</v>
      </c>
      <c r="J272" s="3" t="str">
        <f>IFERROR(__xludf.DUMMYFUNCTION("""COMPUTED_VALUE"""),"informal")</f>
        <v>informal</v>
      </c>
      <c r="K272" s="3" t="str">
        <f>IFERROR(__xludf.DUMMYFUNCTION("""COMPUTED_VALUE"""),"primary")</f>
        <v>primary</v>
      </c>
      <c r="L272" s="3"/>
      <c r="M272" s="3" t="str">
        <f>IFERROR(__xludf.DUMMYFUNCTION("""COMPUTED_VALUE"""),"agree")</f>
        <v>agree</v>
      </c>
      <c r="N272" s="3" t="str">
        <f>IFERROR(__xludf.DUMMYFUNCTION("""COMPUTED_VALUE"""),"agree")</f>
        <v>agree</v>
      </c>
      <c r="O272" s="3" t="str">
        <f>IFERROR(__xludf.DUMMYFUNCTION("""COMPUTED_VALUE"""),"dontknow")</f>
        <v>dontknow</v>
      </c>
      <c r="P272" s="3"/>
      <c r="Q272" s="3" t="str">
        <f>IFERROR(__xludf.DUMMYFUNCTION("""COMPUTED_VALUE"""),"disagree")</f>
        <v>disagree</v>
      </c>
      <c r="R272" s="3" t="str">
        <f>IFERROR(__xludf.DUMMYFUNCTION("""COMPUTED_VALUE"""),"agree")</f>
        <v>agree</v>
      </c>
      <c r="S272" s="3" t="str">
        <f>IFERROR(__xludf.DUMMYFUNCTION("""COMPUTED_VALUE"""),"disagree")</f>
        <v>disagree</v>
      </c>
      <c r="T272" s="3" t="str">
        <f>IFERROR(__xludf.DUMMYFUNCTION("""COMPUTED_VALUE"""),"disagree")</f>
        <v>disagree</v>
      </c>
      <c r="U272" s="3" t="str">
        <f>IFERROR(__xludf.DUMMYFUNCTION("""COMPUTED_VALUE"""),"dontknow")</f>
        <v>dontknow</v>
      </c>
      <c r="V272" s="3" t="str">
        <f>IFERROR(__xludf.DUMMYFUNCTION("""COMPUTED_VALUE"""),"disagree")</f>
        <v>disagree</v>
      </c>
      <c r="W272" s="3" t="str">
        <f>IFERROR(__xludf.DUMMYFUNCTION("""COMPUTED_VALUE"""),"disagree")</f>
        <v>disagree</v>
      </c>
      <c r="X272" s="3" t="str">
        <f>IFERROR(__xludf.DUMMYFUNCTION("""COMPUTED_VALUE"""),"Gold")</f>
        <v>Gold</v>
      </c>
      <c r="Y272" s="3" t="str">
        <f>IFERROR(__xludf.DUMMYFUNCTION("""COMPUTED_VALUE"""),"cash")</f>
        <v>cash</v>
      </c>
      <c r="Z272" s="3" t="str">
        <f>IFERROR(__xludf.DUMMYFUNCTION("""COMPUTED_VALUE"""),"annual")</f>
        <v>annual</v>
      </c>
      <c r="AA272" s="3">
        <f>IFERROR(__xludf.DUMMYFUNCTION("""COMPUTED_VALUE"""),100.0)</f>
        <v>100</v>
      </c>
      <c r="AB272" s="3" t="str">
        <f>IFERROR(__xludf.DUMMYFUNCTION("""COMPUTED_VALUE"""),"assisted")</f>
        <v>assisted</v>
      </c>
      <c r="AC272" s="3" t="str">
        <f>IFERROR(__xludf.DUMMYFUNCTION("""COMPUTED_VALUE"""),"No")</f>
        <v>No</v>
      </c>
      <c r="AD272" s="3"/>
      <c r="AE272" s="3"/>
      <c r="AF272" s="3" t="str">
        <f>IFERROR(__xludf.DUMMYFUNCTION("""COMPUTED_VALUE"""),"Yes")</f>
        <v>Yes</v>
      </c>
      <c r="AG272" s="3" t="str">
        <f>IFERROR(__xludf.DUMMYFUNCTION("""COMPUTED_VALUE"""),"Yes")</f>
        <v>Yes</v>
      </c>
      <c r="AH272" s="3">
        <f>IFERROR(__xludf.DUMMYFUNCTION("""COMPUTED_VALUE"""),10.0)</f>
        <v>10</v>
      </c>
      <c r="AI272" s="3">
        <f>IFERROR(__xludf.DUMMYFUNCTION("""COMPUTED_VALUE"""),0.0)</f>
        <v>0</v>
      </c>
      <c r="AJ272" s="3">
        <f>IFERROR(__xludf.DUMMYFUNCTION("""COMPUTED_VALUE"""),0.0)</f>
        <v>0</v>
      </c>
      <c r="AK272" s="3">
        <f>IFERROR(__xludf.DUMMYFUNCTION("""COMPUTED_VALUE"""),0.0)</f>
        <v>0</v>
      </c>
      <c r="AL272" s="3">
        <f>IFERROR(__xludf.DUMMYFUNCTION("""COMPUTED_VALUE"""),1.0)</f>
        <v>1</v>
      </c>
      <c r="AM272" s="3" t="str">
        <f>IFERROR(__xludf.DUMMYFUNCTION("""COMPUTED_VALUE"""),"Yes")</f>
        <v>Yes</v>
      </c>
      <c r="AN272" s="3">
        <f>IFERROR(__xludf.DUMMYFUNCTION("""COMPUTED_VALUE"""),6.37219103E8)</f>
        <v>637219103</v>
      </c>
      <c r="AO272" s="3"/>
      <c r="AP272" s="3">
        <f>IFERROR(__xludf.DUMMYFUNCTION("""COMPUTED_VALUE"""),4.90437016E8)</f>
        <v>490437016</v>
      </c>
      <c r="AQ272" s="3" t="str">
        <f>IFERROR(__xludf.DUMMYFUNCTION("""COMPUTED_VALUE"""),"8ed1cce9-ba81-42cd-b4bf-92cb5ac69395")</f>
        <v>8ed1cce9-ba81-42cd-b4bf-92cb5ac69395</v>
      </c>
      <c r="AR272" s="3">
        <f>IFERROR(__xludf.DUMMYFUNCTION("""COMPUTED_VALUE"""),45809.498460648145)</f>
        <v>45809.49846</v>
      </c>
      <c r="AS272" s="3"/>
      <c r="AT272" s="3"/>
      <c r="AU272" s="3" t="str">
        <f>IFERROR(__xludf.DUMMYFUNCTION("""COMPUTED_VALUE"""),"submitted_via_web")</f>
        <v>submitted_via_web</v>
      </c>
      <c r="AV272" s="3"/>
      <c r="AW272" s="3" t="str">
        <f>IFERROR(__xludf.DUMMYFUNCTION("""COMPUTED_VALUE"""),"vckVTgNzM4XXtKAKNnsHpB")</f>
        <v>vckVTgNzM4XXtKAKNnsHpB</v>
      </c>
      <c r="AX272" s="3"/>
      <c r="AY272" s="3">
        <f>IFERROR(__xludf.DUMMYFUNCTION("""COMPUTED_VALUE"""),271.0)</f>
        <v>271</v>
      </c>
    </row>
    <row r="273">
      <c r="A273" s="3" t="str">
        <f>IFERROR(__xludf.DUMMYFUNCTION("""COMPUTED_VALUE"""),"Yes")</f>
        <v>Yes</v>
      </c>
      <c r="B273" s="3"/>
      <c r="C273" s="3" t="str">
        <f>IFERROR(__xludf.DUMMYFUNCTION("""COMPUTED_VALUE"""),"lesotho")</f>
        <v>lesotho</v>
      </c>
      <c r="D273" s="3"/>
      <c r="E273" s="3" t="str">
        <f>IFERROR(__xludf.DUMMYFUNCTION("""COMPUTED_VALUE"""),"lesotho")</f>
        <v>lesotho</v>
      </c>
      <c r="F273" s="3"/>
      <c r="G273" s="3">
        <f>IFERROR(__xludf.DUMMYFUNCTION("""COMPUTED_VALUE"""),33.0)</f>
        <v>33</v>
      </c>
      <c r="H273" s="3" t="str">
        <f>IFERROR(__xludf.DUMMYFUNCTION("""COMPUTED_VALUE"""),"male")</f>
        <v>male</v>
      </c>
      <c r="I273" s="3"/>
      <c r="J273" s="3" t="str">
        <f>IFERROR(__xludf.DUMMYFUNCTION("""COMPUTED_VALUE"""),"formal")</f>
        <v>formal</v>
      </c>
      <c r="K273" s="3" t="str">
        <f>IFERROR(__xludf.DUMMYFUNCTION("""COMPUTED_VALUE"""),"secondary")</f>
        <v>secondary</v>
      </c>
      <c r="L273" s="3"/>
      <c r="M273" s="3" t="str">
        <f>IFERROR(__xludf.DUMMYFUNCTION("""COMPUTED_VALUE"""),"agree")</f>
        <v>agree</v>
      </c>
      <c r="N273" s="3" t="str">
        <f>IFERROR(__xludf.DUMMYFUNCTION("""COMPUTED_VALUE"""),"agree")</f>
        <v>agree</v>
      </c>
      <c r="O273" s="3" t="str">
        <f>IFERROR(__xludf.DUMMYFUNCTION("""COMPUTED_VALUE"""),"disagree")</f>
        <v>disagree</v>
      </c>
      <c r="P273" s="3"/>
      <c r="Q273" s="3" t="str">
        <f>IFERROR(__xludf.DUMMYFUNCTION("""COMPUTED_VALUE"""),"disagree")</f>
        <v>disagree</v>
      </c>
      <c r="R273" s="3" t="str">
        <f>IFERROR(__xludf.DUMMYFUNCTION("""COMPUTED_VALUE"""),"agree")</f>
        <v>agree</v>
      </c>
      <c r="S273" s="3" t="str">
        <f>IFERROR(__xludf.DUMMYFUNCTION("""COMPUTED_VALUE"""),"disagree")</f>
        <v>disagree</v>
      </c>
      <c r="T273" s="3" t="str">
        <f>IFERROR(__xludf.DUMMYFUNCTION("""COMPUTED_VALUE"""),"disagree")</f>
        <v>disagree</v>
      </c>
      <c r="U273" s="3" t="str">
        <f>IFERROR(__xludf.DUMMYFUNCTION("""COMPUTED_VALUE"""),"agree")</f>
        <v>agree</v>
      </c>
      <c r="V273" s="3" t="str">
        <f>IFERROR(__xludf.DUMMYFUNCTION("""COMPUTED_VALUE"""),"agree")</f>
        <v>agree</v>
      </c>
      <c r="W273" s="3" t="str">
        <f>IFERROR(__xludf.DUMMYFUNCTION("""COMPUTED_VALUE"""),"disagree")</f>
        <v>disagree</v>
      </c>
      <c r="X273" s="3" t="str">
        <f>IFERROR(__xludf.DUMMYFUNCTION("""COMPUTED_VALUE"""),"Gold")</f>
        <v>Gold</v>
      </c>
      <c r="Y273" s="3" t="str">
        <f>IFERROR(__xludf.DUMMYFUNCTION("""COMPUTED_VALUE"""),"cash")</f>
        <v>cash</v>
      </c>
      <c r="Z273" s="3" t="str">
        <f>IFERROR(__xludf.DUMMYFUNCTION("""COMPUTED_VALUE"""),"monthly")</f>
        <v>monthly</v>
      </c>
      <c r="AA273" s="3">
        <f>IFERROR(__xludf.DUMMYFUNCTION("""COMPUTED_VALUE"""),20.0)</f>
        <v>20</v>
      </c>
      <c r="AB273" s="3" t="str">
        <f>IFERROR(__xludf.DUMMYFUNCTION("""COMPUTED_VALUE"""),"online")</f>
        <v>online</v>
      </c>
      <c r="AC273" s="3" t="str">
        <f>IFERROR(__xludf.DUMMYFUNCTION("""COMPUTED_VALUE"""),"I am not an employer")</f>
        <v>I am not an employer</v>
      </c>
      <c r="AD273" s="3"/>
      <c r="AE273" s="3"/>
      <c r="AF273" s="3" t="str">
        <f>IFERROR(__xludf.DUMMYFUNCTION("""COMPUTED_VALUE"""),"Yes")</f>
        <v>Yes</v>
      </c>
      <c r="AG273" s="3" t="str">
        <f>IFERROR(__xludf.DUMMYFUNCTION("""COMPUTED_VALUE"""),"No")</f>
        <v>No</v>
      </c>
      <c r="AH273" s="3"/>
      <c r="AI273" s="3">
        <f>IFERROR(__xludf.DUMMYFUNCTION("""COMPUTED_VALUE"""),1.0)</f>
        <v>1</v>
      </c>
      <c r="AJ273" s="3">
        <f>IFERROR(__xludf.DUMMYFUNCTION("""COMPUTED_VALUE"""),1.0)</f>
        <v>1</v>
      </c>
      <c r="AK273" s="3">
        <f>IFERROR(__xludf.DUMMYFUNCTION("""COMPUTED_VALUE"""),1.0)</f>
        <v>1</v>
      </c>
      <c r="AL273" s="3">
        <f>IFERROR(__xludf.DUMMYFUNCTION("""COMPUTED_VALUE"""),0.0)</f>
        <v>0</v>
      </c>
      <c r="AM273" s="3"/>
      <c r="AN273" s="3"/>
      <c r="AO273" s="3"/>
      <c r="AP273" s="3">
        <f>IFERROR(__xludf.DUMMYFUNCTION("""COMPUTED_VALUE"""),4.90437613E8)</f>
        <v>490437613</v>
      </c>
      <c r="AQ273" s="3" t="str">
        <f>IFERROR(__xludf.DUMMYFUNCTION("""COMPUTED_VALUE"""),"9079ed91-fa72-47ce-afd0-1e426599a147")</f>
        <v>9079ed91-fa72-47ce-afd0-1e426599a147</v>
      </c>
      <c r="AR273" s="3">
        <f>IFERROR(__xludf.DUMMYFUNCTION("""COMPUTED_VALUE"""),45809.500081018516)</f>
        <v>45809.50008</v>
      </c>
      <c r="AS273" s="3"/>
      <c r="AT273" s="3"/>
      <c r="AU273" s="3" t="str">
        <f>IFERROR(__xludf.DUMMYFUNCTION("""COMPUTED_VALUE"""),"submitted_via_web")</f>
        <v>submitted_via_web</v>
      </c>
      <c r="AV273" s="3"/>
      <c r="AW273" s="3" t="str">
        <f>IFERROR(__xludf.DUMMYFUNCTION("""COMPUTED_VALUE"""),"vckVTgNzM4XXtKAKNnsHpB")</f>
        <v>vckVTgNzM4XXtKAKNnsHpB</v>
      </c>
      <c r="AX273" s="3"/>
      <c r="AY273" s="3">
        <f>IFERROR(__xludf.DUMMYFUNCTION("""COMPUTED_VALUE"""),272.0)</f>
        <v>272</v>
      </c>
    </row>
    <row r="274">
      <c r="A274" s="3" t="str">
        <f>IFERROR(__xludf.DUMMYFUNCTION("""COMPUTED_VALUE"""),"Yes")</f>
        <v>Yes</v>
      </c>
      <c r="B274" s="3"/>
      <c r="C274" s="3" t="str">
        <f>IFERROR(__xludf.DUMMYFUNCTION("""COMPUTED_VALUE"""),"lesotho")</f>
        <v>lesotho</v>
      </c>
      <c r="D274" s="3"/>
      <c r="E274" s="3" t="str">
        <f>IFERROR(__xludf.DUMMYFUNCTION("""COMPUTED_VALUE"""),"south_africa")</f>
        <v>south_africa</v>
      </c>
      <c r="F274" s="3" t="str">
        <f>IFERROR(__xludf.DUMMYFUNCTION("""COMPUTED_VALUE"""),"City of Johannesburg Metropolitan Municipality")</f>
        <v>City of Johannesburg Metropolitan Municipality</v>
      </c>
      <c r="G274" s="3">
        <f>IFERROR(__xludf.DUMMYFUNCTION("""COMPUTED_VALUE"""),19.0)</f>
        <v>19</v>
      </c>
      <c r="H274" s="3" t="str">
        <f>IFERROR(__xludf.DUMMYFUNCTION("""COMPUTED_VALUE"""),"male")</f>
        <v>male</v>
      </c>
      <c r="I274" s="3" t="str">
        <f>IFERROR(__xludf.DUMMYFUNCTION("""COMPUTED_VALUE"""),"1to5")</f>
        <v>1to5</v>
      </c>
      <c r="J274" s="3" t="str">
        <f>IFERROR(__xludf.DUMMYFUNCTION("""COMPUTED_VALUE"""),"unemployed")</f>
        <v>unemployed</v>
      </c>
      <c r="K274" s="3" t="str">
        <f>IFERROR(__xludf.DUMMYFUNCTION("""COMPUTED_VALUE"""),"primary")</f>
        <v>primary</v>
      </c>
      <c r="L274" s="3"/>
      <c r="M274" s="3" t="str">
        <f>IFERROR(__xludf.DUMMYFUNCTION("""COMPUTED_VALUE"""),"dontknow")</f>
        <v>dontknow</v>
      </c>
      <c r="N274" s="3" t="str">
        <f>IFERROR(__xludf.DUMMYFUNCTION("""COMPUTED_VALUE"""),"dontknow")</f>
        <v>dontknow</v>
      </c>
      <c r="O274" s="3" t="str">
        <f>IFERROR(__xludf.DUMMYFUNCTION("""COMPUTED_VALUE"""),"disagree")</f>
        <v>disagree</v>
      </c>
      <c r="P274" s="3"/>
      <c r="Q274" s="3" t="str">
        <f>IFERROR(__xludf.DUMMYFUNCTION("""COMPUTED_VALUE"""),"dontknow")</f>
        <v>dontknow</v>
      </c>
      <c r="R274" s="3" t="str">
        <f>IFERROR(__xludf.DUMMYFUNCTION("""COMPUTED_VALUE"""),"dontknow")</f>
        <v>dontknow</v>
      </c>
      <c r="S274" s="3" t="str">
        <f>IFERROR(__xludf.DUMMYFUNCTION("""COMPUTED_VALUE"""),"agree")</f>
        <v>agree</v>
      </c>
      <c r="T274" s="3" t="str">
        <f>IFERROR(__xludf.DUMMYFUNCTION("""COMPUTED_VALUE"""),"agree")</f>
        <v>agree</v>
      </c>
      <c r="U274" s="3" t="str">
        <f>IFERROR(__xludf.DUMMYFUNCTION("""COMPUTED_VALUE"""),"dontknow")</f>
        <v>dontknow</v>
      </c>
      <c r="V274" s="3" t="str">
        <f>IFERROR(__xludf.DUMMYFUNCTION("""COMPUTED_VALUE"""),"agree")</f>
        <v>agree</v>
      </c>
      <c r="W274" s="3" t="str">
        <f>IFERROR(__xludf.DUMMYFUNCTION("""COMPUTED_VALUE"""),"agree")</f>
        <v>agree</v>
      </c>
      <c r="X274" s="3" t="str">
        <f>IFERROR(__xludf.DUMMYFUNCTION("""COMPUTED_VALUE"""),"Silver")</f>
        <v>Silver</v>
      </c>
      <c r="Y274" s="3" t="str">
        <f>IFERROR(__xludf.DUMMYFUNCTION("""COMPUTED_VALUE"""),"card")</f>
        <v>card</v>
      </c>
      <c r="Z274" s="3" t="str">
        <f>IFERROR(__xludf.DUMMYFUNCTION("""COMPUTED_VALUE"""),"monthly")</f>
        <v>monthly</v>
      </c>
      <c r="AA274" s="3">
        <f>IFERROR(__xludf.DUMMYFUNCTION("""COMPUTED_VALUE"""),50.0)</f>
        <v>50</v>
      </c>
      <c r="AB274" s="3" t="str">
        <f>IFERROR(__xludf.DUMMYFUNCTION("""COMPUTED_VALUE"""),"assisted")</f>
        <v>assisted</v>
      </c>
      <c r="AC274" s="3" t="str">
        <f>IFERROR(__xludf.DUMMYFUNCTION("""COMPUTED_VALUE"""),"No")</f>
        <v>No</v>
      </c>
      <c r="AD274" s="3"/>
      <c r="AE274" s="3"/>
      <c r="AF274" s="3" t="str">
        <f>IFERROR(__xludf.DUMMYFUNCTION("""COMPUTED_VALUE"""),"Yes")</f>
        <v>Yes</v>
      </c>
      <c r="AG274" s="3" t="str">
        <f>IFERROR(__xludf.DUMMYFUNCTION("""COMPUTED_VALUE"""),"Yes")</f>
        <v>Yes</v>
      </c>
      <c r="AH274" s="3">
        <f>IFERROR(__xludf.DUMMYFUNCTION("""COMPUTED_VALUE"""),100.0)</f>
        <v>100</v>
      </c>
      <c r="AI274" s="3">
        <f>IFERROR(__xludf.DUMMYFUNCTION("""COMPUTED_VALUE"""),0.0)</f>
        <v>0</v>
      </c>
      <c r="AJ274" s="3">
        <f>IFERROR(__xludf.DUMMYFUNCTION("""COMPUTED_VALUE"""),1.0)</f>
        <v>1</v>
      </c>
      <c r="AK274" s="3">
        <f>IFERROR(__xludf.DUMMYFUNCTION("""COMPUTED_VALUE"""),0.0)</f>
        <v>0</v>
      </c>
      <c r="AL274" s="3">
        <f>IFERROR(__xludf.DUMMYFUNCTION("""COMPUTED_VALUE"""),0.0)</f>
        <v>0</v>
      </c>
      <c r="AM274" s="3" t="str">
        <f>IFERROR(__xludf.DUMMYFUNCTION("""COMPUTED_VALUE"""),"No")</f>
        <v>No</v>
      </c>
      <c r="AN274" s="3"/>
      <c r="AO274" s="3"/>
      <c r="AP274" s="3">
        <f>IFERROR(__xludf.DUMMYFUNCTION("""COMPUTED_VALUE"""),4.90438774E8)</f>
        <v>490438774</v>
      </c>
      <c r="AQ274" s="3" t="str">
        <f>IFERROR(__xludf.DUMMYFUNCTION("""COMPUTED_VALUE"""),"2acf2eee-343d-4db2-b968-6d5d12db1e6c")</f>
        <v>2acf2eee-343d-4db2-b968-6d5d12db1e6c</v>
      </c>
      <c r="AR274" s="3">
        <f>IFERROR(__xludf.DUMMYFUNCTION("""COMPUTED_VALUE"""),45809.50295138889)</f>
        <v>45809.50295</v>
      </c>
      <c r="AS274" s="3"/>
      <c r="AT274" s="3"/>
      <c r="AU274" s="3" t="str">
        <f>IFERROR(__xludf.DUMMYFUNCTION("""COMPUTED_VALUE"""),"submitted_via_web")</f>
        <v>submitted_via_web</v>
      </c>
      <c r="AV274" s="3"/>
      <c r="AW274" s="3" t="str">
        <f>IFERROR(__xludf.DUMMYFUNCTION("""COMPUTED_VALUE"""),"vckVTgNzM4XXtKAKNnsHpB")</f>
        <v>vckVTgNzM4XXtKAKNnsHpB</v>
      </c>
      <c r="AX274" s="3"/>
      <c r="AY274" s="3">
        <f>IFERROR(__xludf.DUMMYFUNCTION("""COMPUTED_VALUE"""),273.0)</f>
        <v>273</v>
      </c>
    </row>
    <row r="275">
      <c r="A275" s="3" t="str">
        <f>IFERROR(__xludf.DUMMYFUNCTION("""COMPUTED_VALUE"""),"Yes")</f>
        <v>Yes</v>
      </c>
      <c r="B275" s="3"/>
      <c r="C275" s="3" t="str">
        <f>IFERROR(__xludf.DUMMYFUNCTION("""COMPUTED_VALUE"""),"lesotho")</f>
        <v>lesotho</v>
      </c>
      <c r="D275" s="3"/>
      <c r="E275" s="3" t="str">
        <f>IFERROR(__xludf.DUMMYFUNCTION("""COMPUTED_VALUE"""),"south_africa")</f>
        <v>south_africa</v>
      </c>
      <c r="F275" s="3" t="str">
        <f>IFERROR(__xludf.DUMMYFUNCTION("""COMPUTED_VALUE"""),"Sedibeng District")</f>
        <v>Sedibeng District</v>
      </c>
      <c r="G275" s="3">
        <f>IFERROR(__xludf.DUMMYFUNCTION("""COMPUTED_VALUE"""),29.0)</f>
        <v>29</v>
      </c>
      <c r="H275" s="3" t="str">
        <f>IFERROR(__xludf.DUMMYFUNCTION("""COMPUTED_VALUE"""),"female")</f>
        <v>female</v>
      </c>
      <c r="I275" s="3" t="str">
        <f>IFERROR(__xludf.DUMMYFUNCTION("""COMPUTED_VALUE"""),"over5")</f>
        <v>over5</v>
      </c>
      <c r="J275" s="3" t="str">
        <f>IFERROR(__xludf.DUMMYFUNCTION("""COMPUTED_VALUE"""),"informal")</f>
        <v>informal</v>
      </c>
      <c r="K275" s="3" t="str">
        <f>IFERROR(__xludf.DUMMYFUNCTION("""COMPUTED_VALUE"""),"vocational")</f>
        <v>vocational</v>
      </c>
      <c r="L275" s="3"/>
      <c r="M275" s="3" t="str">
        <f>IFERROR(__xludf.DUMMYFUNCTION("""COMPUTED_VALUE"""),"agree")</f>
        <v>agree</v>
      </c>
      <c r="N275" s="3" t="str">
        <f>IFERROR(__xludf.DUMMYFUNCTION("""COMPUTED_VALUE"""),"agree")</f>
        <v>agree</v>
      </c>
      <c r="O275" s="3" t="str">
        <f>IFERROR(__xludf.DUMMYFUNCTION("""COMPUTED_VALUE"""),"disagree")</f>
        <v>disagree</v>
      </c>
      <c r="P275" s="3"/>
      <c r="Q275" s="3" t="str">
        <f>IFERROR(__xludf.DUMMYFUNCTION("""COMPUTED_VALUE"""),"agree")</f>
        <v>agree</v>
      </c>
      <c r="R275" s="3" t="str">
        <f>IFERROR(__xludf.DUMMYFUNCTION("""COMPUTED_VALUE"""),"agree")</f>
        <v>agree</v>
      </c>
      <c r="S275" s="3" t="str">
        <f>IFERROR(__xludf.DUMMYFUNCTION("""COMPUTED_VALUE"""),"disagree")</f>
        <v>disagree</v>
      </c>
      <c r="T275" s="3" t="str">
        <f>IFERROR(__xludf.DUMMYFUNCTION("""COMPUTED_VALUE"""),"disagree")</f>
        <v>disagree</v>
      </c>
      <c r="U275" s="3" t="str">
        <f>IFERROR(__xludf.DUMMYFUNCTION("""COMPUTED_VALUE"""),"dontknow")</f>
        <v>dontknow</v>
      </c>
      <c r="V275" s="3" t="str">
        <f>IFERROR(__xludf.DUMMYFUNCTION("""COMPUTED_VALUE"""),"agree")</f>
        <v>agree</v>
      </c>
      <c r="W275" s="3" t="str">
        <f>IFERROR(__xludf.DUMMYFUNCTION("""COMPUTED_VALUE"""),"disagree")</f>
        <v>disagree</v>
      </c>
      <c r="X275" s="3" t="str">
        <f>IFERROR(__xludf.DUMMYFUNCTION("""COMPUTED_VALUE"""),"Gold")</f>
        <v>Gold</v>
      </c>
      <c r="Y275" s="3" t="str">
        <f>IFERROR(__xludf.DUMMYFUNCTION("""COMPUTED_VALUE"""),"cash")</f>
        <v>cash</v>
      </c>
      <c r="Z275" s="3" t="str">
        <f>IFERROR(__xludf.DUMMYFUNCTION("""COMPUTED_VALUE"""),"once")</f>
        <v>once</v>
      </c>
      <c r="AA275" s="3">
        <f>IFERROR(__xludf.DUMMYFUNCTION("""COMPUTED_VALUE"""),20.0)</f>
        <v>20</v>
      </c>
      <c r="AB275" s="3" t="str">
        <f>IFERROR(__xludf.DUMMYFUNCTION("""COMPUTED_VALUE"""),"assisted")</f>
        <v>assisted</v>
      </c>
      <c r="AC275" s="3" t="str">
        <f>IFERROR(__xludf.DUMMYFUNCTION("""COMPUTED_VALUE"""),"I am not an employer")</f>
        <v>I am not an employer</v>
      </c>
      <c r="AD275" s="3"/>
      <c r="AE275" s="3"/>
      <c r="AF275" s="3" t="str">
        <f>IFERROR(__xludf.DUMMYFUNCTION("""COMPUTED_VALUE"""),"Yes")</f>
        <v>Yes</v>
      </c>
      <c r="AG275" s="3" t="str">
        <f>IFERROR(__xludf.DUMMYFUNCTION("""COMPUTED_VALUE"""),"Yes")</f>
        <v>Yes</v>
      </c>
      <c r="AH275" s="3">
        <f>IFERROR(__xludf.DUMMYFUNCTION("""COMPUTED_VALUE"""),250.0)</f>
        <v>250</v>
      </c>
      <c r="AI275" s="3">
        <f>IFERROR(__xludf.DUMMYFUNCTION("""COMPUTED_VALUE"""),1.0)</f>
        <v>1</v>
      </c>
      <c r="AJ275" s="3">
        <f>IFERROR(__xludf.DUMMYFUNCTION("""COMPUTED_VALUE"""),1.0)</f>
        <v>1</v>
      </c>
      <c r="AK275" s="3">
        <f>IFERROR(__xludf.DUMMYFUNCTION("""COMPUTED_VALUE"""),1.0)</f>
        <v>1</v>
      </c>
      <c r="AL275" s="3">
        <f>IFERROR(__xludf.DUMMYFUNCTION("""COMPUTED_VALUE"""),1.0)</f>
        <v>1</v>
      </c>
      <c r="AM275" s="3" t="str">
        <f>IFERROR(__xludf.DUMMYFUNCTION("""COMPUTED_VALUE"""),"No")</f>
        <v>No</v>
      </c>
      <c r="AN275" s="3"/>
      <c r="AO275" s="3"/>
      <c r="AP275" s="3">
        <f>IFERROR(__xludf.DUMMYFUNCTION("""COMPUTED_VALUE"""),4.90440004E8)</f>
        <v>490440004</v>
      </c>
      <c r="AQ275" s="3" t="str">
        <f>IFERROR(__xludf.DUMMYFUNCTION("""COMPUTED_VALUE"""),"7e8e61bd-c567-4846-bc90-5e667fe01edb")</f>
        <v>7e8e61bd-c567-4846-bc90-5e667fe01edb</v>
      </c>
      <c r="AR275" s="3">
        <f>IFERROR(__xludf.DUMMYFUNCTION("""COMPUTED_VALUE"""),45809.505162037036)</f>
        <v>45809.50516</v>
      </c>
      <c r="AS275" s="3"/>
      <c r="AT275" s="3"/>
      <c r="AU275" s="3" t="str">
        <f>IFERROR(__xludf.DUMMYFUNCTION("""COMPUTED_VALUE"""),"submitted_via_web")</f>
        <v>submitted_via_web</v>
      </c>
      <c r="AV275" s="3"/>
      <c r="AW275" s="3" t="str">
        <f>IFERROR(__xludf.DUMMYFUNCTION("""COMPUTED_VALUE"""),"vckVTgNzM4XXtKAKNnsHpB")</f>
        <v>vckVTgNzM4XXtKAKNnsHpB</v>
      </c>
      <c r="AX275" s="3"/>
      <c r="AY275" s="3">
        <f>IFERROR(__xludf.DUMMYFUNCTION("""COMPUTED_VALUE"""),274.0)</f>
        <v>274</v>
      </c>
    </row>
    <row r="276">
      <c r="A276" s="3" t="str">
        <f>IFERROR(__xludf.DUMMYFUNCTION("""COMPUTED_VALUE"""),"Yes")</f>
        <v>Yes</v>
      </c>
      <c r="B276" s="3"/>
      <c r="C276" s="3" t="str">
        <f>IFERROR(__xludf.DUMMYFUNCTION("""COMPUTED_VALUE"""),"lesotho")</f>
        <v>lesotho</v>
      </c>
      <c r="D276" s="3"/>
      <c r="E276" s="3" t="str">
        <f>IFERROR(__xludf.DUMMYFUNCTION("""COMPUTED_VALUE"""),"south_africa")</f>
        <v>south_africa</v>
      </c>
      <c r="F276" s="3" t="str">
        <f>IFERROR(__xludf.DUMMYFUNCTION("""COMPUTED_VALUE"""),"City of Johannesburg Metropolitan Municipality")</f>
        <v>City of Johannesburg Metropolitan Municipality</v>
      </c>
      <c r="G276" s="3">
        <f>IFERROR(__xludf.DUMMYFUNCTION("""COMPUTED_VALUE"""),25.0)</f>
        <v>25</v>
      </c>
      <c r="H276" s="3" t="str">
        <f>IFERROR(__xludf.DUMMYFUNCTION("""COMPUTED_VALUE"""),"male")</f>
        <v>male</v>
      </c>
      <c r="I276" s="3" t="str">
        <f>IFERROR(__xludf.DUMMYFUNCTION("""COMPUTED_VALUE"""),"6to12")</f>
        <v>6to12</v>
      </c>
      <c r="J276" s="3" t="str">
        <f>IFERROR(__xludf.DUMMYFUNCTION("""COMPUTED_VALUE"""),"informal")</f>
        <v>informal</v>
      </c>
      <c r="K276" s="3" t="str">
        <f>IFERROR(__xludf.DUMMYFUNCTION("""COMPUTED_VALUE"""),"secondary")</f>
        <v>secondary</v>
      </c>
      <c r="L276" s="3"/>
      <c r="M276" s="3" t="str">
        <f>IFERROR(__xludf.DUMMYFUNCTION("""COMPUTED_VALUE"""),"agree")</f>
        <v>agree</v>
      </c>
      <c r="N276" s="3" t="str">
        <f>IFERROR(__xludf.DUMMYFUNCTION("""COMPUTED_VALUE"""),"agree")</f>
        <v>agree</v>
      </c>
      <c r="O276" s="3" t="str">
        <f>IFERROR(__xludf.DUMMYFUNCTION("""COMPUTED_VALUE"""),"disagree")</f>
        <v>disagree</v>
      </c>
      <c r="P276" s="3"/>
      <c r="Q276" s="3" t="str">
        <f>IFERROR(__xludf.DUMMYFUNCTION("""COMPUTED_VALUE"""),"disagree")</f>
        <v>disagree</v>
      </c>
      <c r="R276" s="3" t="str">
        <f>IFERROR(__xludf.DUMMYFUNCTION("""COMPUTED_VALUE"""),"agree")</f>
        <v>agree</v>
      </c>
      <c r="S276" s="3" t="str">
        <f>IFERROR(__xludf.DUMMYFUNCTION("""COMPUTED_VALUE"""),"agree")</f>
        <v>agree</v>
      </c>
      <c r="T276" s="3" t="str">
        <f>IFERROR(__xludf.DUMMYFUNCTION("""COMPUTED_VALUE"""),"agree")</f>
        <v>agree</v>
      </c>
      <c r="U276" s="3" t="str">
        <f>IFERROR(__xludf.DUMMYFUNCTION("""COMPUTED_VALUE"""),"dontknow")</f>
        <v>dontknow</v>
      </c>
      <c r="V276" s="3" t="str">
        <f>IFERROR(__xludf.DUMMYFUNCTION("""COMPUTED_VALUE"""),"agree")</f>
        <v>agree</v>
      </c>
      <c r="W276" s="3" t="str">
        <f>IFERROR(__xludf.DUMMYFUNCTION("""COMPUTED_VALUE"""),"agree")</f>
        <v>agree</v>
      </c>
      <c r="X276" s="3" t="str">
        <f>IFERROR(__xludf.DUMMYFUNCTION("""COMPUTED_VALUE"""),"Gold")</f>
        <v>Gold</v>
      </c>
      <c r="Y276" s="3" t="str">
        <f>IFERROR(__xludf.DUMMYFUNCTION("""COMPUTED_VALUE"""),"cash")</f>
        <v>cash</v>
      </c>
      <c r="Z276" s="3" t="str">
        <f>IFERROR(__xludf.DUMMYFUNCTION("""COMPUTED_VALUE"""),"once")</f>
        <v>once</v>
      </c>
      <c r="AA276" s="3">
        <f>IFERROR(__xludf.DUMMYFUNCTION("""COMPUTED_VALUE"""),10.0)</f>
        <v>10</v>
      </c>
      <c r="AB276" s="3" t="str">
        <f>IFERROR(__xludf.DUMMYFUNCTION("""COMPUTED_VALUE"""),"online")</f>
        <v>online</v>
      </c>
      <c r="AC276" s="3" t="str">
        <f>IFERROR(__xludf.DUMMYFUNCTION("""COMPUTED_VALUE"""),"I am not an employer")</f>
        <v>I am not an employer</v>
      </c>
      <c r="AD276" s="3"/>
      <c r="AE276" s="3"/>
      <c r="AF276" s="3" t="str">
        <f>IFERROR(__xludf.DUMMYFUNCTION("""COMPUTED_VALUE"""),"Yes")</f>
        <v>Yes</v>
      </c>
      <c r="AG276" s="3" t="str">
        <f>IFERROR(__xludf.DUMMYFUNCTION("""COMPUTED_VALUE"""),"No")</f>
        <v>No</v>
      </c>
      <c r="AH276" s="3"/>
      <c r="AI276" s="3">
        <f>IFERROR(__xludf.DUMMYFUNCTION("""COMPUTED_VALUE"""),0.0)</f>
        <v>0</v>
      </c>
      <c r="AJ276" s="3">
        <f>IFERROR(__xludf.DUMMYFUNCTION("""COMPUTED_VALUE"""),0.0)</f>
        <v>0</v>
      </c>
      <c r="AK276" s="3">
        <f>IFERROR(__xludf.DUMMYFUNCTION("""COMPUTED_VALUE"""),0.0)</f>
        <v>0</v>
      </c>
      <c r="AL276" s="3">
        <f>IFERROR(__xludf.DUMMYFUNCTION("""COMPUTED_VALUE"""),1.0)</f>
        <v>1</v>
      </c>
      <c r="AM276" s="3" t="str">
        <f>IFERROR(__xludf.DUMMYFUNCTION("""COMPUTED_VALUE"""),"No")</f>
        <v>No</v>
      </c>
      <c r="AN276" s="3"/>
      <c r="AO276" s="3"/>
      <c r="AP276" s="3">
        <f>IFERROR(__xludf.DUMMYFUNCTION("""COMPUTED_VALUE"""),4.90442696E8)</f>
        <v>490442696</v>
      </c>
      <c r="AQ276" s="3" t="str">
        <f>IFERROR(__xludf.DUMMYFUNCTION("""COMPUTED_VALUE"""),"622a9b4c-1899-4d86-b639-57ec5be03daa")</f>
        <v>622a9b4c-1899-4d86-b639-57ec5be03daa</v>
      </c>
      <c r="AR276" s="3">
        <f>IFERROR(__xludf.DUMMYFUNCTION("""COMPUTED_VALUE"""),45809.510833333334)</f>
        <v>45809.51083</v>
      </c>
      <c r="AS276" s="3"/>
      <c r="AT276" s="3"/>
      <c r="AU276" s="3" t="str">
        <f>IFERROR(__xludf.DUMMYFUNCTION("""COMPUTED_VALUE"""),"submitted_via_web")</f>
        <v>submitted_via_web</v>
      </c>
      <c r="AV276" s="3"/>
      <c r="AW276" s="3" t="str">
        <f>IFERROR(__xludf.DUMMYFUNCTION("""COMPUTED_VALUE"""),"vckVTgNzM4XXtKAKNnsHpB")</f>
        <v>vckVTgNzM4XXtKAKNnsHpB</v>
      </c>
      <c r="AX276" s="3"/>
      <c r="AY276" s="3">
        <f>IFERROR(__xludf.DUMMYFUNCTION("""COMPUTED_VALUE"""),275.0)</f>
        <v>275</v>
      </c>
    </row>
    <row r="277">
      <c r="A277" s="3" t="str">
        <f>IFERROR(__xludf.DUMMYFUNCTION("""COMPUTED_VALUE"""),"Yes")</f>
        <v>Yes</v>
      </c>
      <c r="B277" s="3"/>
      <c r="C277" s="3" t="str">
        <f>IFERROR(__xludf.DUMMYFUNCTION("""COMPUTED_VALUE"""),"lesotho")</f>
        <v>lesotho</v>
      </c>
      <c r="D277" s="3"/>
      <c r="E277" s="3" t="str">
        <f>IFERROR(__xludf.DUMMYFUNCTION("""COMPUTED_VALUE"""),"lesotho")</f>
        <v>lesotho</v>
      </c>
      <c r="F277" s="3"/>
      <c r="G277" s="3">
        <f>IFERROR(__xludf.DUMMYFUNCTION("""COMPUTED_VALUE"""),46.0)</f>
        <v>46</v>
      </c>
      <c r="H277" s="3" t="str">
        <f>IFERROR(__xludf.DUMMYFUNCTION("""COMPUTED_VALUE"""),"female")</f>
        <v>female</v>
      </c>
      <c r="I277" s="3"/>
      <c r="J277" s="3" t="str">
        <f>IFERROR(__xludf.DUMMYFUNCTION("""COMPUTED_VALUE"""),"ownbusiness")</f>
        <v>ownbusiness</v>
      </c>
      <c r="K277" s="3" t="str">
        <f>IFERROR(__xludf.DUMMYFUNCTION("""COMPUTED_VALUE"""),"tertiary")</f>
        <v>tertiary</v>
      </c>
      <c r="L277" s="3"/>
      <c r="M277" s="3" t="str">
        <f>IFERROR(__xludf.DUMMYFUNCTION("""COMPUTED_VALUE"""),"agree")</f>
        <v>agree</v>
      </c>
      <c r="N277" s="3" t="str">
        <f>IFERROR(__xludf.DUMMYFUNCTION("""COMPUTED_VALUE"""),"agree")</f>
        <v>agree</v>
      </c>
      <c r="O277" s="3" t="str">
        <f>IFERROR(__xludf.DUMMYFUNCTION("""COMPUTED_VALUE"""),"disagree")</f>
        <v>disagree</v>
      </c>
      <c r="P277" s="3"/>
      <c r="Q277" s="3" t="str">
        <f>IFERROR(__xludf.DUMMYFUNCTION("""COMPUTED_VALUE"""),"disagree")</f>
        <v>disagree</v>
      </c>
      <c r="R277" s="3" t="str">
        <f>IFERROR(__xludf.DUMMYFUNCTION("""COMPUTED_VALUE"""),"disagree")</f>
        <v>disagree</v>
      </c>
      <c r="S277" s="3" t="str">
        <f>IFERROR(__xludf.DUMMYFUNCTION("""COMPUTED_VALUE"""),"disagree")</f>
        <v>disagree</v>
      </c>
      <c r="T277" s="3" t="str">
        <f>IFERROR(__xludf.DUMMYFUNCTION("""COMPUTED_VALUE"""),"agree")</f>
        <v>agree</v>
      </c>
      <c r="U277" s="3" t="str">
        <f>IFERROR(__xludf.DUMMYFUNCTION("""COMPUTED_VALUE"""),"disagree")</f>
        <v>disagree</v>
      </c>
      <c r="V277" s="3" t="str">
        <f>IFERROR(__xludf.DUMMYFUNCTION("""COMPUTED_VALUE"""),"agree")</f>
        <v>agree</v>
      </c>
      <c r="W277" s="3" t="str">
        <f>IFERROR(__xludf.DUMMYFUNCTION("""COMPUTED_VALUE"""),"disagree")</f>
        <v>disagree</v>
      </c>
      <c r="X277" s="3" t="str">
        <f>IFERROR(__xludf.DUMMYFUNCTION("""COMPUTED_VALUE"""),"Gold")</f>
        <v>Gold</v>
      </c>
      <c r="Y277" s="3" t="str">
        <f>IFERROR(__xludf.DUMMYFUNCTION("""COMPUTED_VALUE"""),"cash")</f>
        <v>cash</v>
      </c>
      <c r="Z277" s="3" t="str">
        <f>IFERROR(__xludf.DUMMYFUNCTION("""COMPUTED_VALUE"""),"once")</f>
        <v>once</v>
      </c>
      <c r="AA277" s="3">
        <f>IFERROR(__xludf.DUMMYFUNCTION("""COMPUTED_VALUE"""),10.0)</f>
        <v>10</v>
      </c>
      <c r="AB277" s="3" t="str">
        <f>IFERROR(__xludf.DUMMYFUNCTION("""COMPUTED_VALUE"""),"assisted")</f>
        <v>assisted</v>
      </c>
      <c r="AC277" s="3" t="str">
        <f>IFERROR(__xludf.DUMMYFUNCTION("""COMPUTED_VALUE"""),"I am not an employer")</f>
        <v>I am not an employer</v>
      </c>
      <c r="AD277" s="3"/>
      <c r="AE277" s="3"/>
      <c r="AF277" s="3" t="str">
        <f>IFERROR(__xludf.DUMMYFUNCTION("""COMPUTED_VALUE"""),"Yes")</f>
        <v>Yes</v>
      </c>
      <c r="AG277" s="3" t="str">
        <f>IFERROR(__xludf.DUMMYFUNCTION("""COMPUTED_VALUE"""),"No")</f>
        <v>No</v>
      </c>
      <c r="AH277" s="3"/>
      <c r="AI277" s="3">
        <f>IFERROR(__xludf.DUMMYFUNCTION("""COMPUTED_VALUE"""),1.0)</f>
        <v>1</v>
      </c>
      <c r="AJ277" s="3">
        <f>IFERROR(__xludf.DUMMYFUNCTION("""COMPUTED_VALUE"""),1.0)</f>
        <v>1</v>
      </c>
      <c r="AK277" s="3">
        <f>IFERROR(__xludf.DUMMYFUNCTION("""COMPUTED_VALUE"""),0.0)</f>
        <v>0</v>
      </c>
      <c r="AL277" s="3">
        <f>IFERROR(__xludf.DUMMYFUNCTION("""COMPUTED_VALUE"""),0.0)</f>
        <v>0</v>
      </c>
      <c r="AM277" s="3"/>
      <c r="AN277" s="3"/>
      <c r="AO277" s="3"/>
      <c r="AP277" s="3">
        <f>IFERROR(__xludf.DUMMYFUNCTION("""COMPUTED_VALUE"""),4.90445028E8)</f>
        <v>490445028</v>
      </c>
      <c r="AQ277" s="3" t="str">
        <f>IFERROR(__xludf.DUMMYFUNCTION("""COMPUTED_VALUE"""),"d08199a9-815f-4eed-8709-ed7a7f4970f3")</f>
        <v>d08199a9-815f-4eed-8709-ed7a7f4970f3</v>
      </c>
      <c r="AR277" s="3">
        <f>IFERROR(__xludf.DUMMYFUNCTION("""COMPUTED_VALUE"""),45809.516122685185)</f>
        <v>45809.51612</v>
      </c>
      <c r="AS277" s="3"/>
      <c r="AT277" s="3"/>
      <c r="AU277" s="3" t="str">
        <f>IFERROR(__xludf.DUMMYFUNCTION("""COMPUTED_VALUE"""),"submitted_via_web")</f>
        <v>submitted_via_web</v>
      </c>
      <c r="AV277" s="3"/>
      <c r="AW277" s="3" t="str">
        <f>IFERROR(__xludf.DUMMYFUNCTION("""COMPUTED_VALUE"""),"vckVTgNzM4XXtKAKNnsHpB")</f>
        <v>vckVTgNzM4XXtKAKNnsHpB</v>
      </c>
      <c r="AX277" s="3"/>
      <c r="AY277" s="3">
        <f>IFERROR(__xludf.DUMMYFUNCTION("""COMPUTED_VALUE"""),276.0)</f>
        <v>276</v>
      </c>
    </row>
    <row r="278">
      <c r="A278" s="3" t="str">
        <f>IFERROR(__xludf.DUMMYFUNCTION("""COMPUTED_VALUE"""),"Yes")</f>
        <v>Yes</v>
      </c>
      <c r="B278" s="3"/>
      <c r="C278" s="3" t="str">
        <f>IFERROR(__xludf.DUMMYFUNCTION("""COMPUTED_VALUE"""),"lesotho")</f>
        <v>lesotho</v>
      </c>
      <c r="D278" s="3"/>
      <c r="E278" s="3" t="str">
        <f>IFERROR(__xludf.DUMMYFUNCTION("""COMPUTED_VALUE"""),"lesotho")</f>
        <v>lesotho</v>
      </c>
      <c r="F278" s="3"/>
      <c r="G278" s="3">
        <f>IFERROR(__xludf.DUMMYFUNCTION("""COMPUTED_VALUE"""),20.0)</f>
        <v>20</v>
      </c>
      <c r="H278" s="3" t="str">
        <f>IFERROR(__xludf.DUMMYFUNCTION("""COMPUTED_VALUE"""),"male")</f>
        <v>male</v>
      </c>
      <c r="I278" s="3"/>
      <c r="J278" s="3" t="str">
        <f>IFERROR(__xludf.DUMMYFUNCTION("""COMPUTED_VALUE"""),"informal")</f>
        <v>informal</v>
      </c>
      <c r="K278" s="3" t="str">
        <f>IFERROR(__xludf.DUMMYFUNCTION("""COMPUTED_VALUE"""),"secondary")</f>
        <v>secondary</v>
      </c>
      <c r="L278" s="3"/>
      <c r="M278" s="3" t="str">
        <f>IFERROR(__xludf.DUMMYFUNCTION("""COMPUTED_VALUE"""),"agree")</f>
        <v>agree</v>
      </c>
      <c r="N278" s="3" t="str">
        <f>IFERROR(__xludf.DUMMYFUNCTION("""COMPUTED_VALUE"""),"agree")</f>
        <v>agree</v>
      </c>
      <c r="O278" s="3" t="str">
        <f>IFERROR(__xludf.DUMMYFUNCTION("""COMPUTED_VALUE"""),"disagree")</f>
        <v>disagree</v>
      </c>
      <c r="P278" s="3"/>
      <c r="Q278" s="3" t="str">
        <f>IFERROR(__xludf.DUMMYFUNCTION("""COMPUTED_VALUE"""),"disagree")</f>
        <v>disagree</v>
      </c>
      <c r="R278" s="3" t="str">
        <f>IFERROR(__xludf.DUMMYFUNCTION("""COMPUTED_VALUE"""),"agree")</f>
        <v>agree</v>
      </c>
      <c r="S278" s="3" t="str">
        <f>IFERROR(__xludf.DUMMYFUNCTION("""COMPUTED_VALUE"""),"disagree")</f>
        <v>disagree</v>
      </c>
      <c r="T278" s="3" t="str">
        <f>IFERROR(__xludf.DUMMYFUNCTION("""COMPUTED_VALUE"""),"disagree")</f>
        <v>disagree</v>
      </c>
      <c r="U278" s="3" t="str">
        <f>IFERROR(__xludf.DUMMYFUNCTION("""COMPUTED_VALUE"""),"dontknow")</f>
        <v>dontknow</v>
      </c>
      <c r="V278" s="3" t="str">
        <f>IFERROR(__xludf.DUMMYFUNCTION("""COMPUTED_VALUE"""),"agree")</f>
        <v>agree</v>
      </c>
      <c r="W278" s="3" t="str">
        <f>IFERROR(__xludf.DUMMYFUNCTION("""COMPUTED_VALUE"""),"disagree")</f>
        <v>disagree</v>
      </c>
      <c r="X278" s="3" t="str">
        <f>IFERROR(__xludf.DUMMYFUNCTION("""COMPUTED_VALUE"""),"Gold")</f>
        <v>Gold</v>
      </c>
      <c r="Y278" s="3" t="str">
        <f>IFERROR(__xludf.DUMMYFUNCTION("""COMPUTED_VALUE"""),"card")</f>
        <v>card</v>
      </c>
      <c r="Z278" s="3" t="str">
        <f>IFERROR(__xludf.DUMMYFUNCTION("""COMPUTED_VALUE"""),"once")</f>
        <v>once</v>
      </c>
      <c r="AA278" s="3">
        <f>IFERROR(__xludf.DUMMYFUNCTION("""COMPUTED_VALUE"""),10.0)</f>
        <v>10</v>
      </c>
      <c r="AB278" s="3" t="str">
        <f>IFERROR(__xludf.DUMMYFUNCTION("""COMPUTED_VALUE"""),"assisted")</f>
        <v>assisted</v>
      </c>
      <c r="AC278" s="3" t="str">
        <f>IFERROR(__xludf.DUMMYFUNCTION("""COMPUTED_VALUE"""),"I am not an employer")</f>
        <v>I am not an employer</v>
      </c>
      <c r="AD278" s="3"/>
      <c r="AE278" s="3"/>
      <c r="AF278" s="3" t="str">
        <f>IFERROR(__xludf.DUMMYFUNCTION("""COMPUTED_VALUE"""),"Yes")</f>
        <v>Yes</v>
      </c>
      <c r="AG278" s="3" t="str">
        <f>IFERROR(__xludf.DUMMYFUNCTION("""COMPUTED_VALUE"""),"No")</f>
        <v>No</v>
      </c>
      <c r="AH278" s="3"/>
      <c r="AI278" s="3">
        <f>IFERROR(__xludf.DUMMYFUNCTION("""COMPUTED_VALUE"""),1.0)</f>
        <v>1</v>
      </c>
      <c r="AJ278" s="3">
        <f>IFERROR(__xludf.DUMMYFUNCTION("""COMPUTED_VALUE"""),1.0)</f>
        <v>1</v>
      </c>
      <c r="AK278" s="3">
        <f>IFERROR(__xludf.DUMMYFUNCTION("""COMPUTED_VALUE"""),1.0)</f>
        <v>1</v>
      </c>
      <c r="AL278" s="3">
        <f>IFERROR(__xludf.DUMMYFUNCTION("""COMPUTED_VALUE"""),1.0)</f>
        <v>1</v>
      </c>
      <c r="AM278" s="3"/>
      <c r="AN278" s="3"/>
      <c r="AO278" s="3"/>
      <c r="AP278" s="3">
        <f>IFERROR(__xludf.DUMMYFUNCTION("""COMPUTED_VALUE"""),4.9044811E8)</f>
        <v>490448110</v>
      </c>
      <c r="AQ278" s="3" t="str">
        <f>IFERROR(__xludf.DUMMYFUNCTION("""COMPUTED_VALUE"""),"80af85bb-14b4-4bda-8124-92dd9b8dba83")</f>
        <v>80af85bb-14b4-4bda-8124-92dd9b8dba83</v>
      </c>
      <c r="AR278" s="3">
        <f>IFERROR(__xludf.DUMMYFUNCTION("""COMPUTED_VALUE"""),45809.52318287037)</f>
        <v>45809.52318</v>
      </c>
      <c r="AS278" s="3"/>
      <c r="AT278" s="3"/>
      <c r="AU278" s="3" t="str">
        <f>IFERROR(__xludf.DUMMYFUNCTION("""COMPUTED_VALUE"""),"submitted_via_web")</f>
        <v>submitted_via_web</v>
      </c>
      <c r="AV278" s="3"/>
      <c r="AW278" s="3" t="str">
        <f>IFERROR(__xludf.DUMMYFUNCTION("""COMPUTED_VALUE"""),"vckVTgNzM4XXtKAKNnsHpB")</f>
        <v>vckVTgNzM4XXtKAKNnsHpB</v>
      </c>
      <c r="AX278" s="3"/>
      <c r="AY278" s="3">
        <f>IFERROR(__xludf.DUMMYFUNCTION("""COMPUTED_VALUE"""),277.0)</f>
        <v>277</v>
      </c>
    </row>
    <row r="279">
      <c r="A279" s="3" t="str">
        <f>IFERROR(__xludf.DUMMYFUNCTION("""COMPUTED_VALUE"""),"Yes")</f>
        <v>Yes</v>
      </c>
      <c r="B279" s="3"/>
      <c r="C279" s="3" t="str">
        <f>IFERROR(__xludf.DUMMYFUNCTION("""COMPUTED_VALUE"""),"lesotho")</f>
        <v>lesotho</v>
      </c>
      <c r="D279" s="3"/>
      <c r="E279" s="3" t="str">
        <f>IFERROR(__xludf.DUMMYFUNCTION("""COMPUTED_VALUE"""),"south_africa")</f>
        <v>south_africa</v>
      </c>
      <c r="F279" s="3"/>
      <c r="G279" s="3">
        <f>IFERROR(__xludf.DUMMYFUNCTION("""COMPUTED_VALUE"""),25.0)</f>
        <v>25</v>
      </c>
      <c r="H279" s="3" t="str">
        <f>IFERROR(__xludf.DUMMYFUNCTION("""COMPUTED_VALUE"""),"male")</f>
        <v>male</v>
      </c>
      <c r="I279" s="3"/>
      <c r="J279" s="3" t="str">
        <f>IFERROR(__xludf.DUMMYFUNCTION("""COMPUTED_VALUE"""),"unemployed")</f>
        <v>unemployed</v>
      </c>
      <c r="K279" s="3" t="str">
        <f>IFERROR(__xludf.DUMMYFUNCTION("""COMPUTED_VALUE"""),"tertiary")</f>
        <v>tertiary</v>
      </c>
      <c r="L279" s="3"/>
      <c r="M279" s="3" t="str">
        <f>IFERROR(__xludf.DUMMYFUNCTION("""COMPUTED_VALUE"""),"agree")</f>
        <v>agree</v>
      </c>
      <c r="N279" s="3" t="str">
        <f>IFERROR(__xludf.DUMMYFUNCTION("""COMPUTED_VALUE"""),"agree")</f>
        <v>agree</v>
      </c>
      <c r="O279" s="3" t="str">
        <f>IFERROR(__xludf.DUMMYFUNCTION("""COMPUTED_VALUE"""),"agree")</f>
        <v>agree</v>
      </c>
      <c r="P279" s="3"/>
      <c r="Q279" s="3" t="str">
        <f>IFERROR(__xludf.DUMMYFUNCTION("""COMPUTED_VALUE"""),"agree")</f>
        <v>agree</v>
      </c>
      <c r="R279" s="3" t="str">
        <f>IFERROR(__xludf.DUMMYFUNCTION("""COMPUTED_VALUE"""),"agree")</f>
        <v>agree</v>
      </c>
      <c r="S279" s="3" t="str">
        <f>IFERROR(__xludf.DUMMYFUNCTION("""COMPUTED_VALUE"""),"agree")</f>
        <v>agree</v>
      </c>
      <c r="T279" s="3" t="str">
        <f>IFERROR(__xludf.DUMMYFUNCTION("""COMPUTED_VALUE"""),"agree")</f>
        <v>agree</v>
      </c>
      <c r="U279" s="3" t="str">
        <f>IFERROR(__xludf.DUMMYFUNCTION("""COMPUTED_VALUE"""),"agree")</f>
        <v>agree</v>
      </c>
      <c r="V279" s="3" t="str">
        <f>IFERROR(__xludf.DUMMYFUNCTION("""COMPUTED_VALUE"""),"agree")</f>
        <v>agree</v>
      </c>
      <c r="W279" s="3" t="str">
        <f>IFERROR(__xludf.DUMMYFUNCTION("""COMPUTED_VALUE"""),"agree")</f>
        <v>agree</v>
      </c>
      <c r="X279" s="3" t="str">
        <f>IFERROR(__xludf.DUMMYFUNCTION("""COMPUTED_VALUE"""),"Gold")</f>
        <v>Gold</v>
      </c>
      <c r="Y279" s="3" t="str">
        <f>IFERROR(__xludf.DUMMYFUNCTION("""COMPUTED_VALUE"""),"insurance")</f>
        <v>insurance</v>
      </c>
      <c r="Z279" s="3" t="str">
        <f>IFERROR(__xludf.DUMMYFUNCTION("""COMPUTED_VALUE"""),"monthly")</f>
        <v>monthly</v>
      </c>
      <c r="AA279" s="3">
        <f>IFERROR(__xludf.DUMMYFUNCTION("""COMPUTED_VALUE"""),10.0)</f>
        <v>10</v>
      </c>
      <c r="AB279" s="3" t="str">
        <f>IFERROR(__xludf.DUMMYFUNCTION("""COMPUTED_VALUE"""),"assisted")</f>
        <v>assisted</v>
      </c>
      <c r="AC279" s="3" t="str">
        <f>IFERROR(__xludf.DUMMYFUNCTION("""COMPUTED_VALUE"""),"Yes")</f>
        <v>Yes</v>
      </c>
      <c r="AD279" s="3" t="str">
        <f>IFERROR(__xludf.DUMMYFUNCTION("""COMPUTED_VALUE"""),"Gold")</f>
        <v>Gold</v>
      </c>
      <c r="AE279" s="3" t="str">
        <f>IFERROR(__xludf.DUMMYFUNCTION("""COMPUTED_VALUE"""),"Yes")</f>
        <v>Yes</v>
      </c>
      <c r="AF279" s="3" t="str">
        <f>IFERROR(__xludf.DUMMYFUNCTION("""COMPUTED_VALUE"""),"Yes")</f>
        <v>Yes</v>
      </c>
      <c r="AG279" s="3" t="str">
        <f>IFERROR(__xludf.DUMMYFUNCTION("""COMPUTED_VALUE"""),"No")</f>
        <v>No</v>
      </c>
      <c r="AH279" s="3"/>
      <c r="AI279" s="3">
        <f>IFERROR(__xludf.DUMMYFUNCTION("""COMPUTED_VALUE"""),1.0)</f>
        <v>1</v>
      </c>
      <c r="AJ279" s="3">
        <f>IFERROR(__xludf.DUMMYFUNCTION("""COMPUTED_VALUE"""),0.0)</f>
        <v>0</v>
      </c>
      <c r="AK279" s="3">
        <f>IFERROR(__xludf.DUMMYFUNCTION("""COMPUTED_VALUE"""),0.0)</f>
        <v>0</v>
      </c>
      <c r="AL279" s="3">
        <f>IFERROR(__xludf.DUMMYFUNCTION("""COMPUTED_VALUE"""),0.0)</f>
        <v>0</v>
      </c>
      <c r="AM279" s="3" t="str">
        <f>IFERROR(__xludf.DUMMYFUNCTION("""COMPUTED_VALUE"""),"Yes")</f>
        <v>Yes</v>
      </c>
      <c r="AN279" s="3">
        <f>IFERROR(__xludf.DUMMYFUNCTION("""COMPUTED_VALUE"""),6.32773846E8)</f>
        <v>632773846</v>
      </c>
      <c r="AO279" s="3"/>
      <c r="AP279" s="3">
        <f>IFERROR(__xludf.DUMMYFUNCTION("""COMPUTED_VALUE"""),4.90506285E8)</f>
        <v>490506285</v>
      </c>
      <c r="AQ279" s="3" t="str">
        <f>IFERROR(__xludf.DUMMYFUNCTION("""COMPUTED_VALUE"""),"461eccc9-45b9-44eb-8de9-47300cac018b")</f>
        <v>461eccc9-45b9-44eb-8de9-47300cac018b</v>
      </c>
      <c r="AR279" s="3">
        <f>IFERROR(__xludf.DUMMYFUNCTION("""COMPUTED_VALUE"""),45809.63078703704)</f>
        <v>45809.63079</v>
      </c>
      <c r="AS279" s="3"/>
      <c r="AT279" s="3"/>
      <c r="AU279" s="3" t="str">
        <f>IFERROR(__xludf.DUMMYFUNCTION("""COMPUTED_VALUE"""),"submitted_via_web")</f>
        <v>submitted_via_web</v>
      </c>
      <c r="AV279" s="3"/>
      <c r="AW279" s="3" t="str">
        <f>IFERROR(__xludf.DUMMYFUNCTION("""COMPUTED_VALUE"""),"vckVTgNzM4XXtKAKNnsHpB")</f>
        <v>vckVTgNzM4XXtKAKNnsHpB</v>
      </c>
      <c r="AX279" s="3"/>
      <c r="AY279" s="3">
        <f>IFERROR(__xludf.DUMMYFUNCTION("""COMPUTED_VALUE"""),278.0)</f>
        <v>278</v>
      </c>
    </row>
    <row r="280">
      <c r="A280" s="3" t="str">
        <f>IFERROR(__xludf.DUMMYFUNCTION("""COMPUTED_VALUE"""),"Yes")</f>
        <v>Yes</v>
      </c>
      <c r="B280" s="3"/>
      <c r="C280" s="3" t="str">
        <f>IFERROR(__xludf.DUMMYFUNCTION("""COMPUTED_VALUE"""),"mozambique")</f>
        <v>mozambique</v>
      </c>
      <c r="D280" s="3"/>
      <c r="E280" s="3" t="str">
        <f>IFERROR(__xludf.DUMMYFUNCTION("""COMPUTED_VALUE"""),"south_africa")</f>
        <v>south_africa</v>
      </c>
      <c r="F280" s="3" t="str">
        <f>IFERROR(__xludf.DUMMYFUNCTION("""COMPUTED_VALUE"""),"Capetown")</f>
        <v>Capetown</v>
      </c>
      <c r="G280" s="3">
        <f>IFERROR(__xludf.DUMMYFUNCTION("""COMPUTED_VALUE"""),20.0)</f>
        <v>20</v>
      </c>
      <c r="H280" s="3" t="str">
        <f>IFERROR(__xludf.DUMMYFUNCTION("""COMPUTED_VALUE"""),"male")</f>
        <v>male</v>
      </c>
      <c r="I280" s="3" t="str">
        <f>IFERROR(__xludf.DUMMYFUNCTION("""COMPUTED_VALUE"""),"1to5")</f>
        <v>1to5</v>
      </c>
      <c r="J280" s="3" t="str">
        <f>IFERROR(__xludf.DUMMYFUNCTION("""COMPUTED_VALUE"""),"ownbusiness")</f>
        <v>ownbusiness</v>
      </c>
      <c r="K280" s="3" t="str">
        <f>IFERROR(__xludf.DUMMYFUNCTION("""COMPUTED_VALUE"""),"primary")</f>
        <v>primary</v>
      </c>
      <c r="L280" s="3"/>
      <c r="M280" s="3" t="str">
        <f>IFERROR(__xludf.DUMMYFUNCTION("""COMPUTED_VALUE"""),"agree")</f>
        <v>agree</v>
      </c>
      <c r="N280" s="3" t="str">
        <f>IFERROR(__xludf.DUMMYFUNCTION("""COMPUTED_VALUE"""),"agree")</f>
        <v>agree</v>
      </c>
      <c r="O280" s="3" t="str">
        <f>IFERROR(__xludf.DUMMYFUNCTION("""COMPUTED_VALUE"""),"agree")</f>
        <v>agree</v>
      </c>
      <c r="P280" s="3"/>
      <c r="Q280" s="3" t="str">
        <f>IFERROR(__xludf.DUMMYFUNCTION("""COMPUTED_VALUE"""),"agree")</f>
        <v>agree</v>
      </c>
      <c r="R280" s="3" t="str">
        <f>IFERROR(__xludf.DUMMYFUNCTION("""COMPUTED_VALUE"""),"agree")</f>
        <v>agree</v>
      </c>
      <c r="S280" s="3" t="str">
        <f>IFERROR(__xludf.DUMMYFUNCTION("""COMPUTED_VALUE"""),"agree")</f>
        <v>agree</v>
      </c>
      <c r="T280" s="3" t="str">
        <f>IFERROR(__xludf.DUMMYFUNCTION("""COMPUTED_VALUE"""),"agree")</f>
        <v>agree</v>
      </c>
      <c r="U280" s="3" t="str">
        <f>IFERROR(__xludf.DUMMYFUNCTION("""COMPUTED_VALUE"""),"agree")</f>
        <v>agree</v>
      </c>
      <c r="V280" s="3" t="str">
        <f>IFERROR(__xludf.DUMMYFUNCTION("""COMPUTED_VALUE"""),"agree")</f>
        <v>agree</v>
      </c>
      <c r="W280" s="3" t="str">
        <f>IFERROR(__xludf.DUMMYFUNCTION("""COMPUTED_VALUE"""),"agree")</f>
        <v>agree</v>
      </c>
      <c r="X280" s="3" t="str">
        <f>IFERROR(__xludf.DUMMYFUNCTION("""COMPUTED_VALUE"""),"Silver")</f>
        <v>Silver</v>
      </c>
      <c r="Y280" s="3" t="str">
        <f>IFERROR(__xludf.DUMMYFUNCTION("""COMPUTED_VALUE"""),"card")</f>
        <v>card</v>
      </c>
      <c r="Z280" s="3" t="str">
        <f>IFERROR(__xludf.DUMMYFUNCTION("""COMPUTED_VALUE"""),"monthly")</f>
        <v>monthly</v>
      </c>
      <c r="AA280" s="3">
        <f>IFERROR(__xludf.DUMMYFUNCTION("""COMPUTED_VALUE"""),30.0)</f>
        <v>30</v>
      </c>
      <c r="AB280" s="3" t="str">
        <f>IFERROR(__xludf.DUMMYFUNCTION("""COMPUTED_VALUE"""),"online")</f>
        <v>online</v>
      </c>
      <c r="AC280" s="3" t="str">
        <f>IFERROR(__xludf.DUMMYFUNCTION("""COMPUTED_VALUE"""),"Yes")</f>
        <v>Yes</v>
      </c>
      <c r="AD280" s="3" t="str">
        <f>IFERROR(__xludf.DUMMYFUNCTION("""COMPUTED_VALUE"""),"Silver")</f>
        <v>Silver</v>
      </c>
      <c r="AE280" s="3" t="str">
        <f>IFERROR(__xludf.DUMMYFUNCTION("""COMPUTED_VALUE"""),"Yes")</f>
        <v>Yes</v>
      </c>
      <c r="AF280" s="3" t="str">
        <f>IFERROR(__xludf.DUMMYFUNCTION("""COMPUTED_VALUE"""),"Yes")</f>
        <v>Yes</v>
      </c>
      <c r="AG280" s="3" t="str">
        <f>IFERROR(__xludf.DUMMYFUNCTION("""COMPUTED_VALUE"""),"Yes")</f>
        <v>Yes</v>
      </c>
      <c r="AH280" s="3">
        <f>IFERROR(__xludf.DUMMYFUNCTION("""COMPUTED_VALUE"""),5.0)</f>
        <v>5</v>
      </c>
      <c r="AI280" s="3">
        <f>IFERROR(__xludf.DUMMYFUNCTION("""COMPUTED_VALUE"""),0.0)</f>
        <v>0</v>
      </c>
      <c r="AJ280" s="3">
        <f>IFERROR(__xludf.DUMMYFUNCTION("""COMPUTED_VALUE"""),1.0)</f>
        <v>1</v>
      </c>
      <c r="AK280" s="3">
        <f>IFERROR(__xludf.DUMMYFUNCTION("""COMPUTED_VALUE"""),0.0)</f>
        <v>0</v>
      </c>
      <c r="AL280" s="3">
        <f>IFERROR(__xludf.DUMMYFUNCTION("""COMPUTED_VALUE"""),0.0)</f>
        <v>0</v>
      </c>
      <c r="AM280" s="3" t="str">
        <f>IFERROR(__xludf.DUMMYFUNCTION("""COMPUTED_VALUE"""),"Yes")</f>
        <v>Yes</v>
      </c>
      <c r="AN280" s="3">
        <f>IFERROR(__xludf.DUMMYFUNCTION("""COMPUTED_VALUE"""),6.5515584E8)</f>
        <v>655155840</v>
      </c>
      <c r="AO280" s="3"/>
      <c r="AP280" s="3">
        <f>IFERROR(__xludf.DUMMYFUNCTION("""COMPUTED_VALUE"""),4.90507921E8)</f>
        <v>490507921</v>
      </c>
      <c r="AQ280" s="3" t="str">
        <f>IFERROR(__xludf.DUMMYFUNCTION("""COMPUTED_VALUE"""),"4cbe43a5-6894-41a6-8119-1008310e5c1c")</f>
        <v>4cbe43a5-6894-41a6-8119-1008310e5c1c</v>
      </c>
      <c r="AR280" s="3">
        <f>IFERROR(__xludf.DUMMYFUNCTION("""COMPUTED_VALUE"""),45809.633368055554)</f>
        <v>45809.63337</v>
      </c>
      <c r="AS280" s="3"/>
      <c r="AT280" s="3"/>
      <c r="AU280" s="3" t="str">
        <f>IFERROR(__xludf.DUMMYFUNCTION("""COMPUTED_VALUE"""),"submitted_via_web")</f>
        <v>submitted_via_web</v>
      </c>
      <c r="AV280" s="3"/>
      <c r="AW280" s="3" t="str">
        <f>IFERROR(__xludf.DUMMYFUNCTION("""COMPUTED_VALUE"""),"vckVTgNzM4XXtKAKNnsHpB")</f>
        <v>vckVTgNzM4XXtKAKNnsHpB</v>
      </c>
      <c r="AX280" s="3"/>
      <c r="AY280" s="3">
        <f>IFERROR(__xludf.DUMMYFUNCTION("""COMPUTED_VALUE"""),279.0)</f>
        <v>279</v>
      </c>
    </row>
    <row r="281">
      <c r="A281" s="3" t="str">
        <f>IFERROR(__xludf.DUMMYFUNCTION("""COMPUTED_VALUE"""),"Yes")</f>
        <v>Yes</v>
      </c>
      <c r="B281" s="3"/>
      <c r="C281" s="3" t="str">
        <f>IFERROR(__xludf.DUMMYFUNCTION("""COMPUTED_VALUE"""),"mozambique")</f>
        <v>mozambique</v>
      </c>
      <c r="D281" s="3"/>
      <c r="E281" s="3" t="str">
        <f>IFERROR(__xludf.DUMMYFUNCTION("""COMPUTED_VALUE"""),"south_africa")</f>
        <v>south_africa</v>
      </c>
      <c r="F281" s="3" t="str">
        <f>IFERROR(__xludf.DUMMYFUNCTION("""COMPUTED_VALUE"""),"Chris Hani District")</f>
        <v>Chris Hani District</v>
      </c>
      <c r="G281" s="3">
        <f>IFERROR(__xludf.DUMMYFUNCTION("""COMPUTED_VALUE"""),22.0)</f>
        <v>22</v>
      </c>
      <c r="H281" s="3" t="str">
        <f>IFERROR(__xludf.DUMMYFUNCTION("""COMPUTED_VALUE"""),"female")</f>
        <v>female</v>
      </c>
      <c r="I281" s="3" t="str">
        <f>IFERROR(__xludf.DUMMYFUNCTION("""COMPUTED_VALUE"""),"6to12")</f>
        <v>6to12</v>
      </c>
      <c r="J281" s="3" t="str">
        <f>IFERROR(__xludf.DUMMYFUNCTION("""COMPUTED_VALUE"""),"informal")</f>
        <v>informal</v>
      </c>
      <c r="K281" s="3" t="str">
        <f>IFERROR(__xludf.DUMMYFUNCTION("""COMPUTED_VALUE"""),"secondary")</f>
        <v>secondary</v>
      </c>
      <c r="L281" s="3"/>
      <c r="M281" s="3" t="str">
        <f>IFERROR(__xludf.DUMMYFUNCTION("""COMPUTED_VALUE"""),"agree")</f>
        <v>agree</v>
      </c>
      <c r="N281" s="3" t="str">
        <f>IFERROR(__xludf.DUMMYFUNCTION("""COMPUTED_VALUE"""),"agree")</f>
        <v>agree</v>
      </c>
      <c r="O281" s="3" t="str">
        <f>IFERROR(__xludf.DUMMYFUNCTION("""COMPUTED_VALUE"""),"agree")</f>
        <v>agree</v>
      </c>
      <c r="P281" s="3"/>
      <c r="Q281" s="3" t="str">
        <f>IFERROR(__xludf.DUMMYFUNCTION("""COMPUTED_VALUE"""),"agree")</f>
        <v>agree</v>
      </c>
      <c r="R281" s="3" t="str">
        <f>IFERROR(__xludf.DUMMYFUNCTION("""COMPUTED_VALUE"""),"agree")</f>
        <v>agree</v>
      </c>
      <c r="S281" s="3" t="str">
        <f>IFERROR(__xludf.DUMMYFUNCTION("""COMPUTED_VALUE"""),"agree")</f>
        <v>agree</v>
      </c>
      <c r="T281" s="3" t="str">
        <f>IFERROR(__xludf.DUMMYFUNCTION("""COMPUTED_VALUE"""),"agree")</f>
        <v>agree</v>
      </c>
      <c r="U281" s="3" t="str">
        <f>IFERROR(__xludf.DUMMYFUNCTION("""COMPUTED_VALUE"""),"agree")</f>
        <v>agree</v>
      </c>
      <c r="V281" s="3" t="str">
        <f>IFERROR(__xludf.DUMMYFUNCTION("""COMPUTED_VALUE"""),"agree")</f>
        <v>agree</v>
      </c>
      <c r="W281" s="3" t="str">
        <f>IFERROR(__xludf.DUMMYFUNCTION("""COMPUTED_VALUE"""),"agree")</f>
        <v>agree</v>
      </c>
      <c r="X281" s="3" t="str">
        <f>IFERROR(__xludf.DUMMYFUNCTION("""COMPUTED_VALUE"""),"Gold")</f>
        <v>Gold</v>
      </c>
      <c r="Y281" s="3" t="str">
        <f>IFERROR(__xludf.DUMMYFUNCTION("""COMPUTED_VALUE"""),"cash")</f>
        <v>cash</v>
      </c>
      <c r="Z281" s="3" t="str">
        <f>IFERROR(__xludf.DUMMYFUNCTION("""COMPUTED_VALUE"""),"quarterly")</f>
        <v>quarterly</v>
      </c>
      <c r="AA281" s="3">
        <f>IFERROR(__xludf.DUMMYFUNCTION("""COMPUTED_VALUE"""),50.0)</f>
        <v>50</v>
      </c>
      <c r="AB281" s="3" t="str">
        <f>IFERROR(__xludf.DUMMYFUNCTION("""COMPUTED_VALUE"""),"assisted")</f>
        <v>assisted</v>
      </c>
      <c r="AC281" s="3" t="str">
        <f>IFERROR(__xludf.DUMMYFUNCTION("""COMPUTED_VALUE"""),"Yes")</f>
        <v>Yes</v>
      </c>
      <c r="AD281" s="3" t="str">
        <f>IFERROR(__xludf.DUMMYFUNCTION("""COMPUTED_VALUE"""),"Silver")</f>
        <v>Silver</v>
      </c>
      <c r="AE281" s="3" t="str">
        <f>IFERROR(__xludf.DUMMYFUNCTION("""COMPUTED_VALUE"""),"Yes")</f>
        <v>Yes</v>
      </c>
      <c r="AF281" s="3" t="str">
        <f>IFERROR(__xludf.DUMMYFUNCTION("""COMPUTED_VALUE"""),"Yes")</f>
        <v>Yes</v>
      </c>
      <c r="AG281" s="3" t="str">
        <f>IFERROR(__xludf.DUMMYFUNCTION("""COMPUTED_VALUE"""),"Yes")</f>
        <v>Yes</v>
      </c>
      <c r="AH281" s="3">
        <f>IFERROR(__xludf.DUMMYFUNCTION("""COMPUTED_VALUE"""),3.0)</f>
        <v>3</v>
      </c>
      <c r="AI281" s="3">
        <f>IFERROR(__xludf.DUMMYFUNCTION("""COMPUTED_VALUE"""),1.0)</f>
        <v>1</v>
      </c>
      <c r="AJ281" s="3">
        <f>IFERROR(__xludf.DUMMYFUNCTION("""COMPUTED_VALUE"""),0.0)</f>
        <v>0</v>
      </c>
      <c r="AK281" s="3">
        <f>IFERROR(__xludf.DUMMYFUNCTION("""COMPUTED_VALUE"""),0.0)</f>
        <v>0</v>
      </c>
      <c r="AL281" s="3">
        <f>IFERROR(__xludf.DUMMYFUNCTION("""COMPUTED_VALUE"""),0.0)</f>
        <v>0</v>
      </c>
      <c r="AM281" s="3" t="str">
        <f>IFERROR(__xludf.DUMMYFUNCTION("""COMPUTED_VALUE"""),"Yes")</f>
        <v>Yes</v>
      </c>
      <c r="AN281" s="3">
        <f>IFERROR(__xludf.DUMMYFUNCTION("""COMPUTED_VALUE"""),6.311026E8)</f>
        <v>631102600</v>
      </c>
      <c r="AO281" s="3"/>
      <c r="AP281" s="3">
        <f>IFERROR(__xludf.DUMMYFUNCTION("""COMPUTED_VALUE"""),4.90509604E8)</f>
        <v>490509604</v>
      </c>
      <c r="AQ281" s="3" t="str">
        <f>IFERROR(__xludf.DUMMYFUNCTION("""COMPUTED_VALUE"""),"74a3153c-eb0e-45f2-ad19-f24cac0b97cc")</f>
        <v>74a3153c-eb0e-45f2-ad19-f24cac0b97cc</v>
      </c>
      <c r="AR281" s="3">
        <f>IFERROR(__xludf.DUMMYFUNCTION("""COMPUTED_VALUE"""),45809.636712962965)</f>
        <v>45809.63671</v>
      </c>
      <c r="AS281" s="3"/>
      <c r="AT281" s="3"/>
      <c r="AU281" s="3" t="str">
        <f>IFERROR(__xludf.DUMMYFUNCTION("""COMPUTED_VALUE"""),"submitted_via_web")</f>
        <v>submitted_via_web</v>
      </c>
      <c r="AV281" s="3"/>
      <c r="AW281" s="3" t="str">
        <f>IFERROR(__xludf.DUMMYFUNCTION("""COMPUTED_VALUE"""),"vckVTgNzM4XXtKAKNnsHpB")</f>
        <v>vckVTgNzM4XXtKAKNnsHpB</v>
      </c>
      <c r="AX281" s="3"/>
      <c r="AY281" s="3">
        <f>IFERROR(__xludf.DUMMYFUNCTION("""COMPUTED_VALUE"""),280.0)</f>
        <v>280</v>
      </c>
    </row>
    <row r="282">
      <c r="A282" s="3" t="str">
        <f>IFERROR(__xludf.DUMMYFUNCTION("""COMPUTED_VALUE"""),"Yes")</f>
        <v>Yes</v>
      </c>
      <c r="B282" s="3"/>
      <c r="C282" s="3" t="str">
        <f>IFERROR(__xludf.DUMMYFUNCTION("""COMPUTED_VALUE"""),"mozambique")</f>
        <v>mozambique</v>
      </c>
      <c r="D282" s="3"/>
      <c r="E282" s="3" t="str">
        <f>IFERROR(__xludf.DUMMYFUNCTION("""COMPUTED_VALUE"""),"south_africa")</f>
        <v>south_africa</v>
      </c>
      <c r="F282" s="3" t="str">
        <f>IFERROR(__xludf.DUMMYFUNCTION("""COMPUTED_VALUE"""),"Chris Hani District")</f>
        <v>Chris Hani District</v>
      </c>
      <c r="G282" s="3">
        <f>IFERROR(__xludf.DUMMYFUNCTION("""COMPUTED_VALUE"""),25.0)</f>
        <v>25</v>
      </c>
      <c r="H282" s="3" t="str">
        <f>IFERROR(__xludf.DUMMYFUNCTION("""COMPUTED_VALUE"""),"male")</f>
        <v>male</v>
      </c>
      <c r="I282" s="3" t="str">
        <f>IFERROR(__xludf.DUMMYFUNCTION("""COMPUTED_VALUE"""),"less6")</f>
        <v>less6</v>
      </c>
      <c r="J282" s="3" t="str">
        <f>IFERROR(__xludf.DUMMYFUNCTION("""COMPUTED_VALUE"""),"formal")</f>
        <v>formal</v>
      </c>
      <c r="K282" s="3" t="str">
        <f>IFERROR(__xludf.DUMMYFUNCTION("""COMPUTED_VALUE"""),"none")</f>
        <v>none</v>
      </c>
      <c r="L282" s="3"/>
      <c r="M282" s="3" t="str">
        <f>IFERROR(__xludf.DUMMYFUNCTION("""COMPUTED_VALUE"""),"dontknow")</f>
        <v>dontknow</v>
      </c>
      <c r="N282" s="3" t="str">
        <f>IFERROR(__xludf.DUMMYFUNCTION("""COMPUTED_VALUE"""),"agree")</f>
        <v>agree</v>
      </c>
      <c r="O282" s="3" t="str">
        <f>IFERROR(__xludf.DUMMYFUNCTION("""COMPUTED_VALUE"""),"agree")</f>
        <v>agree</v>
      </c>
      <c r="P282" s="3"/>
      <c r="Q282" s="3" t="str">
        <f>IFERROR(__xludf.DUMMYFUNCTION("""COMPUTED_VALUE"""),"agree")</f>
        <v>agree</v>
      </c>
      <c r="R282" s="3" t="str">
        <f>IFERROR(__xludf.DUMMYFUNCTION("""COMPUTED_VALUE"""),"agree")</f>
        <v>agree</v>
      </c>
      <c r="S282" s="3" t="str">
        <f>IFERROR(__xludf.DUMMYFUNCTION("""COMPUTED_VALUE"""),"agree")</f>
        <v>agree</v>
      </c>
      <c r="T282" s="3" t="str">
        <f>IFERROR(__xludf.DUMMYFUNCTION("""COMPUTED_VALUE"""),"agree")</f>
        <v>agree</v>
      </c>
      <c r="U282" s="3" t="str">
        <f>IFERROR(__xludf.DUMMYFUNCTION("""COMPUTED_VALUE"""),"agree")</f>
        <v>agree</v>
      </c>
      <c r="V282" s="3" t="str">
        <f>IFERROR(__xludf.DUMMYFUNCTION("""COMPUTED_VALUE"""),"agree")</f>
        <v>agree</v>
      </c>
      <c r="W282" s="3" t="str">
        <f>IFERROR(__xludf.DUMMYFUNCTION("""COMPUTED_VALUE"""),"agree")</f>
        <v>agree</v>
      </c>
      <c r="X282" s="3" t="str">
        <f>IFERROR(__xludf.DUMMYFUNCTION("""COMPUTED_VALUE"""),"Platinum")</f>
        <v>Platinum</v>
      </c>
      <c r="Y282" s="3" t="str">
        <f>IFERROR(__xludf.DUMMYFUNCTION("""COMPUTED_VALUE"""),"card")</f>
        <v>card</v>
      </c>
      <c r="Z282" s="3" t="str">
        <f>IFERROR(__xludf.DUMMYFUNCTION("""COMPUTED_VALUE"""),"biannual")</f>
        <v>biannual</v>
      </c>
      <c r="AA282" s="3">
        <f>IFERROR(__xludf.DUMMYFUNCTION("""COMPUTED_VALUE"""),20.0)</f>
        <v>20</v>
      </c>
      <c r="AB282" s="3" t="str">
        <f>IFERROR(__xludf.DUMMYFUNCTION("""COMPUTED_VALUE"""),"assisted")</f>
        <v>assisted</v>
      </c>
      <c r="AC282" s="3" t="str">
        <f>IFERROR(__xludf.DUMMYFUNCTION("""COMPUTED_VALUE"""),"Yes")</f>
        <v>Yes</v>
      </c>
      <c r="AD282" s="3" t="str">
        <f>IFERROR(__xludf.DUMMYFUNCTION("""COMPUTED_VALUE"""),"Silver")</f>
        <v>Silver</v>
      </c>
      <c r="AE282" s="3" t="str">
        <f>IFERROR(__xludf.DUMMYFUNCTION("""COMPUTED_VALUE"""),"Yes")</f>
        <v>Yes</v>
      </c>
      <c r="AF282" s="3" t="str">
        <f>IFERROR(__xludf.DUMMYFUNCTION("""COMPUTED_VALUE"""),"Yes")</f>
        <v>Yes</v>
      </c>
      <c r="AG282" s="3" t="str">
        <f>IFERROR(__xludf.DUMMYFUNCTION("""COMPUTED_VALUE"""),"Yes")</f>
        <v>Yes</v>
      </c>
      <c r="AH282" s="3">
        <f>IFERROR(__xludf.DUMMYFUNCTION("""COMPUTED_VALUE"""),2.0)</f>
        <v>2</v>
      </c>
      <c r="AI282" s="3">
        <f>IFERROR(__xludf.DUMMYFUNCTION("""COMPUTED_VALUE"""),1.0)</f>
        <v>1</v>
      </c>
      <c r="AJ282" s="3">
        <f>IFERROR(__xludf.DUMMYFUNCTION("""COMPUTED_VALUE"""),0.0)</f>
        <v>0</v>
      </c>
      <c r="AK282" s="3">
        <f>IFERROR(__xludf.DUMMYFUNCTION("""COMPUTED_VALUE"""),0.0)</f>
        <v>0</v>
      </c>
      <c r="AL282" s="3">
        <f>IFERROR(__xludf.DUMMYFUNCTION("""COMPUTED_VALUE"""),0.0)</f>
        <v>0</v>
      </c>
      <c r="AM282" s="3" t="str">
        <f>IFERROR(__xludf.DUMMYFUNCTION("""COMPUTED_VALUE"""),"Yes")</f>
        <v>Yes</v>
      </c>
      <c r="AN282" s="3">
        <f>IFERROR(__xludf.DUMMYFUNCTION("""COMPUTED_VALUE"""),8.15732989E8)</f>
        <v>815732989</v>
      </c>
      <c r="AO282" s="3"/>
      <c r="AP282" s="3">
        <f>IFERROR(__xludf.DUMMYFUNCTION("""COMPUTED_VALUE"""),4.90509749E8)</f>
        <v>490509749</v>
      </c>
      <c r="AQ282" s="3" t="str">
        <f>IFERROR(__xludf.DUMMYFUNCTION("""COMPUTED_VALUE"""),"f18ae555-51aa-451e-88d2-834b66e79603")</f>
        <v>f18ae555-51aa-451e-88d2-834b66e79603</v>
      </c>
      <c r="AR282" s="3">
        <f>IFERROR(__xludf.DUMMYFUNCTION("""COMPUTED_VALUE"""),45809.63701388889)</f>
        <v>45809.63701</v>
      </c>
      <c r="AS282" s="3"/>
      <c r="AT282" s="3"/>
      <c r="AU282" s="3" t="str">
        <f>IFERROR(__xludf.DUMMYFUNCTION("""COMPUTED_VALUE"""),"submitted_via_web")</f>
        <v>submitted_via_web</v>
      </c>
      <c r="AV282" s="3"/>
      <c r="AW282" s="3" t="str">
        <f>IFERROR(__xludf.DUMMYFUNCTION("""COMPUTED_VALUE"""),"vckVTgNzM4XXtKAKNnsHpB")</f>
        <v>vckVTgNzM4XXtKAKNnsHpB</v>
      </c>
      <c r="AX282" s="3"/>
      <c r="AY282" s="3">
        <f>IFERROR(__xludf.DUMMYFUNCTION("""COMPUTED_VALUE"""),281.0)</f>
        <v>281</v>
      </c>
    </row>
    <row r="283">
      <c r="A283" s="3" t="str">
        <f>IFERROR(__xludf.DUMMYFUNCTION("""COMPUTED_VALUE"""),"Yes")</f>
        <v>Yes</v>
      </c>
      <c r="B283" s="3"/>
      <c r="C283" s="3" t="str">
        <f>IFERROR(__xludf.DUMMYFUNCTION("""COMPUTED_VALUE"""),"mozambique")</f>
        <v>mozambique</v>
      </c>
      <c r="D283" s="3"/>
      <c r="E283" s="3" t="str">
        <f>IFERROR(__xludf.DUMMYFUNCTION("""COMPUTED_VALUE"""),"south_africa")</f>
        <v>south_africa</v>
      </c>
      <c r="F283" s="3" t="str">
        <f>IFERROR(__xludf.DUMMYFUNCTION("""COMPUTED_VALUE"""),"Capetown")</f>
        <v>Capetown</v>
      </c>
      <c r="G283" s="3">
        <f>IFERROR(__xludf.DUMMYFUNCTION("""COMPUTED_VALUE"""),23.0)</f>
        <v>23</v>
      </c>
      <c r="H283" s="3" t="str">
        <f>IFERROR(__xludf.DUMMYFUNCTION("""COMPUTED_VALUE"""),"male")</f>
        <v>male</v>
      </c>
      <c r="I283" s="3" t="str">
        <f>IFERROR(__xludf.DUMMYFUNCTION("""COMPUTED_VALUE"""),"over5")</f>
        <v>over5</v>
      </c>
      <c r="J283" s="3" t="str">
        <f>IFERROR(__xludf.DUMMYFUNCTION("""COMPUTED_VALUE"""),"ownbusiness")</f>
        <v>ownbusiness</v>
      </c>
      <c r="K283" s="3" t="str">
        <f>IFERROR(__xludf.DUMMYFUNCTION("""COMPUTED_VALUE"""),"none")</f>
        <v>none</v>
      </c>
      <c r="L283" s="3"/>
      <c r="M283" s="3" t="str">
        <f>IFERROR(__xludf.DUMMYFUNCTION("""COMPUTED_VALUE"""),"agree")</f>
        <v>agree</v>
      </c>
      <c r="N283" s="3" t="str">
        <f>IFERROR(__xludf.DUMMYFUNCTION("""COMPUTED_VALUE"""),"agree")</f>
        <v>agree</v>
      </c>
      <c r="O283" s="3" t="str">
        <f>IFERROR(__xludf.DUMMYFUNCTION("""COMPUTED_VALUE"""),"agree")</f>
        <v>agree</v>
      </c>
      <c r="P283" s="3"/>
      <c r="Q283" s="3" t="str">
        <f>IFERROR(__xludf.DUMMYFUNCTION("""COMPUTED_VALUE"""),"agree")</f>
        <v>agree</v>
      </c>
      <c r="R283" s="3" t="str">
        <f>IFERROR(__xludf.DUMMYFUNCTION("""COMPUTED_VALUE"""),"dontknow")</f>
        <v>dontknow</v>
      </c>
      <c r="S283" s="3"/>
      <c r="T283" s="3" t="str">
        <f>IFERROR(__xludf.DUMMYFUNCTION("""COMPUTED_VALUE"""),"agree")</f>
        <v>agree</v>
      </c>
      <c r="U283" s="3" t="str">
        <f>IFERROR(__xludf.DUMMYFUNCTION("""COMPUTED_VALUE"""),"dontknow")</f>
        <v>dontknow</v>
      </c>
      <c r="V283" s="3" t="str">
        <f>IFERROR(__xludf.DUMMYFUNCTION("""COMPUTED_VALUE"""),"agree")</f>
        <v>agree</v>
      </c>
      <c r="W283" s="3" t="str">
        <f>IFERROR(__xludf.DUMMYFUNCTION("""COMPUTED_VALUE"""),"agree")</f>
        <v>agree</v>
      </c>
      <c r="X283" s="3" t="str">
        <f>IFERROR(__xludf.DUMMYFUNCTION("""COMPUTED_VALUE"""),"Gold")</f>
        <v>Gold</v>
      </c>
      <c r="Y283" s="3" t="str">
        <f>IFERROR(__xludf.DUMMYFUNCTION("""COMPUTED_VALUE"""),"prepaid")</f>
        <v>prepaid</v>
      </c>
      <c r="Z283" s="3" t="str">
        <f>IFERROR(__xludf.DUMMYFUNCTION("""COMPUTED_VALUE"""),"biannual")</f>
        <v>biannual</v>
      </c>
      <c r="AA283" s="3">
        <f>IFERROR(__xludf.DUMMYFUNCTION("""COMPUTED_VALUE"""),10.0)</f>
        <v>10</v>
      </c>
      <c r="AB283" s="3" t="str">
        <f>IFERROR(__xludf.DUMMYFUNCTION("""COMPUTED_VALUE"""),"assisted")</f>
        <v>assisted</v>
      </c>
      <c r="AC283" s="3" t="str">
        <f>IFERROR(__xludf.DUMMYFUNCTION("""COMPUTED_VALUE"""),"Yes")</f>
        <v>Yes</v>
      </c>
      <c r="AD283" s="3" t="str">
        <f>IFERROR(__xludf.DUMMYFUNCTION("""COMPUTED_VALUE"""),"Gold")</f>
        <v>Gold</v>
      </c>
      <c r="AE283" s="3" t="str">
        <f>IFERROR(__xludf.DUMMYFUNCTION("""COMPUTED_VALUE"""),"Yes")</f>
        <v>Yes</v>
      </c>
      <c r="AF283" s="3" t="str">
        <f>IFERROR(__xludf.DUMMYFUNCTION("""COMPUTED_VALUE"""),"Yes")</f>
        <v>Yes</v>
      </c>
      <c r="AG283" s="3" t="str">
        <f>IFERROR(__xludf.DUMMYFUNCTION("""COMPUTED_VALUE"""),"Yes")</f>
        <v>Yes</v>
      </c>
      <c r="AH283" s="3">
        <f>IFERROR(__xludf.DUMMYFUNCTION("""COMPUTED_VALUE"""),6.0)</f>
        <v>6</v>
      </c>
      <c r="AI283" s="3">
        <f>IFERROR(__xludf.DUMMYFUNCTION("""COMPUTED_VALUE"""),0.0)</f>
        <v>0</v>
      </c>
      <c r="AJ283" s="3">
        <f>IFERROR(__xludf.DUMMYFUNCTION("""COMPUTED_VALUE"""),1.0)</f>
        <v>1</v>
      </c>
      <c r="AK283" s="3">
        <f>IFERROR(__xludf.DUMMYFUNCTION("""COMPUTED_VALUE"""),0.0)</f>
        <v>0</v>
      </c>
      <c r="AL283" s="3">
        <f>IFERROR(__xludf.DUMMYFUNCTION("""COMPUTED_VALUE"""),0.0)</f>
        <v>0</v>
      </c>
      <c r="AM283" s="3" t="str">
        <f>IFERROR(__xludf.DUMMYFUNCTION("""COMPUTED_VALUE"""),"Yes")</f>
        <v>Yes</v>
      </c>
      <c r="AN283" s="3">
        <f>IFERROR(__xludf.DUMMYFUNCTION("""COMPUTED_VALUE"""),6.1713361E8)</f>
        <v>617133610</v>
      </c>
      <c r="AO283" s="3"/>
      <c r="AP283" s="3">
        <f>IFERROR(__xludf.DUMMYFUNCTION("""COMPUTED_VALUE"""),4.90511459E8)</f>
        <v>490511459</v>
      </c>
      <c r="AQ283" s="3" t="str">
        <f>IFERROR(__xludf.DUMMYFUNCTION("""COMPUTED_VALUE"""),"053be4e7-3dc4-462c-8ce7-4279c7e30611")</f>
        <v>053be4e7-3dc4-462c-8ce7-4279c7e30611</v>
      </c>
      <c r="AR283" s="3">
        <f>IFERROR(__xludf.DUMMYFUNCTION("""COMPUTED_VALUE"""),45809.63978009259)</f>
        <v>45809.63978</v>
      </c>
      <c r="AS283" s="3"/>
      <c r="AT283" s="3"/>
      <c r="AU283" s="3" t="str">
        <f>IFERROR(__xludf.DUMMYFUNCTION("""COMPUTED_VALUE"""),"submitted_via_web")</f>
        <v>submitted_via_web</v>
      </c>
      <c r="AV283" s="3"/>
      <c r="AW283" s="3" t="str">
        <f>IFERROR(__xludf.DUMMYFUNCTION("""COMPUTED_VALUE"""),"vckVTgNzM4XXtKAKNnsHpB")</f>
        <v>vckVTgNzM4XXtKAKNnsHpB</v>
      </c>
      <c r="AX283" s="3"/>
      <c r="AY283" s="3">
        <f>IFERROR(__xludf.DUMMYFUNCTION("""COMPUTED_VALUE"""),282.0)</f>
        <v>282</v>
      </c>
    </row>
    <row r="284">
      <c r="A284" s="3" t="str">
        <f>IFERROR(__xludf.DUMMYFUNCTION("""COMPUTED_VALUE"""),"Yes")</f>
        <v>Yes</v>
      </c>
      <c r="B284" s="3"/>
      <c r="C284" s="3" t="str">
        <f>IFERROR(__xludf.DUMMYFUNCTION("""COMPUTED_VALUE"""),"mozambique")</f>
        <v>mozambique</v>
      </c>
      <c r="D284" s="3"/>
      <c r="E284" s="3" t="str">
        <f>IFERROR(__xludf.DUMMYFUNCTION("""COMPUTED_VALUE"""),"south_africa")</f>
        <v>south_africa</v>
      </c>
      <c r="F284" s="3" t="str">
        <f>IFERROR(__xludf.DUMMYFUNCTION("""COMPUTED_VALUE"""),"Capetown")</f>
        <v>Capetown</v>
      </c>
      <c r="G284" s="3">
        <f>IFERROR(__xludf.DUMMYFUNCTION("""COMPUTED_VALUE"""),29.0)</f>
        <v>29</v>
      </c>
      <c r="H284" s="3" t="str">
        <f>IFERROR(__xludf.DUMMYFUNCTION("""COMPUTED_VALUE"""),"female")</f>
        <v>female</v>
      </c>
      <c r="I284" s="3" t="str">
        <f>IFERROR(__xludf.DUMMYFUNCTION("""COMPUTED_VALUE"""),"over5")</f>
        <v>over5</v>
      </c>
      <c r="J284" s="3" t="str">
        <f>IFERROR(__xludf.DUMMYFUNCTION("""COMPUTED_VALUE"""),"ownbusiness")</f>
        <v>ownbusiness</v>
      </c>
      <c r="K284" s="3" t="str">
        <f>IFERROR(__xludf.DUMMYFUNCTION("""COMPUTED_VALUE"""),"none")</f>
        <v>none</v>
      </c>
      <c r="L284" s="3"/>
      <c r="M284" s="3" t="str">
        <f>IFERROR(__xludf.DUMMYFUNCTION("""COMPUTED_VALUE"""),"dontknow")</f>
        <v>dontknow</v>
      </c>
      <c r="N284" s="3" t="str">
        <f>IFERROR(__xludf.DUMMYFUNCTION("""COMPUTED_VALUE"""),"agree")</f>
        <v>agree</v>
      </c>
      <c r="O284" s="3" t="str">
        <f>IFERROR(__xludf.DUMMYFUNCTION("""COMPUTED_VALUE"""),"agree")</f>
        <v>agree</v>
      </c>
      <c r="P284" s="3"/>
      <c r="Q284" s="3" t="str">
        <f>IFERROR(__xludf.DUMMYFUNCTION("""COMPUTED_VALUE"""),"dontknow")</f>
        <v>dontknow</v>
      </c>
      <c r="R284" s="3" t="str">
        <f>IFERROR(__xludf.DUMMYFUNCTION("""COMPUTED_VALUE"""),"agree")</f>
        <v>agree</v>
      </c>
      <c r="S284" s="3" t="str">
        <f>IFERROR(__xludf.DUMMYFUNCTION("""COMPUTED_VALUE"""),"agree")</f>
        <v>agree</v>
      </c>
      <c r="T284" s="3" t="str">
        <f>IFERROR(__xludf.DUMMYFUNCTION("""COMPUTED_VALUE"""),"agree")</f>
        <v>agree</v>
      </c>
      <c r="U284" s="3" t="str">
        <f>IFERROR(__xludf.DUMMYFUNCTION("""COMPUTED_VALUE"""),"agree")</f>
        <v>agree</v>
      </c>
      <c r="V284" s="3" t="str">
        <f>IFERROR(__xludf.DUMMYFUNCTION("""COMPUTED_VALUE"""),"agree")</f>
        <v>agree</v>
      </c>
      <c r="W284" s="3" t="str">
        <f>IFERROR(__xludf.DUMMYFUNCTION("""COMPUTED_VALUE"""),"agree")</f>
        <v>agree</v>
      </c>
      <c r="X284" s="3" t="str">
        <f>IFERROR(__xludf.DUMMYFUNCTION("""COMPUTED_VALUE"""),"Silver")</f>
        <v>Silver</v>
      </c>
      <c r="Y284" s="3" t="str">
        <f>IFERROR(__xludf.DUMMYFUNCTION("""COMPUTED_VALUE"""),"cash")</f>
        <v>cash</v>
      </c>
      <c r="Z284" s="3" t="str">
        <f>IFERROR(__xludf.DUMMYFUNCTION("""COMPUTED_VALUE"""),"monthly")</f>
        <v>monthly</v>
      </c>
      <c r="AA284" s="3">
        <f>IFERROR(__xludf.DUMMYFUNCTION("""COMPUTED_VALUE"""),30.0)</f>
        <v>30</v>
      </c>
      <c r="AB284" s="3" t="str">
        <f>IFERROR(__xludf.DUMMYFUNCTION("""COMPUTED_VALUE"""),"online")</f>
        <v>online</v>
      </c>
      <c r="AC284" s="3" t="str">
        <f>IFERROR(__xludf.DUMMYFUNCTION("""COMPUTED_VALUE"""),"Yes")</f>
        <v>Yes</v>
      </c>
      <c r="AD284" s="3" t="str">
        <f>IFERROR(__xludf.DUMMYFUNCTION("""COMPUTED_VALUE"""),"Silver")</f>
        <v>Silver</v>
      </c>
      <c r="AE284" s="3" t="str">
        <f>IFERROR(__xludf.DUMMYFUNCTION("""COMPUTED_VALUE"""),"Yes")</f>
        <v>Yes</v>
      </c>
      <c r="AF284" s="3" t="str">
        <f>IFERROR(__xludf.DUMMYFUNCTION("""COMPUTED_VALUE"""),"Yes")</f>
        <v>Yes</v>
      </c>
      <c r="AG284" s="3" t="str">
        <f>IFERROR(__xludf.DUMMYFUNCTION("""COMPUTED_VALUE"""),"Yes")</f>
        <v>Yes</v>
      </c>
      <c r="AH284" s="3">
        <f>IFERROR(__xludf.DUMMYFUNCTION("""COMPUTED_VALUE"""),4.0)</f>
        <v>4</v>
      </c>
      <c r="AI284" s="3">
        <f>IFERROR(__xludf.DUMMYFUNCTION("""COMPUTED_VALUE"""),0.0)</f>
        <v>0</v>
      </c>
      <c r="AJ284" s="3">
        <f>IFERROR(__xludf.DUMMYFUNCTION("""COMPUTED_VALUE"""),1.0)</f>
        <v>1</v>
      </c>
      <c r="AK284" s="3">
        <f>IFERROR(__xludf.DUMMYFUNCTION("""COMPUTED_VALUE"""),0.0)</f>
        <v>0</v>
      </c>
      <c r="AL284" s="3">
        <f>IFERROR(__xludf.DUMMYFUNCTION("""COMPUTED_VALUE"""),0.0)</f>
        <v>0</v>
      </c>
      <c r="AM284" s="3" t="str">
        <f>IFERROR(__xludf.DUMMYFUNCTION("""COMPUTED_VALUE"""),"Yes")</f>
        <v>Yes</v>
      </c>
      <c r="AN284" s="3">
        <f>IFERROR(__xludf.DUMMYFUNCTION("""COMPUTED_VALUE"""),7.83879656E8)</f>
        <v>783879656</v>
      </c>
      <c r="AO284" s="3"/>
      <c r="AP284" s="3">
        <f>IFERROR(__xludf.DUMMYFUNCTION("""COMPUTED_VALUE"""),4.90511932E8)</f>
        <v>490511932</v>
      </c>
      <c r="AQ284" s="3" t="str">
        <f>IFERROR(__xludf.DUMMYFUNCTION("""COMPUTED_VALUE"""),"021e8571-70ba-491f-a1fe-f31c30639092")</f>
        <v>021e8571-70ba-491f-a1fe-f31c30639092</v>
      </c>
      <c r="AR284" s="3">
        <f>IFERROR(__xludf.DUMMYFUNCTION("""COMPUTED_VALUE"""),45809.640648148146)</f>
        <v>45809.64065</v>
      </c>
      <c r="AS284" s="3"/>
      <c r="AT284" s="3"/>
      <c r="AU284" s="3" t="str">
        <f>IFERROR(__xludf.DUMMYFUNCTION("""COMPUTED_VALUE"""),"submitted_via_web")</f>
        <v>submitted_via_web</v>
      </c>
      <c r="AV284" s="3"/>
      <c r="AW284" s="3" t="str">
        <f>IFERROR(__xludf.DUMMYFUNCTION("""COMPUTED_VALUE"""),"vckVTgNzM4XXtKAKNnsHpB")</f>
        <v>vckVTgNzM4XXtKAKNnsHpB</v>
      </c>
      <c r="AX284" s="3"/>
      <c r="AY284" s="3">
        <f>IFERROR(__xludf.DUMMYFUNCTION("""COMPUTED_VALUE"""),283.0)</f>
        <v>283</v>
      </c>
    </row>
    <row r="285">
      <c r="A285" s="3" t="str">
        <f>IFERROR(__xludf.DUMMYFUNCTION("""COMPUTED_VALUE"""),"Yes")</f>
        <v>Yes</v>
      </c>
      <c r="B285" s="3"/>
      <c r="C285" s="3" t="str">
        <f>IFERROR(__xludf.DUMMYFUNCTION("""COMPUTED_VALUE"""),"mozambique")</f>
        <v>mozambique</v>
      </c>
      <c r="D285" s="3"/>
      <c r="E285" s="3" t="str">
        <f>IFERROR(__xludf.DUMMYFUNCTION("""COMPUTED_VALUE"""),"south_africa")</f>
        <v>south_africa</v>
      </c>
      <c r="F285" s="3" t="str">
        <f>IFERROR(__xludf.DUMMYFUNCTION("""COMPUTED_VALUE"""),"Central Karoo District")</f>
        <v>Central Karoo District</v>
      </c>
      <c r="G285" s="3">
        <f>IFERROR(__xludf.DUMMYFUNCTION("""COMPUTED_VALUE"""),27.0)</f>
        <v>27</v>
      </c>
      <c r="H285" s="3" t="str">
        <f>IFERROR(__xludf.DUMMYFUNCTION("""COMPUTED_VALUE"""),"male")</f>
        <v>male</v>
      </c>
      <c r="I285" s="3" t="str">
        <f>IFERROR(__xludf.DUMMYFUNCTION("""COMPUTED_VALUE"""),"over5")</f>
        <v>over5</v>
      </c>
      <c r="J285" s="3" t="str">
        <f>IFERROR(__xludf.DUMMYFUNCTION("""COMPUTED_VALUE"""),"ownbusiness")</f>
        <v>ownbusiness</v>
      </c>
      <c r="K285" s="3" t="str">
        <f>IFERROR(__xludf.DUMMYFUNCTION("""COMPUTED_VALUE"""),"primary")</f>
        <v>primary</v>
      </c>
      <c r="L285" s="3"/>
      <c r="M285" s="3" t="str">
        <f>IFERROR(__xludf.DUMMYFUNCTION("""COMPUTED_VALUE"""),"agree")</f>
        <v>agree</v>
      </c>
      <c r="N285" s="3" t="str">
        <f>IFERROR(__xludf.DUMMYFUNCTION("""COMPUTED_VALUE"""),"agree")</f>
        <v>agree</v>
      </c>
      <c r="O285" s="3" t="str">
        <f>IFERROR(__xludf.DUMMYFUNCTION("""COMPUTED_VALUE"""),"agree")</f>
        <v>agree</v>
      </c>
      <c r="P285" s="3"/>
      <c r="Q285" s="3" t="str">
        <f>IFERROR(__xludf.DUMMYFUNCTION("""COMPUTED_VALUE"""),"dontknow")</f>
        <v>dontknow</v>
      </c>
      <c r="R285" s="3" t="str">
        <f>IFERROR(__xludf.DUMMYFUNCTION("""COMPUTED_VALUE"""),"agree")</f>
        <v>agree</v>
      </c>
      <c r="S285" s="3" t="str">
        <f>IFERROR(__xludf.DUMMYFUNCTION("""COMPUTED_VALUE"""),"agree")</f>
        <v>agree</v>
      </c>
      <c r="T285" s="3" t="str">
        <f>IFERROR(__xludf.DUMMYFUNCTION("""COMPUTED_VALUE"""),"agree")</f>
        <v>agree</v>
      </c>
      <c r="U285" s="3" t="str">
        <f>IFERROR(__xludf.DUMMYFUNCTION("""COMPUTED_VALUE"""),"agree")</f>
        <v>agree</v>
      </c>
      <c r="V285" s="3" t="str">
        <f>IFERROR(__xludf.DUMMYFUNCTION("""COMPUTED_VALUE"""),"agree")</f>
        <v>agree</v>
      </c>
      <c r="W285" s="3" t="str">
        <f>IFERROR(__xludf.DUMMYFUNCTION("""COMPUTED_VALUE"""),"agree")</f>
        <v>agree</v>
      </c>
      <c r="X285" s="3" t="str">
        <f>IFERROR(__xludf.DUMMYFUNCTION("""COMPUTED_VALUE"""),"Silver")</f>
        <v>Silver</v>
      </c>
      <c r="Y285" s="3" t="str">
        <f>IFERROR(__xludf.DUMMYFUNCTION("""COMPUTED_VALUE"""),"cash")</f>
        <v>cash</v>
      </c>
      <c r="Z285" s="3" t="str">
        <f>IFERROR(__xludf.DUMMYFUNCTION("""COMPUTED_VALUE"""),"monthly")</f>
        <v>monthly</v>
      </c>
      <c r="AA285" s="3">
        <f>IFERROR(__xludf.DUMMYFUNCTION("""COMPUTED_VALUE"""),10.0)</f>
        <v>10</v>
      </c>
      <c r="AB285" s="3" t="str">
        <f>IFERROR(__xludf.DUMMYFUNCTION("""COMPUTED_VALUE"""),"assisted")</f>
        <v>assisted</v>
      </c>
      <c r="AC285" s="3" t="str">
        <f>IFERROR(__xludf.DUMMYFUNCTION("""COMPUTED_VALUE"""),"Yes")</f>
        <v>Yes</v>
      </c>
      <c r="AD285" s="3" t="str">
        <f>IFERROR(__xludf.DUMMYFUNCTION("""COMPUTED_VALUE"""),"Silver")</f>
        <v>Silver</v>
      </c>
      <c r="AE285" s="3" t="str">
        <f>IFERROR(__xludf.DUMMYFUNCTION("""COMPUTED_VALUE"""),"Yes")</f>
        <v>Yes</v>
      </c>
      <c r="AF285" s="3" t="str">
        <f>IFERROR(__xludf.DUMMYFUNCTION("""COMPUTED_VALUE"""),"Yes")</f>
        <v>Yes</v>
      </c>
      <c r="AG285" s="3" t="str">
        <f>IFERROR(__xludf.DUMMYFUNCTION("""COMPUTED_VALUE"""),"Yes")</f>
        <v>Yes</v>
      </c>
      <c r="AH285" s="3">
        <f>IFERROR(__xludf.DUMMYFUNCTION("""COMPUTED_VALUE"""),8.0)</f>
        <v>8</v>
      </c>
      <c r="AI285" s="3">
        <f>IFERROR(__xludf.DUMMYFUNCTION("""COMPUTED_VALUE"""),0.0)</f>
        <v>0</v>
      </c>
      <c r="AJ285" s="3">
        <f>IFERROR(__xludf.DUMMYFUNCTION("""COMPUTED_VALUE"""),1.0)</f>
        <v>1</v>
      </c>
      <c r="AK285" s="3">
        <f>IFERROR(__xludf.DUMMYFUNCTION("""COMPUTED_VALUE"""),0.0)</f>
        <v>0</v>
      </c>
      <c r="AL285" s="3">
        <f>IFERROR(__xludf.DUMMYFUNCTION("""COMPUTED_VALUE"""),0.0)</f>
        <v>0</v>
      </c>
      <c r="AM285" s="3" t="str">
        <f>IFERROR(__xludf.DUMMYFUNCTION("""COMPUTED_VALUE"""),"Yes")</f>
        <v>Yes</v>
      </c>
      <c r="AN285" s="3">
        <f>IFERROR(__xludf.DUMMYFUNCTION("""COMPUTED_VALUE"""),7.83106168E8)</f>
        <v>783106168</v>
      </c>
      <c r="AO285" s="3"/>
      <c r="AP285" s="3">
        <f>IFERROR(__xludf.DUMMYFUNCTION("""COMPUTED_VALUE"""),4.90512955E8)</f>
        <v>490512955</v>
      </c>
      <c r="AQ285" s="3" t="str">
        <f>IFERROR(__xludf.DUMMYFUNCTION("""COMPUTED_VALUE"""),"148fbfee-e36f-4c24-8e01-a12a04c0f435")</f>
        <v>148fbfee-e36f-4c24-8e01-a12a04c0f435</v>
      </c>
      <c r="AR285" s="3">
        <f>IFERROR(__xludf.DUMMYFUNCTION("""COMPUTED_VALUE"""),45809.64240740741)</f>
        <v>45809.64241</v>
      </c>
      <c r="AS285" s="3"/>
      <c r="AT285" s="3"/>
      <c r="AU285" s="3" t="str">
        <f>IFERROR(__xludf.DUMMYFUNCTION("""COMPUTED_VALUE"""),"submitted_via_web")</f>
        <v>submitted_via_web</v>
      </c>
      <c r="AV285" s="3"/>
      <c r="AW285" s="3" t="str">
        <f>IFERROR(__xludf.DUMMYFUNCTION("""COMPUTED_VALUE"""),"vckVTgNzM4XXtKAKNnsHpB")</f>
        <v>vckVTgNzM4XXtKAKNnsHpB</v>
      </c>
      <c r="AX285" s="3"/>
      <c r="AY285" s="3">
        <f>IFERROR(__xludf.DUMMYFUNCTION("""COMPUTED_VALUE"""),284.0)</f>
        <v>284</v>
      </c>
    </row>
    <row r="286">
      <c r="A286" s="3" t="str">
        <f>IFERROR(__xludf.DUMMYFUNCTION("""COMPUTED_VALUE"""),"Yes")</f>
        <v>Yes</v>
      </c>
      <c r="B286" s="3"/>
      <c r="C286" s="3" t="str">
        <f>IFERROR(__xludf.DUMMYFUNCTION("""COMPUTED_VALUE"""),"mozambique")</f>
        <v>mozambique</v>
      </c>
      <c r="D286" s="3"/>
      <c r="E286" s="3" t="str">
        <f>IFERROR(__xludf.DUMMYFUNCTION("""COMPUTED_VALUE"""),"south_africa")</f>
        <v>south_africa</v>
      </c>
      <c r="F286" s="3" t="str">
        <f>IFERROR(__xludf.DUMMYFUNCTION("""COMPUTED_VALUE"""),"Capetown")</f>
        <v>Capetown</v>
      </c>
      <c r="G286" s="3">
        <f>IFERROR(__xludf.DUMMYFUNCTION("""COMPUTED_VALUE"""),21.0)</f>
        <v>21</v>
      </c>
      <c r="H286" s="3" t="str">
        <f>IFERROR(__xludf.DUMMYFUNCTION("""COMPUTED_VALUE"""),"male")</f>
        <v>male</v>
      </c>
      <c r="I286" s="3" t="str">
        <f>IFERROR(__xludf.DUMMYFUNCTION("""COMPUTED_VALUE"""),"less6")</f>
        <v>less6</v>
      </c>
      <c r="J286" s="3" t="str">
        <f>IFERROR(__xludf.DUMMYFUNCTION("""COMPUTED_VALUE"""),"ownbusiness")</f>
        <v>ownbusiness</v>
      </c>
      <c r="K286" s="3" t="str">
        <f>IFERROR(__xludf.DUMMYFUNCTION("""COMPUTED_VALUE"""),"none")</f>
        <v>none</v>
      </c>
      <c r="L286" s="3"/>
      <c r="M286" s="3" t="str">
        <f>IFERROR(__xludf.DUMMYFUNCTION("""COMPUTED_VALUE"""),"agree")</f>
        <v>agree</v>
      </c>
      <c r="N286" s="3" t="str">
        <f>IFERROR(__xludf.DUMMYFUNCTION("""COMPUTED_VALUE"""),"agree")</f>
        <v>agree</v>
      </c>
      <c r="O286" s="3" t="str">
        <f>IFERROR(__xludf.DUMMYFUNCTION("""COMPUTED_VALUE"""),"agree")</f>
        <v>agree</v>
      </c>
      <c r="P286" s="3"/>
      <c r="Q286" s="3" t="str">
        <f>IFERROR(__xludf.DUMMYFUNCTION("""COMPUTED_VALUE"""),"agree")</f>
        <v>agree</v>
      </c>
      <c r="R286" s="3" t="str">
        <f>IFERROR(__xludf.DUMMYFUNCTION("""COMPUTED_VALUE"""),"agree")</f>
        <v>agree</v>
      </c>
      <c r="S286" s="3" t="str">
        <f>IFERROR(__xludf.DUMMYFUNCTION("""COMPUTED_VALUE"""),"agree")</f>
        <v>agree</v>
      </c>
      <c r="T286" s="3" t="str">
        <f>IFERROR(__xludf.DUMMYFUNCTION("""COMPUTED_VALUE"""),"agree")</f>
        <v>agree</v>
      </c>
      <c r="U286" s="3" t="str">
        <f>IFERROR(__xludf.DUMMYFUNCTION("""COMPUTED_VALUE"""),"agree")</f>
        <v>agree</v>
      </c>
      <c r="V286" s="3" t="str">
        <f>IFERROR(__xludf.DUMMYFUNCTION("""COMPUTED_VALUE"""),"agree")</f>
        <v>agree</v>
      </c>
      <c r="W286" s="3" t="str">
        <f>IFERROR(__xludf.DUMMYFUNCTION("""COMPUTED_VALUE"""),"agree")</f>
        <v>agree</v>
      </c>
      <c r="X286" s="3" t="str">
        <f>IFERROR(__xludf.DUMMYFUNCTION("""COMPUTED_VALUE"""),"Silver")</f>
        <v>Silver</v>
      </c>
      <c r="Y286" s="3" t="str">
        <f>IFERROR(__xludf.DUMMYFUNCTION("""COMPUTED_VALUE"""),"card")</f>
        <v>card</v>
      </c>
      <c r="Z286" s="3" t="str">
        <f>IFERROR(__xludf.DUMMYFUNCTION("""COMPUTED_VALUE"""),"monthly")</f>
        <v>monthly</v>
      </c>
      <c r="AA286" s="3">
        <f>IFERROR(__xludf.DUMMYFUNCTION("""COMPUTED_VALUE"""),10.0)</f>
        <v>10</v>
      </c>
      <c r="AB286" s="3" t="str">
        <f>IFERROR(__xludf.DUMMYFUNCTION("""COMPUTED_VALUE"""),"assisted")</f>
        <v>assisted</v>
      </c>
      <c r="AC286" s="3" t="str">
        <f>IFERROR(__xludf.DUMMYFUNCTION("""COMPUTED_VALUE"""),"Yes")</f>
        <v>Yes</v>
      </c>
      <c r="AD286" s="3" t="str">
        <f>IFERROR(__xludf.DUMMYFUNCTION("""COMPUTED_VALUE"""),"Gold")</f>
        <v>Gold</v>
      </c>
      <c r="AE286" s="3" t="str">
        <f>IFERROR(__xludf.DUMMYFUNCTION("""COMPUTED_VALUE"""),"Yes")</f>
        <v>Yes</v>
      </c>
      <c r="AF286" s="3" t="str">
        <f>IFERROR(__xludf.DUMMYFUNCTION("""COMPUTED_VALUE"""),"Yes")</f>
        <v>Yes</v>
      </c>
      <c r="AG286" s="3" t="str">
        <f>IFERROR(__xludf.DUMMYFUNCTION("""COMPUTED_VALUE"""),"Yes")</f>
        <v>Yes</v>
      </c>
      <c r="AH286" s="3">
        <f>IFERROR(__xludf.DUMMYFUNCTION("""COMPUTED_VALUE"""),2.0)</f>
        <v>2</v>
      </c>
      <c r="AI286" s="3">
        <f>IFERROR(__xludf.DUMMYFUNCTION("""COMPUTED_VALUE"""),1.0)</f>
        <v>1</v>
      </c>
      <c r="AJ286" s="3">
        <f>IFERROR(__xludf.DUMMYFUNCTION("""COMPUTED_VALUE"""),0.0)</f>
        <v>0</v>
      </c>
      <c r="AK286" s="3">
        <f>IFERROR(__xludf.DUMMYFUNCTION("""COMPUTED_VALUE"""),0.0)</f>
        <v>0</v>
      </c>
      <c r="AL286" s="3">
        <f>IFERROR(__xludf.DUMMYFUNCTION("""COMPUTED_VALUE"""),0.0)</f>
        <v>0</v>
      </c>
      <c r="AM286" s="3" t="str">
        <f>IFERROR(__xludf.DUMMYFUNCTION("""COMPUTED_VALUE"""),"Yes")</f>
        <v>Yes</v>
      </c>
      <c r="AN286" s="3">
        <f>IFERROR(__xludf.DUMMYFUNCTION("""COMPUTED_VALUE"""),6.33869547E8)</f>
        <v>633869547</v>
      </c>
      <c r="AO286" s="3"/>
      <c r="AP286" s="3">
        <f>IFERROR(__xludf.DUMMYFUNCTION("""COMPUTED_VALUE"""),4.90513881E8)</f>
        <v>490513881</v>
      </c>
      <c r="AQ286" s="3" t="str">
        <f>IFERROR(__xludf.DUMMYFUNCTION("""COMPUTED_VALUE"""),"364210c4-3811-4312-8e36-19b94a6033e2")</f>
        <v>364210c4-3811-4312-8e36-19b94a6033e2</v>
      </c>
      <c r="AR286" s="3">
        <f>IFERROR(__xludf.DUMMYFUNCTION("""COMPUTED_VALUE"""),45809.64402777778)</f>
        <v>45809.64403</v>
      </c>
      <c r="AS286" s="3"/>
      <c r="AT286" s="3"/>
      <c r="AU286" s="3" t="str">
        <f>IFERROR(__xludf.DUMMYFUNCTION("""COMPUTED_VALUE"""),"submitted_via_web")</f>
        <v>submitted_via_web</v>
      </c>
      <c r="AV286" s="3"/>
      <c r="AW286" s="3" t="str">
        <f>IFERROR(__xludf.DUMMYFUNCTION("""COMPUTED_VALUE"""),"vckVTgNzM4XXtKAKNnsHpB")</f>
        <v>vckVTgNzM4XXtKAKNnsHpB</v>
      </c>
      <c r="AX286" s="3"/>
      <c r="AY286" s="3">
        <f>IFERROR(__xludf.DUMMYFUNCTION("""COMPUTED_VALUE"""),285.0)</f>
        <v>285</v>
      </c>
    </row>
    <row r="287">
      <c r="A287" s="3" t="str">
        <f>IFERROR(__xludf.DUMMYFUNCTION("""COMPUTED_VALUE"""),"Yes")</f>
        <v>Yes</v>
      </c>
      <c r="B287" s="3"/>
      <c r="C287" s="3" t="str">
        <f>IFERROR(__xludf.DUMMYFUNCTION("""COMPUTED_VALUE"""),"mozambique")</f>
        <v>mozambique</v>
      </c>
      <c r="D287" s="3"/>
      <c r="E287" s="3" t="str">
        <f>IFERROR(__xludf.DUMMYFUNCTION("""COMPUTED_VALUE"""),"south_africa")</f>
        <v>south_africa</v>
      </c>
      <c r="F287" s="3" t="str">
        <f>IFERROR(__xludf.DUMMYFUNCTION("""COMPUTED_VALUE"""),"Chris Hani District")</f>
        <v>Chris Hani District</v>
      </c>
      <c r="G287" s="3">
        <f>IFERROR(__xludf.DUMMYFUNCTION("""COMPUTED_VALUE"""),23.0)</f>
        <v>23</v>
      </c>
      <c r="H287" s="3" t="str">
        <f>IFERROR(__xludf.DUMMYFUNCTION("""COMPUTED_VALUE"""),"female")</f>
        <v>female</v>
      </c>
      <c r="I287" s="3" t="str">
        <f>IFERROR(__xludf.DUMMYFUNCTION("""COMPUTED_VALUE"""),"over5")</f>
        <v>over5</v>
      </c>
      <c r="J287" s="3" t="str">
        <f>IFERROR(__xludf.DUMMYFUNCTION("""COMPUTED_VALUE"""),"ownbusiness")</f>
        <v>ownbusiness</v>
      </c>
      <c r="K287" s="3" t="str">
        <f>IFERROR(__xludf.DUMMYFUNCTION("""COMPUTED_VALUE"""),"primary")</f>
        <v>primary</v>
      </c>
      <c r="L287" s="3"/>
      <c r="M287" s="3" t="str">
        <f>IFERROR(__xludf.DUMMYFUNCTION("""COMPUTED_VALUE"""),"agree")</f>
        <v>agree</v>
      </c>
      <c r="N287" s="3" t="str">
        <f>IFERROR(__xludf.DUMMYFUNCTION("""COMPUTED_VALUE"""),"agree")</f>
        <v>agree</v>
      </c>
      <c r="O287" s="3" t="str">
        <f>IFERROR(__xludf.DUMMYFUNCTION("""COMPUTED_VALUE"""),"agree")</f>
        <v>agree</v>
      </c>
      <c r="P287" s="3"/>
      <c r="Q287" s="3" t="str">
        <f>IFERROR(__xludf.DUMMYFUNCTION("""COMPUTED_VALUE"""),"agree")</f>
        <v>agree</v>
      </c>
      <c r="R287" s="3" t="str">
        <f>IFERROR(__xludf.DUMMYFUNCTION("""COMPUTED_VALUE"""),"agree")</f>
        <v>agree</v>
      </c>
      <c r="S287" s="3" t="str">
        <f>IFERROR(__xludf.DUMMYFUNCTION("""COMPUTED_VALUE"""),"agree")</f>
        <v>agree</v>
      </c>
      <c r="T287" s="3" t="str">
        <f>IFERROR(__xludf.DUMMYFUNCTION("""COMPUTED_VALUE"""),"agree")</f>
        <v>agree</v>
      </c>
      <c r="U287" s="3" t="str">
        <f>IFERROR(__xludf.DUMMYFUNCTION("""COMPUTED_VALUE"""),"agree")</f>
        <v>agree</v>
      </c>
      <c r="V287" s="3" t="str">
        <f>IFERROR(__xludf.DUMMYFUNCTION("""COMPUTED_VALUE"""),"agree")</f>
        <v>agree</v>
      </c>
      <c r="W287" s="3" t="str">
        <f>IFERROR(__xludf.DUMMYFUNCTION("""COMPUTED_VALUE"""),"agree")</f>
        <v>agree</v>
      </c>
      <c r="X287" s="3" t="str">
        <f>IFERROR(__xludf.DUMMYFUNCTION("""COMPUTED_VALUE"""),"Gold")</f>
        <v>Gold</v>
      </c>
      <c r="Y287" s="3" t="str">
        <f>IFERROR(__xludf.DUMMYFUNCTION("""COMPUTED_VALUE"""),"cash")</f>
        <v>cash</v>
      </c>
      <c r="Z287" s="3" t="str">
        <f>IFERROR(__xludf.DUMMYFUNCTION("""COMPUTED_VALUE"""),"monthly")</f>
        <v>monthly</v>
      </c>
      <c r="AA287" s="3">
        <f>IFERROR(__xludf.DUMMYFUNCTION("""COMPUTED_VALUE"""),20.0)</f>
        <v>20</v>
      </c>
      <c r="AB287" s="3" t="str">
        <f>IFERROR(__xludf.DUMMYFUNCTION("""COMPUTED_VALUE"""),"online")</f>
        <v>online</v>
      </c>
      <c r="AC287" s="3" t="str">
        <f>IFERROR(__xludf.DUMMYFUNCTION("""COMPUTED_VALUE"""),"Yes")</f>
        <v>Yes</v>
      </c>
      <c r="AD287" s="3" t="str">
        <f>IFERROR(__xludf.DUMMYFUNCTION("""COMPUTED_VALUE"""),"Gold")</f>
        <v>Gold</v>
      </c>
      <c r="AE287" s="3" t="str">
        <f>IFERROR(__xludf.DUMMYFUNCTION("""COMPUTED_VALUE"""),"Yes")</f>
        <v>Yes</v>
      </c>
      <c r="AF287" s="3" t="str">
        <f>IFERROR(__xludf.DUMMYFUNCTION("""COMPUTED_VALUE"""),"Yes")</f>
        <v>Yes</v>
      </c>
      <c r="AG287" s="3" t="str">
        <f>IFERROR(__xludf.DUMMYFUNCTION("""COMPUTED_VALUE"""),"Yes")</f>
        <v>Yes</v>
      </c>
      <c r="AH287" s="3">
        <f>IFERROR(__xludf.DUMMYFUNCTION("""COMPUTED_VALUE"""),4.0)</f>
        <v>4</v>
      </c>
      <c r="AI287" s="3">
        <f>IFERROR(__xludf.DUMMYFUNCTION("""COMPUTED_VALUE"""),1.0)</f>
        <v>1</v>
      </c>
      <c r="AJ287" s="3">
        <f>IFERROR(__xludf.DUMMYFUNCTION("""COMPUTED_VALUE"""),0.0)</f>
        <v>0</v>
      </c>
      <c r="AK287" s="3">
        <f>IFERROR(__xludf.DUMMYFUNCTION("""COMPUTED_VALUE"""),0.0)</f>
        <v>0</v>
      </c>
      <c r="AL287" s="3">
        <f>IFERROR(__xludf.DUMMYFUNCTION("""COMPUTED_VALUE"""),0.0)</f>
        <v>0</v>
      </c>
      <c r="AM287" s="3" t="str">
        <f>IFERROR(__xludf.DUMMYFUNCTION("""COMPUTED_VALUE"""),"Yes")</f>
        <v>Yes</v>
      </c>
      <c r="AN287" s="3">
        <f>IFERROR(__xludf.DUMMYFUNCTION("""COMPUTED_VALUE"""),6.04141344E8)</f>
        <v>604141344</v>
      </c>
      <c r="AO287" s="3"/>
      <c r="AP287" s="3">
        <f>IFERROR(__xludf.DUMMYFUNCTION("""COMPUTED_VALUE"""),4.90516923E8)</f>
        <v>490516923</v>
      </c>
      <c r="AQ287" s="3" t="str">
        <f>IFERROR(__xludf.DUMMYFUNCTION("""COMPUTED_VALUE"""),"fc6c8035-609a-41e4-b1bd-c42af355cfa0")</f>
        <v>fc6c8035-609a-41e4-b1bd-c42af355cfa0</v>
      </c>
      <c r="AR287" s="3">
        <f>IFERROR(__xludf.DUMMYFUNCTION("""COMPUTED_VALUE"""),45809.64916666667)</f>
        <v>45809.64917</v>
      </c>
      <c r="AS287" s="3"/>
      <c r="AT287" s="3"/>
      <c r="AU287" s="3" t="str">
        <f>IFERROR(__xludf.DUMMYFUNCTION("""COMPUTED_VALUE"""),"submitted_via_web")</f>
        <v>submitted_via_web</v>
      </c>
      <c r="AV287" s="3"/>
      <c r="AW287" s="3" t="str">
        <f>IFERROR(__xludf.DUMMYFUNCTION("""COMPUTED_VALUE"""),"vckVTgNzM4XXtKAKNnsHpB")</f>
        <v>vckVTgNzM4XXtKAKNnsHpB</v>
      </c>
      <c r="AX287" s="3"/>
      <c r="AY287" s="3">
        <f>IFERROR(__xludf.DUMMYFUNCTION("""COMPUTED_VALUE"""),286.0)</f>
        <v>286</v>
      </c>
    </row>
    <row r="288">
      <c r="A288" s="3" t="str">
        <f>IFERROR(__xludf.DUMMYFUNCTION("""COMPUTED_VALUE"""),"Yes")</f>
        <v>Yes</v>
      </c>
      <c r="B288" s="3"/>
      <c r="C288" s="3" t="str">
        <f>IFERROR(__xludf.DUMMYFUNCTION("""COMPUTED_VALUE"""),"zimbabwe")</f>
        <v>zimbabwe</v>
      </c>
      <c r="D288" s="3"/>
      <c r="E288" s="3" t="str">
        <f>IFERROR(__xludf.DUMMYFUNCTION("""COMPUTED_VALUE"""),"south_africa")</f>
        <v>south_africa</v>
      </c>
      <c r="F288" s="3" t="str">
        <f>IFERROR(__xludf.DUMMYFUNCTION("""COMPUTED_VALUE"""),"City of Tshwane Metropolitan Municipality")</f>
        <v>City of Tshwane Metropolitan Municipality</v>
      </c>
      <c r="G288" s="3">
        <f>IFERROR(__xludf.DUMMYFUNCTION("""COMPUTED_VALUE"""),32.0)</f>
        <v>32</v>
      </c>
      <c r="H288" s="3" t="str">
        <f>IFERROR(__xludf.DUMMYFUNCTION("""COMPUTED_VALUE"""),"male")</f>
        <v>male</v>
      </c>
      <c r="I288" s="3" t="str">
        <f>IFERROR(__xludf.DUMMYFUNCTION("""COMPUTED_VALUE"""),"1to5")</f>
        <v>1to5</v>
      </c>
      <c r="J288" s="3" t="str">
        <f>IFERROR(__xludf.DUMMYFUNCTION("""COMPUTED_VALUE"""),"formal")</f>
        <v>formal</v>
      </c>
      <c r="K288" s="3" t="str">
        <f>IFERROR(__xludf.DUMMYFUNCTION("""COMPUTED_VALUE"""),"tertiary")</f>
        <v>tertiary</v>
      </c>
      <c r="L288" s="3"/>
      <c r="M288" s="3" t="str">
        <f>IFERROR(__xludf.DUMMYFUNCTION("""COMPUTED_VALUE"""),"agree")</f>
        <v>agree</v>
      </c>
      <c r="N288" s="3" t="str">
        <f>IFERROR(__xludf.DUMMYFUNCTION("""COMPUTED_VALUE"""),"agree")</f>
        <v>agree</v>
      </c>
      <c r="O288" s="3" t="str">
        <f>IFERROR(__xludf.DUMMYFUNCTION("""COMPUTED_VALUE"""),"disagree")</f>
        <v>disagree</v>
      </c>
      <c r="P288" s="3"/>
      <c r="Q288" s="3" t="str">
        <f>IFERROR(__xludf.DUMMYFUNCTION("""COMPUTED_VALUE"""),"disagree")</f>
        <v>disagree</v>
      </c>
      <c r="R288" s="3" t="str">
        <f>IFERROR(__xludf.DUMMYFUNCTION("""COMPUTED_VALUE"""),"agree")</f>
        <v>agree</v>
      </c>
      <c r="S288" s="3" t="str">
        <f>IFERROR(__xludf.DUMMYFUNCTION("""COMPUTED_VALUE"""),"disagree")</f>
        <v>disagree</v>
      </c>
      <c r="T288" s="3" t="str">
        <f>IFERROR(__xludf.DUMMYFUNCTION("""COMPUTED_VALUE"""),"disagree")</f>
        <v>disagree</v>
      </c>
      <c r="U288" s="3" t="str">
        <f>IFERROR(__xludf.DUMMYFUNCTION("""COMPUTED_VALUE"""),"agree")</f>
        <v>agree</v>
      </c>
      <c r="V288" s="3" t="str">
        <f>IFERROR(__xludf.DUMMYFUNCTION("""COMPUTED_VALUE"""),"agree")</f>
        <v>agree</v>
      </c>
      <c r="W288" s="3" t="str">
        <f>IFERROR(__xludf.DUMMYFUNCTION("""COMPUTED_VALUE"""),"disagree")</f>
        <v>disagree</v>
      </c>
      <c r="X288" s="3" t="str">
        <f>IFERROR(__xludf.DUMMYFUNCTION("""COMPUTED_VALUE"""),"Platinum")</f>
        <v>Platinum</v>
      </c>
      <c r="Y288" s="3" t="str">
        <f>IFERROR(__xludf.DUMMYFUNCTION("""COMPUTED_VALUE"""),"insurance")</f>
        <v>insurance</v>
      </c>
      <c r="Z288" s="3" t="str">
        <f>IFERROR(__xludf.DUMMYFUNCTION("""COMPUTED_VALUE"""),"quarterly")</f>
        <v>quarterly</v>
      </c>
      <c r="AA288" s="3">
        <f>IFERROR(__xludf.DUMMYFUNCTION("""COMPUTED_VALUE"""),100.0)</f>
        <v>100</v>
      </c>
      <c r="AB288" s="3" t="str">
        <f>IFERROR(__xludf.DUMMYFUNCTION("""COMPUTED_VALUE"""),"online")</f>
        <v>online</v>
      </c>
      <c r="AC288" s="3" t="str">
        <f>IFERROR(__xludf.DUMMYFUNCTION("""COMPUTED_VALUE"""),"Yes")</f>
        <v>Yes</v>
      </c>
      <c r="AD288" s="3" t="str">
        <f>IFERROR(__xludf.DUMMYFUNCTION("""COMPUTED_VALUE"""),"Platinum")</f>
        <v>Platinum</v>
      </c>
      <c r="AE288" s="3" t="str">
        <f>IFERROR(__xludf.DUMMYFUNCTION("""COMPUTED_VALUE"""),"Yes")</f>
        <v>Yes</v>
      </c>
      <c r="AF288" s="3" t="str">
        <f>IFERROR(__xludf.DUMMYFUNCTION("""COMPUTED_VALUE"""),"No")</f>
        <v>No</v>
      </c>
      <c r="AG288" s="3" t="str">
        <f>IFERROR(__xludf.DUMMYFUNCTION("""COMPUTED_VALUE"""),"No")</f>
        <v>No</v>
      </c>
      <c r="AH288" s="3"/>
      <c r="AI288" s="3">
        <f>IFERROR(__xludf.DUMMYFUNCTION("""COMPUTED_VALUE"""),0.0)</f>
        <v>0</v>
      </c>
      <c r="AJ288" s="3">
        <f>IFERROR(__xludf.DUMMYFUNCTION("""COMPUTED_VALUE"""),0.0)</f>
        <v>0</v>
      </c>
      <c r="AK288" s="3">
        <f>IFERROR(__xludf.DUMMYFUNCTION("""COMPUTED_VALUE"""),0.0)</f>
        <v>0</v>
      </c>
      <c r="AL288" s="3">
        <f>IFERROR(__xludf.DUMMYFUNCTION("""COMPUTED_VALUE"""),1.0)</f>
        <v>1</v>
      </c>
      <c r="AM288" s="3" t="str">
        <f>IFERROR(__xludf.DUMMYFUNCTION("""COMPUTED_VALUE"""),"No")</f>
        <v>No</v>
      </c>
      <c r="AN288" s="3"/>
      <c r="AO288" s="3"/>
      <c r="AP288" s="3">
        <f>IFERROR(__xludf.DUMMYFUNCTION("""COMPUTED_VALUE"""),4.90575027E8)</f>
        <v>490575027</v>
      </c>
      <c r="AQ288" s="3" t="str">
        <f>IFERROR(__xludf.DUMMYFUNCTION("""COMPUTED_VALUE"""),"e6424cbb-e066-48d9-ae24-93dde154dfe4")</f>
        <v>e6424cbb-e066-48d9-ae24-93dde154dfe4</v>
      </c>
      <c r="AR288" s="3">
        <f>IFERROR(__xludf.DUMMYFUNCTION("""COMPUTED_VALUE"""),45809.75487268518)</f>
        <v>45809.75487</v>
      </c>
      <c r="AS288" s="3"/>
      <c r="AT288" s="3"/>
      <c r="AU288" s="3" t="str">
        <f>IFERROR(__xludf.DUMMYFUNCTION("""COMPUTED_VALUE"""),"submitted_via_web")</f>
        <v>submitted_via_web</v>
      </c>
      <c r="AV288" s="3"/>
      <c r="AW288" s="3" t="str">
        <f>IFERROR(__xludf.DUMMYFUNCTION("""COMPUTED_VALUE"""),"vckVTgNzM4XXtKAKNnsHpB")</f>
        <v>vckVTgNzM4XXtKAKNnsHpB</v>
      </c>
      <c r="AX288" s="3"/>
      <c r="AY288" s="3">
        <f>IFERROR(__xludf.DUMMYFUNCTION("""COMPUTED_VALUE"""),287.0)</f>
        <v>287</v>
      </c>
    </row>
    <row r="289">
      <c r="A289" s="3" t="str">
        <f>IFERROR(__xludf.DUMMYFUNCTION("""COMPUTED_VALUE"""),"Yes")</f>
        <v>Yes</v>
      </c>
      <c r="B289" s="3"/>
      <c r="C289" s="3" t="str">
        <f>IFERROR(__xludf.DUMMYFUNCTION("""COMPUTED_VALUE"""),"congo_kinshasa")</f>
        <v>congo_kinshasa</v>
      </c>
      <c r="D289" s="3"/>
      <c r="E289" s="3" t="str">
        <f>IFERROR(__xludf.DUMMYFUNCTION("""COMPUTED_VALUE"""),"south_africa")</f>
        <v>south_africa</v>
      </c>
      <c r="F289" s="3" t="str">
        <f>IFERROR(__xludf.DUMMYFUNCTION("""COMPUTED_VALUE"""),"City of Johannesburg Metropolitan Municipality")</f>
        <v>City of Johannesburg Metropolitan Municipality</v>
      </c>
      <c r="G289" s="3">
        <f>IFERROR(__xludf.DUMMYFUNCTION("""COMPUTED_VALUE"""),31.0)</f>
        <v>31</v>
      </c>
      <c r="H289" s="3" t="str">
        <f>IFERROR(__xludf.DUMMYFUNCTION("""COMPUTED_VALUE"""),"female")</f>
        <v>female</v>
      </c>
      <c r="I289" s="3" t="str">
        <f>IFERROR(__xludf.DUMMYFUNCTION("""COMPUTED_VALUE"""),"1to5")</f>
        <v>1to5</v>
      </c>
      <c r="J289" s="3" t="str">
        <f>IFERROR(__xludf.DUMMYFUNCTION("""COMPUTED_VALUE"""),"informal")</f>
        <v>informal</v>
      </c>
      <c r="K289" s="3" t="str">
        <f>IFERROR(__xludf.DUMMYFUNCTION("""COMPUTED_VALUE"""),"primary")</f>
        <v>primary</v>
      </c>
      <c r="L289" s="3"/>
      <c r="M289" s="3" t="str">
        <f>IFERROR(__xludf.DUMMYFUNCTION("""COMPUTED_VALUE"""),"agree")</f>
        <v>agree</v>
      </c>
      <c r="N289" s="3" t="str">
        <f>IFERROR(__xludf.DUMMYFUNCTION("""COMPUTED_VALUE"""),"agree")</f>
        <v>agree</v>
      </c>
      <c r="O289" s="3" t="str">
        <f>IFERROR(__xludf.DUMMYFUNCTION("""COMPUTED_VALUE"""),"disagree")</f>
        <v>disagree</v>
      </c>
      <c r="P289" s="3"/>
      <c r="Q289" s="3" t="str">
        <f>IFERROR(__xludf.DUMMYFUNCTION("""COMPUTED_VALUE"""),"agree")</f>
        <v>agree</v>
      </c>
      <c r="R289" s="3" t="str">
        <f>IFERROR(__xludf.DUMMYFUNCTION("""COMPUTED_VALUE"""),"agree")</f>
        <v>agree</v>
      </c>
      <c r="S289" s="3" t="str">
        <f>IFERROR(__xludf.DUMMYFUNCTION("""COMPUTED_VALUE"""),"disagree")</f>
        <v>disagree</v>
      </c>
      <c r="T289" s="3" t="str">
        <f>IFERROR(__xludf.DUMMYFUNCTION("""COMPUTED_VALUE"""),"disagree")</f>
        <v>disagree</v>
      </c>
      <c r="U289" s="3" t="str">
        <f>IFERROR(__xludf.DUMMYFUNCTION("""COMPUTED_VALUE"""),"disagree")</f>
        <v>disagree</v>
      </c>
      <c r="V289" s="3" t="str">
        <f>IFERROR(__xludf.DUMMYFUNCTION("""COMPUTED_VALUE"""),"disagree")</f>
        <v>disagree</v>
      </c>
      <c r="W289" s="3" t="str">
        <f>IFERROR(__xludf.DUMMYFUNCTION("""COMPUTED_VALUE"""),"disagree")</f>
        <v>disagree</v>
      </c>
      <c r="X289" s="3" t="str">
        <f>IFERROR(__xludf.DUMMYFUNCTION("""COMPUTED_VALUE"""),"Gold")</f>
        <v>Gold</v>
      </c>
      <c r="Y289" s="3" t="str">
        <f>IFERROR(__xludf.DUMMYFUNCTION("""COMPUTED_VALUE"""),"cash")</f>
        <v>cash</v>
      </c>
      <c r="Z289" s="3" t="str">
        <f>IFERROR(__xludf.DUMMYFUNCTION("""COMPUTED_VALUE"""),"once")</f>
        <v>once</v>
      </c>
      <c r="AA289" s="3"/>
      <c r="AB289" s="3" t="str">
        <f>IFERROR(__xludf.DUMMYFUNCTION("""COMPUTED_VALUE"""),"assisted")</f>
        <v>assisted</v>
      </c>
      <c r="AC289" s="3" t="str">
        <f>IFERROR(__xludf.DUMMYFUNCTION("""COMPUTED_VALUE"""),"I am not an employer")</f>
        <v>I am not an employer</v>
      </c>
      <c r="AD289" s="3"/>
      <c r="AE289" s="3"/>
      <c r="AF289" s="3" t="str">
        <f>IFERROR(__xludf.DUMMYFUNCTION("""COMPUTED_VALUE"""),"Yes")</f>
        <v>Yes</v>
      </c>
      <c r="AG289" s="3" t="str">
        <f>IFERROR(__xludf.DUMMYFUNCTION("""COMPUTED_VALUE"""),"No")</f>
        <v>No</v>
      </c>
      <c r="AH289" s="3"/>
      <c r="AI289" s="3">
        <f>IFERROR(__xludf.DUMMYFUNCTION("""COMPUTED_VALUE"""),0.0)</f>
        <v>0</v>
      </c>
      <c r="AJ289" s="3">
        <f>IFERROR(__xludf.DUMMYFUNCTION("""COMPUTED_VALUE"""),0.0)</f>
        <v>0</v>
      </c>
      <c r="AK289" s="3">
        <f>IFERROR(__xludf.DUMMYFUNCTION("""COMPUTED_VALUE"""),0.0)</f>
        <v>0</v>
      </c>
      <c r="AL289" s="3">
        <f>IFERROR(__xludf.DUMMYFUNCTION("""COMPUTED_VALUE"""),1.0)</f>
        <v>1</v>
      </c>
      <c r="AM289" s="3" t="str">
        <f>IFERROR(__xludf.DUMMYFUNCTION("""COMPUTED_VALUE"""),"No")</f>
        <v>No</v>
      </c>
      <c r="AN289" s="3"/>
      <c r="AO289" s="3"/>
      <c r="AP289" s="3">
        <f>IFERROR(__xludf.DUMMYFUNCTION("""COMPUTED_VALUE"""),4.90758061E8)</f>
        <v>490758061</v>
      </c>
      <c r="AQ289" s="3" t="str">
        <f>IFERROR(__xludf.DUMMYFUNCTION("""COMPUTED_VALUE"""),"2215c1f9-f4c2-455c-a380-d7b60f9c92be")</f>
        <v>2215c1f9-f4c2-455c-a380-d7b60f9c92be</v>
      </c>
      <c r="AR289" s="3">
        <f>IFERROR(__xludf.DUMMYFUNCTION("""COMPUTED_VALUE"""),45810.32388888889)</f>
        <v>45810.32389</v>
      </c>
      <c r="AS289" s="3"/>
      <c r="AT289" s="3"/>
      <c r="AU289" s="3" t="str">
        <f>IFERROR(__xludf.DUMMYFUNCTION("""COMPUTED_VALUE"""),"submitted_via_web")</f>
        <v>submitted_via_web</v>
      </c>
      <c r="AV289" s="3"/>
      <c r="AW289" s="3" t="str">
        <f>IFERROR(__xludf.DUMMYFUNCTION("""COMPUTED_VALUE"""),"vckVTgNzM4XXtKAKNnsHpB")</f>
        <v>vckVTgNzM4XXtKAKNnsHpB</v>
      </c>
      <c r="AX289" s="3"/>
      <c r="AY289" s="3">
        <f>IFERROR(__xludf.DUMMYFUNCTION("""COMPUTED_VALUE"""),288.0)</f>
        <v>288</v>
      </c>
    </row>
    <row r="290">
      <c r="A290" s="3" t="str">
        <f>IFERROR(__xludf.DUMMYFUNCTION("""COMPUTED_VALUE"""),"Yes")</f>
        <v>Yes</v>
      </c>
      <c r="B290" s="3"/>
      <c r="C290" s="3" t="str">
        <f>IFERROR(__xludf.DUMMYFUNCTION("""COMPUTED_VALUE"""),"congo_kinshasa")</f>
        <v>congo_kinshasa</v>
      </c>
      <c r="D290" s="3"/>
      <c r="E290" s="3" t="str">
        <f>IFERROR(__xludf.DUMMYFUNCTION("""COMPUTED_VALUE"""),"south_africa")</f>
        <v>south_africa</v>
      </c>
      <c r="F290" s="3" t="str">
        <f>IFERROR(__xludf.DUMMYFUNCTION("""COMPUTED_VALUE"""),"City of Johannesburg Metropolitan Municipality")</f>
        <v>City of Johannesburg Metropolitan Municipality</v>
      </c>
      <c r="G290" s="3">
        <f>IFERROR(__xludf.DUMMYFUNCTION("""COMPUTED_VALUE"""),50.0)</f>
        <v>50</v>
      </c>
      <c r="H290" s="3" t="str">
        <f>IFERROR(__xludf.DUMMYFUNCTION("""COMPUTED_VALUE"""),"female")</f>
        <v>female</v>
      </c>
      <c r="I290" s="3" t="str">
        <f>IFERROR(__xludf.DUMMYFUNCTION("""COMPUTED_VALUE"""),"1to5")</f>
        <v>1to5</v>
      </c>
      <c r="J290" s="3" t="str">
        <f>IFERROR(__xludf.DUMMYFUNCTION("""COMPUTED_VALUE"""),"informal")</f>
        <v>informal</v>
      </c>
      <c r="K290" s="3" t="str">
        <f>IFERROR(__xludf.DUMMYFUNCTION("""COMPUTED_VALUE"""),"none")</f>
        <v>none</v>
      </c>
      <c r="L290" s="3"/>
      <c r="M290" s="3" t="str">
        <f>IFERROR(__xludf.DUMMYFUNCTION("""COMPUTED_VALUE"""),"agree")</f>
        <v>agree</v>
      </c>
      <c r="N290" s="3" t="str">
        <f>IFERROR(__xludf.DUMMYFUNCTION("""COMPUTED_VALUE"""),"agree")</f>
        <v>agree</v>
      </c>
      <c r="O290" s="3" t="str">
        <f>IFERROR(__xludf.DUMMYFUNCTION("""COMPUTED_VALUE"""),"disagree")</f>
        <v>disagree</v>
      </c>
      <c r="P290" s="3"/>
      <c r="Q290" s="3" t="str">
        <f>IFERROR(__xludf.DUMMYFUNCTION("""COMPUTED_VALUE"""),"agree")</f>
        <v>agree</v>
      </c>
      <c r="R290" s="3" t="str">
        <f>IFERROR(__xludf.DUMMYFUNCTION("""COMPUTED_VALUE"""),"agree")</f>
        <v>agree</v>
      </c>
      <c r="S290" s="3" t="str">
        <f>IFERROR(__xludf.DUMMYFUNCTION("""COMPUTED_VALUE"""),"agree")</f>
        <v>agree</v>
      </c>
      <c r="T290" s="3" t="str">
        <f>IFERROR(__xludf.DUMMYFUNCTION("""COMPUTED_VALUE"""),"disagree")</f>
        <v>disagree</v>
      </c>
      <c r="U290" s="3" t="str">
        <f>IFERROR(__xludf.DUMMYFUNCTION("""COMPUTED_VALUE"""),"disagree")</f>
        <v>disagree</v>
      </c>
      <c r="V290" s="3" t="str">
        <f>IFERROR(__xludf.DUMMYFUNCTION("""COMPUTED_VALUE"""),"disagree")</f>
        <v>disagree</v>
      </c>
      <c r="W290" s="3" t="str">
        <f>IFERROR(__xludf.DUMMYFUNCTION("""COMPUTED_VALUE"""),"disagree")</f>
        <v>disagree</v>
      </c>
      <c r="X290" s="3" t="str">
        <f>IFERROR(__xludf.DUMMYFUNCTION("""COMPUTED_VALUE"""),"Gold")</f>
        <v>Gold</v>
      </c>
      <c r="Y290" s="3" t="str">
        <f>IFERROR(__xludf.DUMMYFUNCTION("""COMPUTED_VALUE"""),"card")</f>
        <v>card</v>
      </c>
      <c r="Z290" s="3" t="str">
        <f>IFERROR(__xludf.DUMMYFUNCTION("""COMPUTED_VALUE"""),"monthly")</f>
        <v>monthly</v>
      </c>
      <c r="AA290" s="3">
        <f>IFERROR(__xludf.DUMMYFUNCTION("""COMPUTED_VALUE"""),10.0)</f>
        <v>10</v>
      </c>
      <c r="AB290" s="3" t="str">
        <f>IFERROR(__xludf.DUMMYFUNCTION("""COMPUTED_VALUE"""),"assisted")</f>
        <v>assisted</v>
      </c>
      <c r="AC290" s="3" t="str">
        <f>IFERROR(__xludf.DUMMYFUNCTION("""COMPUTED_VALUE"""),"I am not an employer")</f>
        <v>I am not an employer</v>
      </c>
      <c r="AD290" s="3"/>
      <c r="AE290" s="3"/>
      <c r="AF290" s="3" t="str">
        <f>IFERROR(__xludf.DUMMYFUNCTION("""COMPUTED_VALUE"""),"Yes")</f>
        <v>Yes</v>
      </c>
      <c r="AG290" s="3" t="str">
        <f>IFERROR(__xludf.DUMMYFUNCTION("""COMPUTED_VALUE"""),"No")</f>
        <v>No</v>
      </c>
      <c r="AH290" s="3"/>
      <c r="AI290" s="3">
        <f>IFERROR(__xludf.DUMMYFUNCTION("""COMPUTED_VALUE"""),0.0)</f>
        <v>0</v>
      </c>
      <c r="AJ290" s="3">
        <f>IFERROR(__xludf.DUMMYFUNCTION("""COMPUTED_VALUE"""),0.0)</f>
        <v>0</v>
      </c>
      <c r="AK290" s="3">
        <f>IFERROR(__xludf.DUMMYFUNCTION("""COMPUTED_VALUE"""),0.0)</f>
        <v>0</v>
      </c>
      <c r="AL290" s="3">
        <f>IFERROR(__xludf.DUMMYFUNCTION("""COMPUTED_VALUE"""),1.0)</f>
        <v>1</v>
      </c>
      <c r="AM290" s="3" t="str">
        <f>IFERROR(__xludf.DUMMYFUNCTION("""COMPUTED_VALUE"""),"No")</f>
        <v>No</v>
      </c>
      <c r="AN290" s="3"/>
      <c r="AO290" s="3"/>
      <c r="AP290" s="3">
        <f>IFERROR(__xludf.DUMMYFUNCTION("""COMPUTED_VALUE"""),4.90763616E8)</f>
        <v>490763616</v>
      </c>
      <c r="AQ290" s="3" t="str">
        <f>IFERROR(__xludf.DUMMYFUNCTION("""COMPUTED_VALUE"""),"5a312ff1-112e-4278-aa22-3788fc2e1017")</f>
        <v>5a312ff1-112e-4278-aa22-3788fc2e1017</v>
      </c>
      <c r="AR290" s="3">
        <f>IFERROR(__xludf.DUMMYFUNCTION("""COMPUTED_VALUE"""),45810.33143518519)</f>
        <v>45810.33144</v>
      </c>
      <c r="AS290" s="3"/>
      <c r="AT290" s="3"/>
      <c r="AU290" s="3" t="str">
        <f>IFERROR(__xludf.DUMMYFUNCTION("""COMPUTED_VALUE"""),"submitted_via_web")</f>
        <v>submitted_via_web</v>
      </c>
      <c r="AV290" s="3"/>
      <c r="AW290" s="3" t="str">
        <f>IFERROR(__xludf.DUMMYFUNCTION("""COMPUTED_VALUE"""),"vckVTgNzM4XXtKAKNnsHpB")</f>
        <v>vckVTgNzM4XXtKAKNnsHpB</v>
      </c>
      <c r="AX290" s="3"/>
      <c r="AY290" s="3">
        <f>IFERROR(__xludf.DUMMYFUNCTION("""COMPUTED_VALUE"""),289.0)</f>
        <v>289</v>
      </c>
    </row>
    <row r="291">
      <c r="A291" s="3" t="str">
        <f>IFERROR(__xludf.DUMMYFUNCTION("""COMPUTED_VALUE"""),"Yes")</f>
        <v>Yes</v>
      </c>
      <c r="B291" s="3"/>
      <c r="C291" s="3" t="str">
        <f>IFERROR(__xludf.DUMMYFUNCTION("""COMPUTED_VALUE"""),"zimbabwe")</f>
        <v>zimbabwe</v>
      </c>
      <c r="D291" s="3"/>
      <c r="E291" s="3" t="str">
        <f>IFERROR(__xludf.DUMMYFUNCTION("""COMPUTED_VALUE"""),"south_africa")</f>
        <v>south_africa</v>
      </c>
      <c r="F291" s="3" t="str">
        <f>IFERROR(__xludf.DUMMYFUNCTION("""COMPUTED_VALUE"""),"City of Tshwane Metropolitan Municipality")</f>
        <v>City of Tshwane Metropolitan Municipality</v>
      </c>
      <c r="G291" s="3">
        <f>IFERROR(__xludf.DUMMYFUNCTION("""COMPUTED_VALUE"""),25.0)</f>
        <v>25</v>
      </c>
      <c r="H291" s="3" t="str">
        <f>IFERROR(__xludf.DUMMYFUNCTION("""COMPUTED_VALUE"""),"female")</f>
        <v>female</v>
      </c>
      <c r="I291" s="3" t="str">
        <f>IFERROR(__xludf.DUMMYFUNCTION("""COMPUTED_VALUE"""),"1to5")</f>
        <v>1to5</v>
      </c>
      <c r="J291" s="3" t="str">
        <f>IFERROR(__xludf.DUMMYFUNCTION("""COMPUTED_VALUE"""),"informal")</f>
        <v>informal</v>
      </c>
      <c r="K291" s="3" t="str">
        <f>IFERROR(__xludf.DUMMYFUNCTION("""COMPUTED_VALUE"""),"secondary")</f>
        <v>secondary</v>
      </c>
      <c r="L291" s="3"/>
      <c r="M291" s="3" t="str">
        <f>IFERROR(__xludf.DUMMYFUNCTION("""COMPUTED_VALUE"""),"agree")</f>
        <v>agree</v>
      </c>
      <c r="N291" s="3" t="str">
        <f>IFERROR(__xludf.DUMMYFUNCTION("""COMPUTED_VALUE"""),"agree")</f>
        <v>agree</v>
      </c>
      <c r="O291" s="3" t="str">
        <f>IFERROR(__xludf.DUMMYFUNCTION("""COMPUTED_VALUE"""),"disagree")</f>
        <v>disagree</v>
      </c>
      <c r="P291" s="3"/>
      <c r="Q291" s="3" t="str">
        <f>IFERROR(__xludf.DUMMYFUNCTION("""COMPUTED_VALUE"""),"agree")</f>
        <v>agree</v>
      </c>
      <c r="R291" s="3" t="str">
        <f>IFERROR(__xludf.DUMMYFUNCTION("""COMPUTED_VALUE"""),"agree")</f>
        <v>agree</v>
      </c>
      <c r="S291" s="3" t="str">
        <f>IFERROR(__xludf.DUMMYFUNCTION("""COMPUTED_VALUE"""),"disagree")</f>
        <v>disagree</v>
      </c>
      <c r="T291" s="3" t="str">
        <f>IFERROR(__xludf.DUMMYFUNCTION("""COMPUTED_VALUE"""),"disagree")</f>
        <v>disagree</v>
      </c>
      <c r="U291" s="3" t="str">
        <f>IFERROR(__xludf.DUMMYFUNCTION("""COMPUTED_VALUE"""),"disagree")</f>
        <v>disagree</v>
      </c>
      <c r="V291" s="3" t="str">
        <f>IFERROR(__xludf.DUMMYFUNCTION("""COMPUTED_VALUE"""),"disagree")</f>
        <v>disagree</v>
      </c>
      <c r="W291" s="3" t="str">
        <f>IFERROR(__xludf.DUMMYFUNCTION("""COMPUTED_VALUE"""),"disagree")</f>
        <v>disagree</v>
      </c>
      <c r="X291" s="3" t="str">
        <f>IFERROR(__xludf.DUMMYFUNCTION("""COMPUTED_VALUE"""),"Gold")</f>
        <v>Gold</v>
      </c>
      <c r="Y291" s="3" t="str">
        <f>IFERROR(__xludf.DUMMYFUNCTION("""COMPUTED_VALUE"""),"cash")</f>
        <v>cash</v>
      </c>
      <c r="Z291" s="3" t="str">
        <f>IFERROR(__xludf.DUMMYFUNCTION("""COMPUTED_VALUE"""),"monthly")</f>
        <v>monthly</v>
      </c>
      <c r="AA291" s="3">
        <f>IFERROR(__xludf.DUMMYFUNCTION("""COMPUTED_VALUE"""),10.0)</f>
        <v>10</v>
      </c>
      <c r="AB291" s="3" t="str">
        <f>IFERROR(__xludf.DUMMYFUNCTION("""COMPUTED_VALUE"""),"assisted")</f>
        <v>assisted</v>
      </c>
      <c r="AC291" s="3" t="str">
        <f>IFERROR(__xludf.DUMMYFUNCTION("""COMPUTED_VALUE"""),"No")</f>
        <v>No</v>
      </c>
      <c r="AD291" s="3"/>
      <c r="AE291" s="3"/>
      <c r="AF291" s="3" t="str">
        <f>IFERROR(__xludf.DUMMYFUNCTION("""COMPUTED_VALUE"""),"Yes")</f>
        <v>Yes</v>
      </c>
      <c r="AG291" s="3" t="str">
        <f>IFERROR(__xludf.DUMMYFUNCTION("""COMPUTED_VALUE"""),"Yes")</f>
        <v>Yes</v>
      </c>
      <c r="AH291" s="3">
        <f>IFERROR(__xludf.DUMMYFUNCTION("""COMPUTED_VALUE"""),5.0)</f>
        <v>5</v>
      </c>
      <c r="AI291" s="3">
        <f>IFERROR(__xludf.DUMMYFUNCTION("""COMPUTED_VALUE"""),0.0)</f>
        <v>0</v>
      </c>
      <c r="AJ291" s="3">
        <f>IFERROR(__xludf.DUMMYFUNCTION("""COMPUTED_VALUE"""),0.0)</f>
        <v>0</v>
      </c>
      <c r="AK291" s="3">
        <f>IFERROR(__xludf.DUMMYFUNCTION("""COMPUTED_VALUE"""),0.0)</f>
        <v>0</v>
      </c>
      <c r="AL291" s="3">
        <f>IFERROR(__xludf.DUMMYFUNCTION("""COMPUTED_VALUE"""),1.0)</f>
        <v>1</v>
      </c>
      <c r="AM291" s="3" t="str">
        <f>IFERROR(__xludf.DUMMYFUNCTION("""COMPUTED_VALUE"""),"No")</f>
        <v>No</v>
      </c>
      <c r="AN291" s="3"/>
      <c r="AO291" s="3"/>
      <c r="AP291" s="3">
        <f>IFERROR(__xludf.DUMMYFUNCTION("""COMPUTED_VALUE"""),4.90763804E8)</f>
        <v>490763804</v>
      </c>
      <c r="AQ291" s="3" t="str">
        <f>IFERROR(__xludf.DUMMYFUNCTION("""COMPUTED_VALUE"""),"21a9f47b-84f6-477d-85a3-4f790d67f9e3")</f>
        <v>21a9f47b-84f6-477d-85a3-4f790d67f9e3</v>
      </c>
      <c r="AR291" s="3">
        <f>IFERROR(__xludf.DUMMYFUNCTION("""COMPUTED_VALUE"""),45810.331666666665)</f>
        <v>45810.33167</v>
      </c>
      <c r="AS291" s="3"/>
      <c r="AT291" s="3"/>
      <c r="AU291" s="3" t="str">
        <f>IFERROR(__xludf.DUMMYFUNCTION("""COMPUTED_VALUE"""),"submitted_via_web")</f>
        <v>submitted_via_web</v>
      </c>
      <c r="AV291" s="3"/>
      <c r="AW291" s="3" t="str">
        <f>IFERROR(__xludf.DUMMYFUNCTION("""COMPUTED_VALUE"""),"vckVTgNzM4XXtKAKNnsHpB")</f>
        <v>vckVTgNzM4XXtKAKNnsHpB</v>
      </c>
      <c r="AX291" s="3"/>
      <c r="AY291" s="3">
        <f>IFERROR(__xludf.DUMMYFUNCTION("""COMPUTED_VALUE"""),290.0)</f>
        <v>290</v>
      </c>
    </row>
    <row r="292">
      <c r="A292" s="3" t="str">
        <f>IFERROR(__xludf.DUMMYFUNCTION("""COMPUTED_VALUE"""),"Yes")</f>
        <v>Yes</v>
      </c>
      <c r="B292" s="3"/>
      <c r="C292" s="3" t="str">
        <f>IFERROR(__xludf.DUMMYFUNCTION("""COMPUTED_VALUE"""),"zimbabwe")</f>
        <v>zimbabwe</v>
      </c>
      <c r="D292" s="3"/>
      <c r="E292" s="3" t="str">
        <f>IFERROR(__xludf.DUMMYFUNCTION("""COMPUTED_VALUE"""),"south_africa")</f>
        <v>south_africa</v>
      </c>
      <c r="F292" s="3" t="str">
        <f>IFERROR(__xludf.DUMMYFUNCTION("""COMPUTED_VALUE"""),"City of Tshwane Metropolitan Municipality")</f>
        <v>City of Tshwane Metropolitan Municipality</v>
      </c>
      <c r="G292" s="3">
        <f>IFERROR(__xludf.DUMMYFUNCTION("""COMPUTED_VALUE"""),32.0)</f>
        <v>32</v>
      </c>
      <c r="H292" s="3" t="str">
        <f>IFERROR(__xludf.DUMMYFUNCTION("""COMPUTED_VALUE"""),"female")</f>
        <v>female</v>
      </c>
      <c r="I292" s="3" t="str">
        <f>IFERROR(__xludf.DUMMYFUNCTION("""COMPUTED_VALUE"""),"over5")</f>
        <v>over5</v>
      </c>
      <c r="J292" s="3" t="str">
        <f>IFERROR(__xludf.DUMMYFUNCTION("""COMPUTED_VALUE"""),"informal")</f>
        <v>informal</v>
      </c>
      <c r="K292" s="3" t="str">
        <f>IFERROR(__xludf.DUMMYFUNCTION("""COMPUTED_VALUE"""),"secondary")</f>
        <v>secondary</v>
      </c>
      <c r="L292" s="3"/>
      <c r="M292" s="3" t="str">
        <f>IFERROR(__xludf.DUMMYFUNCTION("""COMPUTED_VALUE"""),"agree")</f>
        <v>agree</v>
      </c>
      <c r="N292" s="3" t="str">
        <f>IFERROR(__xludf.DUMMYFUNCTION("""COMPUTED_VALUE"""),"agree")</f>
        <v>agree</v>
      </c>
      <c r="O292" s="3" t="str">
        <f>IFERROR(__xludf.DUMMYFUNCTION("""COMPUTED_VALUE"""),"disagree")</f>
        <v>disagree</v>
      </c>
      <c r="P292" s="3"/>
      <c r="Q292" s="3" t="str">
        <f>IFERROR(__xludf.DUMMYFUNCTION("""COMPUTED_VALUE"""),"agree")</f>
        <v>agree</v>
      </c>
      <c r="R292" s="3" t="str">
        <f>IFERROR(__xludf.DUMMYFUNCTION("""COMPUTED_VALUE"""),"agree")</f>
        <v>agree</v>
      </c>
      <c r="S292" s="3" t="str">
        <f>IFERROR(__xludf.DUMMYFUNCTION("""COMPUTED_VALUE"""),"disagree")</f>
        <v>disagree</v>
      </c>
      <c r="T292" s="3" t="str">
        <f>IFERROR(__xludf.DUMMYFUNCTION("""COMPUTED_VALUE"""),"disagree")</f>
        <v>disagree</v>
      </c>
      <c r="U292" s="3" t="str">
        <f>IFERROR(__xludf.DUMMYFUNCTION("""COMPUTED_VALUE"""),"dontknow")</f>
        <v>dontknow</v>
      </c>
      <c r="V292" s="3" t="str">
        <f>IFERROR(__xludf.DUMMYFUNCTION("""COMPUTED_VALUE"""),"disagree")</f>
        <v>disagree</v>
      </c>
      <c r="W292" s="3" t="str">
        <f>IFERROR(__xludf.DUMMYFUNCTION("""COMPUTED_VALUE"""),"disagree")</f>
        <v>disagree</v>
      </c>
      <c r="X292" s="3" t="str">
        <f>IFERROR(__xludf.DUMMYFUNCTION("""COMPUTED_VALUE"""),"Gold")</f>
        <v>Gold</v>
      </c>
      <c r="Y292" s="3" t="str">
        <f>IFERROR(__xludf.DUMMYFUNCTION("""COMPUTED_VALUE"""),"cash")</f>
        <v>cash</v>
      </c>
      <c r="Z292" s="3" t="str">
        <f>IFERROR(__xludf.DUMMYFUNCTION("""COMPUTED_VALUE"""),"monthly")</f>
        <v>monthly</v>
      </c>
      <c r="AA292" s="3">
        <f>IFERROR(__xludf.DUMMYFUNCTION("""COMPUTED_VALUE"""),20.0)</f>
        <v>20</v>
      </c>
      <c r="AB292" s="3" t="str">
        <f>IFERROR(__xludf.DUMMYFUNCTION("""COMPUTED_VALUE"""),"assisted")</f>
        <v>assisted</v>
      </c>
      <c r="AC292" s="3" t="str">
        <f>IFERROR(__xludf.DUMMYFUNCTION("""COMPUTED_VALUE"""),"No")</f>
        <v>No</v>
      </c>
      <c r="AD292" s="3"/>
      <c r="AE292" s="3"/>
      <c r="AF292" s="3" t="str">
        <f>IFERROR(__xludf.DUMMYFUNCTION("""COMPUTED_VALUE"""),"Yes")</f>
        <v>Yes</v>
      </c>
      <c r="AG292" s="3" t="str">
        <f>IFERROR(__xludf.DUMMYFUNCTION("""COMPUTED_VALUE"""),"Yes")</f>
        <v>Yes</v>
      </c>
      <c r="AH292" s="3">
        <f>IFERROR(__xludf.DUMMYFUNCTION("""COMPUTED_VALUE"""),10.0)</f>
        <v>10</v>
      </c>
      <c r="AI292" s="3">
        <f>IFERROR(__xludf.DUMMYFUNCTION("""COMPUTED_VALUE"""),0.0)</f>
        <v>0</v>
      </c>
      <c r="AJ292" s="3">
        <f>IFERROR(__xludf.DUMMYFUNCTION("""COMPUTED_VALUE"""),0.0)</f>
        <v>0</v>
      </c>
      <c r="AK292" s="3">
        <f>IFERROR(__xludf.DUMMYFUNCTION("""COMPUTED_VALUE"""),0.0)</f>
        <v>0</v>
      </c>
      <c r="AL292" s="3">
        <f>IFERROR(__xludf.DUMMYFUNCTION("""COMPUTED_VALUE"""),1.0)</f>
        <v>1</v>
      </c>
      <c r="AM292" s="3" t="str">
        <f>IFERROR(__xludf.DUMMYFUNCTION("""COMPUTED_VALUE"""),"No")</f>
        <v>No</v>
      </c>
      <c r="AN292" s="3"/>
      <c r="AO292" s="3"/>
      <c r="AP292" s="3">
        <f>IFERROR(__xludf.DUMMYFUNCTION("""COMPUTED_VALUE"""),4.9076591E8)</f>
        <v>490765910</v>
      </c>
      <c r="AQ292" s="3" t="str">
        <f>IFERROR(__xludf.DUMMYFUNCTION("""COMPUTED_VALUE"""),"b0bde63a-1466-4e3c-974a-63aca95f4356")</f>
        <v>b0bde63a-1466-4e3c-974a-63aca95f4356</v>
      </c>
      <c r="AR292" s="3">
        <f>IFERROR(__xludf.DUMMYFUNCTION("""COMPUTED_VALUE"""),45810.33409722222)</f>
        <v>45810.3341</v>
      </c>
      <c r="AS292" s="3"/>
      <c r="AT292" s="3"/>
      <c r="AU292" s="3" t="str">
        <f>IFERROR(__xludf.DUMMYFUNCTION("""COMPUTED_VALUE"""),"submitted_via_web")</f>
        <v>submitted_via_web</v>
      </c>
      <c r="AV292" s="3"/>
      <c r="AW292" s="3" t="str">
        <f>IFERROR(__xludf.DUMMYFUNCTION("""COMPUTED_VALUE"""),"vckVTgNzM4XXtKAKNnsHpB")</f>
        <v>vckVTgNzM4XXtKAKNnsHpB</v>
      </c>
      <c r="AX292" s="3"/>
      <c r="AY292" s="3">
        <f>IFERROR(__xludf.DUMMYFUNCTION("""COMPUTED_VALUE"""),291.0)</f>
        <v>291</v>
      </c>
    </row>
    <row r="293">
      <c r="A293" s="3" t="str">
        <f>IFERROR(__xludf.DUMMYFUNCTION("""COMPUTED_VALUE"""),"Yes")</f>
        <v>Yes</v>
      </c>
      <c r="B293" s="3"/>
      <c r="C293" s="3" t="str">
        <f>IFERROR(__xludf.DUMMYFUNCTION("""COMPUTED_VALUE"""),"malawi")</f>
        <v>malawi</v>
      </c>
      <c r="D293" s="3"/>
      <c r="E293" s="3" t="str">
        <f>IFERROR(__xludf.DUMMYFUNCTION("""COMPUTED_VALUE"""),"south_africa")</f>
        <v>south_africa</v>
      </c>
      <c r="F293" s="3" t="str">
        <f>IFERROR(__xludf.DUMMYFUNCTION("""COMPUTED_VALUE"""),"City of Tshwane Metropolitan Municipality")</f>
        <v>City of Tshwane Metropolitan Municipality</v>
      </c>
      <c r="G293" s="3">
        <f>IFERROR(__xludf.DUMMYFUNCTION("""COMPUTED_VALUE"""),33.0)</f>
        <v>33</v>
      </c>
      <c r="H293" s="3" t="str">
        <f>IFERROR(__xludf.DUMMYFUNCTION("""COMPUTED_VALUE"""),"female")</f>
        <v>female</v>
      </c>
      <c r="I293" s="3" t="str">
        <f>IFERROR(__xludf.DUMMYFUNCTION("""COMPUTED_VALUE"""),"over5")</f>
        <v>over5</v>
      </c>
      <c r="J293" s="3" t="str">
        <f>IFERROR(__xludf.DUMMYFUNCTION("""COMPUTED_VALUE"""),"informal")</f>
        <v>informal</v>
      </c>
      <c r="K293" s="3" t="str">
        <f>IFERROR(__xludf.DUMMYFUNCTION("""COMPUTED_VALUE"""),"primary")</f>
        <v>primary</v>
      </c>
      <c r="L293" s="3"/>
      <c r="M293" s="3" t="str">
        <f>IFERROR(__xludf.DUMMYFUNCTION("""COMPUTED_VALUE"""),"agree")</f>
        <v>agree</v>
      </c>
      <c r="N293" s="3" t="str">
        <f>IFERROR(__xludf.DUMMYFUNCTION("""COMPUTED_VALUE"""),"agree")</f>
        <v>agree</v>
      </c>
      <c r="O293" s="3" t="str">
        <f>IFERROR(__xludf.DUMMYFUNCTION("""COMPUTED_VALUE"""),"disagree")</f>
        <v>disagree</v>
      </c>
      <c r="P293" s="3"/>
      <c r="Q293" s="3" t="str">
        <f>IFERROR(__xludf.DUMMYFUNCTION("""COMPUTED_VALUE"""),"agree")</f>
        <v>agree</v>
      </c>
      <c r="R293" s="3" t="str">
        <f>IFERROR(__xludf.DUMMYFUNCTION("""COMPUTED_VALUE"""),"agree")</f>
        <v>agree</v>
      </c>
      <c r="S293" s="3" t="str">
        <f>IFERROR(__xludf.DUMMYFUNCTION("""COMPUTED_VALUE"""),"disagree")</f>
        <v>disagree</v>
      </c>
      <c r="T293" s="3" t="str">
        <f>IFERROR(__xludf.DUMMYFUNCTION("""COMPUTED_VALUE"""),"disagree")</f>
        <v>disagree</v>
      </c>
      <c r="U293" s="3" t="str">
        <f>IFERROR(__xludf.DUMMYFUNCTION("""COMPUTED_VALUE"""),"dontknow")</f>
        <v>dontknow</v>
      </c>
      <c r="V293" s="3" t="str">
        <f>IFERROR(__xludf.DUMMYFUNCTION("""COMPUTED_VALUE"""),"disagree")</f>
        <v>disagree</v>
      </c>
      <c r="W293" s="3" t="str">
        <f>IFERROR(__xludf.DUMMYFUNCTION("""COMPUTED_VALUE"""),"agree")</f>
        <v>agree</v>
      </c>
      <c r="X293" s="3" t="str">
        <f>IFERROR(__xludf.DUMMYFUNCTION("""COMPUTED_VALUE"""),"Gold")</f>
        <v>Gold</v>
      </c>
      <c r="Y293" s="3" t="str">
        <f>IFERROR(__xludf.DUMMYFUNCTION("""COMPUTED_VALUE"""),"cash")</f>
        <v>cash</v>
      </c>
      <c r="Z293" s="3" t="str">
        <f>IFERROR(__xludf.DUMMYFUNCTION("""COMPUTED_VALUE"""),"monthly")</f>
        <v>monthly</v>
      </c>
      <c r="AA293" s="3">
        <f>IFERROR(__xludf.DUMMYFUNCTION("""COMPUTED_VALUE"""),30.0)</f>
        <v>30</v>
      </c>
      <c r="AB293" s="3" t="str">
        <f>IFERROR(__xludf.DUMMYFUNCTION("""COMPUTED_VALUE"""),"assisted")</f>
        <v>assisted</v>
      </c>
      <c r="AC293" s="3" t="str">
        <f>IFERROR(__xludf.DUMMYFUNCTION("""COMPUTED_VALUE"""),"No")</f>
        <v>No</v>
      </c>
      <c r="AD293" s="3"/>
      <c r="AE293" s="3"/>
      <c r="AF293" s="3" t="str">
        <f>IFERROR(__xludf.DUMMYFUNCTION("""COMPUTED_VALUE"""),"Yes")</f>
        <v>Yes</v>
      </c>
      <c r="AG293" s="3" t="str">
        <f>IFERROR(__xludf.DUMMYFUNCTION("""COMPUTED_VALUE"""),"Yes")</f>
        <v>Yes</v>
      </c>
      <c r="AH293" s="3">
        <f>IFERROR(__xludf.DUMMYFUNCTION("""COMPUTED_VALUE"""),10.0)</f>
        <v>10</v>
      </c>
      <c r="AI293" s="3">
        <f>IFERROR(__xludf.DUMMYFUNCTION("""COMPUTED_VALUE"""),0.0)</f>
        <v>0</v>
      </c>
      <c r="AJ293" s="3">
        <f>IFERROR(__xludf.DUMMYFUNCTION("""COMPUTED_VALUE"""),0.0)</f>
        <v>0</v>
      </c>
      <c r="AK293" s="3">
        <f>IFERROR(__xludf.DUMMYFUNCTION("""COMPUTED_VALUE"""),0.0)</f>
        <v>0</v>
      </c>
      <c r="AL293" s="3">
        <f>IFERROR(__xludf.DUMMYFUNCTION("""COMPUTED_VALUE"""),1.0)</f>
        <v>1</v>
      </c>
      <c r="AM293" s="3" t="str">
        <f>IFERROR(__xludf.DUMMYFUNCTION("""COMPUTED_VALUE"""),"No")</f>
        <v>No</v>
      </c>
      <c r="AN293" s="3"/>
      <c r="AO293" s="3"/>
      <c r="AP293" s="3">
        <f>IFERROR(__xludf.DUMMYFUNCTION("""COMPUTED_VALUE"""),4.90776313E8)</f>
        <v>490776313</v>
      </c>
      <c r="AQ293" s="3" t="str">
        <f>IFERROR(__xludf.DUMMYFUNCTION("""COMPUTED_VALUE"""),"fad00d1b-af23-4969-aaba-5dd0d9eb9925")</f>
        <v>fad00d1b-af23-4969-aaba-5dd0d9eb9925</v>
      </c>
      <c r="AR293" s="3">
        <f>IFERROR(__xludf.DUMMYFUNCTION("""COMPUTED_VALUE"""),45810.34570601852)</f>
        <v>45810.34571</v>
      </c>
      <c r="AS293" s="3"/>
      <c r="AT293" s="3"/>
      <c r="AU293" s="3" t="str">
        <f>IFERROR(__xludf.DUMMYFUNCTION("""COMPUTED_VALUE"""),"submitted_via_web")</f>
        <v>submitted_via_web</v>
      </c>
      <c r="AV293" s="3"/>
      <c r="AW293" s="3" t="str">
        <f>IFERROR(__xludf.DUMMYFUNCTION("""COMPUTED_VALUE"""),"vckVTgNzM4XXtKAKNnsHpB")</f>
        <v>vckVTgNzM4XXtKAKNnsHpB</v>
      </c>
      <c r="AX293" s="3"/>
      <c r="AY293" s="3">
        <f>IFERROR(__xludf.DUMMYFUNCTION("""COMPUTED_VALUE"""),292.0)</f>
        <v>292</v>
      </c>
    </row>
    <row r="294">
      <c r="A294" s="3" t="str">
        <f>IFERROR(__xludf.DUMMYFUNCTION("""COMPUTED_VALUE"""),"Yes")</f>
        <v>Yes</v>
      </c>
      <c r="B294" s="3"/>
      <c r="C294" s="3" t="str">
        <f>IFERROR(__xludf.DUMMYFUNCTION("""COMPUTED_VALUE"""),"zimbabwe")</f>
        <v>zimbabwe</v>
      </c>
      <c r="D294" s="3"/>
      <c r="E294" s="3" t="str">
        <f>IFERROR(__xludf.DUMMYFUNCTION("""COMPUTED_VALUE"""),"south_africa")</f>
        <v>south_africa</v>
      </c>
      <c r="F294" s="3" t="str">
        <f>IFERROR(__xludf.DUMMYFUNCTION("""COMPUTED_VALUE"""),"City of Tshwane Metropolitan Municipality")</f>
        <v>City of Tshwane Metropolitan Municipality</v>
      </c>
      <c r="G294" s="3">
        <f>IFERROR(__xludf.DUMMYFUNCTION("""COMPUTED_VALUE"""),53.0)</f>
        <v>53</v>
      </c>
      <c r="H294" s="3" t="str">
        <f>IFERROR(__xludf.DUMMYFUNCTION("""COMPUTED_VALUE"""),"female")</f>
        <v>female</v>
      </c>
      <c r="I294" s="3" t="str">
        <f>IFERROR(__xludf.DUMMYFUNCTION("""COMPUTED_VALUE"""),"over5")</f>
        <v>over5</v>
      </c>
      <c r="J294" s="3" t="str">
        <f>IFERROR(__xludf.DUMMYFUNCTION("""COMPUTED_VALUE"""),"informal")</f>
        <v>informal</v>
      </c>
      <c r="K294" s="3" t="str">
        <f>IFERROR(__xludf.DUMMYFUNCTION("""COMPUTED_VALUE"""),"secondary")</f>
        <v>secondary</v>
      </c>
      <c r="L294" s="3"/>
      <c r="M294" s="3" t="str">
        <f>IFERROR(__xludf.DUMMYFUNCTION("""COMPUTED_VALUE"""),"agree")</f>
        <v>agree</v>
      </c>
      <c r="N294" s="3" t="str">
        <f>IFERROR(__xludf.DUMMYFUNCTION("""COMPUTED_VALUE"""),"agree")</f>
        <v>agree</v>
      </c>
      <c r="O294" s="3" t="str">
        <f>IFERROR(__xludf.DUMMYFUNCTION("""COMPUTED_VALUE"""),"disagree")</f>
        <v>disagree</v>
      </c>
      <c r="P294" s="3"/>
      <c r="Q294" s="3" t="str">
        <f>IFERROR(__xludf.DUMMYFUNCTION("""COMPUTED_VALUE"""),"agree")</f>
        <v>agree</v>
      </c>
      <c r="R294" s="3" t="str">
        <f>IFERROR(__xludf.DUMMYFUNCTION("""COMPUTED_VALUE"""),"disagree")</f>
        <v>disagree</v>
      </c>
      <c r="S294" s="3" t="str">
        <f>IFERROR(__xludf.DUMMYFUNCTION("""COMPUTED_VALUE"""),"disagree")</f>
        <v>disagree</v>
      </c>
      <c r="T294" s="3" t="str">
        <f>IFERROR(__xludf.DUMMYFUNCTION("""COMPUTED_VALUE"""),"dontknow")</f>
        <v>dontknow</v>
      </c>
      <c r="U294" s="3" t="str">
        <f>IFERROR(__xludf.DUMMYFUNCTION("""COMPUTED_VALUE"""),"agree")</f>
        <v>agree</v>
      </c>
      <c r="V294" s="3" t="str">
        <f>IFERROR(__xludf.DUMMYFUNCTION("""COMPUTED_VALUE"""),"dontknow")</f>
        <v>dontknow</v>
      </c>
      <c r="W294" s="3" t="str">
        <f>IFERROR(__xludf.DUMMYFUNCTION("""COMPUTED_VALUE"""),"disagree")</f>
        <v>disagree</v>
      </c>
      <c r="X294" s="3"/>
      <c r="Y294" s="3" t="str">
        <f>IFERROR(__xludf.DUMMYFUNCTION("""COMPUTED_VALUE"""),"na")</f>
        <v>na</v>
      </c>
      <c r="Z294" s="3"/>
      <c r="AA294" s="3">
        <f>IFERROR(__xludf.DUMMYFUNCTION("""COMPUTED_VALUE"""),50.0)</f>
        <v>50</v>
      </c>
      <c r="AB294" s="3" t="str">
        <f>IFERROR(__xludf.DUMMYFUNCTION("""COMPUTED_VALUE"""),"assisted")</f>
        <v>assisted</v>
      </c>
      <c r="AC294" s="3" t="str">
        <f>IFERROR(__xludf.DUMMYFUNCTION("""COMPUTED_VALUE"""),"Yes")</f>
        <v>Yes</v>
      </c>
      <c r="AD294" s="3" t="str">
        <f>IFERROR(__xludf.DUMMYFUNCTION("""COMPUTED_VALUE"""),"Gold")</f>
        <v>Gold</v>
      </c>
      <c r="AE294" s="3" t="str">
        <f>IFERROR(__xludf.DUMMYFUNCTION("""COMPUTED_VALUE"""),"Yes")</f>
        <v>Yes</v>
      </c>
      <c r="AF294" s="3" t="str">
        <f>IFERROR(__xludf.DUMMYFUNCTION("""COMPUTED_VALUE"""),"Yes")</f>
        <v>Yes</v>
      </c>
      <c r="AG294" s="3" t="str">
        <f>IFERROR(__xludf.DUMMYFUNCTION("""COMPUTED_VALUE"""),"Yes")</f>
        <v>Yes</v>
      </c>
      <c r="AH294" s="3">
        <f>IFERROR(__xludf.DUMMYFUNCTION("""COMPUTED_VALUE"""),15.0)</f>
        <v>15</v>
      </c>
      <c r="AI294" s="3">
        <f>IFERROR(__xludf.DUMMYFUNCTION("""COMPUTED_VALUE"""),0.0)</f>
        <v>0</v>
      </c>
      <c r="AJ294" s="3">
        <f>IFERROR(__xludf.DUMMYFUNCTION("""COMPUTED_VALUE"""),0.0)</f>
        <v>0</v>
      </c>
      <c r="AK294" s="3">
        <f>IFERROR(__xludf.DUMMYFUNCTION("""COMPUTED_VALUE"""),0.0)</f>
        <v>0</v>
      </c>
      <c r="AL294" s="3">
        <f>IFERROR(__xludf.DUMMYFUNCTION("""COMPUTED_VALUE"""),1.0)</f>
        <v>1</v>
      </c>
      <c r="AM294" s="3" t="str">
        <f>IFERROR(__xludf.DUMMYFUNCTION("""COMPUTED_VALUE"""),"Yes")</f>
        <v>Yes</v>
      </c>
      <c r="AN294" s="3" t="str">
        <f>IFERROR(__xludf.DUMMYFUNCTION("""COMPUTED_VALUE"""),"+27 748228729")</f>
        <v>+27 748228729</v>
      </c>
      <c r="AO294" s="3"/>
      <c r="AP294" s="3">
        <f>IFERROR(__xludf.DUMMYFUNCTION("""COMPUTED_VALUE"""),4.90787809E8)</f>
        <v>490787809</v>
      </c>
      <c r="AQ294" s="3" t="str">
        <f>IFERROR(__xludf.DUMMYFUNCTION("""COMPUTED_VALUE"""),"c747634a-de4e-4f94-8209-ce9633ddb3e9")</f>
        <v>c747634a-de4e-4f94-8209-ce9633ddb3e9</v>
      </c>
      <c r="AR294" s="3">
        <f>IFERROR(__xludf.DUMMYFUNCTION("""COMPUTED_VALUE"""),45810.3628125)</f>
        <v>45810.36281</v>
      </c>
      <c r="AS294" s="3"/>
      <c r="AT294" s="3"/>
      <c r="AU294" s="3" t="str">
        <f>IFERROR(__xludf.DUMMYFUNCTION("""COMPUTED_VALUE"""),"submitted_via_web")</f>
        <v>submitted_via_web</v>
      </c>
      <c r="AV294" s="3"/>
      <c r="AW294" s="3" t="str">
        <f>IFERROR(__xludf.DUMMYFUNCTION("""COMPUTED_VALUE"""),"vckVTgNzM4XXtKAKNnsHpB")</f>
        <v>vckVTgNzM4XXtKAKNnsHpB</v>
      </c>
      <c r="AX294" s="3"/>
      <c r="AY294" s="3">
        <f>IFERROR(__xludf.DUMMYFUNCTION("""COMPUTED_VALUE"""),293.0)</f>
        <v>293</v>
      </c>
    </row>
    <row r="295">
      <c r="A295" s="3" t="str">
        <f>IFERROR(__xludf.DUMMYFUNCTION("""COMPUTED_VALUE"""),"Yes")</f>
        <v>Yes</v>
      </c>
      <c r="B295" s="3"/>
      <c r="C295" s="3" t="str">
        <f>IFERROR(__xludf.DUMMYFUNCTION("""COMPUTED_VALUE"""),"zimbabwe")</f>
        <v>zimbabwe</v>
      </c>
      <c r="D295" s="3"/>
      <c r="E295" s="3" t="str">
        <f>IFERROR(__xludf.DUMMYFUNCTION("""COMPUTED_VALUE"""),"south_africa")</f>
        <v>south_africa</v>
      </c>
      <c r="F295" s="3" t="str">
        <f>IFERROR(__xludf.DUMMYFUNCTION("""COMPUTED_VALUE"""),"City of Ekurhuleni Metropolitan Municipality")</f>
        <v>City of Ekurhuleni Metropolitan Municipality</v>
      </c>
      <c r="G295" s="3">
        <f>IFERROR(__xludf.DUMMYFUNCTION("""COMPUTED_VALUE"""),42.0)</f>
        <v>42</v>
      </c>
      <c r="H295" s="3" t="str">
        <f>IFERROR(__xludf.DUMMYFUNCTION("""COMPUTED_VALUE"""),"female")</f>
        <v>female</v>
      </c>
      <c r="I295" s="3" t="str">
        <f>IFERROR(__xludf.DUMMYFUNCTION("""COMPUTED_VALUE"""),"over5")</f>
        <v>over5</v>
      </c>
      <c r="J295" s="3" t="str">
        <f>IFERROR(__xludf.DUMMYFUNCTION("""COMPUTED_VALUE"""),"unemployed")</f>
        <v>unemployed</v>
      </c>
      <c r="K295" s="3" t="str">
        <f>IFERROR(__xludf.DUMMYFUNCTION("""COMPUTED_VALUE"""),"secondary")</f>
        <v>secondary</v>
      </c>
      <c r="L295" s="3"/>
      <c r="M295" s="3" t="str">
        <f>IFERROR(__xludf.DUMMYFUNCTION("""COMPUTED_VALUE"""),"agree")</f>
        <v>agree</v>
      </c>
      <c r="N295" s="3" t="str">
        <f>IFERROR(__xludf.DUMMYFUNCTION("""COMPUTED_VALUE"""),"agree")</f>
        <v>agree</v>
      </c>
      <c r="O295" s="3" t="str">
        <f>IFERROR(__xludf.DUMMYFUNCTION("""COMPUTED_VALUE"""),"dontknow")</f>
        <v>dontknow</v>
      </c>
      <c r="P295" s="3"/>
      <c r="Q295" s="3" t="str">
        <f>IFERROR(__xludf.DUMMYFUNCTION("""COMPUTED_VALUE"""),"agree")</f>
        <v>agree</v>
      </c>
      <c r="R295" s="3" t="str">
        <f>IFERROR(__xludf.DUMMYFUNCTION("""COMPUTED_VALUE"""),"agree")</f>
        <v>agree</v>
      </c>
      <c r="S295" s="3" t="str">
        <f>IFERROR(__xludf.DUMMYFUNCTION("""COMPUTED_VALUE"""),"disagree")</f>
        <v>disagree</v>
      </c>
      <c r="T295" s="3" t="str">
        <f>IFERROR(__xludf.DUMMYFUNCTION("""COMPUTED_VALUE"""),"agree")</f>
        <v>agree</v>
      </c>
      <c r="U295" s="3" t="str">
        <f>IFERROR(__xludf.DUMMYFUNCTION("""COMPUTED_VALUE"""),"disagree")</f>
        <v>disagree</v>
      </c>
      <c r="V295" s="3" t="str">
        <f>IFERROR(__xludf.DUMMYFUNCTION("""COMPUTED_VALUE"""),"agree")</f>
        <v>agree</v>
      </c>
      <c r="W295" s="3" t="str">
        <f>IFERROR(__xludf.DUMMYFUNCTION("""COMPUTED_VALUE"""),"agree")</f>
        <v>agree</v>
      </c>
      <c r="X295" s="3" t="str">
        <f>IFERROR(__xludf.DUMMYFUNCTION("""COMPUTED_VALUE"""),"Gold")</f>
        <v>Gold</v>
      </c>
      <c r="Y295" s="3" t="str">
        <f>IFERROR(__xludf.DUMMYFUNCTION("""COMPUTED_VALUE"""),"cash")</f>
        <v>cash</v>
      </c>
      <c r="Z295" s="3" t="str">
        <f>IFERROR(__xludf.DUMMYFUNCTION("""COMPUTED_VALUE"""),"quarterly")</f>
        <v>quarterly</v>
      </c>
      <c r="AA295" s="3">
        <f>IFERROR(__xludf.DUMMYFUNCTION("""COMPUTED_VALUE"""),10.0)</f>
        <v>10</v>
      </c>
      <c r="AB295" s="3" t="str">
        <f>IFERROR(__xludf.DUMMYFUNCTION("""COMPUTED_VALUE"""),"assisted")</f>
        <v>assisted</v>
      </c>
      <c r="AC295" s="3" t="str">
        <f>IFERROR(__xludf.DUMMYFUNCTION("""COMPUTED_VALUE"""),"I am not an employer")</f>
        <v>I am not an employer</v>
      </c>
      <c r="AD295" s="3"/>
      <c r="AE295" s="3"/>
      <c r="AF295" s="3" t="str">
        <f>IFERROR(__xludf.DUMMYFUNCTION("""COMPUTED_VALUE"""),"Yes")</f>
        <v>Yes</v>
      </c>
      <c r="AG295" s="3" t="str">
        <f>IFERROR(__xludf.DUMMYFUNCTION("""COMPUTED_VALUE"""),"Yes")</f>
        <v>Yes</v>
      </c>
      <c r="AH295" s="3">
        <f>IFERROR(__xludf.DUMMYFUNCTION("""COMPUTED_VALUE"""),4000.0)</f>
        <v>4000</v>
      </c>
      <c r="AI295" s="3">
        <f>IFERROR(__xludf.DUMMYFUNCTION("""COMPUTED_VALUE"""),0.0)</f>
        <v>0</v>
      </c>
      <c r="AJ295" s="3">
        <f>IFERROR(__xludf.DUMMYFUNCTION("""COMPUTED_VALUE"""),0.0)</f>
        <v>0</v>
      </c>
      <c r="AK295" s="3">
        <f>IFERROR(__xludf.DUMMYFUNCTION("""COMPUTED_VALUE"""),0.0)</f>
        <v>0</v>
      </c>
      <c r="AL295" s="3">
        <f>IFERROR(__xludf.DUMMYFUNCTION("""COMPUTED_VALUE"""),1.0)</f>
        <v>1</v>
      </c>
      <c r="AM295" s="3" t="str">
        <f>IFERROR(__xludf.DUMMYFUNCTION("""COMPUTED_VALUE"""),"Yes")</f>
        <v>Yes</v>
      </c>
      <c r="AN295" s="3">
        <f>IFERROR(__xludf.DUMMYFUNCTION("""COMPUTED_VALUE"""),8.44491333E8)</f>
        <v>844491333</v>
      </c>
      <c r="AO295" s="3"/>
      <c r="AP295" s="3">
        <f>IFERROR(__xludf.DUMMYFUNCTION("""COMPUTED_VALUE"""),4.9078864E8)</f>
        <v>490788640</v>
      </c>
      <c r="AQ295" s="3" t="str">
        <f>IFERROR(__xludf.DUMMYFUNCTION("""COMPUTED_VALUE"""),"016580cd-2b9f-4a7d-b96e-bab800de0e05")</f>
        <v>016580cd-2b9f-4a7d-b96e-bab800de0e05</v>
      </c>
      <c r="AR295" s="3">
        <f>IFERROR(__xludf.DUMMYFUNCTION("""COMPUTED_VALUE"""),45810.36376157407)</f>
        <v>45810.36376</v>
      </c>
      <c r="AS295" s="3"/>
      <c r="AT295" s="3"/>
      <c r="AU295" s="3" t="str">
        <f>IFERROR(__xludf.DUMMYFUNCTION("""COMPUTED_VALUE"""),"submitted_via_web")</f>
        <v>submitted_via_web</v>
      </c>
      <c r="AV295" s="3"/>
      <c r="AW295" s="3" t="str">
        <f>IFERROR(__xludf.DUMMYFUNCTION("""COMPUTED_VALUE"""),"vckVTgNzM4XXtKAKNnsHpB")</f>
        <v>vckVTgNzM4XXtKAKNnsHpB</v>
      </c>
      <c r="AX295" s="3"/>
      <c r="AY295" s="3">
        <f>IFERROR(__xludf.DUMMYFUNCTION("""COMPUTED_VALUE"""),294.0)</f>
        <v>294</v>
      </c>
    </row>
    <row r="296">
      <c r="A296" s="3" t="str">
        <f>IFERROR(__xludf.DUMMYFUNCTION("""COMPUTED_VALUE"""),"Yes")</f>
        <v>Yes</v>
      </c>
      <c r="B296" s="3"/>
      <c r="C296" s="3" t="str">
        <f>IFERROR(__xludf.DUMMYFUNCTION("""COMPUTED_VALUE"""),"zimbabwe")</f>
        <v>zimbabwe</v>
      </c>
      <c r="D296" s="3"/>
      <c r="E296" s="3" t="str">
        <f>IFERROR(__xludf.DUMMYFUNCTION("""COMPUTED_VALUE"""),"south_africa")</f>
        <v>south_africa</v>
      </c>
      <c r="F296" s="3" t="str">
        <f>IFERROR(__xludf.DUMMYFUNCTION("""COMPUTED_VALUE"""),"City of Tshwane Metropolitan Municipality")</f>
        <v>City of Tshwane Metropolitan Municipality</v>
      </c>
      <c r="G296" s="3">
        <f>IFERROR(__xludf.DUMMYFUNCTION("""COMPUTED_VALUE"""),47.0)</f>
        <v>47</v>
      </c>
      <c r="H296" s="3" t="str">
        <f>IFERROR(__xludf.DUMMYFUNCTION("""COMPUTED_VALUE"""),"female")</f>
        <v>female</v>
      </c>
      <c r="I296" s="3" t="str">
        <f>IFERROR(__xludf.DUMMYFUNCTION("""COMPUTED_VALUE"""),"1to5")</f>
        <v>1to5</v>
      </c>
      <c r="J296" s="3" t="str">
        <f>IFERROR(__xludf.DUMMYFUNCTION("""COMPUTED_VALUE"""),"unemployed")</f>
        <v>unemployed</v>
      </c>
      <c r="K296" s="3" t="str">
        <f>IFERROR(__xludf.DUMMYFUNCTION("""COMPUTED_VALUE"""),"secondary")</f>
        <v>secondary</v>
      </c>
      <c r="L296" s="3"/>
      <c r="M296" s="3" t="str">
        <f>IFERROR(__xludf.DUMMYFUNCTION("""COMPUTED_VALUE"""),"agree")</f>
        <v>agree</v>
      </c>
      <c r="N296" s="3" t="str">
        <f>IFERROR(__xludf.DUMMYFUNCTION("""COMPUTED_VALUE"""),"agree")</f>
        <v>agree</v>
      </c>
      <c r="O296" s="3" t="str">
        <f>IFERROR(__xludf.DUMMYFUNCTION("""COMPUTED_VALUE"""),"agree")</f>
        <v>agree</v>
      </c>
      <c r="P296" s="3"/>
      <c r="Q296" s="3" t="str">
        <f>IFERROR(__xludf.DUMMYFUNCTION("""COMPUTED_VALUE"""),"agree")</f>
        <v>agree</v>
      </c>
      <c r="R296" s="3" t="str">
        <f>IFERROR(__xludf.DUMMYFUNCTION("""COMPUTED_VALUE"""),"agree")</f>
        <v>agree</v>
      </c>
      <c r="S296" s="3" t="str">
        <f>IFERROR(__xludf.DUMMYFUNCTION("""COMPUTED_VALUE"""),"agree")</f>
        <v>agree</v>
      </c>
      <c r="T296" s="3" t="str">
        <f>IFERROR(__xludf.DUMMYFUNCTION("""COMPUTED_VALUE"""),"agree")</f>
        <v>agree</v>
      </c>
      <c r="U296" s="3" t="str">
        <f>IFERROR(__xludf.DUMMYFUNCTION("""COMPUTED_VALUE"""),"agree")</f>
        <v>agree</v>
      </c>
      <c r="V296" s="3" t="str">
        <f>IFERROR(__xludf.DUMMYFUNCTION("""COMPUTED_VALUE"""),"agree")</f>
        <v>agree</v>
      </c>
      <c r="W296" s="3" t="str">
        <f>IFERROR(__xludf.DUMMYFUNCTION("""COMPUTED_VALUE"""),"agree")</f>
        <v>agree</v>
      </c>
      <c r="X296" s="3" t="str">
        <f>IFERROR(__xludf.DUMMYFUNCTION("""COMPUTED_VALUE"""),"Gold")</f>
        <v>Gold</v>
      </c>
      <c r="Y296" s="3" t="str">
        <f>IFERROR(__xludf.DUMMYFUNCTION("""COMPUTED_VALUE"""),"cash")</f>
        <v>cash</v>
      </c>
      <c r="Z296" s="3" t="str">
        <f>IFERROR(__xludf.DUMMYFUNCTION("""COMPUTED_VALUE"""),"once")</f>
        <v>once</v>
      </c>
      <c r="AA296" s="3">
        <f>IFERROR(__xludf.DUMMYFUNCTION("""COMPUTED_VALUE"""),20.0)</f>
        <v>20</v>
      </c>
      <c r="AB296" s="3" t="str">
        <f>IFERROR(__xludf.DUMMYFUNCTION("""COMPUTED_VALUE"""),"assisted")</f>
        <v>assisted</v>
      </c>
      <c r="AC296" s="3" t="str">
        <f>IFERROR(__xludf.DUMMYFUNCTION("""COMPUTED_VALUE"""),"Yes")</f>
        <v>Yes</v>
      </c>
      <c r="AD296" s="3" t="str">
        <f>IFERROR(__xludf.DUMMYFUNCTION("""COMPUTED_VALUE"""),"Gold")</f>
        <v>Gold</v>
      </c>
      <c r="AE296" s="3" t="str">
        <f>IFERROR(__xludf.DUMMYFUNCTION("""COMPUTED_VALUE"""),"Yes")</f>
        <v>Yes</v>
      </c>
      <c r="AF296" s="3" t="str">
        <f>IFERROR(__xludf.DUMMYFUNCTION("""COMPUTED_VALUE"""),"Yes")</f>
        <v>Yes</v>
      </c>
      <c r="AG296" s="3" t="str">
        <f>IFERROR(__xludf.DUMMYFUNCTION("""COMPUTED_VALUE"""),"Yes")</f>
        <v>Yes</v>
      </c>
      <c r="AH296" s="3">
        <f>IFERROR(__xludf.DUMMYFUNCTION("""COMPUTED_VALUE"""),10.0)</f>
        <v>10</v>
      </c>
      <c r="AI296" s="3">
        <f>IFERROR(__xludf.DUMMYFUNCTION("""COMPUTED_VALUE"""),0.0)</f>
        <v>0</v>
      </c>
      <c r="AJ296" s="3">
        <f>IFERROR(__xludf.DUMMYFUNCTION("""COMPUTED_VALUE"""),0.0)</f>
        <v>0</v>
      </c>
      <c r="AK296" s="3">
        <f>IFERROR(__xludf.DUMMYFUNCTION("""COMPUTED_VALUE"""),0.0)</f>
        <v>0</v>
      </c>
      <c r="AL296" s="3">
        <f>IFERROR(__xludf.DUMMYFUNCTION("""COMPUTED_VALUE"""),1.0)</f>
        <v>1</v>
      </c>
      <c r="AM296" s="3" t="str">
        <f>IFERROR(__xludf.DUMMYFUNCTION("""COMPUTED_VALUE"""),"No")</f>
        <v>No</v>
      </c>
      <c r="AN296" s="3"/>
      <c r="AO296" s="3"/>
      <c r="AP296" s="3">
        <f>IFERROR(__xludf.DUMMYFUNCTION("""COMPUTED_VALUE"""),4.90791151E8)</f>
        <v>490791151</v>
      </c>
      <c r="AQ296" s="3" t="str">
        <f>IFERROR(__xludf.DUMMYFUNCTION("""COMPUTED_VALUE"""),"296e2ef7-540a-4f29-892f-a1d4d01c5745")</f>
        <v>296e2ef7-540a-4f29-892f-a1d4d01c5745</v>
      </c>
      <c r="AR296" s="3">
        <f>IFERROR(__xludf.DUMMYFUNCTION("""COMPUTED_VALUE"""),45810.36685185185)</f>
        <v>45810.36685</v>
      </c>
      <c r="AS296" s="3"/>
      <c r="AT296" s="3"/>
      <c r="AU296" s="3" t="str">
        <f>IFERROR(__xludf.DUMMYFUNCTION("""COMPUTED_VALUE"""),"submitted_via_web")</f>
        <v>submitted_via_web</v>
      </c>
      <c r="AV296" s="3"/>
      <c r="AW296" s="3" t="str">
        <f>IFERROR(__xludf.DUMMYFUNCTION("""COMPUTED_VALUE"""),"vckVTgNzM4XXtKAKNnsHpB")</f>
        <v>vckVTgNzM4XXtKAKNnsHpB</v>
      </c>
      <c r="AX296" s="3"/>
      <c r="AY296" s="3">
        <f>IFERROR(__xludf.DUMMYFUNCTION("""COMPUTED_VALUE"""),295.0)</f>
        <v>295</v>
      </c>
    </row>
    <row r="297">
      <c r="A297" s="3" t="str">
        <f>IFERROR(__xludf.DUMMYFUNCTION("""COMPUTED_VALUE"""),"Yes")</f>
        <v>Yes</v>
      </c>
      <c r="B297" s="3"/>
      <c r="C297" s="3" t="str">
        <f>IFERROR(__xludf.DUMMYFUNCTION("""COMPUTED_VALUE"""),"zimbabwe")</f>
        <v>zimbabwe</v>
      </c>
      <c r="D297" s="3"/>
      <c r="E297" s="3" t="str">
        <f>IFERROR(__xludf.DUMMYFUNCTION("""COMPUTED_VALUE"""),"south_africa")</f>
        <v>south_africa</v>
      </c>
      <c r="F297" s="3" t="str">
        <f>IFERROR(__xludf.DUMMYFUNCTION("""COMPUTED_VALUE"""),"City of Tshwane Metropolitan Municipality")</f>
        <v>City of Tshwane Metropolitan Municipality</v>
      </c>
      <c r="G297" s="3">
        <f>IFERROR(__xludf.DUMMYFUNCTION("""COMPUTED_VALUE"""),45.0)</f>
        <v>45</v>
      </c>
      <c r="H297" s="3" t="str">
        <f>IFERROR(__xludf.DUMMYFUNCTION("""COMPUTED_VALUE"""),"female")</f>
        <v>female</v>
      </c>
      <c r="I297" s="3" t="str">
        <f>IFERROR(__xludf.DUMMYFUNCTION("""COMPUTED_VALUE"""),"1to5")</f>
        <v>1to5</v>
      </c>
      <c r="J297" s="3" t="str">
        <f>IFERROR(__xludf.DUMMYFUNCTION("""COMPUTED_VALUE"""),"unemployed")</f>
        <v>unemployed</v>
      </c>
      <c r="K297" s="3" t="str">
        <f>IFERROR(__xludf.DUMMYFUNCTION("""COMPUTED_VALUE"""),"secondary")</f>
        <v>secondary</v>
      </c>
      <c r="L297" s="3"/>
      <c r="M297" s="3" t="str">
        <f>IFERROR(__xludf.DUMMYFUNCTION("""COMPUTED_VALUE"""),"agree")</f>
        <v>agree</v>
      </c>
      <c r="N297" s="3" t="str">
        <f>IFERROR(__xludf.DUMMYFUNCTION("""COMPUTED_VALUE"""),"agree")</f>
        <v>agree</v>
      </c>
      <c r="O297" s="3" t="str">
        <f>IFERROR(__xludf.DUMMYFUNCTION("""COMPUTED_VALUE"""),"agree")</f>
        <v>agree</v>
      </c>
      <c r="P297" s="3"/>
      <c r="Q297" s="3" t="str">
        <f>IFERROR(__xludf.DUMMYFUNCTION("""COMPUTED_VALUE"""),"agree")</f>
        <v>agree</v>
      </c>
      <c r="R297" s="3" t="str">
        <f>IFERROR(__xludf.DUMMYFUNCTION("""COMPUTED_VALUE"""),"agree")</f>
        <v>agree</v>
      </c>
      <c r="S297" s="3" t="str">
        <f>IFERROR(__xludf.DUMMYFUNCTION("""COMPUTED_VALUE"""),"disagree")</f>
        <v>disagree</v>
      </c>
      <c r="T297" s="3" t="str">
        <f>IFERROR(__xludf.DUMMYFUNCTION("""COMPUTED_VALUE"""),"disagree")</f>
        <v>disagree</v>
      </c>
      <c r="U297" s="3" t="str">
        <f>IFERROR(__xludf.DUMMYFUNCTION("""COMPUTED_VALUE"""),"agree")</f>
        <v>agree</v>
      </c>
      <c r="V297" s="3" t="str">
        <f>IFERROR(__xludf.DUMMYFUNCTION("""COMPUTED_VALUE"""),"agree")</f>
        <v>agree</v>
      </c>
      <c r="W297" s="3" t="str">
        <f>IFERROR(__xludf.DUMMYFUNCTION("""COMPUTED_VALUE"""),"agree")</f>
        <v>agree</v>
      </c>
      <c r="X297" s="3" t="str">
        <f>IFERROR(__xludf.DUMMYFUNCTION("""COMPUTED_VALUE"""),"Gold")</f>
        <v>Gold</v>
      </c>
      <c r="Y297" s="3" t="str">
        <f>IFERROR(__xludf.DUMMYFUNCTION("""COMPUTED_VALUE"""),"cash")</f>
        <v>cash</v>
      </c>
      <c r="Z297" s="3" t="str">
        <f>IFERROR(__xludf.DUMMYFUNCTION("""COMPUTED_VALUE"""),"monthly")</f>
        <v>monthly</v>
      </c>
      <c r="AA297" s="3">
        <f>IFERROR(__xludf.DUMMYFUNCTION("""COMPUTED_VALUE"""),30.0)</f>
        <v>30</v>
      </c>
      <c r="AB297" s="3" t="str">
        <f>IFERROR(__xludf.DUMMYFUNCTION("""COMPUTED_VALUE"""),"employer")</f>
        <v>employer</v>
      </c>
      <c r="AC297" s="3" t="str">
        <f>IFERROR(__xludf.DUMMYFUNCTION("""COMPUTED_VALUE"""),"I am not an employer")</f>
        <v>I am not an employer</v>
      </c>
      <c r="AD297" s="3"/>
      <c r="AE297" s="3"/>
      <c r="AF297" s="3" t="str">
        <f>IFERROR(__xludf.DUMMYFUNCTION("""COMPUTED_VALUE"""),"Yes")</f>
        <v>Yes</v>
      </c>
      <c r="AG297" s="3" t="str">
        <f>IFERROR(__xludf.DUMMYFUNCTION("""COMPUTED_VALUE"""),"No")</f>
        <v>No</v>
      </c>
      <c r="AH297" s="3"/>
      <c r="AI297" s="3">
        <f>IFERROR(__xludf.DUMMYFUNCTION("""COMPUTED_VALUE"""),0.0)</f>
        <v>0</v>
      </c>
      <c r="AJ297" s="3">
        <f>IFERROR(__xludf.DUMMYFUNCTION("""COMPUTED_VALUE"""),0.0)</f>
        <v>0</v>
      </c>
      <c r="AK297" s="3">
        <f>IFERROR(__xludf.DUMMYFUNCTION("""COMPUTED_VALUE"""),0.0)</f>
        <v>0</v>
      </c>
      <c r="AL297" s="3">
        <f>IFERROR(__xludf.DUMMYFUNCTION("""COMPUTED_VALUE"""),1.0)</f>
        <v>1</v>
      </c>
      <c r="AM297" s="3" t="str">
        <f>IFERROR(__xludf.DUMMYFUNCTION("""COMPUTED_VALUE"""),"No")</f>
        <v>No</v>
      </c>
      <c r="AN297" s="3"/>
      <c r="AO297" s="3"/>
      <c r="AP297" s="3">
        <f>IFERROR(__xludf.DUMMYFUNCTION("""COMPUTED_VALUE"""),4.90795964E8)</f>
        <v>490795964</v>
      </c>
      <c r="AQ297" s="3" t="str">
        <f>IFERROR(__xludf.DUMMYFUNCTION("""COMPUTED_VALUE"""),"a3bf8809-9a1e-43ae-8b08-f5f2c0d851d2")</f>
        <v>a3bf8809-9a1e-43ae-8b08-f5f2c0d851d2</v>
      </c>
      <c r="AR297" s="3">
        <f>IFERROR(__xludf.DUMMYFUNCTION("""COMPUTED_VALUE"""),45810.37263888889)</f>
        <v>45810.37264</v>
      </c>
      <c r="AS297" s="3"/>
      <c r="AT297" s="3"/>
      <c r="AU297" s="3" t="str">
        <f>IFERROR(__xludf.DUMMYFUNCTION("""COMPUTED_VALUE"""),"submitted_via_web")</f>
        <v>submitted_via_web</v>
      </c>
      <c r="AV297" s="3"/>
      <c r="AW297" s="3" t="str">
        <f>IFERROR(__xludf.DUMMYFUNCTION("""COMPUTED_VALUE"""),"vckVTgNzM4XXtKAKNnsHpB")</f>
        <v>vckVTgNzM4XXtKAKNnsHpB</v>
      </c>
      <c r="AX297" s="3"/>
      <c r="AY297" s="3">
        <f>IFERROR(__xludf.DUMMYFUNCTION("""COMPUTED_VALUE"""),296.0)</f>
        <v>296</v>
      </c>
    </row>
    <row r="298">
      <c r="A298" s="3" t="str">
        <f>IFERROR(__xludf.DUMMYFUNCTION("""COMPUTED_VALUE"""),"Yes")</f>
        <v>Yes</v>
      </c>
      <c r="B298" s="3"/>
      <c r="C298" s="3" t="str">
        <f>IFERROR(__xludf.DUMMYFUNCTION("""COMPUTED_VALUE"""),"zimbabwe")</f>
        <v>zimbabwe</v>
      </c>
      <c r="D298" s="3"/>
      <c r="E298" s="3" t="str">
        <f>IFERROR(__xludf.DUMMYFUNCTION("""COMPUTED_VALUE"""),"south_africa")</f>
        <v>south_africa</v>
      </c>
      <c r="F298" s="3" t="str">
        <f>IFERROR(__xludf.DUMMYFUNCTION("""COMPUTED_VALUE"""),"City of Tshwane Metropolitan Municipality")</f>
        <v>City of Tshwane Metropolitan Municipality</v>
      </c>
      <c r="G298" s="3">
        <f>IFERROR(__xludf.DUMMYFUNCTION("""COMPUTED_VALUE"""),36.0)</f>
        <v>36</v>
      </c>
      <c r="H298" s="3" t="str">
        <f>IFERROR(__xludf.DUMMYFUNCTION("""COMPUTED_VALUE"""),"male")</f>
        <v>male</v>
      </c>
      <c r="I298" s="3" t="str">
        <f>IFERROR(__xludf.DUMMYFUNCTION("""COMPUTED_VALUE"""),"over5")</f>
        <v>over5</v>
      </c>
      <c r="J298" s="3" t="str">
        <f>IFERROR(__xludf.DUMMYFUNCTION("""COMPUTED_VALUE"""),"informal")</f>
        <v>informal</v>
      </c>
      <c r="K298" s="3" t="str">
        <f>IFERROR(__xludf.DUMMYFUNCTION("""COMPUTED_VALUE"""),"secondary")</f>
        <v>secondary</v>
      </c>
      <c r="L298" s="3"/>
      <c r="M298" s="3" t="str">
        <f>IFERROR(__xludf.DUMMYFUNCTION("""COMPUTED_VALUE"""),"agree")</f>
        <v>agree</v>
      </c>
      <c r="N298" s="3" t="str">
        <f>IFERROR(__xludf.DUMMYFUNCTION("""COMPUTED_VALUE"""),"agree")</f>
        <v>agree</v>
      </c>
      <c r="O298" s="3" t="str">
        <f>IFERROR(__xludf.DUMMYFUNCTION("""COMPUTED_VALUE"""),"agree")</f>
        <v>agree</v>
      </c>
      <c r="P298" s="3"/>
      <c r="Q298" s="3" t="str">
        <f>IFERROR(__xludf.DUMMYFUNCTION("""COMPUTED_VALUE"""),"agree")</f>
        <v>agree</v>
      </c>
      <c r="R298" s="3" t="str">
        <f>IFERROR(__xludf.DUMMYFUNCTION("""COMPUTED_VALUE"""),"agree")</f>
        <v>agree</v>
      </c>
      <c r="S298" s="3" t="str">
        <f>IFERROR(__xludf.DUMMYFUNCTION("""COMPUTED_VALUE"""),"disagree")</f>
        <v>disagree</v>
      </c>
      <c r="T298" s="3" t="str">
        <f>IFERROR(__xludf.DUMMYFUNCTION("""COMPUTED_VALUE"""),"disagree")</f>
        <v>disagree</v>
      </c>
      <c r="U298" s="3" t="str">
        <f>IFERROR(__xludf.DUMMYFUNCTION("""COMPUTED_VALUE"""),"disagree")</f>
        <v>disagree</v>
      </c>
      <c r="V298" s="3" t="str">
        <f>IFERROR(__xludf.DUMMYFUNCTION("""COMPUTED_VALUE"""),"disagree")</f>
        <v>disagree</v>
      </c>
      <c r="W298" s="3" t="str">
        <f>IFERROR(__xludf.DUMMYFUNCTION("""COMPUTED_VALUE"""),"disagree")</f>
        <v>disagree</v>
      </c>
      <c r="X298" s="3" t="str">
        <f>IFERROR(__xludf.DUMMYFUNCTION("""COMPUTED_VALUE"""),"Gold")</f>
        <v>Gold</v>
      </c>
      <c r="Y298" s="3" t="str">
        <f>IFERROR(__xludf.DUMMYFUNCTION("""COMPUTED_VALUE"""),"cash")</f>
        <v>cash</v>
      </c>
      <c r="Z298" s="3" t="str">
        <f>IFERROR(__xludf.DUMMYFUNCTION("""COMPUTED_VALUE"""),"monthly")</f>
        <v>monthly</v>
      </c>
      <c r="AA298" s="3">
        <f>IFERROR(__xludf.DUMMYFUNCTION("""COMPUTED_VALUE"""),10.0)</f>
        <v>10</v>
      </c>
      <c r="AB298" s="3" t="str">
        <f>IFERROR(__xludf.DUMMYFUNCTION("""COMPUTED_VALUE"""),"employer")</f>
        <v>employer</v>
      </c>
      <c r="AC298" s="3" t="str">
        <f>IFERROR(__xludf.DUMMYFUNCTION("""COMPUTED_VALUE"""),"Yes")</f>
        <v>Yes</v>
      </c>
      <c r="AD298" s="3" t="str">
        <f>IFERROR(__xludf.DUMMYFUNCTION("""COMPUTED_VALUE"""),"Gold")</f>
        <v>Gold</v>
      </c>
      <c r="AE298" s="3" t="str">
        <f>IFERROR(__xludf.DUMMYFUNCTION("""COMPUTED_VALUE"""),"Yes")</f>
        <v>Yes</v>
      </c>
      <c r="AF298" s="3" t="str">
        <f>IFERROR(__xludf.DUMMYFUNCTION("""COMPUTED_VALUE"""),"Yes")</f>
        <v>Yes</v>
      </c>
      <c r="AG298" s="3" t="str">
        <f>IFERROR(__xludf.DUMMYFUNCTION("""COMPUTED_VALUE"""),"No")</f>
        <v>No</v>
      </c>
      <c r="AH298" s="3"/>
      <c r="AI298" s="3">
        <f>IFERROR(__xludf.DUMMYFUNCTION("""COMPUTED_VALUE"""),0.0)</f>
        <v>0</v>
      </c>
      <c r="AJ298" s="3">
        <f>IFERROR(__xludf.DUMMYFUNCTION("""COMPUTED_VALUE"""),0.0)</f>
        <v>0</v>
      </c>
      <c r="AK298" s="3">
        <f>IFERROR(__xludf.DUMMYFUNCTION("""COMPUTED_VALUE"""),0.0)</f>
        <v>0</v>
      </c>
      <c r="AL298" s="3">
        <f>IFERROR(__xludf.DUMMYFUNCTION("""COMPUTED_VALUE"""),1.0)</f>
        <v>1</v>
      </c>
      <c r="AM298" s="3" t="str">
        <f>IFERROR(__xludf.DUMMYFUNCTION("""COMPUTED_VALUE"""),"No")</f>
        <v>No</v>
      </c>
      <c r="AN298" s="3"/>
      <c r="AO298" s="3"/>
      <c r="AP298" s="3">
        <f>IFERROR(__xludf.DUMMYFUNCTION("""COMPUTED_VALUE"""),4.9080085E8)</f>
        <v>490800850</v>
      </c>
      <c r="AQ298" s="3" t="str">
        <f>IFERROR(__xludf.DUMMYFUNCTION("""COMPUTED_VALUE"""),"2ea11c42-2156-4ce8-99bf-95ca1055c7ff")</f>
        <v>2ea11c42-2156-4ce8-99bf-95ca1055c7ff</v>
      </c>
      <c r="AR298" s="3">
        <f>IFERROR(__xludf.DUMMYFUNCTION("""COMPUTED_VALUE"""),45810.378842592596)</f>
        <v>45810.37884</v>
      </c>
      <c r="AS298" s="3"/>
      <c r="AT298" s="3"/>
      <c r="AU298" s="3" t="str">
        <f>IFERROR(__xludf.DUMMYFUNCTION("""COMPUTED_VALUE"""),"submitted_via_web")</f>
        <v>submitted_via_web</v>
      </c>
      <c r="AV298" s="3"/>
      <c r="AW298" s="3" t="str">
        <f>IFERROR(__xludf.DUMMYFUNCTION("""COMPUTED_VALUE"""),"vckVTgNzM4XXtKAKNnsHpB")</f>
        <v>vckVTgNzM4XXtKAKNnsHpB</v>
      </c>
      <c r="AX298" s="3"/>
      <c r="AY298" s="3">
        <f>IFERROR(__xludf.DUMMYFUNCTION("""COMPUTED_VALUE"""),297.0)</f>
        <v>297</v>
      </c>
    </row>
    <row r="299">
      <c r="A299" s="3" t="str">
        <f>IFERROR(__xludf.DUMMYFUNCTION("""COMPUTED_VALUE"""),"Yes")</f>
        <v>Yes</v>
      </c>
      <c r="B299" s="3"/>
      <c r="C299" s="3" t="str">
        <f>IFERROR(__xludf.DUMMYFUNCTION("""COMPUTED_VALUE"""),"malawi")</f>
        <v>malawi</v>
      </c>
      <c r="D299" s="3"/>
      <c r="E299" s="3" t="str">
        <f>IFERROR(__xludf.DUMMYFUNCTION("""COMPUTED_VALUE"""),"south_africa")</f>
        <v>south_africa</v>
      </c>
      <c r="F299" s="3" t="str">
        <f>IFERROR(__xludf.DUMMYFUNCTION("""COMPUTED_VALUE"""),"City of Tshwane Metropolitan Municipality")</f>
        <v>City of Tshwane Metropolitan Municipality</v>
      </c>
      <c r="G299" s="3">
        <f>IFERROR(__xludf.DUMMYFUNCTION("""COMPUTED_VALUE"""),33.0)</f>
        <v>33</v>
      </c>
      <c r="H299" s="3" t="str">
        <f>IFERROR(__xludf.DUMMYFUNCTION("""COMPUTED_VALUE"""),"female")</f>
        <v>female</v>
      </c>
      <c r="I299" s="3" t="str">
        <f>IFERROR(__xludf.DUMMYFUNCTION("""COMPUTED_VALUE"""),"over5")</f>
        <v>over5</v>
      </c>
      <c r="J299" s="3" t="str">
        <f>IFERROR(__xludf.DUMMYFUNCTION("""COMPUTED_VALUE"""),"informal")</f>
        <v>informal</v>
      </c>
      <c r="K299" s="3" t="str">
        <f>IFERROR(__xludf.DUMMYFUNCTION("""COMPUTED_VALUE"""),"secondary")</f>
        <v>secondary</v>
      </c>
      <c r="L299" s="3"/>
      <c r="M299" s="3" t="str">
        <f>IFERROR(__xludf.DUMMYFUNCTION("""COMPUTED_VALUE"""),"agree")</f>
        <v>agree</v>
      </c>
      <c r="N299" s="3" t="str">
        <f>IFERROR(__xludf.DUMMYFUNCTION("""COMPUTED_VALUE"""),"agree")</f>
        <v>agree</v>
      </c>
      <c r="O299" s="3" t="str">
        <f>IFERROR(__xludf.DUMMYFUNCTION("""COMPUTED_VALUE"""),"agree")</f>
        <v>agree</v>
      </c>
      <c r="P299" s="3"/>
      <c r="Q299" s="3" t="str">
        <f>IFERROR(__xludf.DUMMYFUNCTION("""COMPUTED_VALUE"""),"agree")</f>
        <v>agree</v>
      </c>
      <c r="R299" s="3" t="str">
        <f>IFERROR(__xludf.DUMMYFUNCTION("""COMPUTED_VALUE"""),"disagree")</f>
        <v>disagree</v>
      </c>
      <c r="S299" s="3" t="str">
        <f>IFERROR(__xludf.DUMMYFUNCTION("""COMPUTED_VALUE"""),"disagree")</f>
        <v>disagree</v>
      </c>
      <c r="T299" s="3" t="str">
        <f>IFERROR(__xludf.DUMMYFUNCTION("""COMPUTED_VALUE"""),"disagree")</f>
        <v>disagree</v>
      </c>
      <c r="U299" s="3" t="str">
        <f>IFERROR(__xludf.DUMMYFUNCTION("""COMPUTED_VALUE"""),"disagree")</f>
        <v>disagree</v>
      </c>
      <c r="V299" s="3" t="str">
        <f>IFERROR(__xludf.DUMMYFUNCTION("""COMPUTED_VALUE"""),"disagree")</f>
        <v>disagree</v>
      </c>
      <c r="W299" s="3" t="str">
        <f>IFERROR(__xludf.DUMMYFUNCTION("""COMPUTED_VALUE"""),"agree")</f>
        <v>agree</v>
      </c>
      <c r="X299" s="3" t="str">
        <f>IFERROR(__xludf.DUMMYFUNCTION("""COMPUTED_VALUE"""),"Gold")</f>
        <v>Gold</v>
      </c>
      <c r="Y299" s="3" t="str">
        <f>IFERROR(__xludf.DUMMYFUNCTION("""COMPUTED_VALUE"""),"cash")</f>
        <v>cash</v>
      </c>
      <c r="Z299" s="3" t="str">
        <f>IFERROR(__xludf.DUMMYFUNCTION("""COMPUTED_VALUE"""),"once")</f>
        <v>once</v>
      </c>
      <c r="AA299" s="3">
        <f>IFERROR(__xludf.DUMMYFUNCTION("""COMPUTED_VALUE"""),30.0)</f>
        <v>30</v>
      </c>
      <c r="AB299" s="3" t="str">
        <f>IFERROR(__xludf.DUMMYFUNCTION("""COMPUTED_VALUE"""),"assisted")</f>
        <v>assisted</v>
      </c>
      <c r="AC299" s="3" t="str">
        <f>IFERROR(__xludf.DUMMYFUNCTION("""COMPUTED_VALUE"""),"I am not an employer")</f>
        <v>I am not an employer</v>
      </c>
      <c r="AD299" s="3"/>
      <c r="AE299" s="3"/>
      <c r="AF299" s="3" t="str">
        <f>IFERROR(__xludf.DUMMYFUNCTION("""COMPUTED_VALUE"""),"Yes")</f>
        <v>Yes</v>
      </c>
      <c r="AG299" s="3" t="str">
        <f>IFERROR(__xludf.DUMMYFUNCTION("""COMPUTED_VALUE"""),"No")</f>
        <v>No</v>
      </c>
      <c r="AH299" s="3"/>
      <c r="AI299" s="3">
        <f>IFERROR(__xludf.DUMMYFUNCTION("""COMPUTED_VALUE"""),0.0)</f>
        <v>0</v>
      </c>
      <c r="AJ299" s="3">
        <f>IFERROR(__xludf.DUMMYFUNCTION("""COMPUTED_VALUE"""),0.0)</f>
        <v>0</v>
      </c>
      <c r="AK299" s="3">
        <f>IFERROR(__xludf.DUMMYFUNCTION("""COMPUTED_VALUE"""),0.0)</f>
        <v>0</v>
      </c>
      <c r="AL299" s="3">
        <f>IFERROR(__xludf.DUMMYFUNCTION("""COMPUTED_VALUE"""),1.0)</f>
        <v>1</v>
      </c>
      <c r="AM299" s="3" t="str">
        <f>IFERROR(__xludf.DUMMYFUNCTION("""COMPUTED_VALUE"""),"No")</f>
        <v>No</v>
      </c>
      <c r="AN299" s="3"/>
      <c r="AO299" s="3"/>
      <c r="AP299" s="3">
        <f>IFERROR(__xludf.DUMMYFUNCTION("""COMPUTED_VALUE"""),4.90804401E8)</f>
        <v>490804401</v>
      </c>
      <c r="AQ299" s="3" t="str">
        <f>IFERROR(__xludf.DUMMYFUNCTION("""COMPUTED_VALUE"""),"d5e981ca-d036-4487-a53f-52dd7107443a")</f>
        <v>d5e981ca-d036-4487-a53f-52dd7107443a</v>
      </c>
      <c r="AR299" s="3">
        <f>IFERROR(__xludf.DUMMYFUNCTION("""COMPUTED_VALUE"""),45810.38334490741)</f>
        <v>45810.38334</v>
      </c>
      <c r="AS299" s="3"/>
      <c r="AT299" s="3"/>
      <c r="AU299" s="3" t="str">
        <f>IFERROR(__xludf.DUMMYFUNCTION("""COMPUTED_VALUE"""),"submitted_via_web")</f>
        <v>submitted_via_web</v>
      </c>
      <c r="AV299" s="3"/>
      <c r="AW299" s="3" t="str">
        <f>IFERROR(__xludf.DUMMYFUNCTION("""COMPUTED_VALUE"""),"vckVTgNzM4XXtKAKNnsHpB")</f>
        <v>vckVTgNzM4XXtKAKNnsHpB</v>
      </c>
      <c r="AX299" s="3"/>
      <c r="AY299" s="3">
        <f>IFERROR(__xludf.DUMMYFUNCTION("""COMPUTED_VALUE"""),298.0)</f>
        <v>298</v>
      </c>
    </row>
    <row r="300">
      <c r="A300" s="3" t="str">
        <f>IFERROR(__xludf.DUMMYFUNCTION("""COMPUTED_VALUE"""),"Yes")</f>
        <v>Yes</v>
      </c>
      <c r="B300" s="3"/>
      <c r="C300" s="3" t="str">
        <f>IFERROR(__xludf.DUMMYFUNCTION("""COMPUTED_VALUE"""),"malawi")</f>
        <v>malawi</v>
      </c>
      <c r="D300" s="3"/>
      <c r="E300" s="3" t="str">
        <f>IFERROR(__xludf.DUMMYFUNCTION("""COMPUTED_VALUE"""),"south_africa")</f>
        <v>south_africa</v>
      </c>
      <c r="F300" s="3" t="str">
        <f>IFERROR(__xludf.DUMMYFUNCTION("""COMPUTED_VALUE"""),"City of Tshwane Metropolitan Municipality")</f>
        <v>City of Tshwane Metropolitan Municipality</v>
      </c>
      <c r="G300" s="3">
        <f>IFERROR(__xludf.DUMMYFUNCTION("""COMPUTED_VALUE"""),30.0)</f>
        <v>30</v>
      </c>
      <c r="H300" s="3" t="str">
        <f>IFERROR(__xludf.DUMMYFUNCTION("""COMPUTED_VALUE"""),"female")</f>
        <v>female</v>
      </c>
      <c r="I300" s="3" t="str">
        <f>IFERROR(__xludf.DUMMYFUNCTION("""COMPUTED_VALUE"""),"6to12")</f>
        <v>6to12</v>
      </c>
      <c r="J300" s="3" t="str">
        <f>IFERROR(__xludf.DUMMYFUNCTION("""COMPUTED_VALUE"""),"informal")</f>
        <v>informal</v>
      </c>
      <c r="K300" s="3" t="str">
        <f>IFERROR(__xludf.DUMMYFUNCTION("""COMPUTED_VALUE"""),"primary")</f>
        <v>primary</v>
      </c>
      <c r="L300" s="3"/>
      <c r="M300" s="3" t="str">
        <f>IFERROR(__xludf.DUMMYFUNCTION("""COMPUTED_VALUE"""),"agree")</f>
        <v>agree</v>
      </c>
      <c r="N300" s="3" t="str">
        <f>IFERROR(__xludf.DUMMYFUNCTION("""COMPUTED_VALUE"""),"agree")</f>
        <v>agree</v>
      </c>
      <c r="O300" s="3" t="str">
        <f>IFERROR(__xludf.DUMMYFUNCTION("""COMPUTED_VALUE"""),"agree")</f>
        <v>agree</v>
      </c>
      <c r="P300" s="3"/>
      <c r="Q300" s="3" t="str">
        <f>IFERROR(__xludf.DUMMYFUNCTION("""COMPUTED_VALUE"""),"agree")</f>
        <v>agree</v>
      </c>
      <c r="R300" s="3" t="str">
        <f>IFERROR(__xludf.DUMMYFUNCTION("""COMPUTED_VALUE"""),"agree")</f>
        <v>agree</v>
      </c>
      <c r="S300" s="3" t="str">
        <f>IFERROR(__xludf.DUMMYFUNCTION("""COMPUTED_VALUE"""),"disagree")</f>
        <v>disagree</v>
      </c>
      <c r="T300" s="3" t="str">
        <f>IFERROR(__xludf.DUMMYFUNCTION("""COMPUTED_VALUE"""),"disagree")</f>
        <v>disagree</v>
      </c>
      <c r="U300" s="3" t="str">
        <f>IFERROR(__xludf.DUMMYFUNCTION("""COMPUTED_VALUE"""),"disagree")</f>
        <v>disagree</v>
      </c>
      <c r="V300" s="3" t="str">
        <f>IFERROR(__xludf.DUMMYFUNCTION("""COMPUTED_VALUE"""),"disagree")</f>
        <v>disagree</v>
      </c>
      <c r="W300" s="3" t="str">
        <f>IFERROR(__xludf.DUMMYFUNCTION("""COMPUTED_VALUE"""),"disagree")</f>
        <v>disagree</v>
      </c>
      <c r="X300" s="3" t="str">
        <f>IFERROR(__xludf.DUMMYFUNCTION("""COMPUTED_VALUE"""),"Gold")</f>
        <v>Gold</v>
      </c>
      <c r="Y300" s="3" t="str">
        <f>IFERROR(__xludf.DUMMYFUNCTION("""COMPUTED_VALUE"""),"cash")</f>
        <v>cash</v>
      </c>
      <c r="Z300" s="3" t="str">
        <f>IFERROR(__xludf.DUMMYFUNCTION("""COMPUTED_VALUE"""),"monthly")</f>
        <v>monthly</v>
      </c>
      <c r="AA300" s="3">
        <f>IFERROR(__xludf.DUMMYFUNCTION("""COMPUTED_VALUE"""),50.0)</f>
        <v>50</v>
      </c>
      <c r="AB300" s="3" t="str">
        <f>IFERROR(__xludf.DUMMYFUNCTION("""COMPUTED_VALUE"""),"employer")</f>
        <v>employer</v>
      </c>
      <c r="AC300" s="3" t="str">
        <f>IFERROR(__xludf.DUMMYFUNCTION("""COMPUTED_VALUE"""),"Yes")</f>
        <v>Yes</v>
      </c>
      <c r="AD300" s="3" t="str">
        <f>IFERROR(__xludf.DUMMYFUNCTION("""COMPUTED_VALUE"""),"Gold")</f>
        <v>Gold</v>
      </c>
      <c r="AE300" s="3" t="str">
        <f>IFERROR(__xludf.DUMMYFUNCTION("""COMPUTED_VALUE"""),"Yes")</f>
        <v>Yes</v>
      </c>
      <c r="AF300" s="3" t="str">
        <f>IFERROR(__xludf.DUMMYFUNCTION("""COMPUTED_VALUE"""),"Yes")</f>
        <v>Yes</v>
      </c>
      <c r="AG300" s="3" t="str">
        <f>IFERROR(__xludf.DUMMYFUNCTION("""COMPUTED_VALUE"""),"No")</f>
        <v>No</v>
      </c>
      <c r="AH300" s="3"/>
      <c r="AI300" s="3">
        <f>IFERROR(__xludf.DUMMYFUNCTION("""COMPUTED_VALUE"""),0.0)</f>
        <v>0</v>
      </c>
      <c r="AJ300" s="3">
        <f>IFERROR(__xludf.DUMMYFUNCTION("""COMPUTED_VALUE"""),0.0)</f>
        <v>0</v>
      </c>
      <c r="AK300" s="3">
        <f>IFERROR(__xludf.DUMMYFUNCTION("""COMPUTED_VALUE"""),0.0)</f>
        <v>0</v>
      </c>
      <c r="AL300" s="3">
        <f>IFERROR(__xludf.DUMMYFUNCTION("""COMPUTED_VALUE"""),1.0)</f>
        <v>1</v>
      </c>
      <c r="AM300" s="3" t="str">
        <f>IFERROR(__xludf.DUMMYFUNCTION("""COMPUTED_VALUE"""),"No")</f>
        <v>No</v>
      </c>
      <c r="AN300" s="3"/>
      <c r="AO300" s="3"/>
      <c r="AP300" s="3">
        <f>IFERROR(__xludf.DUMMYFUNCTION("""COMPUTED_VALUE"""),4.90810533E8)</f>
        <v>490810533</v>
      </c>
      <c r="AQ300" s="3" t="str">
        <f>IFERROR(__xludf.DUMMYFUNCTION("""COMPUTED_VALUE"""),"6f99feae-f60a-45cc-81bd-66ef6723dd42")</f>
        <v>6f99feae-f60a-45cc-81bd-66ef6723dd42</v>
      </c>
      <c r="AR300" s="3">
        <f>IFERROR(__xludf.DUMMYFUNCTION("""COMPUTED_VALUE"""),45810.39111111111)</f>
        <v>45810.39111</v>
      </c>
      <c r="AS300" s="3"/>
      <c r="AT300" s="3"/>
      <c r="AU300" s="3" t="str">
        <f>IFERROR(__xludf.DUMMYFUNCTION("""COMPUTED_VALUE"""),"submitted_via_web")</f>
        <v>submitted_via_web</v>
      </c>
      <c r="AV300" s="3"/>
      <c r="AW300" s="3" t="str">
        <f>IFERROR(__xludf.DUMMYFUNCTION("""COMPUTED_VALUE"""),"vckVTgNzM4XXtKAKNnsHpB")</f>
        <v>vckVTgNzM4XXtKAKNnsHpB</v>
      </c>
      <c r="AX300" s="3"/>
      <c r="AY300" s="3">
        <f>IFERROR(__xludf.DUMMYFUNCTION("""COMPUTED_VALUE"""),299.0)</f>
        <v>299</v>
      </c>
    </row>
    <row r="301">
      <c r="A301" s="3" t="str">
        <f>IFERROR(__xludf.DUMMYFUNCTION("""COMPUTED_VALUE"""),"Yes")</f>
        <v>Yes</v>
      </c>
      <c r="B301" s="3"/>
      <c r="C301" s="3" t="str">
        <f>IFERROR(__xludf.DUMMYFUNCTION("""COMPUTED_VALUE"""),"malawi")</f>
        <v>malawi</v>
      </c>
      <c r="D301" s="3"/>
      <c r="E301" s="3" t="str">
        <f>IFERROR(__xludf.DUMMYFUNCTION("""COMPUTED_VALUE"""),"south_africa")</f>
        <v>south_africa</v>
      </c>
      <c r="F301" s="3" t="str">
        <f>IFERROR(__xludf.DUMMYFUNCTION("""COMPUTED_VALUE"""),"City of Tshwane Metropolitan Municipality")</f>
        <v>City of Tshwane Metropolitan Municipality</v>
      </c>
      <c r="G301" s="3">
        <f>IFERROR(__xludf.DUMMYFUNCTION("""COMPUTED_VALUE"""),37.0)</f>
        <v>37</v>
      </c>
      <c r="H301" s="3" t="str">
        <f>IFERROR(__xludf.DUMMYFUNCTION("""COMPUTED_VALUE"""),"male")</f>
        <v>male</v>
      </c>
      <c r="I301" s="3" t="str">
        <f>IFERROR(__xludf.DUMMYFUNCTION("""COMPUTED_VALUE"""),"1to5")</f>
        <v>1to5</v>
      </c>
      <c r="J301" s="3" t="str">
        <f>IFERROR(__xludf.DUMMYFUNCTION("""COMPUTED_VALUE"""),"informal")</f>
        <v>informal</v>
      </c>
      <c r="K301" s="3" t="str">
        <f>IFERROR(__xludf.DUMMYFUNCTION("""COMPUTED_VALUE"""),"secondary")</f>
        <v>secondary</v>
      </c>
      <c r="L301" s="3"/>
      <c r="M301" s="3" t="str">
        <f>IFERROR(__xludf.DUMMYFUNCTION("""COMPUTED_VALUE"""),"agree")</f>
        <v>agree</v>
      </c>
      <c r="N301" s="3" t="str">
        <f>IFERROR(__xludf.DUMMYFUNCTION("""COMPUTED_VALUE"""),"agree")</f>
        <v>agree</v>
      </c>
      <c r="O301" s="3" t="str">
        <f>IFERROR(__xludf.DUMMYFUNCTION("""COMPUTED_VALUE"""),"agree")</f>
        <v>agree</v>
      </c>
      <c r="P301" s="3"/>
      <c r="Q301" s="3" t="str">
        <f>IFERROR(__xludf.DUMMYFUNCTION("""COMPUTED_VALUE"""),"agree")</f>
        <v>agree</v>
      </c>
      <c r="R301" s="3" t="str">
        <f>IFERROR(__xludf.DUMMYFUNCTION("""COMPUTED_VALUE"""),"agree")</f>
        <v>agree</v>
      </c>
      <c r="S301" s="3" t="str">
        <f>IFERROR(__xludf.DUMMYFUNCTION("""COMPUTED_VALUE"""),"agree")</f>
        <v>agree</v>
      </c>
      <c r="T301" s="3" t="str">
        <f>IFERROR(__xludf.DUMMYFUNCTION("""COMPUTED_VALUE"""),"agree")</f>
        <v>agree</v>
      </c>
      <c r="U301" s="3" t="str">
        <f>IFERROR(__xludf.DUMMYFUNCTION("""COMPUTED_VALUE"""),"agree")</f>
        <v>agree</v>
      </c>
      <c r="V301" s="3" t="str">
        <f>IFERROR(__xludf.DUMMYFUNCTION("""COMPUTED_VALUE"""),"agree")</f>
        <v>agree</v>
      </c>
      <c r="W301" s="3" t="str">
        <f>IFERROR(__xludf.DUMMYFUNCTION("""COMPUTED_VALUE"""),"disagree")</f>
        <v>disagree</v>
      </c>
      <c r="X301" s="3" t="str">
        <f>IFERROR(__xludf.DUMMYFUNCTION("""COMPUTED_VALUE"""),"Gold")</f>
        <v>Gold</v>
      </c>
      <c r="Y301" s="3" t="str">
        <f>IFERROR(__xludf.DUMMYFUNCTION("""COMPUTED_VALUE"""),"cash")</f>
        <v>cash</v>
      </c>
      <c r="Z301" s="3" t="str">
        <f>IFERROR(__xludf.DUMMYFUNCTION("""COMPUTED_VALUE"""),"once")</f>
        <v>once</v>
      </c>
      <c r="AA301" s="3"/>
      <c r="AB301" s="3" t="str">
        <f>IFERROR(__xludf.DUMMYFUNCTION("""COMPUTED_VALUE"""),"assisted")</f>
        <v>assisted</v>
      </c>
      <c r="AC301" s="3" t="str">
        <f>IFERROR(__xludf.DUMMYFUNCTION("""COMPUTED_VALUE"""),"I am not an employer")</f>
        <v>I am not an employer</v>
      </c>
      <c r="AD301" s="3"/>
      <c r="AE301" s="3"/>
      <c r="AF301" s="3" t="str">
        <f>IFERROR(__xludf.DUMMYFUNCTION("""COMPUTED_VALUE"""),"Yes")</f>
        <v>Yes</v>
      </c>
      <c r="AG301" s="3" t="str">
        <f>IFERROR(__xludf.DUMMYFUNCTION("""COMPUTED_VALUE"""),"No")</f>
        <v>No</v>
      </c>
      <c r="AH301" s="3"/>
      <c r="AI301" s="3">
        <f>IFERROR(__xludf.DUMMYFUNCTION("""COMPUTED_VALUE"""),0.0)</f>
        <v>0</v>
      </c>
      <c r="AJ301" s="3">
        <f>IFERROR(__xludf.DUMMYFUNCTION("""COMPUTED_VALUE"""),0.0)</f>
        <v>0</v>
      </c>
      <c r="AK301" s="3">
        <f>IFERROR(__xludf.DUMMYFUNCTION("""COMPUTED_VALUE"""),0.0)</f>
        <v>0</v>
      </c>
      <c r="AL301" s="3">
        <f>IFERROR(__xludf.DUMMYFUNCTION("""COMPUTED_VALUE"""),1.0)</f>
        <v>1</v>
      </c>
      <c r="AM301" s="3" t="str">
        <f>IFERROR(__xludf.DUMMYFUNCTION("""COMPUTED_VALUE"""),"No")</f>
        <v>No</v>
      </c>
      <c r="AN301" s="3"/>
      <c r="AO301" s="3"/>
      <c r="AP301" s="3">
        <f>IFERROR(__xludf.DUMMYFUNCTION("""COMPUTED_VALUE"""),4.9081434E8)</f>
        <v>490814340</v>
      </c>
      <c r="AQ301" s="3" t="str">
        <f>IFERROR(__xludf.DUMMYFUNCTION("""COMPUTED_VALUE"""),"e9cce425-7337-4933-b2cc-42fb00e8c9fe")</f>
        <v>e9cce425-7337-4933-b2cc-42fb00e8c9fe</v>
      </c>
      <c r="AR301" s="3">
        <f>IFERROR(__xludf.DUMMYFUNCTION("""COMPUTED_VALUE"""),45810.39599537037)</f>
        <v>45810.396</v>
      </c>
      <c r="AS301" s="3"/>
      <c r="AT301" s="3"/>
      <c r="AU301" s="3" t="str">
        <f>IFERROR(__xludf.DUMMYFUNCTION("""COMPUTED_VALUE"""),"submitted_via_web")</f>
        <v>submitted_via_web</v>
      </c>
      <c r="AV301" s="3"/>
      <c r="AW301" s="3" t="str">
        <f>IFERROR(__xludf.DUMMYFUNCTION("""COMPUTED_VALUE"""),"vckVTgNzM4XXtKAKNnsHpB")</f>
        <v>vckVTgNzM4XXtKAKNnsHpB</v>
      </c>
      <c r="AX301" s="3"/>
      <c r="AY301" s="3">
        <f>IFERROR(__xludf.DUMMYFUNCTION("""COMPUTED_VALUE"""),300.0)</f>
        <v>300</v>
      </c>
    </row>
    <row r="302">
      <c r="A302" s="3" t="str">
        <f>IFERROR(__xludf.DUMMYFUNCTION("""COMPUTED_VALUE"""),"Yes")</f>
        <v>Yes</v>
      </c>
      <c r="B302" s="3"/>
      <c r="C302" s="3" t="str">
        <f>IFERROR(__xludf.DUMMYFUNCTION("""COMPUTED_VALUE"""),"mozambique")</f>
        <v>mozambique</v>
      </c>
      <c r="D302" s="3"/>
      <c r="E302" s="3" t="str">
        <f>IFERROR(__xludf.DUMMYFUNCTION("""COMPUTED_VALUE"""),"south_sudan")</f>
        <v>south_sudan</v>
      </c>
      <c r="F302" s="3"/>
      <c r="G302" s="3">
        <f>IFERROR(__xludf.DUMMYFUNCTION("""COMPUTED_VALUE"""),19.0)</f>
        <v>19</v>
      </c>
      <c r="H302" s="3" t="str">
        <f>IFERROR(__xludf.DUMMYFUNCTION("""COMPUTED_VALUE"""),"female")</f>
        <v>female</v>
      </c>
      <c r="I302" s="3"/>
      <c r="J302" s="3" t="str">
        <f>IFERROR(__xludf.DUMMYFUNCTION("""COMPUTED_VALUE"""),"unemployed")</f>
        <v>unemployed</v>
      </c>
      <c r="K302" s="3" t="str">
        <f>IFERROR(__xludf.DUMMYFUNCTION("""COMPUTED_VALUE"""),"primary")</f>
        <v>primary</v>
      </c>
      <c r="L302" s="3"/>
      <c r="M302" s="3" t="str">
        <f>IFERROR(__xludf.DUMMYFUNCTION("""COMPUTED_VALUE"""),"agree")</f>
        <v>agree</v>
      </c>
      <c r="N302" s="3" t="str">
        <f>IFERROR(__xludf.DUMMYFUNCTION("""COMPUTED_VALUE"""),"agree")</f>
        <v>agree</v>
      </c>
      <c r="O302" s="3" t="str">
        <f>IFERROR(__xludf.DUMMYFUNCTION("""COMPUTED_VALUE"""),"agree")</f>
        <v>agree</v>
      </c>
      <c r="P302" s="3"/>
      <c r="Q302" s="3" t="str">
        <f>IFERROR(__xludf.DUMMYFUNCTION("""COMPUTED_VALUE"""),"agree")</f>
        <v>agree</v>
      </c>
      <c r="R302" s="3" t="str">
        <f>IFERROR(__xludf.DUMMYFUNCTION("""COMPUTED_VALUE"""),"agree")</f>
        <v>agree</v>
      </c>
      <c r="S302" s="3" t="str">
        <f>IFERROR(__xludf.DUMMYFUNCTION("""COMPUTED_VALUE"""),"disagree")</f>
        <v>disagree</v>
      </c>
      <c r="T302" s="3" t="str">
        <f>IFERROR(__xludf.DUMMYFUNCTION("""COMPUTED_VALUE"""),"disagree")</f>
        <v>disagree</v>
      </c>
      <c r="U302" s="3" t="str">
        <f>IFERROR(__xludf.DUMMYFUNCTION("""COMPUTED_VALUE"""),"agree")</f>
        <v>agree</v>
      </c>
      <c r="V302" s="3" t="str">
        <f>IFERROR(__xludf.DUMMYFUNCTION("""COMPUTED_VALUE"""),"disagree")</f>
        <v>disagree</v>
      </c>
      <c r="W302" s="3" t="str">
        <f>IFERROR(__xludf.DUMMYFUNCTION("""COMPUTED_VALUE"""),"disagree")</f>
        <v>disagree</v>
      </c>
      <c r="X302" s="3" t="str">
        <f>IFERROR(__xludf.DUMMYFUNCTION("""COMPUTED_VALUE"""),"Gold")</f>
        <v>Gold</v>
      </c>
      <c r="Y302" s="3" t="str">
        <f>IFERROR(__xludf.DUMMYFUNCTION("""COMPUTED_VALUE"""),"card")</f>
        <v>card</v>
      </c>
      <c r="Z302" s="3" t="str">
        <f>IFERROR(__xludf.DUMMYFUNCTION("""COMPUTED_VALUE"""),"once")</f>
        <v>once</v>
      </c>
      <c r="AA302" s="3">
        <f>IFERROR(__xludf.DUMMYFUNCTION("""COMPUTED_VALUE"""),20.0)</f>
        <v>20</v>
      </c>
      <c r="AB302" s="3" t="str">
        <f>IFERROR(__xludf.DUMMYFUNCTION("""COMPUTED_VALUE"""),"employer")</f>
        <v>employer</v>
      </c>
      <c r="AC302" s="3" t="str">
        <f>IFERROR(__xludf.DUMMYFUNCTION("""COMPUTED_VALUE"""),"I am not an employer")</f>
        <v>I am not an employer</v>
      </c>
      <c r="AD302" s="3"/>
      <c r="AE302" s="3"/>
      <c r="AF302" s="3" t="str">
        <f>IFERROR(__xludf.DUMMYFUNCTION("""COMPUTED_VALUE"""),"Yes")</f>
        <v>Yes</v>
      </c>
      <c r="AG302" s="3" t="str">
        <f>IFERROR(__xludf.DUMMYFUNCTION("""COMPUTED_VALUE"""),"No")</f>
        <v>No</v>
      </c>
      <c r="AH302" s="3"/>
      <c r="AI302" s="3">
        <f>IFERROR(__xludf.DUMMYFUNCTION("""COMPUTED_VALUE"""),0.0)</f>
        <v>0</v>
      </c>
      <c r="AJ302" s="3">
        <f>IFERROR(__xludf.DUMMYFUNCTION("""COMPUTED_VALUE"""),0.0)</f>
        <v>0</v>
      </c>
      <c r="AK302" s="3">
        <f>IFERROR(__xludf.DUMMYFUNCTION("""COMPUTED_VALUE"""),0.0)</f>
        <v>0</v>
      </c>
      <c r="AL302" s="3">
        <f>IFERROR(__xludf.DUMMYFUNCTION("""COMPUTED_VALUE"""),1.0)</f>
        <v>1</v>
      </c>
      <c r="AM302" s="3"/>
      <c r="AN302" s="3"/>
      <c r="AO302" s="3"/>
      <c r="AP302" s="3">
        <f>IFERROR(__xludf.DUMMYFUNCTION("""COMPUTED_VALUE"""),4.90817146E8)</f>
        <v>490817146</v>
      </c>
      <c r="AQ302" s="3" t="str">
        <f>IFERROR(__xludf.DUMMYFUNCTION("""COMPUTED_VALUE"""),"fb5ff8f1-4e1a-4b0a-b9b6-087d9e3edc0c")</f>
        <v>fb5ff8f1-4e1a-4b0a-b9b6-087d9e3edc0c</v>
      </c>
      <c r="AR302" s="3">
        <f>IFERROR(__xludf.DUMMYFUNCTION("""COMPUTED_VALUE"""),45810.39975694445)</f>
        <v>45810.39976</v>
      </c>
      <c r="AS302" s="3"/>
      <c r="AT302" s="3"/>
      <c r="AU302" s="3" t="str">
        <f>IFERROR(__xludf.DUMMYFUNCTION("""COMPUTED_VALUE"""),"submitted_via_web")</f>
        <v>submitted_via_web</v>
      </c>
      <c r="AV302" s="3"/>
      <c r="AW302" s="3" t="str">
        <f>IFERROR(__xludf.DUMMYFUNCTION("""COMPUTED_VALUE"""),"vckVTgNzM4XXtKAKNnsHpB")</f>
        <v>vckVTgNzM4XXtKAKNnsHpB</v>
      </c>
      <c r="AX302" s="3"/>
      <c r="AY302" s="3">
        <f>IFERROR(__xludf.DUMMYFUNCTION("""COMPUTED_VALUE"""),301.0)</f>
        <v>301</v>
      </c>
    </row>
    <row r="303">
      <c r="A303" s="3" t="str">
        <f>IFERROR(__xludf.DUMMYFUNCTION("""COMPUTED_VALUE"""),"Yes")</f>
        <v>Yes</v>
      </c>
      <c r="B303" s="3"/>
      <c r="C303" s="3" t="str">
        <f>IFERROR(__xludf.DUMMYFUNCTION("""COMPUTED_VALUE"""),"mozambique")</f>
        <v>mozambique</v>
      </c>
      <c r="D303" s="3"/>
      <c r="E303" s="3" t="str">
        <f>IFERROR(__xludf.DUMMYFUNCTION("""COMPUTED_VALUE"""),"south_africa")</f>
        <v>south_africa</v>
      </c>
      <c r="F303" s="3" t="str">
        <f>IFERROR(__xludf.DUMMYFUNCTION("""COMPUTED_VALUE"""),"City of Tshwane Metropolitan Municipality")</f>
        <v>City of Tshwane Metropolitan Municipality</v>
      </c>
      <c r="G303" s="3">
        <f>IFERROR(__xludf.DUMMYFUNCTION("""COMPUTED_VALUE"""),42.0)</f>
        <v>42</v>
      </c>
      <c r="H303" s="3" t="str">
        <f>IFERROR(__xludf.DUMMYFUNCTION("""COMPUTED_VALUE"""),"female")</f>
        <v>female</v>
      </c>
      <c r="I303" s="3" t="str">
        <f>IFERROR(__xludf.DUMMYFUNCTION("""COMPUTED_VALUE"""),"over5")</f>
        <v>over5</v>
      </c>
      <c r="J303" s="3" t="str">
        <f>IFERROR(__xludf.DUMMYFUNCTION("""COMPUTED_VALUE"""),"informal")</f>
        <v>informal</v>
      </c>
      <c r="K303" s="3" t="str">
        <f>IFERROR(__xludf.DUMMYFUNCTION("""COMPUTED_VALUE"""),"none")</f>
        <v>none</v>
      </c>
      <c r="L303" s="3"/>
      <c r="M303" s="3" t="str">
        <f>IFERROR(__xludf.DUMMYFUNCTION("""COMPUTED_VALUE"""),"agree")</f>
        <v>agree</v>
      </c>
      <c r="N303" s="3" t="str">
        <f>IFERROR(__xludf.DUMMYFUNCTION("""COMPUTED_VALUE"""),"agree")</f>
        <v>agree</v>
      </c>
      <c r="O303" s="3" t="str">
        <f>IFERROR(__xludf.DUMMYFUNCTION("""COMPUTED_VALUE"""),"agree")</f>
        <v>agree</v>
      </c>
      <c r="P303" s="3"/>
      <c r="Q303" s="3" t="str">
        <f>IFERROR(__xludf.DUMMYFUNCTION("""COMPUTED_VALUE"""),"agree")</f>
        <v>agree</v>
      </c>
      <c r="R303" s="3" t="str">
        <f>IFERROR(__xludf.DUMMYFUNCTION("""COMPUTED_VALUE"""),"agree")</f>
        <v>agree</v>
      </c>
      <c r="S303" s="3" t="str">
        <f>IFERROR(__xludf.DUMMYFUNCTION("""COMPUTED_VALUE"""),"disagree")</f>
        <v>disagree</v>
      </c>
      <c r="T303" s="3" t="str">
        <f>IFERROR(__xludf.DUMMYFUNCTION("""COMPUTED_VALUE"""),"disagree")</f>
        <v>disagree</v>
      </c>
      <c r="U303" s="3" t="str">
        <f>IFERROR(__xludf.DUMMYFUNCTION("""COMPUTED_VALUE"""),"disagree")</f>
        <v>disagree</v>
      </c>
      <c r="V303" s="3" t="str">
        <f>IFERROR(__xludf.DUMMYFUNCTION("""COMPUTED_VALUE"""),"agree")</f>
        <v>agree</v>
      </c>
      <c r="W303" s="3" t="str">
        <f>IFERROR(__xludf.DUMMYFUNCTION("""COMPUTED_VALUE"""),"agree")</f>
        <v>agree</v>
      </c>
      <c r="X303" s="3" t="str">
        <f>IFERROR(__xludf.DUMMYFUNCTION("""COMPUTED_VALUE"""),"Gold")</f>
        <v>Gold</v>
      </c>
      <c r="Y303" s="3" t="str">
        <f>IFERROR(__xludf.DUMMYFUNCTION("""COMPUTED_VALUE"""),"card")</f>
        <v>card</v>
      </c>
      <c r="Z303" s="3" t="str">
        <f>IFERROR(__xludf.DUMMYFUNCTION("""COMPUTED_VALUE"""),"once")</f>
        <v>once</v>
      </c>
      <c r="AA303" s="3">
        <f>IFERROR(__xludf.DUMMYFUNCTION("""COMPUTED_VALUE"""),30.0)</f>
        <v>30</v>
      </c>
      <c r="AB303" s="3" t="str">
        <f>IFERROR(__xludf.DUMMYFUNCTION("""COMPUTED_VALUE"""),"employer")</f>
        <v>employer</v>
      </c>
      <c r="AC303" s="3" t="str">
        <f>IFERROR(__xludf.DUMMYFUNCTION("""COMPUTED_VALUE"""),"Yes")</f>
        <v>Yes</v>
      </c>
      <c r="AD303" s="3" t="str">
        <f>IFERROR(__xludf.DUMMYFUNCTION("""COMPUTED_VALUE"""),"Gold")</f>
        <v>Gold</v>
      </c>
      <c r="AE303" s="3" t="str">
        <f>IFERROR(__xludf.DUMMYFUNCTION("""COMPUTED_VALUE"""),"Yes")</f>
        <v>Yes</v>
      </c>
      <c r="AF303" s="3" t="str">
        <f>IFERROR(__xludf.DUMMYFUNCTION("""COMPUTED_VALUE"""),"Yes")</f>
        <v>Yes</v>
      </c>
      <c r="AG303" s="3" t="str">
        <f>IFERROR(__xludf.DUMMYFUNCTION("""COMPUTED_VALUE"""),"No")</f>
        <v>No</v>
      </c>
      <c r="AH303" s="3"/>
      <c r="AI303" s="3">
        <f>IFERROR(__xludf.DUMMYFUNCTION("""COMPUTED_VALUE"""),0.0)</f>
        <v>0</v>
      </c>
      <c r="AJ303" s="3">
        <f>IFERROR(__xludf.DUMMYFUNCTION("""COMPUTED_VALUE"""),0.0)</f>
        <v>0</v>
      </c>
      <c r="AK303" s="3">
        <f>IFERROR(__xludf.DUMMYFUNCTION("""COMPUTED_VALUE"""),0.0)</f>
        <v>0</v>
      </c>
      <c r="AL303" s="3">
        <f>IFERROR(__xludf.DUMMYFUNCTION("""COMPUTED_VALUE"""),1.0)</f>
        <v>1</v>
      </c>
      <c r="AM303" s="3" t="str">
        <f>IFERROR(__xludf.DUMMYFUNCTION("""COMPUTED_VALUE"""),"No")</f>
        <v>No</v>
      </c>
      <c r="AN303" s="3"/>
      <c r="AO303" s="3"/>
      <c r="AP303" s="3">
        <f>IFERROR(__xludf.DUMMYFUNCTION("""COMPUTED_VALUE"""),4.90820555E8)</f>
        <v>490820555</v>
      </c>
      <c r="AQ303" s="3" t="str">
        <f>IFERROR(__xludf.DUMMYFUNCTION("""COMPUTED_VALUE"""),"a09f2ceb-c51d-4163-acf1-1a6911d04b98")</f>
        <v>a09f2ceb-c51d-4163-acf1-1a6911d04b98</v>
      </c>
      <c r="AR303" s="3">
        <f>IFERROR(__xludf.DUMMYFUNCTION("""COMPUTED_VALUE"""),45810.403391203705)</f>
        <v>45810.40339</v>
      </c>
      <c r="AS303" s="3"/>
      <c r="AT303" s="3"/>
      <c r="AU303" s="3" t="str">
        <f>IFERROR(__xludf.DUMMYFUNCTION("""COMPUTED_VALUE"""),"submitted_via_web")</f>
        <v>submitted_via_web</v>
      </c>
      <c r="AV303" s="3"/>
      <c r="AW303" s="3" t="str">
        <f>IFERROR(__xludf.DUMMYFUNCTION("""COMPUTED_VALUE"""),"vckVTgNzM4XXtKAKNnsHpB")</f>
        <v>vckVTgNzM4XXtKAKNnsHpB</v>
      </c>
      <c r="AX303" s="3"/>
      <c r="AY303" s="3">
        <f>IFERROR(__xludf.DUMMYFUNCTION("""COMPUTED_VALUE"""),302.0)</f>
        <v>302</v>
      </c>
    </row>
    <row r="304">
      <c r="A304" s="3" t="str">
        <f>IFERROR(__xludf.DUMMYFUNCTION("""COMPUTED_VALUE"""),"Yes")</f>
        <v>Yes</v>
      </c>
      <c r="B304" s="3"/>
      <c r="C304" s="3" t="str">
        <f>IFERROR(__xludf.DUMMYFUNCTION("""COMPUTED_VALUE"""),"mozambique")</f>
        <v>mozambique</v>
      </c>
      <c r="D304" s="3"/>
      <c r="E304" s="3" t="str">
        <f>IFERROR(__xludf.DUMMYFUNCTION("""COMPUTED_VALUE"""),"mozambique")</f>
        <v>mozambique</v>
      </c>
      <c r="F304" s="3"/>
      <c r="G304" s="3">
        <f>IFERROR(__xludf.DUMMYFUNCTION("""COMPUTED_VALUE"""),50.0)</f>
        <v>50</v>
      </c>
      <c r="H304" s="3" t="str">
        <f>IFERROR(__xludf.DUMMYFUNCTION("""COMPUTED_VALUE"""),"male")</f>
        <v>male</v>
      </c>
      <c r="I304" s="3"/>
      <c r="J304" s="3" t="str">
        <f>IFERROR(__xludf.DUMMYFUNCTION("""COMPUTED_VALUE"""),"informal")</f>
        <v>informal</v>
      </c>
      <c r="K304" s="3" t="str">
        <f>IFERROR(__xludf.DUMMYFUNCTION("""COMPUTED_VALUE"""),"none")</f>
        <v>none</v>
      </c>
      <c r="L304" s="3"/>
      <c r="M304" s="3" t="str">
        <f>IFERROR(__xludf.DUMMYFUNCTION("""COMPUTED_VALUE"""),"agree")</f>
        <v>agree</v>
      </c>
      <c r="N304" s="3" t="str">
        <f>IFERROR(__xludf.DUMMYFUNCTION("""COMPUTED_VALUE"""),"agree")</f>
        <v>agree</v>
      </c>
      <c r="O304" s="3" t="str">
        <f>IFERROR(__xludf.DUMMYFUNCTION("""COMPUTED_VALUE"""),"agree")</f>
        <v>agree</v>
      </c>
      <c r="P304" s="3"/>
      <c r="Q304" s="3" t="str">
        <f>IFERROR(__xludf.DUMMYFUNCTION("""COMPUTED_VALUE"""),"agree")</f>
        <v>agree</v>
      </c>
      <c r="R304" s="3" t="str">
        <f>IFERROR(__xludf.DUMMYFUNCTION("""COMPUTED_VALUE"""),"disagree")</f>
        <v>disagree</v>
      </c>
      <c r="S304" s="3" t="str">
        <f>IFERROR(__xludf.DUMMYFUNCTION("""COMPUTED_VALUE"""),"disagree")</f>
        <v>disagree</v>
      </c>
      <c r="T304" s="3" t="str">
        <f>IFERROR(__xludf.DUMMYFUNCTION("""COMPUTED_VALUE"""),"agree")</f>
        <v>agree</v>
      </c>
      <c r="U304" s="3" t="str">
        <f>IFERROR(__xludf.DUMMYFUNCTION("""COMPUTED_VALUE"""),"agree")</f>
        <v>agree</v>
      </c>
      <c r="V304" s="3" t="str">
        <f>IFERROR(__xludf.DUMMYFUNCTION("""COMPUTED_VALUE"""),"disagree")</f>
        <v>disagree</v>
      </c>
      <c r="W304" s="3" t="str">
        <f>IFERROR(__xludf.DUMMYFUNCTION("""COMPUTED_VALUE"""),"agree")</f>
        <v>agree</v>
      </c>
      <c r="X304" s="3" t="str">
        <f>IFERROR(__xludf.DUMMYFUNCTION("""COMPUTED_VALUE"""),"Gold")</f>
        <v>Gold</v>
      </c>
      <c r="Y304" s="3" t="str">
        <f>IFERROR(__xludf.DUMMYFUNCTION("""COMPUTED_VALUE"""),"cash")</f>
        <v>cash</v>
      </c>
      <c r="Z304" s="3" t="str">
        <f>IFERROR(__xludf.DUMMYFUNCTION("""COMPUTED_VALUE"""),"monthly")</f>
        <v>monthly</v>
      </c>
      <c r="AA304" s="3">
        <f>IFERROR(__xludf.DUMMYFUNCTION("""COMPUTED_VALUE"""),30.0)</f>
        <v>30</v>
      </c>
      <c r="AB304" s="3" t="str">
        <f>IFERROR(__xludf.DUMMYFUNCTION("""COMPUTED_VALUE"""),"employer")</f>
        <v>employer</v>
      </c>
      <c r="AC304" s="3" t="str">
        <f>IFERROR(__xludf.DUMMYFUNCTION("""COMPUTED_VALUE"""),"Yes")</f>
        <v>Yes</v>
      </c>
      <c r="AD304" s="3" t="str">
        <f>IFERROR(__xludf.DUMMYFUNCTION("""COMPUTED_VALUE"""),"Gold")</f>
        <v>Gold</v>
      </c>
      <c r="AE304" s="3" t="str">
        <f>IFERROR(__xludf.DUMMYFUNCTION("""COMPUTED_VALUE"""),"Yes")</f>
        <v>Yes</v>
      </c>
      <c r="AF304" s="3" t="str">
        <f>IFERROR(__xludf.DUMMYFUNCTION("""COMPUTED_VALUE"""),"Yes")</f>
        <v>Yes</v>
      </c>
      <c r="AG304" s="3"/>
      <c r="AH304" s="3"/>
      <c r="AI304" s="3">
        <f>IFERROR(__xludf.DUMMYFUNCTION("""COMPUTED_VALUE"""),0.0)</f>
        <v>0</v>
      </c>
      <c r="AJ304" s="3">
        <f>IFERROR(__xludf.DUMMYFUNCTION("""COMPUTED_VALUE"""),0.0)</f>
        <v>0</v>
      </c>
      <c r="AK304" s="3">
        <f>IFERROR(__xludf.DUMMYFUNCTION("""COMPUTED_VALUE"""),0.0)</f>
        <v>0</v>
      </c>
      <c r="AL304" s="3">
        <f>IFERROR(__xludf.DUMMYFUNCTION("""COMPUTED_VALUE"""),1.0)</f>
        <v>1</v>
      </c>
      <c r="AM304" s="3"/>
      <c r="AN304" s="3"/>
      <c r="AO304" s="3"/>
      <c r="AP304" s="3">
        <f>IFERROR(__xludf.DUMMYFUNCTION("""COMPUTED_VALUE"""),4.90822988E8)</f>
        <v>490822988</v>
      </c>
      <c r="AQ304" s="3" t="str">
        <f>IFERROR(__xludf.DUMMYFUNCTION("""COMPUTED_VALUE"""),"81c33459-4bc0-4096-bf1f-4a624b5aad12")</f>
        <v>81c33459-4bc0-4096-bf1f-4a624b5aad12</v>
      </c>
      <c r="AR304" s="3">
        <f>IFERROR(__xludf.DUMMYFUNCTION("""COMPUTED_VALUE"""),45810.40594907408)</f>
        <v>45810.40595</v>
      </c>
      <c r="AS304" s="3"/>
      <c r="AT304" s="3"/>
      <c r="AU304" s="3" t="str">
        <f>IFERROR(__xludf.DUMMYFUNCTION("""COMPUTED_VALUE"""),"submitted_via_web")</f>
        <v>submitted_via_web</v>
      </c>
      <c r="AV304" s="3"/>
      <c r="AW304" s="3" t="str">
        <f>IFERROR(__xludf.DUMMYFUNCTION("""COMPUTED_VALUE"""),"vckVTgNzM4XXtKAKNnsHpB")</f>
        <v>vckVTgNzM4XXtKAKNnsHpB</v>
      </c>
      <c r="AX304" s="3"/>
      <c r="AY304" s="3">
        <f>IFERROR(__xludf.DUMMYFUNCTION("""COMPUTED_VALUE"""),303.0)</f>
        <v>303</v>
      </c>
    </row>
    <row r="305">
      <c r="A305" s="3" t="str">
        <f>IFERROR(__xludf.DUMMYFUNCTION("""COMPUTED_VALUE"""),"Yes")</f>
        <v>Yes</v>
      </c>
      <c r="B305" s="3"/>
      <c r="C305" s="3" t="str">
        <f>IFERROR(__xludf.DUMMYFUNCTION("""COMPUTED_VALUE"""),"zimbabwe")</f>
        <v>zimbabwe</v>
      </c>
      <c r="D305" s="3"/>
      <c r="E305" s="3" t="str">
        <f>IFERROR(__xludf.DUMMYFUNCTION("""COMPUTED_VALUE"""),"south_africa")</f>
        <v>south_africa</v>
      </c>
      <c r="F305" s="3" t="str">
        <f>IFERROR(__xludf.DUMMYFUNCTION("""COMPUTED_VALUE"""),"City of Tshwane Metropolitan Municipality")</f>
        <v>City of Tshwane Metropolitan Municipality</v>
      </c>
      <c r="G305" s="3">
        <f>IFERROR(__xludf.DUMMYFUNCTION("""COMPUTED_VALUE"""),43.0)</f>
        <v>43</v>
      </c>
      <c r="H305" s="3" t="str">
        <f>IFERROR(__xludf.DUMMYFUNCTION("""COMPUTED_VALUE"""),"male")</f>
        <v>male</v>
      </c>
      <c r="I305" s="3" t="str">
        <f>IFERROR(__xludf.DUMMYFUNCTION("""COMPUTED_VALUE"""),"1to5")</f>
        <v>1to5</v>
      </c>
      <c r="J305" s="3" t="str">
        <f>IFERROR(__xludf.DUMMYFUNCTION("""COMPUTED_VALUE"""),"informal")</f>
        <v>informal</v>
      </c>
      <c r="K305" s="3" t="str">
        <f>IFERROR(__xludf.DUMMYFUNCTION("""COMPUTED_VALUE"""),"vocational")</f>
        <v>vocational</v>
      </c>
      <c r="L305" s="3"/>
      <c r="M305" s="3" t="str">
        <f>IFERROR(__xludf.DUMMYFUNCTION("""COMPUTED_VALUE"""),"agree")</f>
        <v>agree</v>
      </c>
      <c r="N305" s="3" t="str">
        <f>IFERROR(__xludf.DUMMYFUNCTION("""COMPUTED_VALUE"""),"agree")</f>
        <v>agree</v>
      </c>
      <c r="O305" s="3" t="str">
        <f>IFERROR(__xludf.DUMMYFUNCTION("""COMPUTED_VALUE"""),"agree")</f>
        <v>agree</v>
      </c>
      <c r="P305" s="3"/>
      <c r="Q305" s="3" t="str">
        <f>IFERROR(__xludf.DUMMYFUNCTION("""COMPUTED_VALUE"""),"agree")</f>
        <v>agree</v>
      </c>
      <c r="R305" s="3" t="str">
        <f>IFERROR(__xludf.DUMMYFUNCTION("""COMPUTED_VALUE"""),"agree")</f>
        <v>agree</v>
      </c>
      <c r="S305" s="3" t="str">
        <f>IFERROR(__xludf.DUMMYFUNCTION("""COMPUTED_VALUE"""),"disagree")</f>
        <v>disagree</v>
      </c>
      <c r="T305" s="3" t="str">
        <f>IFERROR(__xludf.DUMMYFUNCTION("""COMPUTED_VALUE"""),"disagree")</f>
        <v>disagree</v>
      </c>
      <c r="U305" s="3" t="str">
        <f>IFERROR(__xludf.DUMMYFUNCTION("""COMPUTED_VALUE"""),"disagree")</f>
        <v>disagree</v>
      </c>
      <c r="V305" s="3" t="str">
        <f>IFERROR(__xludf.DUMMYFUNCTION("""COMPUTED_VALUE"""),"disagree")</f>
        <v>disagree</v>
      </c>
      <c r="W305" s="3" t="str">
        <f>IFERROR(__xludf.DUMMYFUNCTION("""COMPUTED_VALUE"""),"disagree")</f>
        <v>disagree</v>
      </c>
      <c r="X305" s="3" t="str">
        <f>IFERROR(__xludf.DUMMYFUNCTION("""COMPUTED_VALUE"""),"Gold")</f>
        <v>Gold</v>
      </c>
      <c r="Y305" s="3"/>
      <c r="Z305" s="3" t="str">
        <f>IFERROR(__xludf.DUMMYFUNCTION("""COMPUTED_VALUE"""),"once")</f>
        <v>once</v>
      </c>
      <c r="AA305" s="3">
        <f>IFERROR(__xludf.DUMMYFUNCTION("""COMPUTED_VALUE"""),50.0)</f>
        <v>50</v>
      </c>
      <c r="AB305" s="3" t="str">
        <f>IFERROR(__xludf.DUMMYFUNCTION("""COMPUTED_VALUE"""),"employer")</f>
        <v>employer</v>
      </c>
      <c r="AC305" s="3" t="str">
        <f>IFERROR(__xludf.DUMMYFUNCTION("""COMPUTED_VALUE"""),"Yes")</f>
        <v>Yes</v>
      </c>
      <c r="AD305" s="3" t="str">
        <f>IFERROR(__xludf.DUMMYFUNCTION("""COMPUTED_VALUE"""),"Gold")</f>
        <v>Gold</v>
      </c>
      <c r="AE305" s="3" t="str">
        <f>IFERROR(__xludf.DUMMYFUNCTION("""COMPUTED_VALUE"""),"Yes")</f>
        <v>Yes</v>
      </c>
      <c r="AF305" s="3" t="str">
        <f>IFERROR(__xludf.DUMMYFUNCTION("""COMPUTED_VALUE"""),"Yes")</f>
        <v>Yes</v>
      </c>
      <c r="AG305" s="3" t="str">
        <f>IFERROR(__xludf.DUMMYFUNCTION("""COMPUTED_VALUE"""),"No")</f>
        <v>No</v>
      </c>
      <c r="AH305" s="3"/>
      <c r="AI305" s="3">
        <f>IFERROR(__xludf.DUMMYFUNCTION("""COMPUTED_VALUE"""),0.0)</f>
        <v>0</v>
      </c>
      <c r="AJ305" s="3">
        <f>IFERROR(__xludf.DUMMYFUNCTION("""COMPUTED_VALUE"""),0.0)</f>
        <v>0</v>
      </c>
      <c r="AK305" s="3">
        <f>IFERROR(__xludf.DUMMYFUNCTION("""COMPUTED_VALUE"""),0.0)</f>
        <v>0</v>
      </c>
      <c r="AL305" s="3">
        <f>IFERROR(__xludf.DUMMYFUNCTION("""COMPUTED_VALUE"""),1.0)</f>
        <v>1</v>
      </c>
      <c r="AM305" s="3" t="str">
        <f>IFERROR(__xludf.DUMMYFUNCTION("""COMPUTED_VALUE"""),"No")</f>
        <v>No</v>
      </c>
      <c r="AN305" s="3"/>
      <c r="AO305" s="3"/>
      <c r="AP305" s="3">
        <f>IFERROR(__xludf.DUMMYFUNCTION("""COMPUTED_VALUE"""),4.9082519E8)</f>
        <v>490825190</v>
      </c>
      <c r="AQ305" s="3" t="str">
        <f>IFERROR(__xludf.DUMMYFUNCTION("""COMPUTED_VALUE"""),"41b8cdb1-c727-4907-8f91-b40bbab7b07d")</f>
        <v>41b8cdb1-c727-4907-8f91-b40bbab7b07d</v>
      </c>
      <c r="AR305" s="3">
        <f>IFERROR(__xludf.DUMMYFUNCTION("""COMPUTED_VALUE"""),45810.40837962963)</f>
        <v>45810.40838</v>
      </c>
      <c r="AS305" s="3"/>
      <c r="AT305" s="3"/>
      <c r="AU305" s="3" t="str">
        <f>IFERROR(__xludf.DUMMYFUNCTION("""COMPUTED_VALUE"""),"submitted_via_web")</f>
        <v>submitted_via_web</v>
      </c>
      <c r="AV305" s="3"/>
      <c r="AW305" s="3" t="str">
        <f>IFERROR(__xludf.DUMMYFUNCTION("""COMPUTED_VALUE"""),"vckVTgNzM4XXtKAKNnsHpB")</f>
        <v>vckVTgNzM4XXtKAKNnsHpB</v>
      </c>
      <c r="AX305" s="3"/>
      <c r="AY305" s="3">
        <f>IFERROR(__xludf.DUMMYFUNCTION("""COMPUTED_VALUE"""),304.0)</f>
        <v>304</v>
      </c>
    </row>
    <row r="306">
      <c r="A306" s="3" t="str">
        <f>IFERROR(__xludf.DUMMYFUNCTION("""COMPUTED_VALUE"""),"Yes")</f>
        <v>Yes</v>
      </c>
      <c r="B306" s="3"/>
      <c r="C306" s="3" t="str">
        <f>IFERROR(__xludf.DUMMYFUNCTION("""COMPUTED_VALUE"""),"malawi")</f>
        <v>malawi</v>
      </c>
      <c r="D306" s="3"/>
      <c r="E306" s="3" t="str">
        <f>IFERROR(__xludf.DUMMYFUNCTION("""COMPUTED_VALUE"""),"malawi")</f>
        <v>malawi</v>
      </c>
      <c r="F306" s="3"/>
      <c r="G306" s="3">
        <f>IFERROR(__xludf.DUMMYFUNCTION("""COMPUTED_VALUE"""),27.0)</f>
        <v>27</v>
      </c>
      <c r="H306" s="3" t="str">
        <f>IFERROR(__xludf.DUMMYFUNCTION("""COMPUTED_VALUE"""),"female")</f>
        <v>female</v>
      </c>
      <c r="I306" s="3"/>
      <c r="J306" s="3" t="str">
        <f>IFERROR(__xludf.DUMMYFUNCTION("""COMPUTED_VALUE"""),"informal")</f>
        <v>informal</v>
      </c>
      <c r="K306" s="3" t="str">
        <f>IFERROR(__xludf.DUMMYFUNCTION("""COMPUTED_VALUE"""),"secondary")</f>
        <v>secondary</v>
      </c>
      <c r="L306" s="3"/>
      <c r="M306" s="3" t="str">
        <f>IFERROR(__xludf.DUMMYFUNCTION("""COMPUTED_VALUE"""),"agree")</f>
        <v>agree</v>
      </c>
      <c r="N306" s="3" t="str">
        <f>IFERROR(__xludf.DUMMYFUNCTION("""COMPUTED_VALUE"""),"agree")</f>
        <v>agree</v>
      </c>
      <c r="O306" s="3" t="str">
        <f>IFERROR(__xludf.DUMMYFUNCTION("""COMPUTED_VALUE"""),"agree")</f>
        <v>agree</v>
      </c>
      <c r="P306" s="3"/>
      <c r="Q306" s="3" t="str">
        <f>IFERROR(__xludf.DUMMYFUNCTION("""COMPUTED_VALUE"""),"agree")</f>
        <v>agree</v>
      </c>
      <c r="R306" s="3" t="str">
        <f>IFERROR(__xludf.DUMMYFUNCTION("""COMPUTED_VALUE"""),"agree")</f>
        <v>agree</v>
      </c>
      <c r="S306" s="3" t="str">
        <f>IFERROR(__xludf.DUMMYFUNCTION("""COMPUTED_VALUE"""),"agree")</f>
        <v>agree</v>
      </c>
      <c r="T306" s="3" t="str">
        <f>IFERROR(__xludf.DUMMYFUNCTION("""COMPUTED_VALUE"""),"agree")</f>
        <v>agree</v>
      </c>
      <c r="U306" s="3" t="str">
        <f>IFERROR(__xludf.DUMMYFUNCTION("""COMPUTED_VALUE"""),"agree")</f>
        <v>agree</v>
      </c>
      <c r="V306" s="3" t="str">
        <f>IFERROR(__xludf.DUMMYFUNCTION("""COMPUTED_VALUE"""),"agree")</f>
        <v>agree</v>
      </c>
      <c r="W306" s="3" t="str">
        <f>IFERROR(__xludf.DUMMYFUNCTION("""COMPUTED_VALUE"""),"agree")</f>
        <v>agree</v>
      </c>
      <c r="X306" s="3" t="str">
        <f>IFERROR(__xludf.DUMMYFUNCTION("""COMPUTED_VALUE"""),"Gold")</f>
        <v>Gold</v>
      </c>
      <c r="Y306" s="3" t="str">
        <f>IFERROR(__xludf.DUMMYFUNCTION("""COMPUTED_VALUE"""),"cash")</f>
        <v>cash</v>
      </c>
      <c r="Z306" s="3" t="str">
        <f>IFERROR(__xludf.DUMMYFUNCTION("""COMPUTED_VALUE"""),"monthly")</f>
        <v>monthly</v>
      </c>
      <c r="AA306" s="3">
        <f>IFERROR(__xludf.DUMMYFUNCTION("""COMPUTED_VALUE"""),30.0)</f>
        <v>30</v>
      </c>
      <c r="AB306" s="3" t="str">
        <f>IFERROR(__xludf.DUMMYFUNCTION("""COMPUTED_VALUE"""),"assisted")</f>
        <v>assisted</v>
      </c>
      <c r="AC306" s="3" t="str">
        <f>IFERROR(__xludf.DUMMYFUNCTION("""COMPUTED_VALUE"""),"Yes")</f>
        <v>Yes</v>
      </c>
      <c r="AD306" s="3" t="str">
        <f>IFERROR(__xludf.DUMMYFUNCTION("""COMPUTED_VALUE"""),"Gold")</f>
        <v>Gold</v>
      </c>
      <c r="AE306" s="3" t="str">
        <f>IFERROR(__xludf.DUMMYFUNCTION("""COMPUTED_VALUE"""),"Yes")</f>
        <v>Yes</v>
      </c>
      <c r="AF306" s="3" t="str">
        <f>IFERROR(__xludf.DUMMYFUNCTION("""COMPUTED_VALUE"""),"Yes")</f>
        <v>Yes</v>
      </c>
      <c r="AG306" s="3" t="str">
        <f>IFERROR(__xludf.DUMMYFUNCTION("""COMPUTED_VALUE"""),"No")</f>
        <v>No</v>
      </c>
      <c r="AH306" s="3"/>
      <c r="AI306" s="3">
        <f>IFERROR(__xludf.DUMMYFUNCTION("""COMPUTED_VALUE"""),0.0)</f>
        <v>0</v>
      </c>
      <c r="AJ306" s="3">
        <f>IFERROR(__xludf.DUMMYFUNCTION("""COMPUTED_VALUE"""),0.0)</f>
        <v>0</v>
      </c>
      <c r="AK306" s="3">
        <f>IFERROR(__xludf.DUMMYFUNCTION("""COMPUTED_VALUE"""),0.0)</f>
        <v>0</v>
      </c>
      <c r="AL306" s="3">
        <f>IFERROR(__xludf.DUMMYFUNCTION("""COMPUTED_VALUE"""),1.0)</f>
        <v>1</v>
      </c>
      <c r="AM306" s="3"/>
      <c r="AN306" s="3"/>
      <c r="AO306" s="3"/>
      <c r="AP306" s="3">
        <f>IFERROR(__xludf.DUMMYFUNCTION("""COMPUTED_VALUE"""),4.90827975E8)</f>
        <v>490827975</v>
      </c>
      <c r="AQ306" s="3" t="str">
        <f>IFERROR(__xludf.DUMMYFUNCTION("""COMPUTED_VALUE"""),"753c30a8-ae48-4508-af31-7db0db3fee63")</f>
        <v>753c30a8-ae48-4508-af31-7db0db3fee63</v>
      </c>
      <c r="AR306" s="3">
        <f>IFERROR(__xludf.DUMMYFUNCTION("""COMPUTED_VALUE"""),45810.41122685185)</f>
        <v>45810.41123</v>
      </c>
      <c r="AS306" s="3"/>
      <c r="AT306" s="3"/>
      <c r="AU306" s="3" t="str">
        <f>IFERROR(__xludf.DUMMYFUNCTION("""COMPUTED_VALUE"""),"submitted_via_web")</f>
        <v>submitted_via_web</v>
      </c>
      <c r="AV306" s="3"/>
      <c r="AW306" s="3" t="str">
        <f>IFERROR(__xludf.DUMMYFUNCTION("""COMPUTED_VALUE"""),"vckVTgNzM4XXtKAKNnsHpB")</f>
        <v>vckVTgNzM4XXtKAKNnsHpB</v>
      </c>
      <c r="AX306" s="3"/>
      <c r="AY306" s="3">
        <f>IFERROR(__xludf.DUMMYFUNCTION("""COMPUTED_VALUE"""),305.0)</f>
        <v>305</v>
      </c>
    </row>
    <row r="307">
      <c r="A307" s="3" t="str">
        <f>IFERROR(__xludf.DUMMYFUNCTION("""COMPUTED_VALUE"""),"Yes")</f>
        <v>Yes</v>
      </c>
      <c r="B307" s="3"/>
      <c r="C307" s="3" t="str">
        <f>IFERROR(__xludf.DUMMYFUNCTION("""COMPUTED_VALUE"""),"malawi")</f>
        <v>malawi</v>
      </c>
      <c r="D307" s="3"/>
      <c r="E307" s="3" t="str">
        <f>IFERROR(__xludf.DUMMYFUNCTION("""COMPUTED_VALUE"""),"south_africa")</f>
        <v>south_africa</v>
      </c>
      <c r="F307" s="3" t="str">
        <f>IFERROR(__xludf.DUMMYFUNCTION("""COMPUTED_VALUE"""),"City of Tshwane Metropolitan Municipality")</f>
        <v>City of Tshwane Metropolitan Municipality</v>
      </c>
      <c r="G307" s="3">
        <f>IFERROR(__xludf.DUMMYFUNCTION("""COMPUTED_VALUE"""),35.0)</f>
        <v>35</v>
      </c>
      <c r="H307" s="3" t="str">
        <f>IFERROR(__xludf.DUMMYFUNCTION("""COMPUTED_VALUE"""),"male")</f>
        <v>male</v>
      </c>
      <c r="I307" s="3" t="str">
        <f>IFERROR(__xludf.DUMMYFUNCTION("""COMPUTED_VALUE"""),"less6")</f>
        <v>less6</v>
      </c>
      <c r="J307" s="3" t="str">
        <f>IFERROR(__xludf.DUMMYFUNCTION("""COMPUTED_VALUE"""),"informal")</f>
        <v>informal</v>
      </c>
      <c r="K307" s="3" t="str">
        <f>IFERROR(__xludf.DUMMYFUNCTION("""COMPUTED_VALUE"""),"none")</f>
        <v>none</v>
      </c>
      <c r="L307" s="3"/>
      <c r="M307" s="3" t="str">
        <f>IFERROR(__xludf.DUMMYFUNCTION("""COMPUTED_VALUE"""),"agree")</f>
        <v>agree</v>
      </c>
      <c r="N307" s="3" t="str">
        <f>IFERROR(__xludf.DUMMYFUNCTION("""COMPUTED_VALUE"""),"agree")</f>
        <v>agree</v>
      </c>
      <c r="O307" s="3" t="str">
        <f>IFERROR(__xludf.DUMMYFUNCTION("""COMPUTED_VALUE"""),"agree")</f>
        <v>agree</v>
      </c>
      <c r="P307" s="3"/>
      <c r="Q307" s="3" t="str">
        <f>IFERROR(__xludf.DUMMYFUNCTION("""COMPUTED_VALUE"""),"agree")</f>
        <v>agree</v>
      </c>
      <c r="R307" s="3" t="str">
        <f>IFERROR(__xludf.DUMMYFUNCTION("""COMPUTED_VALUE"""),"agree")</f>
        <v>agree</v>
      </c>
      <c r="S307" s="3" t="str">
        <f>IFERROR(__xludf.DUMMYFUNCTION("""COMPUTED_VALUE"""),"agree")</f>
        <v>agree</v>
      </c>
      <c r="T307" s="3" t="str">
        <f>IFERROR(__xludf.DUMMYFUNCTION("""COMPUTED_VALUE"""),"disagree")</f>
        <v>disagree</v>
      </c>
      <c r="U307" s="3" t="str">
        <f>IFERROR(__xludf.DUMMYFUNCTION("""COMPUTED_VALUE"""),"disagree")</f>
        <v>disagree</v>
      </c>
      <c r="V307" s="3" t="str">
        <f>IFERROR(__xludf.DUMMYFUNCTION("""COMPUTED_VALUE"""),"disagree")</f>
        <v>disagree</v>
      </c>
      <c r="W307" s="3" t="str">
        <f>IFERROR(__xludf.DUMMYFUNCTION("""COMPUTED_VALUE"""),"disagree")</f>
        <v>disagree</v>
      </c>
      <c r="X307" s="3" t="str">
        <f>IFERROR(__xludf.DUMMYFUNCTION("""COMPUTED_VALUE"""),"Gold")</f>
        <v>Gold</v>
      </c>
      <c r="Y307" s="3" t="str">
        <f>IFERROR(__xludf.DUMMYFUNCTION("""COMPUTED_VALUE"""),"cash")</f>
        <v>cash</v>
      </c>
      <c r="Z307" s="3" t="str">
        <f>IFERROR(__xludf.DUMMYFUNCTION("""COMPUTED_VALUE"""),"monthly")</f>
        <v>monthly</v>
      </c>
      <c r="AA307" s="3">
        <f>IFERROR(__xludf.DUMMYFUNCTION("""COMPUTED_VALUE"""),20.0)</f>
        <v>20</v>
      </c>
      <c r="AB307" s="3" t="str">
        <f>IFERROR(__xludf.DUMMYFUNCTION("""COMPUTED_VALUE"""),"employer")</f>
        <v>employer</v>
      </c>
      <c r="AC307" s="3" t="str">
        <f>IFERROR(__xludf.DUMMYFUNCTION("""COMPUTED_VALUE"""),"I am not an employer")</f>
        <v>I am not an employer</v>
      </c>
      <c r="AD307" s="3"/>
      <c r="AE307" s="3"/>
      <c r="AF307" s="3" t="str">
        <f>IFERROR(__xludf.DUMMYFUNCTION("""COMPUTED_VALUE"""),"Yes")</f>
        <v>Yes</v>
      </c>
      <c r="AG307" s="3" t="str">
        <f>IFERROR(__xludf.DUMMYFUNCTION("""COMPUTED_VALUE"""),"No")</f>
        <v>No</v>
      </c>
      <c r="AH307" s="3"/>
      <c r="AI307" s="3">
        <f>IFERROR(__xludf.DUMMYFUNCTION("""COMPUTED_VALUE"""),0.0)</f>
        <v>0</v>
      </c>
      <c r="AJ307" s="3">
        <f>IFERROR(__xludf.DUMMYFUNCTION("""COMPUTED_VALUE"""),0.0)</f>
        <v>0</v>
      </c>
      <c r="AK307" s="3">
        <f>IFERROR(__xludf.DUMMYFUNCTION("""COMPUTED_VALUE"""),0.0)</f>
        <v>0</v>
      </c>
      <c r="AL307" s="3">
        <f>IFERROR(__xludf.DUMMYFUNCTION("""COMPUTED_VALUE"""),1.0)</f>
        <v>1</v>
      </c>
      <c r="AM307" s="3" t="str">
        <f>IFERROR(__xludf.DUMMYFUNCTION("""COMPUTED_VALUE"""),"No")</f>
        <v>No</v>
      </c>
      <c r="AN307" s="3"/>
      <c r="AO307" s="3"/>
      <c r="AP307" s="3">
        <f>IFERROR(__xludf.DUMMYFUNCTION("""COMPUTED_VALUE"""),4.90830437E8)</f>
        <v>490830437</v>
      </c>
      <c r="AQ307" s="3" t="str">
        <f>IFERROR(__xludf.DUMMYFUNCTION("""COMPUTED_VALUE"""),"1ec9d096-0d29-419e-b70e-d9493e587359")</f>
        <v>1ec9d096-0d29-419e-b70e-d9493e587359</v>
      </c>
      <c r="AR307" s="3">
        <f>IFERROR(__xludf.DUMMYFUNCTION("""COMPUTED_VALUE"""),45810.413819444446)</f>
        <v>45810.41382</v>
      </c>
      <c r="AS307" s="3"/>
      <c r="AT307" s="3"/>
      <c r="AU307" s="3" t="str">
        <f>IFERROR(__xludf.DUMMYFUNCTION("""COMPUTED_VALUE"""),"submitted_via_web")</f>
        <v>submitted_via_web</v>
      </c>
      <c r="AV307" s="3"/>
      <c r="AW307" s="3" t="str">
        <f>IFERROR(__xludf.DUMMYFUNCTION("""COMPUTED_VALUE"""),"vckVTgNzM4XXtKAKNnsHpB")</f>
        <v>vckVTgNzM4XXtKAKNnsHpB</v>
      </c>
      <c r="AX307" s="3"/>
      <c r="AY307" s="3">
        <f>IFERROR(__xludf.DUMMYFUNCTION("""COMPUTED_VALUE"""),306.0)</f>
        <v>306</v>
      </c>
    </row>
    <row r="308">
      <c r="A308" s="3" t="str">
        <f>IFERROR(__xludf.DUMMYFUNCTION("""COMPUTED_VALUE"""),"Yes")</f>
        <v>Yes</v>
      </c>
      <c r="B308" s="3"/>
      <c r="C308" s="3" t="str">
        <f>IFERROR(__xludf.DUMMYFUNCTION("""COMPUTED_VALUE"""),"malawi")</f>
        <v>malawi</v>
      </c>
      <c r="D308" s="3"/>
      <c r="E308" s="3" t="str">
        <f>IFERROR(__xludf.DUMMYFUNCTION("""COMPUTED_VALUE"""),"south_africa")</f>
        <v>south_africa</v>
      </c>
      <c r="F308" s="3" t="str">
        <f>IFERROR(__xludf.DUMMYFUNCTION("""COMPUTED_VALUE"""),"City of Tshwane Metropolitan Municipality")</f>
        <v>City of Tshwane Metropolitan Municipality</v>
      </c>
      <c r="G308" s="3">
        <f>IFERROR(__xludf.DUMMYFUNCTION("""COMPUTED_VALUE"""),42.0)</f>
        <v>42</v>
      </c>
      <c r="H308" s="3" t="str">
        <f>IFERROR(__xludf.DUMMYFUNCTION("""COMPUTED_VALUE"""),"male")</f>
        <v>male</v>
      </c>
      <c r="I308" s="3" t="str">
        <f>IFERROR(__xludf.DUMMYFUNCTION("""COMPUTED_VALUE"""),"over5")</f>
        <v>over5</v>
      </c>
      <c r="J308" s="3" t="str">
        <f>IFERROR(__xludf.DUMMYFUNCTION("""COMPUTED_VALUE"""),"informal")</f>
        <v>informal</v>
      </c>
      <c r="K308" s="3" t="str">
        <f>IFERROR(__xludf.DUMMYFUNCTION("""COMPUTED_VALUE"""),"primary")</f>
        <v>primary</v>
      </c>
      <c r="L308" s="3"/>
      <c r="M308" s="3" t="str">
        <f>IFERROR(__xludf.DUMMYFUNCTION("""COMPUTED_VALUE"""),"agree")</f>
        <v>agree</v>
      </c>
      <c r="N308" s="3" t="str">
        <f>IFERROR(__xludf.DUMMYFUNCTION("""COMPUTED_VALUE"""),"agree")</f>
        <v>agree</v>
      </c>
      <c r="O308" s="3" t="str">
        <f>IFERROR(__xludf.DUMMYFUNCTION("""COMPUTED_VALUE"""),"agree")</f>
        <v>agree</v>
      </c>
      <c r="P308" s="3"/>
      <c r="Q308" s="3" t="str">
        <f>IFERROR(__xludf.DUMMYFUNCTION("""COMPUTED_VALUE"""),"agree")</f>
        <v>agree</v>
      </c>
      <c r="R308" s="3" t="str">
        <f>IFERROR(__xludf.DUMMYFUNCTION("""COMPUTED_VALUE"""),"agree")</f>
        <v>agree</v>
      </c>
      <c r="S308" s="3" t="str">
        <f>IFERROR(__xludf.DUMMYFUNCTION("""COMPUTED_VALUE"""),"agree")</f>
        <v>agree</v>
      </c>
      <c r="T308" s="3" t="str">
        <f>IFERROR(__xludf.DUMMYFUNCTION("""COMPUTED_VALUE"""),"agree")</f>
        <v>agree</v>
      </c>
      <c r="U308" s="3" t="str">
        <f>IFERROR(__xludf.DUMMYFUNCTION("""COMPUTED_VALUE"""),"agree")</f>
        <v>agree</v>
      </c>
      <c r="V308" s="3" t="str">
        <f>IFERROR(__xludf.DUMMYFUNCTION("""COMPUTED_VALUE"""),"agree")</f>
        <v>agree</v>
      </c>
      <c r="W308" s="3" t="str">
        <f>IFERROR(__xludf.DUMMYFUNCTION("""COMPUTED_VALUE"""),"disagree")</f>
        <v>disagree</v>
      </c>
      <c r="X308" s="3" t="str">
        <f>IFERROR(__xludf.DUMMYFUNCTION("""COMPUTED_VALUE"""),"Gold")</f>
        <v>Gold</v>
      </c>
      <c r="Y308" s="3" t="str">
        <f>IFERROR(__xludf.DUMMYFUNCTION("""COMPUTED_VALUE"""),"cash")</f>
        <v>cash</v>
      </c>
      <c r="Z308" s="3" t="str">
        <f>IFERROR(__xludf.DUMMYFUNCTION("""COMPUTED_VALUE"""),"once")</f>
        <v>once</v>
      </c>
      <c r="AA308" s="3">
        <f>IFERROR(__xludf.DUMMYFUNCTION("""COMPUTED_VALUE"""),10.0)</f>
        <v>10</v>
      </c>
      <c r="AB308" s="3" t="str">
        <f>IFERROR(__xludf.DUMMYFUNCTION("""COMPUTED_VALUE"""),"assisted")</f>
        <v>assisted</v>
      </c>
      <c r="AC308" s="3" t="str">
        <f>IFERROR(__xludf.DUMMYFUNCTION("""COMPUTED_VALUE"""),"Yes")</f>
        <v>Yes</v>
      </c>
      <c r="AD308" s="3" t="str">
        <f>IFERROR(__xludf.DUMMYFUNCTION("""COMPUTED_VALUE"""),"Gold")</f>
        <v>Gold</v>
      </c>
      <c r="AE308" s="3" t="str">
        <f>IFERROR(__xludf.DUMMYFUNCTION("""COMPUTED_VALUE"""),"Yes")</f>
        <v>Yes</v>
      </c>
      <c r="AF308" s="3" t="str">
        <f>IFERROR(__xludf.DUMMYFUNCTION("""COMPUTED_VALUE"""),"Yes")</f>
        <v>Yes</v>
      </c>
      <c r="AG308" s="3" t="str">
        <f>IFERROR(__xludf.DUMMYFUNCTION("""COMPUTED_VALUE"""),"No")</f>
        <v>No</v>
      </c>
      <c r="AH308" s="3"/>
      <c r="AI308" s="3">
        <f>IFERROR(__xludf.DUMMYFUNCTION("""COMPUTED_VALUE"""),0.0)</f>
        <v>0</v>
      </c>
      <c r="AJ308" s="3">
        <f>IFERROR(__xludf.DUMMYFUNCTION("""COMPUTED_VALUE"""),0.0)</f>
        <v>0</v>
      </c>
      <c r="AK308" s="3">
        <f>IFERROR(__xludf.DUMMYFUNCTION("""COMPUTED_VALUE"""),0.0)</f>
        <v>0</v>
      </c>
      <c r="AL308" s="3">
        <f>IFERROR(__xludf.DUMMYFUNCTION("""COMPUTED_VALUE"""),1.0)</f>
        <v>1</v>
      </c>
      <c r="AM308" s="3"/>
      <c r="AN308" s="3"/>
      <c r="AO308" s="3"/>
      <c r="AP308" s="3">
        <f>IFERROR(__xludf.DUMMYFUNCTION("""COMPUTED_VALUE"""),4.90833006E8)</f>
        <v>490833006</v>
      </c>
      <c r="AQ308" s="3" t="str">
        <f>IFERROR(__xludf.DUMMYFUNCTION("""COMPUTED_VALUE"""),"58134c10-8045-4c4b-a566-ef833a2eb1ab")</f>
        <v>58134c10-8045-4c4b-a566-ef833a2eb1ab</v>
      </c>
      <c r="AR308" s="3">
        <f>IFERROR(__xludf.DUMMYFUNCTION("""COMPUTED_VALUE"""),45810.41619212963)</f>
        <v>45810.41619</v>
      </c>
      <c r="AS308" s="3"/>
      <c r="AT308" s="3"/>
      <c r="AU308" s="3" t="str">
        <f>IFERROR(__xludf.DUMMYFUNCTION("""COMPUTED_VALUE"""),"submitted_via_web")</f>
        <v>submitted_via_web</v>
      </c>
      <c r="AV308" s="3"/>
      <c r="AW308" s="3" t="str">
        <f>IFERROR(__xludf.DUMMYFUNCTION("""COMPUTED_VALUE"""),"vckVTgNzM4XXtKAKNnsHpB")</f>
        <v>vckVTgNzM4XXtKAKNnsHpB</v>
      </c>
      <c r="AX308" s="3"/>
      <c r="AY308" s="3">
        <f>IFERROR(__xludf.DUMMYFUNCTION("""COMPUTED_VALUE"""),307.0)</f>
        <v>307</v>
      </c>
    </row>
    <row r="309">
      <c r="A309" s="3" t="str">
        <f>IFERROR(__xludf.DUMMYFUNCTION("""COMPUTED_VALUE"""),"Yes")</f>
        <v>Yes</v>
      </c>
      <c r="B309" s="3"/>
      <c r="C309" s="3" t="str">
        <f>IFERROR(__xludf.DUMMYFUNCTION("""COMPUTED_VALUE"""),"zimbabwe")</f>
        <v>zimbabwe</v>
      </c>
      <c r="D309" s="3"/>
      <c r="E309" s="3" t="str">
        <f>IFERROR(__xludf.DUMMYFUNCTION("""COMPUTED_VALUE"""),"south_africa")</f>
        <v>south_africa</v>
      </c>
      <c r="F309" s="3" t="str">
        <f>IFERROR(__xludf.DUMMYFUNCTION("""COMPUTED_VALUE"""),"City of Tshwane Metropolitan Municipality")</f>
        <v>City of Tshwane Metropolitan Municipality</v>
      </c>
      <c r="G309" s="3">
        <f>IFERROR(__xludf.DUMMYFUNCTION("""COMPUTED_VALUE"""),47.0)</f>
        <v>47</v>
      </c>
      <c r="H309" s="3" t="str">
        <f>IFERROR(__xludf.DUMMYFUNCTION("""COMPUTED_VALUE"""),"female")</f>
        <v>female</v>
      </c>
      <c r="I309" s="3" t="str">
        <f>IFERROR(__xludf.DUMMYFUNCTION("""COMPUTED_VALUE"""),"over5")</f>
        <v>over5</v>
      </c>
      <c r="J309" s="3" t="str">
        <f>IFERROR(__xludf.DUMMYFUNCTION("""COMPUTED_VALUE"""),"unemployed")</f>
        <v>unemployed</v>
      </c>
      <c r="K309" s="3" t="str">
        <f>IFERROR(__xludf.DUMMYFUNCTION("""COMPUTED_VALUE"""),"none")</f>
        <v>none</v>
      </c>
      <c r="L309" s="3"/>
      <c r="M309" s="3" t="str">
        <f>IFERROR(__xludf.DUMMYFUNCTION("""COMPUTED_VALUE"""),"agree")</f>
        <v>agree</v>
      </c>
      <c r="N309" s="3" t="str">
        <f>IFERROR(__xludf.DUMMYFUNCTION("""COMPUTED_VALUE"""),"agree")</f>
        <v>agree</v>
      </c>
      <c r="O309" s="3" t="str">
        <f>IFERROR(__xludf.DUMMYFUNCTION("""COMPUTED_VALUE"""),"agree")</f>
        <v>agree</v>
      </c>
      <c r="P309" s="3"/>
      <c r="Q309" s="3" t="str">
        <f>IFERROR(__xludf.DUMMYFUNCTION("""COMPUTED_VALUE"""),"agree")</f>
        <v>agree</v>
      </c>
      <c r="R309" s="3" t="str">
        <f>IFERROR(__xludf.DUMMYFUNCTION("""COMPUTED_VALUE"""),"disagree")</f>
        <v>disagree</v>
      </c>
      <c r="S309" s="3" t="str">
        <f>IFERROR(__xludf.DUMMYFUNCTION("""COMPUTED_VALUE"""),"disagree")</f>
        <v>disagree</v>
      </c>
      <c r="T309" s="3" t="str">
        <f>IFERROR(__xludf.DUMMYFUNCTION("""COMPUTED_VALUE"""),"agree")</f>
        <v>agree</v>
      </c>
      <c r="U309" s="3" t="str">
        <f>IFERROR(__xludf.DUMMYFUNCTION("""COMPUTED_VALUE"""),"agree")</f>
        <v>agree</v>
      </c>
      <c r="V309" s="3" t="str">
        <f>IFERROR(__xludf.DUMMYFUNCTION("""COMPUTED_VALUE"""),"disagree")</f>
        <v>disagree</v>
      </c>
      <c r="W309" s="3" t="str">
        <f>IFERROR(__xludf.DUMMYFUNCTION("""COMPUTED_VALUE"""),"disagree")</f>
        <v>disagree</v>
      </c>
      <c r="X309" s="3" t="str">
        <f>IFERROR(__xludf.DUMMYFUNCTION("""COMPUTED_VALUE"""),"Gold")</f>
        <v>Gold</v>
      </c>
      <c r="Y309" s="3" t="str">
        <f>IFERROR(__xludf.DUMMYFUNCTION("""COMPUTED_VALUE"""),"cash")</f>
        <v>cash</v>
      </c>
      <c r="Z309" s="3" t="str">
        <f>IFERROR(__xludf.DUMMYFUNCTION("""COMPUTED_VALUE"""),"monthly")</f>
        <v>monthly</v>
      </c>
      <c r="AA309" s="3">
        <f>IFERROR(__xludf.DUMMYFUNCTION("""COMPUTED_VALUE"""),20.0)</f>
        <v>20</v>
      </c>
      <c r="AB309" s="3" t="str">
        <f>IFERROR(__xludf.DUMMYFUNCTION("""COMPUTED_VALUE"""),"employer")</f>
        <v>employer</v>
      </c>
      <c r="AC309" s="3" t="str">
        <f>IFERROR(__xludf.DUMMYFUNCTION("""COMPUTED_VALUE"""),"I am not an employer")</f>
        <v>I am not an employer</v>
      </c>
      <c r="AD309" s="3"/>
      <c r="AE309" s="3"/>
      <c r="AF309" s="3" t="str">
        <f>IFERROR(__xludf.DUMMYFUNCTION("""COMPUTED_VALUE"""),"Yes")</f>
        <v>Yes</v>
      </c>
      <c r="AG309" s="3" t="str">
        <f>IFERROR(__xludf.DUMMYFUNCTION("""COMPUTED_VALUE"""),"No")</f>
        <v>No</v>
      </c>
      <c r="AH309" s="3"/>
      <c r="AI309" s="3">
        <f>IFERROR(__xludf.DUMMYFUNCTION("""COMPUTED_VALUE"""),0.0)</f>
        <v>0</v>
      </c>
      <c r="AJ309" s="3">
        <f>IFERROR(__xludf.DUMMYFUNCTION("""COMPUTED_VALUE"""),0.0)</f>
        <v>0</v>
      </c>
      <c r="AK309" s="3">
        <f>IFERROR(__xludf.DUMMYFUNCTION("""COMPUTED_VALUE"""),0.0)</f>
        <v>0</v>
      </c>
      <c r="AL309" s="3">
        <f>IFERROR(__xludf.DUMMYFUNCTION("""COMPUTED_VALUE"""),1.0)</f>
        <v>1</v>
      </c>
      <c r="AM309" s="3" t="str">
        <f>IFERROR(__xludf.DUMMYFUNCTION("""COMPUTED_VALUE"""),"No")</f>
        <v>No</v>
      </c>
      <c r="AN309" s="3"/>
      <c r="AO309" s="3"/>
      <c r="AP309" s="3">
        <f>IFERROR(__xludf.DUMMYFUNCTION("""COMPUTED_VALUE"""),4.90835855E8)</f>
        <v>490835855</v>
      </c>
      <c r="AQ309" s="3" t="str">
        <f>IFERROR(__xludf.DUMMYFUNCTION("""COMPUTED_VALUE"""),"75d9990b-1f3b-45dc-883d-676cc86843af")</f>
        <v>75d9990b-1f3b-45dc-883d-676cc86843af</v>
      </c>
      <c r="AR309" s="3">
        <f>IFERROR(__xludf.DUMMYFUNCTION("""COMPUTED_VALUE"""),45810.41915509259)</f>
        <v>45810.41916</v>
      </c>
      <c r="AS309" s="3"/>
      <c r="AT309" s="3"/>
      <c r="AU309" s="3" t="str">
        <f>IFERROR(__xludf.DUMMYFUNCTION("""COMPUTED_VALUE"""),"submitted_via_web")</f>
        <v>submitted_via_web</v>
      </c>
      <c r="AV309" s="3"/>
      <c r="AW309" s="3" t="str">
        <f>IFERROR(__xludf.DUMMYFUNCTION("""COMPUTED_VALUE"""),"vckVTgNzM4XXtKAKNnsHpB")</f>
        <v>vckVTgNzM4XXtKAKNnsHpB</v>
      </c>
      <c r="AX309" s="3"/>
      <c r="AY309" s="3">
        <f>IFERROR(__xludf.DUMMYFUNCTION("""COMPUTED_VALUE"""),308.0)</f>
        <v>308</v>
      </c>
    </row>
    <row r="310">
      <c r="A310" s="3" t="str">
        <f>IFERROR(__xludf.DUMMYFUNCTION("""COMPUTED_VALUE"""),"Yes")</f>
        <v>Yes</v>
      </c>
      <c r="B310" s="3"/>
      <c r="C310" s="3" t="str">
        <f>IFERROR(__xludf.DUMMYFUNCTION("""COMPUTED_VALUE"""),"zimbabwe")</f>
        <v>zimbabwe</v>
      </c>
      <c r="D310" s="3"/>
      <c r="E310" s="3" t="str">
        <f>IFERROR(__xludf.DUMMYFUNCTION("""COMPUTED_VALUE"""),"south_africa")</f>
        <v>south_africa</v>
      </c>
      <c r="F310" s="3" t="str">
        <f>IFERROR(__xludf.DUMMYFUNCTION("""COMPUTED_VALUE"""),"City of Tshwane Metropolitan Municipality")</f>
        <v>City of Tshwane Metropolitan Municipality</v>
      </c>
      <c r="G310" s="3">
        <f>IFERROR(__xludf.DUMMYFUNCTION("""COMPUTED_VALUE"""),33.0)</f>
        <v>33</v>
      </c>
      <c r="H310" s="3" t="str">
        <f>IFERROR(__xludf.DUMMYFUNCTION("""COMPUTED_VALUE"""),"female")</f>
        <v>female</v>
      </c>
      <c r="I310" s="3" t="str">
        <f>IFERROR(__xludf.DUMMYFUNCTION("""COMPUTED_VALUE"""),"6to12")</f>
        <v>6to12</v>
      </c>
      <c r="J310" s="3" t="str">
        <f>IFERROR(__xludf.DUMMYFUNCTION("""COMPUTED_VALUE"""),"unemployed")</f>
        <v>unemployed</v>
      </c>
      <c r="K310" s="3" t="str">
        <f>IFERROR(__xludf.DUMMYFUNCTION("""COMPUTED_VALUE"""),"secondary")</f>
        <v>secondary</v>
      </c>
      <c r="L310" s="3"/>
      <c r="M310" s="3" t="str">
        <f>IFERROR(__xludf.DUMMYFUNCTION("""COMPUTED_VALUE"""),"agree")</f>
        <v>agree</v>
      </c>
      <c r="N310" s="3" t="str">
        <f>IFERROR(__xludf.DUMMYFUNCTION("""COMPUTED_VALUE"""),"agree")</f>
        <v>agree</v>
      </c>
      <c r="O310" s="3" t="str">
        <f>IFERROR(__xludf.DUMMYFUNCTION("""COMPUTED_VALUE"""),"agree")</f>
        <v>agree</v>
      </c>
      <c r="P310" s="3"/>
      <c r="Q310" s="3" t="str">
        <f>IFERROR(__xludf.DUMMYFUNCTION("""COMPUTED_VALUE"""),"agree")</f>
        <v>agree</v>
      </c>
      <c r="R310" s="3" t="str">
        <f>IFERROR(__xludf.DUMMYFUNCTION("""COMPUTED_VALUE"""),"agree")</f>
        <v>agree</v>
      </c>
      <c r="S310" s="3" t="str">
        <f>IFERROR(__xludf.DUMMYFUNCTION("""COMPUTED_VALUE"""),"agree")</f>
        <v>agree</v>
      </c>
      <c r="T310" s="3" t="str">
        <f>IFERROR(__xludf.DUMMYFUNCTION("""COMPUTED_VALUE"""),"agree")</f>
        <v>agree</v>
      </c>
      <c r="U310" s="3" t="str">
        <f>IFERROR(__xludf.DUMMYFUNCTION("""COMPUTED_VALUE"""),"agree")</f>
        <v>agree</v>
      </c>
      <c r="V310" s="3" t="str">
        <f>IFERROR(__xludf.DUMMYFUNCTION("""COMPUTED_VALUE"""),"agree")</f>
        <v>agree</v>
      </c>
      <c r="W310" s="3" t="str">
        <f>IFERROR(__xludf.DUMMYFUNCTION("""COMPUTED_VALUE"""),"agree")</f>
        <v>agree</v>
      </c>
      <c r="X310" s="3" t="str">
        <f>IFERROR(__xludf.DUMMYFUNCTION("""COMPUTED_VALUE"""),"Gold")</f>
        <v>Gold</v>
      </c>
      <c r="Y310" s="3" t="str">
        <f>IFERROR(__xludf.DUMMYFUNCTION("""COMPUTED_VALUE"""),"cash")</f>
        <v>cash</v>
      </c>
      <c r="Z310" s="3" t="str">
        <f>IFERROR(__xludf.DUMMYFUNCTION("""COMPUTED_VALUE"""),"once")</f>
        <v>once</v>
      </c>
      <c r="AA310" s="3">
        <f>IFERROR(__xludf.DUMMYFUNCTION("""COMPUTED_VALUE"""),20.0)</f>
        <v>20</v>
      </c>
      <c r="AB310" s="3" t="str">
        <f>IFERROR(__xludf.DUMMYFUNCTION("""COMPUTED_VALUE"""),"employer")</f>
        <v>employer</v>
      </c>
      <c r="AC310" s="3" t="str">
        <f>IFERROR(__xludf.DUMMYFUNCTION("""COMPUTED_VALUE"""),"I am not an employer")</f>
        <v>I am not an employer</v>
      </c>
      <c r="AD310" s="3"/>
      <c r="AE310" s="3"/>
      <c r="AF310" s="3" t="str">
        <f>IFERROR(__xludf.DUMMYFUNCTION("""COMPUTED_VALUE"""),"Yes")</f>
        <v>Yes</v>
      </c>
      <c r="AG310" s="3" t="str">
        <f>IFERROR(__xludf.DUMMYFUNCTION("""COMPUTED_VALUE"""),"Yes")</f>
        <v>Yes</v>
      </c>
      <c r="AH310" s="3">
        <f>IFERROR(__xludf.DUMMYFUNCTION("""COMPUTED_VALUE"""),10.0)</f>
        <v>10</v>
      </c>
      <c r="AI310" s="3">
        <f>IFERROR(__xludf.DUMMYFUNCTION("""COMPUTED_VALUE"""),0.0)</f>
        <v>0</v>
      </c>
      <c r="AJ310" s="3">
        <f>IFERROR(__xludf.DUMMYFUNCTION("""COMPUTED_VALUE"""),0.0)</f>
        <v>0</v>
      </c>
      <c r="AK310" s="3">
        <f>IFERROR(__xludf.DUMMYFUNCTION("""COMPUTED_VALUE"""),0.0)</f>
        <v>0</v>
      </c>
      <c r="AL310" s="3">
        <f>IFERROR(__xludf.DUMMYFUNCTION("""COMPUTED_VALUE"""),1.0)</f>
        <v>1</v>
      </c>
      <c r="AM310" s="3" t="str">
        <f>IFERROR(__xludf.DUMMYFUNCTION("""COMPUTED_VALUE"""),"Yes")</f>
        <v>Yes</v>
      </c>
      <c r="AN310" s="3">
        <f>IFERROR(__xludf.DUMMYFUNCTION("""COMPUTED_VALUE"""),6.43962307E8)</f>
        <v>643962307</v>
      </c>
      <c r="AO310" s="3"/>
      <c r="AP310" s="3">
        <f>IFERROR(__xludf.DUMMYFUNCTION("""COMPUTED_VALUE"""),4.90838553E8)</f>
        <v>490838553</v>
      </c>
      <c r="AQ310" s="3" t="str">
        <f>IFERROR(__xludf.DUMMYFUNCTION("""COMPUTED_VALUE"""),"685e4943-5406-41c3-93f5-9076454bfc0d")</f>
        <v>685e4943-5406-41c3-93f5-9076454bfc0d</v>
      </c>
      <c r="AR310" s="3">
        <f>IFERROR(__xludf.DUMMYFUNCTION("""COMPUTED_VALUE"""),45810.42173611111)</f>
        <v>45810.42174</v>
      </c>
      <c r="AS310" s="3"/>
      <c r="AT310" s="3"/>
      <c r="AU310" s="3" t="str">
        <f>IFERROR(__xludf.DUMMYFUNCTION("""COMPUTED_VALUE"""),"submitted_via_web")</f>
        <v>submitted_via_web</v>
      </c>
      <c r="AV310" s="3"/>
      <c r="AW310" s="3" t="str">
        <f>IFERROR(__xludf.DUMMYFUNCTION("""COMPUTED_VALUE"""),"vckVTgNzM4XXtKAKNnsHpB")</f>
        <v>vckVTgNzM4XXtKAKNnsHpB</v>
      </c>
      <c r="AX310" s="3"/>
      <c r="AY310" s="3">
        <f>IFERROR(__xludf.DUMMYFUNCTION("""COMPUTED_VALUE"""),309.0)</f>
        <v>309</v>
      </c>
    </row>
    <row r="311">
      <c r="A311" s="3" t="str">
        <f>IFERROR(__xludf.DUMMYFUNCTION("""COMPUTED_VALUE"""),"Yes")</f>
        <v>Yes</v>
      </c>
      <c r="B311" s="3"/>
      <c r="C311" s="3" t="str">
        <f>IFERROR(__xludf.DUMMYFUNCTION("""COMPUTED_VALUE"""),"zimbabwe")</f>
        <v>zimbabwe</v>
      </c>
      <c r="D311" s="3"/>
      <c r="E311" s="3" t="str">
        <f>IFERROR(__xludf.DUMMYFUNCTION("""COMPUTED_VALUE"""),"south_africa")</f>
        <v>south_africa</v>
      </c>
      <c r="F311" s="3" t="str">
        <f>IFERROR(__xludf.DUMMYFUNCTION("""COMPUTED_VALUE"""),"City of Tshwane Metropolitan Municipality")</f>
        <v>City of Tshwane Metropolitan Municipality</v>
      </c>
      <c r="G311" s="3">
        <f>IFERROR(__xludf.DUMMYFUNCTION("""COMPUTED_VALUE"""),23.0)</f>
        <v>23</v>
      </c>
      <c r="H311" s="3" t="str">
        <f>IFERROR(__xludf.DUMMYFUNCTION("""COMPUTED_VALUE"""),"female")</f>
        <v>female</v>
      </c>
      <c r="I311" s="3" t="str">
        <f>IFERROR(__xludf.DUMMYFUNCTION("""COMPUTED_VALUE"""),"over5")</f>
        <v>over5</v>
      </c>
      <c r="J311" s="3" t="str">
        <f>IFERROR(__xludf.DUMMYFUNCTION("""COMPUTED_VALUE"""),"unemployed")</f>
        <v>unemployed</v>
      </c>
      <c r="K311" s="3" t="str">
        <f>IFERROR(__xludf.DUMMYFUNCTION("""COMPUTED_VALUE"""),"vocational")</f>
        <v>vocational</v>
      </c>
      <c r="L311" s="3"/>
      <c r="M311" s="3" t="str">
        <f>IFERROR(__xludf.DUMMYFUNCTION("""COMPUTED_VALUE"""),"agree")</f>
        <v>agree</v>
      </c>
      <c r="N311" s="3" t="str">
        <f>IFERROR(__xludf.DUMMYFUNCTION("""COMPUTED_VALUE"""),"agree")</f>
        <v>agree</v>
      </c>
      <c r="O311" s="3" t="str">
        <f>IFERROR(__xludf.DUMMYFUNCTION("""COMPUTED_VALUE"""),"agree")</f>
        <v>agree</v>
      </c>
      <c r="P311" s="3"/>
      <c r="Q311" s="3" t="str">
        <f>IFERROR(__xludf.DUMMYFUNCTION("""COMPUTED_VALUE"""),"agree")</f>
        <v>agree</v>
      </c>
      <c r="R311" s="3" t="str">
        <f>IFERROR(__xludf.DUMMYFUNCTION("""COMPUTED_VALUE"""),"agree")</f>
        <v>agree</v>
      </c>
      <c r="S311" s="3" t="str">
        <f>IFERROR(__xludf.DUMMYFUNCTION("""COMPUTED_VALUE"""),"agree")</f>
        <v>agree</v>
      </c>
      <c r="T311" s="3"/>
      <c r="U311" s="3" t="str">
        <f>IFERROR(__xludf.DUMMYFUNCTION("""COMPUTED_VALUE"""),"agree")</f>
        <v>agree</v>
      </c>
      <c r="V311" s="3" t="str">
        <f>IFERROR(__xludf.DUMMYFUNCTION("""COMPUTED_VALUE"""),"agree")</f>
        <v>agree</v>
      </c>
      <c r="W311" s="3" t="str">
        <f>IFERROR(__xludf.DUMMYFUNCTION("""COMPUTED_VALUE"""),"agree")</f>
        <v>agree</v>
      </c>
      <c r="X311" s="3" t="str">
        <f>IFERROR(__xludf.DUMMYFUNCTION("""COMPUTED_VALUE"""),"Gold")</f>
        <v>Gold</v>
      </c>
      <c r="Y311" s="3" t="str">
        <f>IFERROR(__xludf.DUMMYFUNCTION("""COMPUTED_VALUE"""),"cash")</f>
        <v>cash</v>
      </c>
      <c r="Z311" s="3" t="str">
        <f>IFERROR(__xludf.DUMMYFUNCTION("""COMPUTED_VALUE"""),"once")</f>
        <v>once</v>
      </c>
      <c r="AA311" s="3">
        <f>IFERROR(__xludf.DUMMYFUNCTION("""COMPUTED_VALUE"""),30.0)</f>
        <v>30</v>
      </c>
      <c r="AB311" s="3"/>
      <c r="AC311" s="3" t="str">
        <f>IFERROR(__xludf.DUMMYFUNCTION("""COMPUTED_VALUE"""),"Yes")</f>
        <v>Yes</v>
      </c>
      <c r="AD311" s="3" t="str">
        <f>IFERROR(__xludf.DUMMYFUNCTION("""COMPUTED_VALUE"""),"Gold")</f>
        <v>Gold</v>
      </c>
      <c r="AE311" s="3" t="str">
        <f>IFERROR(__xludf.DUMMYFUNCTION("""COMPUTED_VALUE"""),"Yes")</f>
        <v>Yes</v>
      </c>
      <c r="AF311" s="3" t="str">
        <f>IFERROR(__xludf.DUMMYFUNCTION("""COMPUTED_VALUE"""),"Yes")</f>
        <v>Yes</v>
      </c>
      <c r="AG311" s="3" t="str">
        <f>IFERROR(__xludf.DUMMYFUNCTION("""COMPUTED_VALUE"""),"No")</f>
        <v>No</v>
      </c>
      <c r="AH311" s="3"/>
      <c r="AI311" s="3">
        <f>IFERROR(__xludf.DUMMYFUNCTION("""COMPUTED_VALUE"""),0.0)</f>
        <v>0</v>
      </c>
      <c r="AJ311" s="3">
        <f>IFERROR(__xludf.DUMMYFUNCTION("""COMPUTED_VALUE"""),0.0)</f>
        <v>0</v>
      </c>
      <c r="AK311" s="3">
        <f>IFERROR(__xludf.DUMMYFUNCTION("""COMPUTED_VALUE"""),0.0)</f>
        <v>0</v>
      </c>
      <c r="AL311" s="3">
        <f>IFERROR(__xludf.DUMMYFUNCTION("""COMPUTED_VALUE"""),1.0)</f>
        <v>1</v>
      </c>
      <c r="AM311" s="3" t="str">
        <f>IFERROR(__xludf.DUMMYFUNCTION("""COMPUTED_VALUE"""),"No")</f>
        <v>No</v>
      </c>
      <c r="AN311" s="3"/>
      <c r="AO311" s="3"/>
      <c r="AP311" s="3">
        <f>IFERROR(__xludf.DUMMYFUNCTION("""COMPUTED_VALUE"""),4.90840812E8)</f>
        <v>490840812</v>
      </c>
      <c r="AQ311" s="3" t="str">
        <f>IFERROR(__xludf.DUMMYFUNCTION("""COMPUTED_VALUE"""),"b01f56c1-4007-4a93-9f36-a5598fc2fd79")</f>
        <v>b01f56c1-4007-4a93-9f36-a5598fc2fd79</v>
      </c>
      <c r="AR311" s="3">
        <f>IFERROR(__xludf.DUMMYFUNCTION("""COMPUTED_VALUE"""),45810.423796296294)</f>
        <v>45810.4238</v>
      </c>
      <c r="AS311" s="3"/>
      <c r="AT311" s="3"/>
      <c r="AU311" s="3" t="str">
        <f>IFERROR(__xludf.DUMMYFUNCTION("""COMPUTED_VALUE"""),"submitted_via_web")</f>
        <v>submitted_via_web</v>
      </c>
      <c r="AV311" s="3"/>
      <c r="AW311" s="3" t="str">
        <f>IFERROR(__xludf.DUMMYFUNCTION("""COMPUTED_VALUE"""),"vckVTgNzM4XXtKAKNnsHpB")</f>
        <v>vckVTgNzM4XXtKAKNnsHpB</v>
      </c>
      <c r="AX311" s="3"/>
      <c r="AY311" s="3">
        <f>IFERROR(__xludf.DUMMYFUNCTION("""COMPUTED_VALUE"""),310.0)</f>
        <v>310</v>
      </c>
    </row>
    <row r="312">
      <c r="A312" s="3" t="str">
        <f>IFERROR(__xludf.DUMMYFUNCTION("""COMPUTED_VALUE"""),"Yes")</f>
        <v>Yes</v>
      </c>
      <c r="B312" s="3"/>
      <c r="C312" s="3" t="str">
        <f>IFERROR(__xludf.DUMMYFUNCTION("""COMPUTED_VALUE"""),"malawi")</f>
        <v>malawi</v>
      </c>
      <c r="D312" s="3"/>
      <c r="E312" s="3" t="str">
        <f>IFERROR(__xludf.DUMMYFUNCTION("""COMPUTED_VALUE"""),"south_africa")</f>
        <v>south_africa</v>
      </c>
      <c r="F312" s="3" t="str">
        <f>IFERROR(__xludf.DUMMYFUNCTION("""COMPUTED_VALUE"""),"City of Tshwane Metropolitan Municipality")</f>
        <v>City of Tshwane Metropolitan Municipality</v>
      </c>
      <c r="G312" s="3">
        <f>IFERROR(__xludf.DUMMYFUNCTION("""COMPUTED_VALUE"""),26.0)</f>
        <v>26</v>
      </c>
      <c r="H312" s="3" t="str">
        <f>IFERROR(__xludf.DUMMYFUNCTION("""COMPUTED_VALUE"""),"female")</f>
        <v>female</v>
      </c>
      <c r="I312" s="3" t="str">
        <f>IFERROR(__xludf.DUMMYFUNCTION("""COMPUTED_VALUE"""),"less6")</f>
        <v>less6</v>
      </c>
      <c r="J312" s="3" t="str">
        <f>IFERROR(__xludf.DUMMYFUNCTION("""COMPUTED_VALUE"""),"informal")</f>
        <v>informal</v>
      </c>
      <c r="K312" s="3" t="str">
        <f>IFERROR(__xludf.DUMMYFUNCTION("""COMPUTED_VALUE"""),"primary")</f>
        <v>primary</v>
      </c>
      <c r="L312" s="3"/>
      <c r="M312" s="3" t="str">
        <f>IFERROR(__xludf.DUMMYFUNCTION("""COMPUTED_VALUE"""),"agree")</f>
        <v>agree</v>
      </c>
      <c r="N312" s="3" t="str">
        <f>IFERROR(__xludf.DUMMYFUNCTION("""COMPUTED_VALUE"""),"agree")</f>
        <v>agree</v>
      </c>
      <c r="O312" s="3" t="str">
        <f>IFERROR(__xludf.DUMMYFUNCTION("""COMPUTED_VALUE"""),"agree")</f>
        <v>agree</v>
      </c>
      <c r="P312" s="3"/>
      <c r="Q312" s="3" t="str">
        <f>IFERROR(__xludf.DUMMYFUNCTION("""COMPUTED_VALUE"""),"agree")</f>
        <v>agree</v>
      </c>
      <c r="R312" s="3" t="str">
        <f>IFERROR(__xludf.DUMMYFUNCTION("""COMPUTED_VALUE"""),"agree")</f>
        <v>agree</v>
      </c>
      <c r="S312" s="3" t="str">
        <f>IFERROR(__xludf.DUMMYFUNCTION("""COMPUTED_VALUE"""),"agree")</f>
        <v>agree</v>
      </c>
      <c r="T312" s="3" t="str">
        <f>IFERROR(__xludf.DUMMYFUNCTION("""COMPUTED_VALUE"""),"agree")</f>
        <v>agree</v>
      </c>
      <c r="U312" s="3" t="str">
        <f>IFERROR(__xludf.DUMMYFUNCTION("""COMPUTED_VALUE"""),"agree")</f>
        <v>agree</v>
      </c>
      <c r="V312" s="3" t="str">
        <f>IFERROR(__xludf.DUMMYFUNCTION("""COMPUTED_VALUE"""),"agree")</f>
        <v>agree</v>
      </c>
      <c r="W312" s="3" t="str">
        <f>IFERROR(__xludf.DUMMYFUNCTION("""COMPUTED_VALUE"""),"agree")</f>
        <v>agree</v>
      </c>
      <c r="X312" s="3" t="str">
        <f>IFERROR(__xludf.DUMMYFUNCTION("""COMPUTED_VALUE"""),"Gold")</f>
        <v>Gold</v>
      </c>
      <c r="Y312" s="3" t="str">
        <f>IFERROR(__xludf.DUMMYFUNCTION("""COMPUTED_VALUE"""),"card")</f>
        <v>card</v>
      </c>
      <c r="Z312" s="3" t="str">
        <f>IFERROR(__xludf.DUMMYFUNCTION("""COMPUTED_VALUE"""),"once")</f>
        <v>once</v>
      </c>
      <c r="AA312" s="3">
        <f>IFERROR(__xludf.DUMMYFUNCTION("""COMPUTED_VALUE"""),10.0)</f>
        <v>10</v>
      </c>
      <c r="AB312" s="3" t="str">
        <f>IFERROR(__xludf.DUMMYFUNCTION("""COMPUTED_VALUE"""),"employer")</f>
        <v>employer</v>
      </c>
      <c r="AC312" s="3" t="str">
        <f>IFERROR(__xludf.DUMMYFUNCTION("""COMPUTED_VALUE"""),"I am not an employer")</f>
        <v>I am not an employer</v>
      </c>
      <c r="AD312" s="3"/>
      <c r="AE312" s="3"/>
      <c r="AF312" s="3" t="str">
        <f>IFERROR(__xludf.DUMMYFUNCTION("""COMPUTED_VALUE"""),"Yes")</f>
        <v>Yes</v>
      </c>
      <c r="AG312" s="3" t="str">
        <f>IFERROR(__xludf.DUMMYFUNCTION("""COMPUTED_VALUE"""),"No")</f>
        <v>No</v>
      </c>
      <c r="AH312" s="3"/>
      <c r="AI312" s="3">
        <f>IFERROR(__xludf.DUMMYFUNCTION("""COMPUTED_VALUE"""),0.0)</f>
        <v>0</v>
      </c>
      <c r="AJ312" s="3">
        <f>IFERROR(__xludf.DUMMYFUNCTION("""COMPUTED_VALUE"""),0.0)</f>
        <v>0</v>
      </c>
      <c r="AK312" s="3">
        <f>IFERROR(__xludf.DUMMYFUNCTION("""COMPUTED_VALUE"""),0.0)</f>
        <v>0</v>
      </c>
      <c r="AL312" s="3">
        <f>IFERROR(__xludf.DUMMYFUNCTION("""COMPUTED_VALUE"""),1.0)</f>
        <v>1</v>
      </c>
      <c r="AM312" s="3" t="str">
        <f>IFERROR(__xludf.DUMMYFUNCTION("""COMPUTED_VALUE"""),"No")</f>
        <v>No</v>
      </c>
      <c r="AN312" s="3"/>
      <c r="AO312" s="3"/>
      <c r="AP312" s="3">
        <f>IFERROR(__xludf.DUMMYFUNCTION("""COMPUTED_VALUE"""),4.9084287E8)</f>
        <v>490842870</v>
      </c>
      <c r="AQ312" s="3" t="str">
        <f>IFERROR(__xludf.DUMMYFUNCTION("""COMPUTED_VALUE"""),"35364a25-674c-4d42-92ea-3b374883809f")</f>
        <v>35364a25-674c-4d42-92ea-3b374883809f</v>
      </c>
      <c r="AR312" s="3">
        <f>IFERROR(__xludf.DUMMYFUNCTION("""COMPUTED_VALUE"""),45810.42579861111)</f>
        <v>45810.4258</v>
      </c>
      <c r="AS312" s="3"/>
      <c r="AT312" s="3"/>
      <c r="AU312" s="3" t="str">
        <f>IFERROR(__xludf.DUMMYFUNCTION("""COMPUTED_VALUE"""),"submitted_via_web")</f>
        <v>submitted_via_web</v>
      </c>
      <c r="AV312" s="3"/>
      <c r="AW312" s="3" t="str">
        <f>IFERROR(__xludf.DUMMYFUNCTION("""COMPUTED_VALUE"""),"vckVTgNzM4XXtKAKNnsHpB")</f>
        <v>vckVTgNzM4XXtKAKNnsHpB</v>
      </c>
      <c r="AX312" s="3"/>
      <c r="AY312" s="3">
        <f>IFERROR(__xludf.DUMMYFUNCTION("""COMPUTED_VALUE"""),311.0)</f>
        <v>311</v>
      </c>
    </row>
    <row r="313">
      <c r="A313" s="3" t="str">
        <f>IFERROR(__xludf.DUMMYFUNCTION("""COMPUTED_VALUE"""),"Yes")</f>
        <v>Yes</v>
      </c>
      <c r="B313" s="3"/>
      <c r="C313" s="3" t="str">
        <f>IFERROR(__xludf.DUMMYFUNCTION("""COMPUTED_VALUE"""),"zimbabwe")</f>
        <v>zimbabwe</v>
      </c>
      <c r="D313" s="3"/>
      <c r="E313" s="3" t="str">
        <f>IFERROR(__xludf.DUMMYFUNCTION("""COMPUTED_VALUE"""),"south_africa")</f>
        <v>south_africa</v>
      </c>
      <c r="F313" s="3" t="str">
        <f>IFERROR(__xludf.DUMMYFUNCTION("""COMPUTED_VALUE"""),"City of Tshwane Metropolitan Municipality")</f>
        <v>City of Tshwane Metropolitan Municipality</v>
      </c>
      <c r="G313" s="3">
        <f>IFERROR(__xludf.DUMMYFUNCTION("""COMPUTED_VALUE"""),26.0)</f>
        <v>26</v>
      </c>
      <c r="H313" s="3" t="str">
        <f>IFERROR(__xludf.DUMMYFUNCTION("""COMPUTED_VALUE"""),"female")</f>
        <v>female</v>
      </c>
      <c r="I313" s="3" t="str">
        <f>IFERROR(__xludf.DUMMYFUNCTION("""COMPUTED_VALUE"""),"6to12")</f>
        <v>6to12</v>
      </c>
      <c r="J313" s="3" t="str">
        <f>IFERROR(__xludf.DUMMYFUNCTION("""COMPUTED_VALUE"""),"unemployed")</f>
        <v>unemployed</v>
      </c>
      <c r="K313" s="3" t="str">
        <f>IFERROR(__xludf.DUMMYFUNCTION("""COMPUTED_VALUE"""),"none")</f>
        <v>none</v>
      </c>
      <c r="L313" s="3"/>
      <c r="M313" s="3" t="str">
        <f>IFERROR(__xludf.DUMMYFUNCTION("""COMPUTED_VALUE"""),"agree")</f>
        <v>agree</v>
      </c>
      <c r="N313" s="3" t="str">
        <f>IFERROR(__xludf.DUMMYFUNCTION("""COMPUTED_VALUE"""),"agree")</f>
        <v>agree</v>
      </c>
      <c r="O313" s="3" t="str">
        <f>IFERROR(__xludf.DUMMYFUNCTION("""COMPUTED_VALUE"""),"agree")</f>
        <v>agree</v>
      </c>
      <c r="P313" s="3"/>
      <c r="Q313" s="3" t="str">
        <f>IFERROR(__xludf.DUMMYFUNCTION("""COMPUTED_VALUE"""),"agree")</f>
        <v>agree</v>
      </c>
      <c r="R313" s="3" t="str">
        <f>IFERROR(__xludf.DUMMYFUNCTION("""COMPUTED_VALUE"""),"agree")</f>
        <v>agree</v>
      </c>
      <c r="S313" s="3" t="str">
        <f>IFERROR(__xludf.DUMMYFUNCTION("""COMPUTED_VALUE"""),"agree")</f>
        <v>agree</v>
      </c>
      <c r="T313" s="3" t="str">
        <f>IFERROR(__xludf.DUMMYFUNCTION("""COMPUTED_VALUE"""),"agree")</f>
        <v>agree</v>
      </c>
      <c r="U313" s="3" t="str">
        <f>IFERROR(__xludf.DUMMYFUNCTION("""COMPUTED_VALUE"""),"agree")</f>
        <v>agree</v>
      </c>
      <c r="V313" s="3" t="str">
        <f>IFERROR(__xludf.DUMMYFUNCTION("""COMPUTED_VALUE"""),"agree")</f>
        <v>agree</v>
      </c>
      <c r="W313" s="3" t="str">
        <f>IFERROR(__xludf.DUMMYFUNCTION("""COMPUTED_VALUE"""),"agree")</f>
        <v>agree</v>
      </c>
      <c r="X313" s="3" t="str">
        <f>IFERROR(__xludf.DUMMYFUNCTION("""COMPUTED_VALUE"""),"Gold")</f>
        <v>Gold</v>
      </c>
      <c r="Y313" s="3" t="str">
        <f>IFERROR(__xludf.DUMMYFUNCTION("""COMPUTED_VALUE"""),"cash")</f>
        <v>cash</v>
      </c>
      <c r="Z313" s="3" t="str">
        <f>IFERROR(__xludf.DUMMYFUNCTION("""COMPUTED_VALUE"""),"monthly")</f>
        <v>monthly</v>
      </c>
      <c r="AA313" s="3">
        <f>IFERROR(__xludf.DUMMYFUNCTION("""COMPUTED_VALUE"""),40.0)</f>
        <v>40</v>
      </c>
      <c r="AB313" s="3" t="str">
        <f>IFERROR(__xludf.DUMMYFUNCTION("""COMPUTED_VALUE"""),"online")</f>
        <v>online</v>
      </c>
      <c r="AC313" s="3" t="str">
        <f>IFERROR(__xludf.DUMMYFUNCTION("""COMPUTED_VALUE"""),"Yes")</f>
        <v>Yes</v>
      </c>
      <c r="AD313" s="3" t="str">
        <f>IFERROR(__xludf.DUMMYFUNCTION("""COMPUTED_VALUE"""),"Gold")</f>
        <v>Gold</v>
      </c>
      <c r="AE313" s="3" t="str">
        <f>IFERROR(__xludf.DUMMYFUNCTION("""COMPUTED_VALUE"""),"Yes")</f>
        <v>Yes</v>
      </c>
      <c r="AF313" s="3" t="str">
        <f>IFERROR(__xludf.DUMMYFUNCTION("""COMPUTED_VALUE"""),"Yes")</f>
        <v>Yes</v>
      </c>
      <c r="AG313" s="3" t="str">
        <f>IFERROR(__xludf.DUMMYFUNCTION("""COMPUTED_VALUE"""),"Yes")</f>
        <v>Yes</v>
      </c>
      <c r="AH313" s="3"/>
      <c r="AI313" s="3">
        <f>IFERROR(__xludf.DUMMYFUNCTION("""COMPUTED_VALUE"""),1.0)</f>
        <v>1</v>
      </c>
      <c r="AJ313" s="3">
        <f>IFERROR(__xludf.DUMMYFUNCTION("""COMPUTED_VALUE"""),0.0)</f>
        <v>0</v>
      </c>
      <c r="AK313" s="3">
        <f>IFERROR(__xludf.DUMMYFUNCTION("""COMPUTED_VALUE"""),0.0)</f>
        <v>0</v>
      </c>
      <c r="AL313" s="3">
        <f>IFERROR(__xludf.DUMMYFUNCTION("""COMPUTED_VALUE"""),0.0)</f>
        <v>0</v>
      </c>
      <c r="AM313" s="3" t="str">
        <f>IFERROR(__xludf.DUMMYFUNCTION("""COMPUTED_VALUE"""),"Yes")</f>
        <v>Yes</v>
      </c>
      <c r="AN313" s="3"/>
      <c r="AO313" s="3"/>
      <c r="AP313" s="3">
        <f>IFERROR(__xludf.DUMMYFUNCTION("""COMPUTED_VALUE"""),4.90846701E8)</f>
        <v>490846701</v>
      </c>
      <c r="AQ313" s="3" t="str">
        <f>IFERROR(__xludf.DUMMYFUNCTION("""COMPUTED_VALUE"""),"59102b99-4c48-40f1-b11c-0711cc17a76d")</f>
        <v>59102b99-4c48-40f1-b11c-0711cc17a76d</v>
      </c>
      <c r="AR313" s="3">
        <f>IFERROR(__xludf.DUMMYFUNCTION("""COMPUTED_VALUE"""),45810.42947916667)</f>
        <v>45810.42948</v>
      </c>
      <c r="AS313" s="3"/>
      <c r="AT313" s="3"/>
      <c r="AU313" s="3" t="str">
        <f>IFERROR(__xludf.DUMMYFUNCTION("""COMPUTED_VALUE"""),"submitted_via_web")</f>
        <v>submitted_via_web</v>
      </c>
      <c r="AV313" s="3"/>
      <c r="AW313" s="3" t="str">
        <f>IFERROR(__xludf.DUMMYFUNCTION("""COMPUTED_VALUE"""),"vckVTgNzM4XXtKAKNnsHpB")</f>
        <v>vckVTgNzM4XXtKAKNnsHpB</v>
      </c>
      <c r="AX313" s="3"/>
      <c r="AY313" s="3">
        <f>IFERROR(__xludf.DUMMYFUNCTION("""COMPUTED_VALUE"""),312.0)</f>
        <v>312</v>
      </c>
    </row>
    <row r="314">
      <c r="A314" s="3" t="str">
        <f>IFERROR(__xludf.DUMMYFUNCTION("""COMPUTED_VALUE"""),"Yes")</f>
        <v>Yes</v>
      </c>
      <c r="B314" s="3"/>
      <c r="C314" s="3" t="str">
        <f>IFERROR(__xludf.DUMMYFUNCTION("""COMPUTED_VALUE"""),"zimbabwe")</f>
        <v>zimbabwe</v>
      </c>
      <c r="D314" s="3"/>
      <c r="E314" s="3" t="str">
        <f>IFERROR(__xludf.DUMMYFUNCTION("""COMPUTED_VALUE"""),"south_africa")</f>
        <v>south_africa</v>
      </c>
      <c r="F314" s="3" t="str">
        <f>IFERROR(__xludf.DUMMYFUNCTION("""COMPUTED_VALUE"""),"City of Tshwane Metropolitan Municipality")</f>
        <v>City of Tshwane Metropolitan Municipality</v>
      </c>
      <c r="G314" s="3">
        <f>IFERROR(__xludf.DUMMYFUNCTION("""COMPUTED_VALUE"""),23.0)</f>
        <v>23</v>
      </c>
      <c r="H314" s="3" t="str">
        <f>IFERROR(__xludf.DUMMYFUNCTION("""COMPUTED_VALUE"""),"male")</f>
        <v>male</v>
      </c>
      <c r="I314" s="3" t="str">
        <f>IFERROR(__xludf.DUMMYFUNCTION("""COMPUTED_VALUE"""),"6to12")</f>
        <v>6to12</v>
      </c>
      <c r="J314" s="3" t="str">
        <f>IFERROR(__xludf.DUMMYFUNCTION("""COMPUTED_VALUE"""),"informal")</f>
        <v>informal</v>
      </c>
      <c r="K314" s="3" t="str">
        <f>IFERROR(__xludf.DUMMYFUNCTION("""COMPUTED_VALUE"""),"primary")</f>
        <v>primary</v>
      </c>
      <c r="L314" s="3"/>
      <c r="M314" s="3" t="str">
        <f>IFERROR(__xludf.DUMMYFUNCTION("""COMPUTED_VALUE"""),"agree")</f>
        <v>agree</v>
      </c>
      <c r="N314" s="3" t="str">
        <f>IFERROR(__xludf.DUMMYFUNCTION("""COMPUTED_VALUE"""),"agree")</f>
        <v>agree</v>
      </c>
      <c r="O314" s="3" t="str">
        <f>IFERROR(__xludf.DUMMYFUNCTION("""COMPUTED_VALUE"""),"agree")</f>
        <v>agree</v>
      </c>
      <c r="P314" s="3"/>
      <c r="Q314" s="3" t="str">
        <f>IFERROR(__xludf.DUMMYFUNCTION("""COMPUTED_VALUE"""),"agree")</f>
        <v>agree</v>
      </c>
      <c r="R314" s="3" t="str">
        <f>IFERROR(__xludf.DUMMYFUNCTION("""COMPUTED_VALUE"""),"agree")</f>
        <v>agree</v>
      </c>
      <c r="S314" s="3" t="str">
        <f>IFERROR(__xludf.DUMMYFUNCTION("""COMPUTED_VALUE"""),"agree")</f>
        <v>agree</v>
      </c>
      <c r="T314" s="3" t="str">
        <f>IFERROR(__xludf.DUMMYFUNCTION("""COMPUTED_VALUE"""),"agree")</f>
        <v>agree</v>
      </c>
      <c r="U314" s="3" t="str">
        <f>IFERROR(__xludf.DUMMYFUNCTION("""COMPUTED_VALUE"""),"agree")</f>
        <v>agree</v>
      </c>
      <c r="V314" s="3" t="str">
        <f>IFERROR(__xludf.DUMMYFUNCTION("""COMPUTED_VALUE"""),"agree")</f>
        <v>agree</v>
      </c>
      <c r="W314" s="3" t="str">
        <f>IFERROR(__xludf.DUMMYFUNCTION("""COMPUTED_VALUE"""),"agree")</f>
        <v>agree</v>
      </c>
      <c r="X314" s="3" t="str">
        <f>IFERROR(__xludf.DUMMYFUNCTION("""COMPUTED_VALUE"""),"Gold")</f>
        <v>Gold</v>
      </c>
      <c r="Y314" s="3" t="str">
        <f>IFERROR(__xludf.DUMMYFUNCTION("""COMPUTED_VALUE"""),"cash")</f>
        <v>cash</v>
      </c>
      <c r="Z314" s="3" t="str">
        <f>IFERROR(__xludf.DUMMYFUNCTION("""COMPUTED_VALUE"""),"monthly")</f>
        <v>monthly</v>
      </c>
      <c r="AA314" s="3">
        <f>IFERROR(__xludf.DUMMYFUNCTION("""COMPUTED_VALUE"""),50.0)</f>
        <v>50</v>
      </c>
      <c r="AB314" s="3" t="str">
        <f>IFERROR(__xludf.DUMMYFUNCTION("""COMPUTED_VALUE"""),"online")</f>
        <v>online</v>
      </c>
      <c r="AC314" s="3" t="str">
        <f>IFERROR(__xludf.DUMMYFUNCTION("""COMPUTED_VALUE"""),"Yes")</f>
        <v>Yes</v>
      </c>
      <c r="AD314" s="3" t="str">
        <f>IFERROR(__xludf.DUMMYFUNCTION("""COMPUTED_VALUE"""),"Gold")</f>
        <v>Gold</v>
      </c>
      <c r="AE314" s="3" t="str">
        <f>IFERROR(__xludf.DUMMYFUNCTION("""COMPUTED_VALUE"""),"Yes")</f>
        <v>Yes</v>
      </c>
      <c r="AF314" s="3" t="str">
        <f>IFERROR(__xludf.DUMMYFUNCTION("""COMPUTED_VALUE"""),"Yes")</f>
        <v>Yes</v>
      </c>
      <c r="AG314" s="3" t="str">
        <f>IFERROR(__xludf.DUMMYFUNCTION("""COMPUTED_VALUE"""),"Yes")</f>
        <v>Yes</v>
      </c>
      <c r="AH314" s="3"/>
      <c r="AI314" s="3">
        <f>IFERROR(__xludf.DUMMYFUNCTION("""COMPUTED_VALUE"""),1.0)</f>
        <v>1</v>
      </c>
      <c r="AJ314" s="3">
        <f>IFERROR(__xludf.DUMMYFUNCTION("""COMPUTED_VALUE"""),0.0)</f>
        <v>0</v>
      </c>
      <c r="AK314" s="3">
        <f>IFERROR(__xludf.DUMMYFUNCTION("""COMPUTED_VALUE"""),0.0)</f>
        <v>0</v>
      </c>
      <c r="AL314" s="3">
        <f>IFERROR(__xludf.DUMMYFUNCTION("""COMPUTED_VALUE"""),0.0)</f>
        <v>0</v>
      </c>
      <c r="AM314" s="3" t="str">
        <f>IFERROR(__xludf.DUMMYFUNCTION("""COMPUTED_VALUE"""),"Yes")</f>
        <v>Yes</v>
      </c>
      <c r="AN314" s="3"/>
      <c r="AO314" s="3"/>
      <c r="AP314" s="3">
        <f>IFERROR(__xludf.DUMMYFUNCTION("""COMPUTED_VALUE"""),4.90849509E8)</f>
        <v>490849509</v>
      </c>
      <c r="AQ314" s="3" t="str">
        <f>IFERROR(__xludf.DUMMYFUNCTION("""COMPUTED_VALUE"""),"7272e9ae-5841-494a-98a5-bfcd3c107e3c")</f>
        <v>7272e9ae-5841-494a-98a5-bfcd3c107e3c</v>
      </c>
      <c r="AR314" s="3">
        <f>IFERROR(__xludf.DUMMYFUNCTION("""COMPUTED_VALUE"""),45810.43204861111)</f>
        <v>45810.43205</v>
      </c>
      <c r="AS314" s="3"/>
      <c r="AT314" s="3"/>
      <c r="AU314" s="3" t="str">
        <f>IFERROR(__xludf.DUMMYFUNCTION("""COMPUTED_VALUE"""),"submitted_via_web")</f>
        <v>submitted_via_web</v>
      </c>
      <c r="AV314" s="3"/>
      <c r="AW314" s="3" t="str">
        <f>IFERROR(__xludf.DUMMYFUNCTION("""COMPUTED_VALUE"""),"vckVTgNzM4XXtKAKNnsHpB")</f>
        <v>vckVTgNzM4XXtKAKNnsHpB</v>
      </c>
      <c r="AX314" s="3"/>
      <c r="AY314" s="3">
        <f>IFERROR(__xludf.DUMMYFUNCTION("""COMPUTED_VALUE"""),313.0)</f>
        <v>313</v>
      </c>
    </row>
    <row r="315">
      <c r="A315" s="3" t="str">
        <f>IFERROR(__xludf.DUMMYFUNCTION("""COMPUTED_VALUE"""),"Yes")</f>
        <v>Yes</v>
      </c>
      <c r="B315" s="3"/>
      <c r="C315" s="3" t="str">
        <f>IFERROR(__xludf.DUMMYFUNCTION("""COMPUTED_VALUE"""),"zimbabwe")</f>
        <v>zimbabwe</v>
      </c>
      <c r="D315" s="3"/>
      <c r="E315" s="3" t="str">
        <f>IFERROR(__xludf.DUMMYFUNCTION("""COMPUTED_VALUE"""),"south_africa")</f>
        <v>south_africa</v>
      </c>
      <c r="F315" s="3" t="str">
        <f>IFERROR(__xludf.DUMMYFUNCTION("""COMPUTED_VALUE"""),"City of Tshwane Metropolitan Municipality")</f>
        <v>City of Tshwane Metropolitan Municipality</v>
      </c>
      <c r="G315" s="3">
        <f>IFERROR(__xludf.DUMMYFUNCTION("""COMPUTED_VALUE"""),30.0)</f>
        <v>30</v>
      </c>
      <c r="H315" s="3" t="str">
        <f>IFERROR(__xludf.DUMMYFUNCTION("""COMPUTED_VALUE"""),"female")</f>
        <v>female</v>
      </c>
      <c r="I315" s="3" t="str">
        <f>IFERROR(__xludf.DUMMYFUNCTION("""COMPUTED_VALUE"""),"over5")</f>
        <v>over5</v>
      </c>
      <c r="J315" s="3" t="str">
        <f>IFERROR(__xludf.DUMMYFUNCTION("""COMPUTED_VALUE"""),"informal")</f>
        <v>informal</v>
      </c>
      <c r="K315" s="3" t="str">
        <f>IFERROR(__xludf.DUMMYFUNCTION("""COMPUTED_VALUE"""),"none")</f>
        <v>none</v>
      </c>
      <c r="L315" s="3"/>
      <c r="M315" s="3" t="str">
        <f>IFERROR(__xludf.DUMMYFUNCTION("""COMPUTED_VALUE"""),"agree")</f>
        <v>agree</v>
      </c>
      <c r="N315" s="3" t="str">
        <f>IFERROR(__xludf.DUMMYFUNCTION("""COMPUTED_VALUE"""),"agree")</f>
        <v>agree</v>
      </c>
      <c r="O315" s="3" t="str">
        <f>IFERROR(__xludf.DUMMYFUNCTION("""COMPUTED_VALUE"""),"agree")</f>
        <v>agree</v>
      </c>
      <c r="P315" s="3"/>
      <c r="Q315" s="3" t="str">
        <f>IFERROR(__xludf.DUMMYFUNCTION("""COMPUTED_VALUE"""),"agree")</f>
        <v>agree</v>
      </c>
      <c r="R315" s="3" t="str">
        <f>IFERROR(__xludf.DUMMYFUNCTION("""COMPUTED_VALUE"""),"agree")</f>
        <v>agree</v>
      </c>
      <c r="S315" s="3" t="str">
        <f>IFERROR(__xludf.DUMMYFUNCTION("""COMPUTED_VALUE"""),"agree")</f>
        <v>agree</v>
      </c>
      <c r="T315" s="3" t="str">
        <f>IFERROR(__xludf.DUMMYFUNCTION("""COMPUTED_VALUE"""),"agree")</f>
        <v>agree</v>
      </c>
      <c r="U315" s="3" t="str">
        <f>IFERROR(__xludf.DUMMYFUNCTION("""COMPUTED_VALUE"""),"agree")</f>
        <v>agree</v>
      </c>
      <c r="V315" s="3" t="str">
        <f>IFERROR(__xludf.DUMMYFUNCTION("""COMPUTED_VALUE"""),"agree")</f>
        <v>agree</v>
      </c>
      <c r="W315" s="3" t="str">
        <f>IFERROR(__xludf.DUMMYFUNCTION("""COMPUTED_VALUE"""),"agree")</f>
        <v>agree</v>
      </c>
      <c r="X315" s="3" t="str">
        <f>IFERROR(__xludf.DUMMYFUNCTION("""COMPUTED_VALUE"""),"Gold")</f>
        <v>Gold</v>
      </c>
      <c r="Y315" s="3" t="str">
        <f>IFERROR(__xludf.DUMMYFUNCTION("""COMPUTED_VALUE"""),"cash")</f>
        <v>cash</v>
      </c>
      <c r="Z315" s="3" t="str">
        <f>IFERROR(__xludf.DUMMYFUNCTION("""COMPUTED_VALUE"""),"monthly")</f>
        <v>monthly</v>
      </c>
      <c r="AA315" s="3">
        <f>IFERROR(__xludf.DUMMYFUNCTION("""COMPUTED_VALUE"""),30.0)</f>
        <v>30</v>
      </c>
      <c r="AB315" s="3" t="str">
        <f>IFERROR(__xludf.DUMMYFUNCTION("""COMPUTED_VALUE"""),"assisted")</f>
        <v>assisted</v>
      </c>
      <c r="AC315" s="3" t="str">
        <f>IFERROR(__xludf.DUMMYFUNCTION("""COMPUTED_VALUE"""),"Yes")</f>
        <v>Yes</v>
      </c>
      <c r="AD315" s="3"/>
      <c r="AE315" s="3" t="str">
        <f>IFERROR(__xludf.DUMMYFUNCTION("""COMPUTED_VALUE"""),"Yes")</f>
        <v>Yes</v>
      </c>
      <c r="AF315" s="3" t="str">
        <f>IFERROR(__xludf.DUMMYFUNCTION("""COMPUTED_VALUE"""),"Yes")</f>
        <v>Yes</v>
      </c>
      <c r="AG315" s="3" t="str">
        <f>IFERROR(__xludf.DUMMYFUNCTION("""COMPUTED_VALUE"""),"Yes")</f>
        <v>Yes</v>
      </c>
      <c r="AH315" s="3"/>
      <c r="AI315" s="3">
        <f>IFERROR(__xludf.DUMMYFUNCTION("""COMPUTED_VALUE"""),1.0)</f>
        <v>1</v>
      </c>
      <c r="AJ315" s="3">
        <f>IFERROR(__xludf.DUMMYFUNCTION("""COMPUTED_VALUE"""),0.0)</f>
        <v>0</v>
      </c>
      <c r="AK315" s="3">
        <f>IFERROR(__xludf.DUMMYFUNCTION("""COMPUTED_VALUE"""),0.0)</f>
        <v>0</v>
      </c>
      <c r="AL315" s="3">
        <f>IFERROR(__xludf.DUMMYFUNCTION("""COMPUTED_VALUE"""),0.0)</f>
        <v>0</v>
      </c>
      <c r="AM315" s="3" t="str">
        <f>IFERROR(__xludf.DUMMYFUNCTION("""COMPUTED_VALUE"""),"Yes")</f>
        <v>Yes</v>
      </c>
      <c r="AN315" s="3"/>
      <c r="AO315" s="3"/>
      <c r="AP315" s="3">
        <f>IFERROR(__xludf.DUMMYFUNCTION("""COMPUTED_VALUE"""),4.90851429E8)</f>
        <v>490851429</v>
      </c>
      <c r="AQ315" s="3" t="str">
        <f>IFERROR(__xludf.DUMMYFUNCTION("""COMPUTED_VALUE"""),"4bf3ce3c-257a-42a2-95bf-d6444d18a16d")</f>
        <v>4bf3ce3c-257a-42a2-95bf-d6444d18a16d</v>
      </c>
      <c r="AR315" s="3">
        <f>IFERROR(__xludf.DUMMYFUNCTION("""COMPUTED_VALUE"""),45810.433657407404)</f>
        <v>45810.43366</v>
      </c>
      <c r="AS315" s="3"/>
      <c r="AT315" s="3"/>
      <c r="AU315" s="3" t="str">
        <f>IFERROR(__xludf.DUMMYFUNCTION("""COMPUTED_VALUE"""),"submitted_via_web")</f>
        <v>submitted_via_web</v>
      </c>
      <c r="AV315" s="3"/>
      <c r="AW315" s="3" t="str">
        <f>IFERROR(__xludf.DUMMYFUNCTION("""COMPUTED_VALUE"""),"vckVTgNzM4XXtKAKNnsHpB")</f>
        <v>vckVTgNzM4XXtKAKNnsHpB</v>
      </c>
      <c r="AX315" s="3"/>
      <c r="AY315" s="3">
        <f>IFERROR(__xludf.DUMMYFUNCTION("""COMPUTED_VALUE"""),314.0)</f>
        <v>314</v>
      </c>
    </row>
    <row r="316">
      <c r="A316" s="3" t="str">
        <f>IFERROR(__xludf.DUMMYFUNCTION("""COMPUTED_VALUE"""),"Yes")</f>
        <v>Yes</v>
      </c>
      <c r="B316" s="3"/>
      <c r="C316" s="3" t="str">
        <f>IFERROR(__xludf.DUMMYFUNCTION("""COMPUTED_VALUE"""),"malawi")</f>
        <v>malawi</v>
      </c>
      <c r="D316" s="3"/>
      <c r="E316" s="3" t="str">
        <f>IFERROR(__xludf.DUMMYFUNCTION("""COMPUTED_VALUE"""),"south_africa")</f>
        <v>south_africa</v>
      </c>
      <c r="F316" s="3" t="str">
        <f>IFERROR(__xludf.DUMMYFUNCTION("""COMPUTED_VALUE"""),"City of Tshwane Metropolitan Municipality")</f>
        <v>City of Tshwane Metropolitan Municipality</v>
      </c>
      <c r="G316" s="3">
        <f>IFERROR(__xludf.DUMMYFUNCTION("""COMPUTED_VALUE"""),22.0)</f>
        <v>22</v>
      </c>
      <c r="H316" s="3" t="str">
        <f>IFERROR(__xludf.DUMMYFUNCTION("""COMPUTED_VALUE"""),"female")</f>
        <v>female</v>
      </c>
      <c r="I316" s="3" t="str">
        <f>IFERROR(__xludf.DUMMYFUNCTION("""COMPUTED_VALUE"""),"1to5")</f>
        <v>1to5</v>
      </c>
      <c r="J316" s="3" t="str">
        <f>IFERROR(__xludf.DUMMYFUNCTION("""COMPUTED_VALUE"""),"informal")</f>
        <v>informal</v>
      </c>
      <c r="K316" s="3" t="str">
        <f>IFERROR(__xludf.DUMMYFUNCTION("""COMPUTED_VALUE"""),"none")</f>
        <v>none</v>
      </c>
      <c r="L316" s="3"/>
      <c r="M316" s="3" t="str">
        <f>IFERROR(__xludf.DUMMYFUNCTION("""COMPUTED_VALUE"""),"agree")</f>
        <v>agree</v>
      </c>
      <c r="N316" s="3" t="str">
        <f>IFERROR(__xludf.DUMMYFUNCTION("""COMPUTED_VALUE"""),"agree")</f>
        <v>agree</v>
      </c>
      <c r="O316" s="3" t="str">
        <f>IFERROR(__xludf.DUMMYFUNCTION("""COMPUTED_VALUE"""),"agree")</f>
        <v>agree</v>
      </c>
      <c r="P316" s="3"/>
      <c r="Q316" s="3" t="str">
        <f>IFERROR(__xludf.DUMMYFUNCTION("""COMPUTED_VALUE"""),"agree")</f>
        <v>agree</v>
      </c>
      <c r="R316" s="3" t="str">
        <f>IFERROR(__xludf.DUMMYFUNCTION("""COMPUTED_VALUE"""),"agree")</f>
        <v>agree</v>
      </c>
      <c r="S316" s="3" t="str">
        <f>IFERROR(__xludf.DUMMYFUNCTION("""COMPUTED_VALUE"""),"agree")</f>
        <v>agree</v>
      </c>
      <c r="T316" s="3" t="str">
        <f>IFERROR(__xludf.DUMMYFUNCTION("""COMPUTED_VALUE"""),"agree")</f>
        <v>agree</v>
      </c>
      <c r="U316" s="3" t="str">
        <f>IFERROR(__xludf.DUMMYFUNCTION("""COMPUTED_VALUE"""),"agree")</f>
        <v>agree</v>
      </c>
      <c r="V316" s="3" t="str">
        <f>IFERROR(__xludf.DUMMYFUNCTION("""COMPUTED_VALUE"""),"agree")</f>
        <v>agree</v>
      </c>
      <c r="W316" s="3" t="str">
        <f>IFERROR(__xludf.DUMMYFUNCTION("""COMPUTED_VALUE"""),"agree")</f>
        <v>agree</v>
      </c>
      <c r="X316" s="3" t="str">
        <f>IFERROR(__xludf.DUMMYFUNCTION("""COMPUTED_VALUE"""),"Gold")</f>
        <v>Gold</v>
      </c>
      <c r="Y316" s="3" t="str">
        <f>IFERROR(__xludf.DUMMYFUNCTION("""COMPUTED_VALUE"""),"cash")</f>
        <v>cash</v>
      </c>
      <c r="Z316" s="3" t="str">
        <f>IFERROR(__xludf.DUMMYFUNCTION("""COMPUTED_VALUE"""),"monthly")</f>
        <v>monthly</v>
      </c>
      <c r="AA316" s="3">
        <f>IFERROR(__xludf.DUMMYFUNCTION("""COMPUTED_VALUE"""),20.0)</f>
        <v>20</v>
      </c>
      <c r="AB316" s="3" t="str">
        <f>IFERROR(__xludf.DUMMYFUNCTION("""COMPUTED_VALUE"""),"assisted")</f>
        <v>assisted</v>
      </c>
      <c r="AC316" s="3" t="str">
        <f>IFERROR(__xludf.DUMMYFUNCTION("""COMPUTED_VALUE"""),"Yes")</f>
        <v>Yes</v>
      </c>
      <c r="AD316" s="3" t="str">
        <f>IFERROR(__xludf.DUMMYFUNCTION("""COMPUTED_VALUE"""),"Gold")</f>
        <v>Gold</v>
      </c>
      <c r="AE316" s="3" t="str">
        <f>IFERROR(__xludf.DUMMYFUNCTION("""COMPUTED_VALUE"""),"Yes")</f>
        <v>Yes</v>
      </c>
      <c r="AF316" s="3" t="str">
        <f>IFERROR(__xludf.DUMMYFUNCTION("""COMPUTED_VALUE"""),"Yes")</f>
        <v>Yes</v>
      </c>
      <c r="AG316" s="3" t="str">
        <f>IFERROR(__xludf.DUMMYFUNCTION("""COMPUTED_VALUE"""),"Yes")</f>
        <v>Yes</v>
      </c>
      <c r="AH316" s="3"/>
      <c r="AI316" s="3">
        <f>IFERROR(__xludf.DUMMYFUNCTION("""COMPUTED_VALUE"""),1.0)</f>
        <v>1</v>
      </c>
      <c r="AJ316" s="3">
        <f>IFERROR(__xludf.DUMMYFUNCTION("""COMPUTED_VALUE"""),0.0)</f>
        <v>0</v>
      </c>
      <c r="AK316" s="3">
        <f>IFERROR(__xludf.DUMMYFUNCTION("""COMPUTED_VALUE"""),0.0)</f>
        <v>0</v>
      </c>
      <c r="AL316" s="3">
        <f>IFERROR(__xludf.DUMMYFUNCTION("""COMPUTED_VALUE"""),0.0)</f>
        <v>0</v>
      </c>
      <c r="AM316" s="3" t="str">
        <f>IFERROR(__xludf.DUMMYFUNCTION("""COMPUTED_VALUE"""),"Yes")</f>
        <v>Yes</v>
      </c>
      <c r="AN316" s="3"/>
      <c r="AO316" s="3"/>
      <c r="AP316" s="3">
        <f>IFERROR(__xludf.DUMMYFUNCTION("""COMPUTED_VALUE"""),4.90854649E8)</f>
        <v>490854649</v>
      </c>
      <c r="AQ316" s="3" t="str">
        <f>IFERROR(__xludf.DUMMYFUNCTION("""COMPUTED_VALUE"""),"d5356e71-7db9-486d-ac3e-8db1705994cd")</f>
        <v>d5356e71-7db9-486d-ac3e-8db1705994cd</v>
      </c>
      <c r="AR316" s="3">
        <f>IFERROR(__xludf.DUMMYFUNCTION("""COMPUTED_VALUE"""),45810.43644675926)</f>
        <v>45810.43645</v>
      </c>
      <c r="AS316" s="3"/>
      <c r="AT316" s="3"/>
      <c r="AU316" s="3" t="str">
        <f>IFERROR(__xludf.DUMMYFUNCTION("""COMPUTED_VALUE"""),"submitted_via_web")</f>
        <v>submitted_via_web</v>
      </c>
      <c r="AV316" s="3"/>
      <c r="AW316" s="3" t="str">
        <f>IFERROR(__xludf.DUMMYFUNCTION("""COMPUTED_VALUE"""),"vckVTgNzM4XXtKAKNnsHpB")</f>
        <v>vckVTgNzM4XXtKAKNnsHpB</v>
      </c>
      <c r="AX316" s="3"/>
      <c r="AY316" s="3">
        <f>IFERROR(__xludf.DUMMYFUNCTION("""COMPUTED_VALUE"""),315.0)</f>
        <v>315</v>
      </c>
    </row>
    <row r="317">
      <c r="A317" s="3" t="str">
        <f>IFERROR(__xludf.DUMMYFUNCTION("""COMPUTED_VALUE"""),"Yes")</f>
        <v>Yes</v>
      </c>
      <c r="B317" s="3"/>
      <c r="C317" s="3" t="str">
        <f>IFERROR(__xludf.DUMMYFUNCTION("""COMPUTED_VALUE"""),"malawi")</f>
        <v>malawi</v>
      </c>
      <c r="D317" s="3"/>
      <c r="E317" s="3" t="str">
        <f>IFERROR(__xludf.DUMMYFUNCTION("""COMPUTED_VALUE"""),"south_africa")</f>
        <v>south_africa</v>
      </c>
      <c r="F317" s="3" t="str">
        <f>IFERROR(__xludf.DUMMYFUNCTION("""COMPUTED_VALUE"""),"City of Tshwane Metropolitan Municipality")</f>
        <v>City of Tshwane Metropolitan Municipality</v>
      </c>
      <c r="G317" s="3">
        <f>IFERROR(__xludf.DUMMYFUNCTION("""COMPUTED_VALUE"""),24.0)</f>
        <v>24</v>
      </c>
      <c r="H317" s="3" t="str">
        <f>IFERROR(__xludf.DUMMYFUNCTION("""COMPUTED_VALUE"""),"male")</f>
        <v>male</v>
      </c>
      <c r="I317" s="3" t="str">
        <f>IFERROR(__xludf.DUMMYFUNCTION("""COMPUTED_VALUE"""),"1to5")</f>
        <v>1to5</v>
      </c>
      <c r="J317" s="3" t="str">
        <f>IFERROR(__xludf.DUMMYFUNCTION("""COMPUTED_VALUE"""),"informal")</f>
        <v>informal</v>
      </c>
      <c r="K317" s="3" t="str">
        <f>IFERROR(__xludf.DUMMYFUNCTION("""COMPUTED_VALUE"""),"none")</f>
        <v>none</v>
      </c>
      <c r="L317" s="3"/>
      <c r="M317" s="3" t="str">
        <f>IFERROR(__xludf.DUMMYFUNCTION("""COMPUTED_VALUE"""),"agree")</f>
        <v>agree</v>
      </c>
      <c r="N317" s="3" t="str">
        <f>IFERROR(__xludf.DUMMYFUNCTION("""COMPUTED_VALUE"""),"agree")</f>
        <v>agree</v>
      </c>
      <c r="O317" s="3" t="str">
        <f>IFERROR(__xludf.DUMMYFUNCTION("""COMPUTED_VALUE"""),"agree")</f>
        <v>agree</v>
      </c>
      <c r="P317" s="3"/>
      <c r="Q317" s="3" t="str">
        <f>IFERROR(__xludf.DUMMYFUNCTION("""COMPUTED_VALUE"""),"agree")</f>
        <v>agree</v>
      </c>
      <c r="R317" s="3" t="str">
        <f>IFERROR(__xludf.DUMMYFUNCTION("""COMPUTED_VALUE"""),"agree")</f>
        <v>agree</v>
      </c>
      <c r="S317" s="3" t="str">
        <f>IFERROR(__xludf.DUMMYFUNCTION("""COMPUTED_VALUE"""),"agree")</f>
        <v>agree</v>
      </c>
      <c r="T317" s="3" t="str">
        <f>IFERROR(__xludf.DUMMYFUNCTION("""COMPUTED_VALUE"""),"agree")</f>
        <v>agree</v>
      </c>
      <c r="U317" s="3" t="str">
        <f>IFERROR(__xludf.DUMMYFUNCTION("""COMPUTED_VALUE"""),"agree")</f>
        <v>agree</v>
      </c>
      <c r="V317" s="3" t="str">
        <f>IFERROR(__xludf.DUMMYFUNCTION("""COMPUTED_VALUE"""),"agree")</f>
        <v>agree</v>
      </c>
      <c r="W317" s="3" t="str">
        <f>IFERROR(__xludf.DUMMYFUNCTION("""COMPUTED_VALUE"""),"agree")</f>
        <v>agree</v>
      </c>
      <c r="X317" s="3" t="str">
        <f>IFERROR(__xludf.DUMMYFUNCTION("""COMPUTED_VALUE"""),"Gold")</f>
        <v>Gold</v>
      </c>
      <c r="Y317" s="3" t="str">
        <f>IFERROR(__xludf.DUMMYFUNCTION("""COMPUTED_VALUE"""),"cash")</f>
        <v>cash</v>
      </c>
      <c r="Z317" s="3" t="str">
        <f>IFERROR(__xludf.DUMMYFUNCTION("""COMPUTED_VALUE"""),"monthly")</f>
        <v>monthly</v>
      </c>
      <c r="AA317" s="3">
        <f>IFERROR(__xludf.DUMMYFUNCTION("""COMPUTED_VALUE"""),10.0)</f>
        <v>10</v>
      </c>
      <c r="AB317" s="3" t="str">
        <f>IFERROR(__xludf.DUMMYFUNCTION("""COMPUTED_VALUE"""),"assisted")</f>
        <v>assisted</v>
      </c>
      <c r="AC317" s="3" t="str">
        <f>IFERROR(__xludf.DUMMYFUNCTION("""COMPUTED_VALUE"""),"Yes")</f>
        <v>Yes</v>
      </c>
      <c r="AD317" s="3" t="str">
        <f>IFERROR(__xludf.DUMMYFUNCTION("""COMPUTED_VALUE"""),"Gold")</f>
        <v>Gold</v>
      </c>
      <c r="AE317" s="3" t="str">
        <f>IFERROR(__xludf.DUMMYFUNCTION("""COMPUTED_VALUE"""),"Yes")</f>
        <v>Yes</v>
      </c>
      <c r="AF317" s="3" t="str">
        <f>IFERROR(__xludf.DUMMYFUNCTION("""COMPUTED_VALUE"""),"Yes")</f>
        <v>Yes</v>
      </c>
      <c r="AG317" s="3" t="str">
        <f>IFERROR(__xludf.DUMMYFUNCTION("""COMPUTED_VALUE"""),"Yes")</f>
        <v>Yes</v>
      </c>
      <c r="AH317" s="3"/>
      <c r="AI317" s="3">
        <f>IFERROR(__xludf.DUMMYFUNCTION("""COMPUTED_VALUE"""),1.0)</f>
        <v>1</v>
      </c>
      <c r="AJ317" s="3">
        <f>IFERROR(__xludf.DUMMYFUNCTION("""COMPUTED_VALUE"""),0.0)</f>
        <v>0</v>
      </c>
      <c r="AK317" s="3">
        <f>IFERROR(__xludf.DUMMYFUNCTION("""COMPUTED_VALUE"""),0.0)</f>
        <v>0</v>
      </c>
      <c r="AL317" s="3">
        <f>IFERROR(__xludf.DUMMYFUNCTION("""COMPUTED_VALUE"""),0.0)</f>
        <v>0</v>
      </c>
      <c r="AM317" s="3" t="str">
        <f>IFERROR(__xludf.DUMMYFUNCTION("""COMPUTED_VALUE"""),"Yes")</f>
        <v>Yes</v>
      </c>
      <c r="AN317" s="3"/>
      <c r="AO317" s="3"/>
      <c r="AP317" s="3">
        <f>IFERROR(__xludf.DUMMYFUNCTION("""COMPUTED_VALUE"""),4.908566E8)</f>
        <v>490856600</v>
      </c>
      <c r="AQ317" s="3" t="str">
        <f>IFERROR(__xludf.DUMMYFUNCTION("""COMPUTED_VALUE"""),"5038893a-72b8-41d4-83f4-86d071bb3609")</f>
        <v>5038893a-72b8-41d4-83f4-86d071bb3609</v>
      </c>
      <c r="AR317" s="3">
        <f>IFERROR(__xludf.DUMMYFUNCTION("""COMPUTED_VALUE"""),45810.43871527778)</f>
        <v>45810.43872</v>
      </c>
      <c r="AS317" s="3"/>
      <c r="AT317" s="3"/>
      <c r="AU317" s="3" t="str">
        <f>IFERROR(__xludf.DUMMYFUNCTION("""COMPUTED_VALUE"""),"submitted_via_web")</f>
        <v>submitted_via_web</v>
      </c>
      <c r="AV317" s="3"/>
      <c r="AW317" s="3" t="str">
        <f>IFERROR(__xludf.DUMMYFUNCTION("""COMPUTED_VALUE"""),"vckVTgNzM4XXtKAKNnsHpB")</f>
        <v>vckVTgNzM4XXtKAKNnsHpB</v>
      </c>
      <c r="AX317" s="3"/>
      <c r="AY317" s="3">
        <f>IFERROR(__xludf.DUMMYFUNCTION("""COMPUTED_VALUE"""),316.0)</f>
        <v>316</v>
      </c>
    </row>
    <row r="318">
      <c r="A318" s="3" t="str">
        <f>IFERROR(__xludf.DUMMYFUNCTION("""COMPUTED_VALUE"""),"Yes")</f>
        <v>Yes</v>
      </c>
      <c r="B318" s="3"/>
      <c r="C318" s="3" t="str">
        <f>IFERROR(__xludf.DUMMYFUNCTION("""COMPUTED_VALUE"""),"zimbabwe")</f>
        <v>zimbabwe</v>
      </c>
      <c r="D318" s="3"/>
      <c r="E318" s="3" t="str">
        <f>IFERROR(__xludf.DUMMYFUNCTION("""COMPUTED_VALUE"""),"south_africa")</f>
        <v>south_africa</v>
      </c>
      <c r="F318" s="3" t="str">
        <f>IFERROR(__xludf.DUMMYFUNCTION("""COMPUTED_VALUE"""),"City of Tshwane Metropolitan Municipality")</f>
        <v>City of Tshwane Metropolitan Municipality</v>
      </c>
      <c r="G318" s="3">
        <f>IFERROR(__xludf.DUMMYFUNCTION("""COMPUTED_VALUE"""),37.0)</f>
        <v>37</v>
      </c>
      <c r="H318" s="3" t="str">
        <f>IFERROR(__xludf.DUMMYFUNCTION("""COMPUTED_VALUE"""),"male")</f>
        <v>male</v>
      </c>
      <c r="I318" s="3" t="str">
        <f>IFERROR(__xludf.DUMMYFUNCTION("""COMPUTED_VALUE"""),"1to5")</f>
        <v>1to5</v>
      </c>
      <c r="J318" s="3" t="str">
        <f>IFERROR(__xludf.DUMMYFUNCTION("""COMPUTED_VALUE"""),"informal")</f>
        <v>informal</v>
      </c>
      <c r="K318" s="3" t="str">
        <f>IFERROR(__xludf.DUMMYFUNCTION("""COMPUTED_VALUE"""),"secondary")</f>
        <v>secondary</v>
      </c>
      <c r="L318" s="3"/>
      <c r="M318" s="3" t="str">
        <f>IFERROR(__xludf.DUMMYFUNCTION("""COMPUTED_VALUE"""),"agree")</f>
        <v>agree</v>
      </c>
      <c r="N318" s="3" t="str">
        <f>IFERROR(__xludf.DUMMYFUNCTION("""COMPUTED_VALUE"""),"agree")</f>
        <v>agree</v>
      </c>
      <c r="O318" s="3" t="str">
        <f>IFERROR(__xludf.DUMMYFUNCTION("""COMPUTED_VALUE"""),"agree")</f>
        <v>agree</v>
      </c>
      <c r="P318" s="3"/>
      <c r="Q318" s="3" t="str">
        <f>IFERROR(__xludf.DUMMYFUNCTION("""COMPUTED_VALUE"""),"agree")</f>
        <v>agree</v>
      </c>
      <c r="R318" s="3" t="str">
        <f>IFERROR(__xludf.DUMMYFUNCTION("""COMPUTED_VALUE"""),"agree")</f>
        <v>agree</v>
      </c>
      <c r="S318" s="3" t="str">
        <f>IFERROR(__xludf.DUMMYFUNCTION("""COMPUTED_VALUE"""),"agree")</f>
        <v>agree</v>
      </c>
      <c r="T318" s="3" t="str">
        <f>IFERROR(__xludf.DUMMYFUNCTION("""COMPUTED_VALUE"""),"agree")</f>
        <v>agree</v>
      </c>
      <c r="U318" s="3" t="str">
        <f>IFERROR(__xludf.DUMMYFUNCTION("""COMPUTED_VALUE"""),"agree")</f>
        <v>agree</v>
      </c>
      <c r="V318" s="3" t="str">
        <f>IFERROR(__xludf.DUMMYFUNCTION("""COMPUTED_VALUE"""),"agree")</f>
        <v>agree</v>
      </c>
      <c r="W318" s="3" t="str">
        <f>IFERROR(__xludf.DUMMYFUNCTION("""COMPUTED_VALUE"""),"agree")</f>
        <v>agree</v>
      </c>
      <c r="X318" s="3" t="str">
        <f>IFERROR(__xludf.DUMMYFUNCTION("""COMPUTED_VALUE"""),"Gold")</f>
        <v>Gold</v>
      </c>
      <c r="Y318" s="3" t="str">
        <f>IFERROR(__xludf.DUMMYFUNCTION("""COMPUTED_VALUE"""),"cash")</f>
        <v>cash</v>
      </c>
      <c r="Z318" s="3" t="str">
        <f>IFERROR(__xludf.DUMMYFUNCTION("""COMPUTED_VALUE"""),"monthly")</f>
        <v>monthly</v>
      </c>
      <c r="AA318" s="3">
        <f>IFERROR(__xludf.DUMMYFUNCTION("""COMPUTED_VALUE"""),100.0)</f>
        <v>100</v>
      </c>
      <c r="AB318" s="3" t="str">
        <f>IFERROR(__xludf.DUMMYFUNCTION("""COMPUTED_VALUE"""),"online")</f>
        <v>online</v>
      </c>
      <c r="AC318" s="3" t="str">
        <f>IFERROR(__xludf.DUMMYFUNCTION("""COMPUTED_VALUE"""),"Yes")</f>
        <v>Yes</v>
      </c>
      <c r="AD318" s="3" t="str">
        <f>IFERROR(__xludf.DUMMYFUNCTION("""COMPUTED_VALUE"""),"Gold")</f>
        <v>Gold</v>
      </c>
      <c r="AE318" s="3" t="str">
        <f>IFERROR(__xludf.DUMMYFUNCTION("""COMPUTED_VALUE"""),"Yes")</f>
        <v>Yes</v>
      </c>
      <c r="AF318" s="3" t="str">
        <f>IFERROR(__xludf.DUMMYFUNCTION("""COMPUTED_VALUE"""),"Yes")</f>
        <v>Yes</v>
      </c>
      <c r="AG318" s="3" t="str">
        <f>IFERROR(__xludf.DUMMYFUNCTION("""COMPUTED_VALUE"""),"Yes")</f>
        <v>Yes</v>
      </c>
      <c r="AH318" s="3"/>
      <c r="AI318" s="3">
        <f>IFERROR(__xludf.DUMMYFUNCTION("""COMPUTED_VALUE"""),1.0)</f>
        <v>1</v>
      </c>
      <c r="AJ318" s="3">
        <f>IFERROR(__xludf.DUMMYFUNCTION("""COMPUTED_VALUE"""),0.0)</f>
        <v>0</v>
      </c>
      <c r="AK318" s="3">
        <f>IFERROR(__xludf.DUMMYFUNCTION("""COMPUTED_VALUE"""),0.0)</f>
        <v>0</v>
      </c>
      <c r="AL318" s="3">
        <f>IFERROR(__xludf.DUMMYFUNCTION("""COMPUTED_VALUE"""),0.0)</f>
        <v>0</v>
      </c>
      <c r="AM318" s="3" t="str">
        <f>IFERROR(__xludf.DUMMYFUNCTION("""COMPUTED_VALUE"""),"Yes")</f>
        <v>Yes</v>
      </c>
      <c r="AN318" s="3"/>
      <c r="AO318" s="3"/>
      <c r="AP318" s="3">
        <f>IFERROR(__xludf.DUMMYFUNCTION("""COMPUTED_VALUE"""),4.90858686E8)</f>
        <v>490858686</v>
      </c>
      <c r="AQ318" s="3" t="str">
        <f>IFERROR(__xludf.DUMMYFUNCTION("""COMPUTED_VALUE"""),"8f0973dc-616c-4a84-a41d-15399bd745fe")</f>
        <v>8f0973dc-616c-4a84-a41d-15399bd745fe</v>
      </c>
      <c r="AR318" s="3">
        <f>IFERROR(__xludf.DUMMYFUNCTION("""COMPUTED_VALUE"""),45810.44086805556)</f>
        <v>45810.44087</v>
      </c>
      <c r="AS318" s="3"/>
      <c r="AT318" s="3"/>
      <c r="AU318" s="3" t="str">
        <f>IFERROR(__xludf.DUMMYFUNCTION("""COMPUTED_VALUE"""),"submitted_via_web")</f>
        <v>submitted_via_web</v>
      </c>
      <c r="AV318" s="3"/>
      <c r="AW318" s="3" t="str">
        <f>IFERROR(__xludf.DUMMYFUNCTION("""COMPUTED_VALUE"""),"vckVTgNzM4XXtKAKNnsHpB")</f>
        <v>vckVTgNzM4XXtKAKNnsHpB</v>
      </c>
      <c r="AX318" s="3"/>
      <c r="AY318" s="3">
        <f>IFERROR(__xludf.DUMMYFUNCTION("""COMPUTED_VALUE"""),317.0)</f>
        <v>317</v>
      </c>
    </row>
    <row r="319">
      <c r="A319" s="3" t="str">
        <f>IFERROR(__xludf.DUMMYFUNCTION("""COMPUTED_VALUE"""),"Yes")</f>
        <v>Yes</v>
      </c>
      <c r="B319" s="3"/>
      <c r="C319" s="3" t="str">
        <f>IFERROR(__xludf.DUMMYFUNCTION("""COMPUTED_VALUE"""),"zimbabwe")</f>
        <v>zimbabwe</v>
      </c>
      <c r="D319" s="3"/>
      <c r="E319" s="3" t="str">
        <f>IFERROR(__xludf.DUMMYFUNCTION("""COMPUTED_VALUE"""),"south_africa")</f>
        <v>south_africa</v>
      </c>
      <c r="F319" s="3" t="str">
        <f>IFERROR(__xludf.DUMMYFUNCTION("""COMPUTED_VALUE"""),"City of Tshwane Metropolitan Municipality")</f>
        <v>City of Tshwane Metropolitan Municipality</v>
      </c>
      <c r="G319" s="3">
        <f>IFERROR(__xludf.DUMMYFUNCTION("""COMPUTED_VALUE"""),27.0)</f>
        <v>27</v>
      </c>
      <c r="H319" s="3" t="str">
        <f>IFERROR(__xludf.DUMMYFUNCTION("""COMPUTED_VALUE"""),"female")</f>
        <v>female</v>
      </c>
      <c r="I319" s="3" t="str">
        <f>IFERROR(__xludf.DUMMYFUNCTION("""COMPUTED_VALUE"""),"over5")</f>
        <v>over5</v>
      </c>
      <c r="J319" s="3" t="str">
        <f>IFERROR(__xludf.DUMMYFUNCTION("""COMPUTED_VALUE"""),"informal")</f>
        <v>informal</v>
      </c>
      <c r="K319" s="3" t="str">
        <f>IFERROR(__xludf.DUMMYFUNCTION("""COMPUTED_VALUE"""),"none")</f>
        <v>none</v>
      </c>
      <c r="L319" s="3"/>
      <c r="M319" s="3" t="str">
        <f>IFERROR(__xludf.DUMMYFUNCTION("""COMPUTED_VALUE"""),"agree")</f>
        <v>agree</v>
      </c>
      <c r="N319" s="3" t="str">
        <f>IFERROR(__xludf.DUMMYFUNCTION("""COMPUTED_VALUE"""),"agree")</f>
        <v>agree</v>
      </c>
      <c r="O319" s="3" t="str">
        <f>IFERROR(__xludf.DUMMYFUNCTION("""COMPUTED_VALUE"""),"agree")</f>
        <v>agree</v>
      </c>
      <c r="P319" s="3"/>
      <c r="Q319" s="3" t="str">
        <f>IFERROR(__xludf.DUMMYFUNCTION("""COMPUTED_VALUE"""),"agree")</f>
        <v>agree</v>
      </c>
      <c r="R319" s="3" t="str">
        <f>IFERROR(__xludf.DUMMYFUNCTION("""COMPUTED_VALUE"""),"agree")</f>
        <v>agree</v>
      </c>
      <c r="S319" s="3" t="str">
        <f>IFERROR(__xludf.DUMMYFUNCTION("""COMPUTED_VALUE"""),"agree")</f>
        <v>agree</v>
      </c>
      <c r="T319" s="3" t="str">
        <f>IFERROR(__xludf.DUMMYFUNCTION("""COMPUTED_VALUE"""),"agree")</f>
        <v>agree</v>
      </c>
      <c r="U319" s="3" t="str">
        <f>IFERROR(__xludf.DUMMYFUNCTION("""COMPUTED_VALUE"""),"agree")</f>
        <v>agree</v>
      </c>
      <c r="V319" s="3" t="str">
        <f>IFERROR(__xludf.DUMMYFUNCTION("""COMPUTED_VALUE"""),"agree")</f>
        <v>agree</v>
      </c>
      <c r="W319" s="3" t="str">
        <f>IFERROR(__xludf.DUMMYFUNCTION("""COMPUTED_VALUE"""),"agree")</f>
        <v>agree</v>
      </c>
      <c r="X319" s="3" t="str">
        <f>IFERROR(__xludf.DUMMYFUNCTION("""COMPUTED_VALUE"""),"Gold")</f>
        <v>Gold</v>
      </c>
      <c r="Y319" s="3" t="str">
        <f>IFERROR(__xludf.DUMMYFUNCTION("""COMPUTED_VALUE"""),"cash")</f>
        <v>cash</v>
      </c>
      <c r="Z319" s="3" t="str">
        <f>IFERROR(__xludf.DUMMYFUNCTION("""COMPUTED_VALUE"""),"monthly")</f>
        <v>monthly</v>
      </c>
      <c r="AA319" s="3">
        <f>IFERROR(__xludf.DUMMYFUNCTION("""COMPUTED_VALUE"""),10.0)</f>
        <v>10</v>
      </c>
      <c r="AB319" s="3" t="str">
        <f>IFERROR(__xludf.DUMMYFUNCTION("""COMPUTED_VALUE"""),"assisted")</f>
        <v>assisted</v>
      </c>
      <c r="AC319" s="3" t="str">
        <f>IFERROR(__xludf.DUMMYFUNCTION("""COMPUTED_VALUE"""),"Yes")</f>
        <v>Yes</v>
      </c>
      <c r="AD319" s="3" t="str">
        <f>IFERROR(__xludf.DUMMYFUNCTION("""COMPUTED_VALUE"""),"Gold")</f>
        <v>Gold</v>
      </c>
      <c r="AE319" s="3" t="str">
        <f>IFERROR(__xludf.DUMMYFUNCTION("""COMPUTED_VALUE"""),"Yes")</f>
        <v>Yes</v>
      </c>
      <c r="AF319" s="3" t="str">
        <f>IFERROR(__xludf.DUMMYFUNCTION("""COMPUTED_VALUE"""),"Yes")</f>
        <v>Yes</v>
      </c>
      <c r="AG319" s="3" t="str">
        <f>IFERROR(__xludf.DUMMYFUNCTION("""COMPUTED_VALUE"""),"Yes")</f>
        <v>Yes</v>
      </c>
      <c r="AH319" s="3"/>
      <c r="AI319" s="3">
        <f>IFERROR(__xludf.DUMMYFUNCTION("""COMPUTED_VALUE"""),1.0)</f>
        <v>1</v>
      </c>
      <c r="AJ319" s="3">
        <f>IFERROR(__xludf.DUMMYFUNCTION("""COMPUTED_VALUE"""),0.0)</f>
        <v>0</v>
      </c>
      <c r="AK319" s="3">
        <f>IFERROR(__xludf.DUMMYFUNCTION("""COMPUTED_VALUE"""),0.0)</f>
        <v>0</v>
      </c>
      <c r="AL319" s="3">
        <f>IFERROR(__xludf.DUMMYFUNCTION("""COMPUTED_VALUE"""),0.0)</f>
        <v>0</v>
      </c>
      <c r="AM319" s="3" t="str">
        <f>IFERROR(__xludf.DUMMYFUNCTION("""COMPUTED_VALUE"""),"Yes")</f>
        <v>Yes</v>
      </c>
      <c r="AN319" s="3"/>
      <c r="AO319" s="3"/>
      <c r="AP319" s="3">
        <f>IFERROR(__xludf.DUMMYFUNCTION("""COMPUTED_VALUE"""),4.90860435E8)</f>
        <v>490860435</v>
      </c>
      <c r="AQ319" s="3" t="str">
        <f>IFERROR(__xludf.DUMMYFUNCTION("""COMPUTED_VALUE"""),"a75e9283-6631-4cd6-bf70-7e08eef10832")</f>
        <v>a75e9283-6631-4cd6-bf70-7e08eef10832</v>
      </c>
      <c r="AR319" s="3">
        <f>IFERROR(__xludf.DUMMYFUNCTION("""COMPUTED_VALUE"""),45810.442719907405)</f>
        <v>45810.44272</v>
      </c>
      <c r="AS319" s="3"/>
      <c r="AT319" s="3"/>
      <c r="AU319" s="3" t="str">
        <f>IFERROR(__xludf.DUMMYFUNCTION("""COMPUTED_VALUE"""),"submitted_via_web")</f>
        <v>submitted_via_web</v>
      </c>
      <c r="AV319" s="3"/>
      <c r="AW319" s="3" t="str">
        <f>IFERROR(__xludf.DUMMYFUNCTION("""COMPUTED_VALUE"""),"vckVTgNzM4XXtKAKNnsHpB")</f>
        <v>vckVTgNzM4XXtKAKNnsHpB</v>
      </c>
      <c r="AX319" s="3"/>
      <c r="AY319" s="3">
        <f>IFERROR(__xludf.DUMMYFUNCTION("""COMPUTED_VALUE"""),318.0)</f>
        <v>318</v>
      </c>
    </row>
    <row r="320">
      <c r="A320" s="3" t="str">
        <f>IFERROR(__xludf.DUMMYFUNCTION("""COMPUTED_VALUE"""),"Yes")</f>
        <v>Yes</v>
      </c>
      <c r="B320" s="3"/>
      <c r="C320" s="3" t="str">
        <f>IFERROR(__xludf.DUMMYFUNCTION("""COMPUTED_VALUE"""),"malawi")</f>
        <v>malawi</v>
      </c>
      <c r="D320" s="3"/>
      <c r="E320" s="3" t="str">
        <f>IFERROR(__xludf.DUMMYFUNCTION("""COMPUTED_VALUE"""),"south_africa")</f>
        <v>south_africa</v>
      </c>
      <c r="F320" s="3" t="str">
        <f>IFERROR(__xludf.DUMMYFUNCTION("""COMPUTED_VALUE"""),"City of Tshwane Metropolitan Municipality")</f>
        <v>City of Tshwane Metropolitan Municipality</v>
      </c>
      <c r="G320" s="3">
        <f>IFERROR(__xludf.DUMMYFUNCTION("""COMPUTED_VALUE"""),37.0)</f>
        <v>37</v>
      </c>
      <c r="H320" s="3" t="str">
        <f>IFERROR(__xludf.DUMMYFUNCTION("""COMPUTED_VALUE"""),"male")</f>
        <v>male</v>
      </c>
      <c r="I320" s="3" t="str">
        <f>IFERROR(__xludf.DUMMYFUNCTION("""COMPUTED_VALUE"""),"1to5")</f>
        <v>1to5</v>
      </c>
      <c r="J320" s="3" t="str">
        <f>IFERROR(__xludf.DUMMYFUNCTION("""COMPUTED_VALUE"""),"informal")</f>
        <v>informal</v>
      </c>
      <c r="K320" s="3" t="str">
        <f>IFERROR(__xludf.DUMMYFUNCTION("""COMPUTED_VALUE"""),"primary")</f>
        <v>primary</v>
      </c>
      <c r="L320" s="3"/>
      <c r="M320" s="3" t="str">
        <f>IFERROR(__xludf.DUMMYFUNCTION("""COMPUTED_VALUE"""),"agree")</f>
        <v>agree</v>
      </c>
      <c r="N320" s="3" t="str">
        <f>IFERROR(__xludf.DUMMYFUNCTION("""COMPUTED_VALUE"""),"agree")</f>
        <v>agree</v>
      </c>
      <c r="O320" s="3" t="str">
        <f>IFERROR(__xludf.DUMMYFUNCTION("""COMPUTED_VALUE"""),"agree")</f>
        <v>agree</v>
      </c>
      <c r="P320" s="3"/>
      <c r="Q320" s="3" t="str">
        <f>IFERROR(__xludf.DUMMYFUNCTION("""COMPUTED_VALUE"""),"agree")</f>
        <v>agree</v>
      </c>
      <c r="R320" s="3" t="str">
        <f>IFERROR(__xludf.DUMMYFUNCTION("""COMPUTED_VALUE"""),"agree")</f>
        <v>agree</v>
      </c>
      <c r="S320" s="3" t="str">
        <f>IFERROR(__xludf.DUMMYFUNCTION("""COMPUTED_VALUE"""),"agree")</f>
        <v>agree</v>
      </c>
      <c r="T320" s="3" t="str">
        <f>IFERROR(__xludf.DUMMYFUNCTION("""COMPUTED_VALUE"""),"agree")</f>
        <v>agree</v>
      </c>
      <c r="U320" s="3" t="str">
        <f>IFERROR(__xludf.DUMMYFUNCTION("""COMPUTED_VALUE"""),"agree")</f>
        <v>agree</v>
      </c>
      <c r="V320" s="3" t="str">
        <f>IFERROR(__xludf.DUMMYFUNCTION("""COMPUTED_VALUE"""),"agree")</f>
        <v>agree</v>
      </c>
      <c r="W320" s="3" t="str">
        <f>IFERROR(__xludf.DUMMYFUNCTION("""COMPUTED_VALUE"""),"agree")</f>
        <v>agree</v>
      </c>
      <c r="X320" s="3" t="str">
        <f>IFERROR(__xludf.DUMMYFUNCTION("""COMPUTED_VALUE"""),"Gold")</f>
        <v>Gold</v>
      </c>
      <c r="Y320" s="3" t="str">
        <f>IFERROR(__xludf.DUMMYFUNCTION("""COMPUTED_VALUE"""),"cash")</f>
        <v>cash</v>
      </c>
      <c r="Z320" s="3" t="str">
        <f>IFERROR(__xludf.DUMMYFUNCTION("""COMPUTED_VALUE"""),"monthly")</f>
        <v>monthly</v>
      </c>
      <c r="AA320" s="3">
        <f>IFERROR(__xludf.DUMMYFUNCTION("""COMPUTED_VALUE"""),100.0)</f>
        <v>100</v>
      </c>
      <c r="AB320" s="3" t="str">
        <f>IFERROR(__xludf.DUMMYFUNCTION("""COMPUTED_VALUE"""),"assisted")</f>
        <v>assisted</v>
      </c>
      <c r="AC320" s="3" t="str">
        <f>IFERROR(__xludf.DUMMYFUNCTION("""COMPUTED_VALUE"""),"Yes")</f>
        <v>Yes</v>
      </c>
      <c r="AD320" s="3" t="str">
        <f>IFERROR(__xludf.DUMMYFUNCTION("""COMPUTED_VALUE"""),"Gold")</f>
        <v>Gold</v>
      </c>
      <c r="AE320" s="3" t="str">
        <f>IFERROR(__xludf.DUMMYFUNCTION("""COMPUTED_VALUE"""),"Yes")</f>
        <v>Yes</v>
      </c>
      <c r="AF320" s="3" t="str">
        <f>IFERROR(__xludf.DUMMYFUNCTION("""COMPUTED_VALUE"""),"Yes")</f>
        <v>Yes</v>
      </c>
      <c r="AG320" s="3" t="str">
        <f>IFERROR(__xludf.DUMMYFUNCTION("""COMPUTED_VALUE"""),"Yes")</f>
        <v>Yes</v>
      </c>
      <c r="AH320" s="3"/>
      <c r="AI320" s="3">
        <f>IFERROR(__xludf.DUMMYFUNCTION("""COMPUTED_VALUE"""),1.0)</f>
        <v>1</v>
      </c>
      <c r="AJ320" s="3">
        <f>IFERROR(__xludf.DUMMYFUNCTION("""COMPUTED_VALUE"""),0.0)</f>
        <v>0</v>
      </c>
      <c r="AK320" s="3">
        <f>IFERROR(__xludf.DUMMYFUNCTION("""COMPUTED_VALUE"""),0.0)</f>
        <v>0</v>
      </c>
      <c r="AL320" s="3">
        <f>IFERROR(__xludf.DUMMYFUNCTION("""COMPUTED_VALUE"""),0.0)</f>
        <v>0</v>
      </c>
      <c r="AM320" s="3" t="str">
        <f>IFERROR(__xludf.DUMMYFUNCTION("""COMPUTED_VALUE"""),"Yes")</f>
        <v>Yes</v>
      </c>
      <c r="AN320" s="3"/>
      <c r="AO320" s="3"/>
      <c r="AP320" s="3">
        <f>IFERROR(__xludf.DUMMYFUNCTION("""COMPUTED_VALUE"""),4.90861901E8)</f>
        <v>490861901</v>
      </c>
      <c r="AQ320" s="3" t="str">
        <f>IFERROR(__xludf.DUMMYFUNCTION("""COMPUTED_VALUE"""),"68ff18dd-b67f-49bd-a172-f180ced3950a")</f>
        <v>68ff18dd-b67f-49bd-a172-f180ced3950a</v>
      </c>
      <c r="AR320" s="3">
        <f>IFERROR(__xludf.DUMMYFUNCTION("""COMPUTED_VALUE"""),45810.44420138889)</f>
        <v>45810.4442</v>
      </c>
      <c r="AS320" s="3"/>
      <c r="AT320" s="3"/>
      <c r="AU320" s="3" t="str">
        <f>IFERROR(__xludf.DUMMYFUNCTION("""COMPUTED_VALUE"""),"submitted_via_web")</f>
        <v>submitted_via_web</v>
      </c>
      <c r="AV320" s="3"/>
      <c r="AW320" s="3" t="str">
        <f>IFERROR(__xludf.DUMMYFUNCTION("""COMPUTED_VALUE"""),"vckVTgNzM4XXtKAKNnsHpB")</f>
        <v>vckVTgNzM4XXtKAKNnsHpB</v>
      </c>
      <c r="AX320" s="3"/>
      <c r="AY320" s="3">
        <f>IFERROR(__xludf.DUMMYFUNCTION("""COMPUTED_VALUE"""),319.0)</f>
        <v>319</v>
      </c>
    </row>
    <row r="321">
      <c r="A321" s="3" t="str">
        <f>IFERROR(__xludf.DUMMYFUNCTION("""COMPUTED_VALUE"""),"Yes")</f>
        <v>Yes</v>
      </c>
      <c r="B321" s="3"/>
      <c r="C321" s="3" t="str">
        <f>IFERROR(__xludf.DUMMYFUNCTION("""COMPUTED_VALUE"""),"zimbabwe")</f>
        <v>zimbabwe</v>
      </c>
      <c r="D321" s="3"/>
      <c r="E321" s="3" t="str">
        <f>IFERROR(__xludf.DUMMYFUNCTION("""COMPUTED_VALUE"""),"south_africa")</f>
        <v>south_africa</v>
      </c>
      <c r="F321" s="3" t="str">
        <f>IFERROR(__xludf.DUMMYFUNCTION("""COMPUTED_VALUE"""),"City of Tshwane Metropolitan Municipality")</f>
        <v>City of Tshwane Metropolitan Municipality</v>
      </c>
      <c r="G321" s="3">
        <f>IFERROR(__xludf.DUMMYFUNCTION("""COMPUTED_VALUE"""),38.0)</f>
        <v>38</v>
      </c>
      <c r="H321" s="3" t="str">
        <f>IFERROR(__xludf.DUMMYFUNCTION("""COMPUTED_VALUE"""),"female")</f>
        <v>female</v>
      </c>
      <c r="I321" s="3" t="str">
        <f>IFERROR(__xludf.DUMMYFUNCTION("""COMPUTED_VALUE"""),"1to5")</f>
        <v>1to5</v>
      </c>
      <c r="J321" s="3" t="str">
        <f>IFERROR(__xludf.DUMMYFUNCTION("""COMPUTED_VALUE"""),"informal")</f>
        <v>informal</v>
      </c>
      <c r="K321" s="3" t="str">
        <f>IFERROR(__xludf.DUMMYFUNCTION("""COMPUTED_VALUE"""),"secondary")</f>
        <v>secondary</v>
      </c>
      <c r="L321" s="3"/>
      <c r="M321" s="3" t="str">
        <f>IFERROR(__xludf.DUMMYFUNCTION("""COMPUTED_VALUE"""),"agree")</f>
        <v>agree</v>
      </c>
      <c r="N321" s="3" t="str">
        <f>IFERROR(__xludf.DUMMYFUNCTION("""COMPUTED_VALUE"""),"agree")</f>
        <v>agree</v>
      </c>
      <c r="O321" s="3" t="str">
        <f>IFERROR(__xludf.DUMMYFUNCTION("""COMPUTED_VALUE"""),"agree")</f>
        <v>agree</v>
      </c>
      <c r="P321" s="3"/>
      <c r="Q321" s="3" t="str">
        <f>IFERROR(__xludf.DUMMYFUNCTION("""COMPUTED_VALUE"""),"agree")</f>
        <v>agree</v>
      </c>
      <c r="R321" s="3" t="str">
        <f>IFERROR(__xludf.DUMMYFUNCTION("""COMPUTED_VALUE"""),"agree")</f>
        <v>agree</v>
      </c>
      <c r="S321" s="3" t="str">
        <f>IFERROR(__xludf.DUMMYFUNCTION("""COMPUTED_VALUE"""),"agree")</f>
        <v>agree</v>
      </c>
      <c r="T321" s="3" t="str">
        <f>IFERROR(__xludf.DUMMYFUNCTION("""COMPUTED_VALUE"""),"agree")</f>
        <v>agree</v>
      </c>
      <c r="U321" s="3" t="str">
        <f>IFERROR(__xludf.DUMMYFUNCTION("""COMPUTED_VALUE"""),"agree")</f>
        <v>agree</v>
      </c>
      <c r="V321" s="3" t="str">
        <f>IFERROR(__xludf.DUMMYFUNCTION("""COMPUTED_VALUE"""),"agree")</f>
        <v>agree</v>
      </c>
      <c r="W321" s="3" t="str">
        <f>IFERROR(__xludf.DUMMYFUNCTION("""COMPUTED_VALUE"""),"agree")</f>
        <v>agree</v>
      </c>
      <c r="X321" s="3" t="str">
        <f>IFERROR(__xludf.DUMMYFUNCTION("""COMPUTED_VALUE"""),"Gold")</f>
        <v>Gold</v>
      </c>
      <c r="Y321" s="3" t="str">
        <f>IFERROR(__xludf.DUMMYFUNCTION("""COMPUTED_VALUE"""),"cash")</f>
        <v>cash</v>
      </c>
      <c r="Z321" s="3" t="str">
        <f>IFERROR(__xludf.DUMMYFUNCTION("""COMPUTED_VALUE"""),"monthly")</f>
        <v>monthly</v>
      </c>
      <c r="AA321" s="3">
        <f>IFERROR(__xludf.DUMMYFUNCTION("""COMPUTED_VALUE"""),100.0)</f>
        <v>100</v>
      </c>
      <c r="AB321" s="3" t="str">
        <f>IFERROR(__xludf.DUMMYFUNCTION("""COMPUTED_VALUE"""),"assisted")</f>
        <v>assisted</v>
      </c>
      <c r="AC321" s="3" t="str">
        <f>IFERROR(__xludf.DUMMYFUNCTION("""COMPUTED_VALUE"""),"Yes")</f>
        <v>Yes</v>
      </c>
      <c r="AD321" s="3" t="str">
        <f>IFERROR(__xludf.DUMMYFUNCTION("""COMPUTED_VALUE"""),"Gold")</f>
        <v>Gold</v>
      </c>
      <c r="AE321" s="3" t="str">
        <f>IFERROR(__xludf.DUMMYFUNCTION("""COMPUTED_VALUE"""),"Yes")</f>
        <v>Yes</v>
      </c>
      <c r="AF321" s="3" t="str">
        <f>IFERROR(__xludf.DUMMYFUNCTION("""COMPUTED_VALUE"""),"Yes")</f>
        <v>Yes</v>
      </c>
      <c r="AG321" s="3" t="str">
        <f>IFERROR(__xludf.DUMMYFUNCTION("""COMPUTED_VALUE"""),"Yes")</f>
        <v>Yes</v>
      </c>
      <c r="AH321" s="3"/>
      <c r="AI321" s="3">
        <f>IFERROR(__xludf.DUMMYFUNCTION("""COMPUTED_VALUE"""),1.0)</f>
        <v>1</v>
      </c>
      <c r="AJ321" s="3">
        <f>IFERROR(__xludf.DUMMYFUNCTION("""COMPUTED_VALUE"""),0.0)</f>
        <v>0</v>
      </c>
      <c r="AK321" s="3">
        <f>IFERROR(__xludf.DUMMYFUNCTION("""COMPUTED_VALUE"""),0.0)</f>
        <v>0</v>
      </c>
      <c r="AL321" s="3">
        <f>IFERROR(__xludf.DUMMYFUNCTION("""COMPUTED_VALUE"""),0.0)</f>
        <v>0</v>
      </c>
      <c r="AM321" s="3" t="str">
        <f>IFERROR(__xludf.DUMMYFUNCTION("""COMPUTED_VALUE"""),"Yes")</f>
        <v>Yes</v>
      </c>
      <c r="AN321" s="3"/>
      <c r="AO321" s="3"/>
      <c r="AP321" s="3">
        <f>IFERROR(__xludf.DUMMYFUNCTION("""COMPUTED_VALUE"""),4.9086362E8)</f>
        <v>490863620</v>
      </c>
      <c r="AQ321" s="3" t="str">
        <f>IFERROR(__xludf.DUMMYFUNCTION("""COMPUTED_VALUE"""),"17aa3df5-dbf0-43e0-99f7-4236931451f0")</f>
        <v>17aa3df5-dbf0-43e0-99f7-4236931451f0</v>
      </c>
      <c r="AR321" s="3">
        <f>IFERROR(__xludf.DUMMYFUNCTION("""COMPUTED_VALUE"""),45810.445868055554)</f>
        <v>45810.44587</v>
      </c>
      <c r="AS321" s="3"/>
      <c r="AT321" s="3"/>
      <c r="AU321" s="3" t="str">
        <f>IFERROR(__xludf.DUMMYFUNCTION("""COMPUTED_VALUE"""),"submitted_via_web")</f>
        <v>submitted_via_web</v>
      </c>
      <c r="AV321" s="3"/>
      <c r="AW321" s="3" t="str">
        <f>IFERROR(__xludf.DUMMYFUNCTION("""COMPUTED_VALUE"""),"vckVTgNzM4XXtKAKNnsHpB")</f>
        <v>vckVTgNzM4XXtKAKNnsHpB</v>
      </c>
      <c r="AX321" s="3"/>
      <c r="AY321" s="3">
        <f>IFERROR(__xludf.DUMMYFUNCTION("""COMPUTED_VALUE"""),320.0)</f>
        <v>320</v>
      </c>
    </row>
    <row r="322">
      <c r="A322" s="3" t="str">
        <f>IFERROR(__xludf.DUMMYFUNCTION("""COMPUTED_VALUE"""),"Yes")</f>
        <v>Yes</v>
      </c>
      <c r="B322" s="3"/>
      <c r="C322" s="3" t="str">
        <f>IFERROR(__xludf.DUMMYFUNCTION("""COMPUTED_VALUE"""),"malawi")</f>
        <v>malawi</v>
      </c>
      <c r="D322" s="3"/>
      <c r="E322" s="3" t="str">
        <f>IFERROR(__xludf.DUMMYFUNCTION("""COMPUTED_VALUE"""),"south_africa")</f>
        <v>south_africa</v>
      </c>
      <c r="F322" s="3" t="str">
        <f>IFERROR(__xludf.DUMMYFUNCTION("""COMPUTED_VALUE"""),"City of Tshwane Metropolitan Municipality")</f>
        <v>City of Tshwane Metropolitan Municipality</v>
      </c>
      <c r="G322" s="3">
        <f>IFERROR(__xludf.DUMMYFUNCTION("""COMPUTED_VALUE"""),45.0)</f>
        <v>45</v>
      </c>
      <c r="H322" s="3" t="str">
        <f>IFERROR(__xludf.DUMMYFUNCTION("""COMPUTED_VALUE"""),"male")</f>
        <v>male</v>
      </c>
      <c r="I322" s="3" t="str">
        <f>IFERROR(__xludf.DUMMYFUNCTION("""COMPUTED_VALUE"""),"over5")</f>
        <v>over5</v>
      </c>
      <c r="J322" s="3" t="str">
        <f>IFERROR(__xludf.DUMMYFUNCTION("""COMPUTED_VALUE"""),"informal")</f>
        <v>informal</v>
      </c>
      <c r="K322" s="3" t="str">
        <f>IFERROR(__xludf.DUMMYFUNCTION("""COMPUTED_VALUE"""),"secondary")</f>
        <v>secondary</v>
      </c>
      <c r="L322" s="3"/>
      <c r="M322" s="3" t="str">
        <f>IFERROR(__xludf.DUMMYFUNCTION("""COMPUTED_VALUE"""),"agree")</f>
        <v>agree</v>
      </c>
      <c r="N322" s="3" t="str">
        <f>IFERROR(__xludf.DUMMYFUNCTION("""COMPUTED_VALUE"""),"agree")</f>
        <v>agree</v>
      </c>
      <c r="O322" s="3" t="str">
        <f>IFERROR(__xludf.DUMMYFUNCTION("""COMPUTED_VALUE"""),"agree")</f>
        <v>agree</v>
      </c>
      <c r="P322" s="3"/>
      <c r="Q322" s="3" t="str">
        <f>IFERROR(__xludf.DUMMYFUNCTION("""COMPUTED_VALUE"""),"agree")</f>
        <v>agree</v>
      </c>
      <c r="R322" s="3" t="str">
        <f>IFERROR(__xludf.DUMMYFUNCTION("""COMPUTED_VALUE"""),"agree")</f>
        <v>agree</v>
      </c>
      <c r="S322" s="3" t="str">
        <f>IFERROR(__xludf.DUMMYFUNCTION("""COMPUTED_VALUE"""),"agree")</f>
        <v>agree</v>
      </c>
      <c r="T322" s="3" t="str">
        <f>IFERROR(__xludf.DUMMYFUNCTION("""COMPUTED_VALUE"""),"agree")</f>
        <v>agree</v>
      </c>
      <c r="U322" s="3" t="str">
        <f>IFERROR(__xludf.DUMMYFUNCTION("""COMPUTED_VALUE"""),"agree")</f>
        <v>agree</v>
      </c>
      <c r="V322" s="3" t="str">
        <f>IFERROR(__xludf.DUMMYFUNCTION("""COMPUTED_VALUE"""),"agree")</f>
        <v>agree</v>
      </c>
      <c r="W322" s="3" t="str">
        <f>IFERROR(__xludf.DUMMYFUNCTION("""COMPUTED_VALUE"""),"agree")</f>
        <v>agree</v>
      </c>
      <c r="X322" s="3" t="str">
        <f>IFERROR(__xludf.DUMMYFUNCTION("""COMPUTED_VALUE"""),"Gold")</f>
        <v>Gold</v>
      </c>
      <c r="Y322" s="3" t="str">
        <f>IFERROR(__xludf.DUMMYFUNCTION("""COMPUTED_VALUE"""),"cash")</f>
        <v>cash</v>
      </c>
      <c r="Z322" s="3" t="str">
        <f>IFERROR(__xludf.DUMMYFUNCTION("""COMPUTED_VALUE"""),"monthly")</f>
        <v>monthly</v>
      </c>
      <c r="AA322" s="3">
        <f>IFERROR(__xludf.DUMMYFUNCTION("""COMPUTED_VALUE"""),50.0)</f>
        <v>50</v>
      </c>
      <c r="AB322" s="3" t="str">
        <f>IFERROR(__xludf.DUMMYFUNCTION("""COMPUTED_VALUE"""),"assisted")</f>
        <v>assisted</v>
      </c>
      <c r="AC322" s="3" t="str">
        <f>IFERROR(__xludf.DUMMYFUNCTION("""COMPUTED_VALUE"""),"Yes")</f>
        <v>Yes</v>
      </c>
      <c r="AD322" s="3" t="str">
        <f>IFERROR(__xludf.DUMMYFUNCTION("""COMPUTED_VALUE"""),"Gold")</f>
        <v>Gold</v>
      </c>
      <c r="AE322" s="3" t="str">
        <f>IFERROR(__xludf.DUMMYFUNCTION("""COMPUTED_VALUE"""),"Yes")</f>
        <v>Yes</v>
      </c>
      <c r="AF322" s="3" t="str">
        <f>IFERROR(__xludf.DUMMYFUNCTION("""COMPUTED_VALUE"""),"Yes")</f>
        <v>Yes</v>
      </c>
      <c r="AG322" s="3" t="str">
        <f>IFERROR(__xludf.DUMMYFUNCTION("""COMPUTED_VALUE"""),"Yes")</f>
        <v>Yes</v>
      </c>
      <c r="AH322" s="3"/>
      <c r="AI322" s="3">
        <f>IFERROR(__xludf.DUMMYFUNCTION("""COMPUTED_VALUE"""),1.0)</f>
        <v>1</v>
      </c>
      <c r="AJ322" s="3">
        <f>IFERROR(__xludf.DUMMYFUNCTION("""COMPUTED_VALUE"""),0.0)</f>
        <v>0</v>
      </c>
      <c r="AK322" s="3">
        <f>IFERROR(__xludf.DUMMYFUNCTION("""COMPUTED_VALUE"""),0.0)</f>
        <v>0</v>
      </c>
      <c r="AL322" s="3">
        <f>IFERROR(__xludf.DUMMYFUNCTION("""COMPUTED_VALUE"""),0.0)</f>
        <v>0</v>
      </c>
      <c r="AM322" s="3" t="str">
        <f>IFERROR(__xludf.DUMMYFUNCTION("""COMPUTED_VALUE"""),"Yes")</f>
        <v>Yes</v>
      </c>
      <c r="AN322" s="3"/>
      <c r="AO322" s="3"/>
      <c r="AP322" s="3">
        <f>IFERROR(__xludf.DUMMYFUNCTION("""COMPUTED_VALUE"""),4.90865124E8)</f>
        <v>490865124</v>
      </c>
      <c r="AQ322" s="3" t="str">
        <f>IFERROR(__xludf.DUMMYFUNCTION("""COMPUTED_VALUE"""),"129942c2-f6e4-42d3-9346-46f226c29637")</f>
        <v>129942c2-f6e4-42d3-9346-46f226c29637</v>
      </c>
      <c r="AR322" s="3">
        <f>IFERROR(__xludf.DUMMYFUNCTION("""COMPUTED_VALUE"""),45810.44726851852)</f>
        <v>45810.44727</v>
      </c>
      <c r="AS322" s="3"/>
      <c r="AT322" s="3"/>
      <c r="AU322" s="3" t="str">
        <f>IFERROR(__xludf.DUMMYFUNCTION("""COMPUTED_VALUE"""),"submitted_via_web")</f>
        <v>submitted_via_web</v>
      </c>
      <c r="AV322" s="3"/>
      <c r="AW322" s="3" t="str">
        <f>IFERROR(__xludf.DUMMYFUNCTION("""COMPUTED_VALUE"""),"vckVTgNzM4XXtKAKNnsHpB")</f>
        <v>vckVTgNzM4XXtKAKNnsHpB</v>
      </c>
      <c r="AX322" s="3"/>
      <c r="AY322" s="3">
        <f>IFERROR(__xludf.DUMMYFUNCTION("""COMPUTED_VALUE"""),321.0)</f>
        <v>321</v>
      </c>
    </row>
    <row r="323">
      <c r="A323" s="3" t="str">
        <f>IFERROR(__xludf.DUMMYFUNCTION("""COMPUTED_VALUE"""),"Yes")</f>
        <v>Yes</v>
      </c>
      <c r="B323" s="3"/>
      <c r="C323" s="3" t="str">
        <f>IFERROR(__xludf.DUMMYFUNCTION("""COMPUTED_VALUE"""),"malawi")</f>
        <v>malawi</v>
      </c>
      <c r="D323" s="3"/>
      <c r="E323" s="3" t="str">
        <f>IFERROR(__xludf.DUMMYFUNCTION("""COMPUTED_VALUE"""),"south_africa")</f>
        <v>south_africa</v>
      </c>
      <c r="F323" s="3" t="str">
        <f>IFERROR(__xludf.DUMMYFUNCTION("""COMPUTED_VALUE"""),"City of Tshwane Metropolitan Municipality")</f>
        <v>City of Tshwane Metropolitan Municipality</v>
      </c>
      <c r="G323" s="3">
        <f>IFERROR(__xludf.DUMMYFUNCTION("""COMPUTED_VALUE"""),22.0)</f>
        <v>22</v>
      </c>
      <c r="H323" s="3" t="str">
        <f>IFERROR(__xludf.DUMMYFUNCTION("""COMPUTED_VALUE"""),"male")</f>
        <v>male</v>
      </c>
      <c r="I323" s="3" t="str">
        <f>IFERROR(__xludf.DUMMYFUNCTION("""COMPUTED_VALUE"""),"1to5")</f>
        <v>1to5</v>
      </c>
      <c r="J323" s="3" t="str">
        <f>IFERROR(__xludf.DUMMYFUNCTION("""COMPUTED_VALUE"""),"informal")</f>
        <v>informal</v>
      </c>
      <c r="K323" s="3" t="str">
        <f>IFERROR(__xludf.DUMMYFUNCTION("""COMPUTED_VALUE"""),"none")</f>
        <v>none</v>
      </c>
      <c r="L323" s="3"/>
      <c r="M323" s="3" t="str">
        <f>IFERROR(__xludf.DUMMYFUNCTION("""COMPUTED_VALUE"""),"agree")</f>
        <v>agree</v>
      </c>
      <c r="N323" s="3" t="str">
        <f>IFERROR(__xludf.DUMMYFUNCTION("""COMPUTED_VALUE"""),"agree")</f>
        <v>agree</v>
      </c>
      <c r="O323" s="3" t="str">
        <f>IFERROR(__xludf.DUMMYFUNCTION("""COMPUTED_VALUE"""),"agree")</f>
        <v>agree</v>
      </c>
      <c r="P323" s="3"/>
      <c r="Q323" s="3" t="str">
        <f>IFERROR(__xludf.DUMMYFUNCTION("""COMPUTED_VALUE"""),"agree")</f>
        <v>agree</v>
      </c>
      <c r="R323" s="3" t="str">
        <f>IFERROR(__xludf.DUMMYFUNCTION("""COMPUTED_VALUE"""),"agree")</f>
        <v>agree</v>
      </c>
      <c r="S323" s="3" t="str">
        <f>IFERROR(__xludf.DUMMYFUNCTION("""COMPUTED_VALUE"""),"agree")</f>
        <v>agree</v>
      </c>
      <c r="T323" s="3" t="str">
        <f>IFERROR(__xludf.DUMMYFUNCTION("""COMPUTED_VALUE"""),"agree")</f>
        <v>agree</v>
      </c>
      <c r="U323" s="3" t="str">
        <f>IFERROR(__xludf.DUMMYFUNCTION("""COMPUTED_VALUE"""),"agree")</f>
        <v>agree</v>
      </c>
      <c r="V323" s="3" t="str">
        <f>IFERROR(__xludf.DUMMYFUNCTION("""COMPUTED_VALUE"""),"agree")</f>
        <v>agree</v>
      </c>
      <c r="W323" s="3" t="str">
        <f>IFERROR(__xludf.DUMMYFUNCTION("""COMPUTED_VALUE"""),"agree")</f>
        <v>agree</v>
      </c>
      <c r="X323" s="3" t="str">
        <f>IFERROR(__xludf.DUMMYFUNCTION("""COMPUTED_VALUE"""),"Gold")</f>
        <v>Gold</v>
      </c>
      <c r="Y323" s="3" t="str">
        <f>IFERROR(__xludf.DUMMYFUNCTION("""COMPUTED_VALUE"""),"cash")</f>
        <v>cash</v>
      </c>
      <c r="Z323" s="3" t="str">
        <f>IFERROR(__xludf.DUMMYFUNCTION("""COMPUTED_VALUE"""),"monthly")</f>
        <v>monthly</v>
      </c>
      <c r="AA323" s="3">
        <f>IFERROR(__xludf.DUMMYFUNCTION("""COMPUTED_VALUE"""),30.0)</f>
        <v>30</v>
      </c>
      <c r="AB323" s="3" t="str">
        <f>IFERROR(__xludf.DUMMYFUNCTION("""COMPUTED_VALUE"""),"assisted")</f>
        <v>assisted</v>
      </c>
      <c r="AC323" s="3" t="str">
        <f>IFERROR(__xludf.DUMMYFUNCTION("""COMPUTED_VALUE"""),"Yes")</f>
        <v>Yes</v>
      </c>
      <c r="AD323" s="3" t="str">
        <f>IFERROR(__xludf.DUMMYFUNCTION("""COMPUTED_VALUE"""),"Gold")</f>
        <v>Gold</v>
      </c>
      <c r="AE323" s="3" t="str">
        <f>IFERROR(__xludf.DUMMYFUNCTION("""COMPUTED_VALUE"""),"Yes")</f>
        <v>Yes</v>
      </c>
      <c r="AF323" s="3" t="str">
        <f>IFERROR(__xludf.DUMMYFUNCTION("""COMPUTED_VALUE"""),"Yes")</f>
        <v>Yes</v>
      </c>
      <c r="AG323" s="3" t="str">
        <f>IFERROR(__xludf.DUMMYFUNCTION("""COMPUTED_VALUE"""),"Yes")</f>
        <v>Yes</v>
      </c>
      <c r="AH323" s="3"/>
      <c r="AI323" s="3">
        <f>IFERROR(__xludf.DUMMYFUNCTION("""COMPUTED_VALUE"""),1.0)</f>
        <v>1</v>
      </c>
      <c r="AJ323" s="3">
        <f>IFERROR(__xludf.DUMMYFUNCTION("""COMPUTED_VALUE"""),0.0)</f>
        <v>0</v>
      </c>
      <c r="AK323" s="3">
        <f>IFERROR(__xludf.DUMMYFUNCTION("""COMPUTED_VALUE"""),0.0)</f>
        <v>0</v>
      </c>
      <c r="AL323" s="3">
        <f>IFERROR(__xludf.DUMMYFUNCTION("""COMPUTED_VALUE"""),0.0)</f>
        <v>0</v>
      </c>
      <c r="AM323" s="3" t="str">
        <f>IFERROR(__xludf.DUMMYFUNCTION("""COMPUTED_VALUE"""),"Yes")</f>
        <v>Yes</v>
      </c>
      <c r="AN323" s="3"/>
      <c r="AO323" s="3"/>
      <c r="AP323" s="3">
        <f>IFERROR(__xludf.DUMMYFUNCTION("""COMPUTED_VALUE"""),4.90866858E8)</f>
        <v>490866858</v>
      </c>
      <c r="AQ323" s="3" t="str">
        <f>IFERROR(__xludf.DUMMYFUNCTION("""COMPUTED_VALUE"""),"0dc1593b-abc9-4c51-9130-b095fcccf417")</f>
        <v>0dc1593b-abc9-4c51-9130-b095fcccf417</v>
      </c>
      <c r="AR323" s="3">
        <f>IFERROR(__xludf.DUMMYFUNCTION("""COMPUTED_VALUE"""),45810.44868055556)</f>
        <v>45810.44868</v>
      </c>
      <c r="AS323" s="3"/>
      <c r="AT323" s="3"/>
      <c r="AU323" s="3" t="str">
        <f>IFERROR(__xludf.DUMMYFUNCTION("""COMPUTED_VALUE"""),"submitted_via_web")</f>
        <v>submitted_via_web</v>
      </c>
      <c r="AV323" s="3"/>
      <c r="AW323" s="3" t="str">
        <f>IFERROR(__xludf.DUMMYFUNCTION("""COMPUTED_VALUE"""),"vckVTgNzM4XXtKAKNnsHpB")</f>
        <v>vckVTgNzM4XXtKAKNnsHpB</v>
      </c>
      <c r="AX323" s="3"/>
      <c r="AY323" s="3">
        <f>IFERROR(__xludf.DUMMYFUNCTION("""COMPUTED_VALUE"""),322.0)</f>
        <v>322</v>
      </c>
    </row>
    <row r="324">
      <c r="A324" s="3" t="str">
        <f>IFERROR(__xludf.DUMMYFUNCTION("""COMPUTED_VALUE"""),"Yes")</f>
        <v>Yes</v>
      </c>
      <c r="B324" s="3"/>
      <c r="C324" s="3" t="str">
        <f>IFERROR(__xludf.DUMMYFUNCTION("""COMPUTED_VALUE"""),"zimbabwe")</f>
        <v>zimbabwe</v>
      </c>
      <c r="D324" s="3"/>
      <c r="E324" s="3" t="str">
        <f>IFERROR(__xludf.DUMMYFUNCTION("""COMPUTED_VALUE"""),"south_africa")</f>
        <v>south_africa</v>
      </c>
      <c r="F324" s="3" t="str">
        <f>IFERROR(__xludf.DUMMYFUNCTION("""COMPUTED_VALUE"""),"City of Tshwane Metropolitan Municipality")</f>
        <v>City of Tshwane Metropolitan Municipality</v>
      </c>
      <c r="G324" s="3">
        <f>IFERROR(__xludf.DUMMYFUNCTION("""COMPUTED_VALUE"""),37.0)</f>
        <v>37</v>
      </c>
      <c r="H324" s="3" t="str">
        <f>IFERROR(__xludf.DUMMYFUNCTION("""COMPUTED_VALUE"""),"female")</f>
        <v>female</v>
      </c>
      <c r="I324" s="3" t="str">
        <f>IFERROR(__xludf.DUMMYFUNCTION("""COMPUTED_VALUE"""),"6to12")</f>
        <v>6to12</v>
      </c>
      <c r="J324" s="3" t="str">
        <f>IFERROR(__xludf.DUMMYFUNCTION("""COMPUTED_VALUE"""),"informal")</f>
        <v>informal</v>
      </c>
      <c r="K324" s="3" t="str">
        <f>IFERROR(__xludf.DUMMYFUNCTION("""COMPUTED_VALUE"""),"secondary")</f>
        <v>secondary</v>
      </c>
      <c r="L324" s="3"/>
      <c r="M324" s="3" t="str">
        <f>IFERROR(__xludf.DUMMYFUNCTION("""COMPUTED_VALUE"""),"agree")</f>
        <v>agree</v>
      </c>
      <c r="N324" s="3" t="str">
        <f>IFERROR(__xludf.DUMMYFUNCTION("""COMPUTED_VALUE"""),"agree")</f>
        <v>agree</v>
      </c>
      <c r="O324" s="3" t="str">
        <f>IFERROR(__xludf.DUMMYFUNCTION("""COMPUTED_VALUE"""),"agree")</f>
        <v>agree</v>
      </c>
      <c r="P324" s="3"/>
      <c r="Q324" s="3" t="str">
        <f>IFERROR(__xludf.DUMMYFUNCTION("""COMPUTED_VALUE"""),"agree")</f>
        <v>agree</v>
      </c>
      <c r="R324" s="3" t="str">
        <f>IFERROR(__xludf.DUMMYFUNCTION("""COMPUTED_VALUE"""),"agree")</f>
        <v>agree</v>
      </c>
      <c r="S324" s="3" t="str">
        <f>IFERROR(__xludf.DUMMYFUNCTION("""COMPUTED_VALUE"""),"agree")</f>
        <v>agree</v>
      </c>
      <c r="T324" s="3" t="str">
        <f>IFERROR(__xludf.DUMMYFUNCTION("""COMPUTED_VALUE"""),"agree")</f>
        <v>agree</v>
      </c>
      <c r="U324" s="3" t="str">
        <f>IFERROR(__xludf.DUMMYFUNCTION("""COMPUTED_VALUE"""),"agree")</f>
        <v>agree</v>
      </c>
      <c r="V324" s="3" t="str">
        <f>IFERROR(__xludf.DUMMYFUNCTION("""COMPUTED_VALUE"""),"agree")</f>
        <v>agree</v>
      </c>
      <c r="W324" s="3" t="str">
        <f>IFERROR(__xludf.DUMMYFUNCTION("""COMPUTED_VALUE"""),"agree")</f>
        <v>agree</v>
      </c>
      <c r="X324" s="3" t="str">
        <f>IFERROR(__xludf.DUMMYFUNCTION("""COMPUTED_VALUE"""),"Gold")</f>
        <v>Gold</v>
      </c>
      <c r="Y324" s="3" t="str">
        <f>IFERROR(__xludf.DUMMYFUNCTION("""COMPUTED_VALUE"""),"cash")</f>
        <v>cash</v>
      </c>
      <c r="Z324" s="3" t="str">
        <f>IFERROR(__xludf.DUMMYFUNCTION("""COMPUTED_VALUE"""),"monthly")</f>
        <v>monthly</v>
      </c>
      <c r="AA324" s="3">
        <f>IFERROR(__xludf.DUMMYFUNCTION("""COMPUTED_VALUE"""),40.0)</f>
        <v>40</v>
      </c>
      <c r="AB324" s="3" t="str">
        <f>IFERROR(__xludf.DUMMYFUNCTION("""COMPUTED_VALUE"""),"assisted")</f>
        <v>assisted</v>
      </c>
      <c r="AC324" s="3" t="str">
        <f>IFERROR(__xludf.DUMMYFUNCTION("""COMPUTED_VALUE"""),"Yes")</f>
        <v>Yes</v>
      </c>
      <c r="AD324" s="3" t="str">
        <f>IFERROR(__xludf.DUMMYFUNCTION("""COMPUTED_VALUE"""),"Gold")</f>
        <v>Gold</v>
      </c>
      <c r="AE324" s="3" t="str">
        <f>IFERROR(__xludf.DUMMYFUNCTION("""COMPUTED_VALUE"""),"Yes")</f>
        <v>Yes</v>
      </c>
      <c r="AF324" s="3" t="str">
        <f>IFERROR(__xludf.DUMMYFUNCTION("""COMPUTED_VALUE"""),"Yes")</f>
        <v>Yes</v>
      </c>
      <c r="AG324" s="3" t="str">
        <f>IFERROR(__xludf.DUMMYFUNCTION("""COMPUTED_VALUE"""),"Yes")</f>
        <v>Yes</v>
      </c>
      <c r="AH324" s="3"/>
      <c r="AI324" s="3">
        <f>IFERROR(__xludf.DUMMYFUNCTION("""COMPUTED_VALUE"""),1.0)</f>
        <v>1</v>
      </c>
      <c r="AJ324" s="3">
        <f>IFERROR(__xludf.DUMMYFUNCTION("""COMPUTED_VALUE"""),0.0)</f>
        <v>0</v>
      </c>
      <c r="AK324" s="3">
        <f>IFERROR(__xludf.DUMMYFUNCTION("""COMPUTED_VALUE"""),0.0)</f>
        <v>0</v>
      </c>
      <c r="AL324" s="3">
        <f>IFERROR(__xludf.DUMMYFUNCTION("""COMPUTED_VALUE"""),0.0)</f>
        <v>0</v>
      </c>
      <c r="AM324" s="3" t="str">
        <f>IFERROR(__xludf.DUMMYFUNCTION("""COMPUTED_VALUE"""),"Yes")</f>
        <v>Yes</v>
      </c>
      <c r="AN324" s="3"/>
      <c r="AO324" s="3"/>
      <c r="AP324" s="3">
        <f>IFERROR(__xludf.DUMMYFUNCTION("""COMPUTED_VALUE"""),4.90868361E8)</f>
        <v>490868361</v>
      </c>
      <c r="AQ324" s="3" t="str">
        <f>IFERROR(__xludf.DUMMYFUNCTION("""COMPUTED_VALUE"""),"a00a22f4-b118-4955-9440-c812c080245f")</f>
        <v>a00a22f4-b118-4955-9440-c812c080245f</v>
      </c>
      <c r="AR324" s="3">
        <f>IFERROR(__xludf.DUMMYFUNCTION("""COMPUTED_VALUE"""),45810.45009259259)</f>
        <v>45810.45009</v>
      </c>
      <c r="AS324" s="3"/>
      <c r="AT324" s="3"/>
      <c r="AU324" s="3" t="str">
        <f>IFERROR(__xludf.DUMMYFUNCTION("""COMPUTED_VALUE"""),"submitted_via_web")</f>
        <v>submitted_via_web</v>
      </c>
      <c r="AV324" s="3"/>
      <c r="AW324" s="3" t="str">
        <f>IFERROR(__xludf.DUMMYFUNCTION("""COMPUTED_VALUE"""),"vckVTgNzM4XXtKAKNnsHpB")</f>
        <v>vckVTgNzM4XXtKAKNnsHpB</v>
      </c>
      <c r="AX324" s="3"/>
      <c r="AY324" s="3">
        <f>IFERROR(__xludf.DUMMYFUNCTION("""COMPUTED_VALUE"""),323.0)</f>
        <v>323</v>
      </c>
    </row>
    <row r="325">
      <c r="A325" s="3" t="str">
        <f>IFERROR(__xludf.DUMMYFUNCTION("""COMPUTED_VALUE"""),"Yes")</f>
        <v>Yes</v>
      </c>
      <c r="B325" s="3"/>
      <c r="C325" s="3" t="str">
        <f>IFERROR(__xludf.DUMMYFUNCTION("""COMPUTED_VALUE"""),"zimbabwe")</f>
        <v>zimbabwe</v>
      </c>
      <c r="D325" s="3"/>
      <c r="E325" s="3" t="str">
        <f>IFERROR(__xludf.DUMMYFUNCTION("""COMPUTED_VALUE"""),"south_africa")</f>
        <v>south_africa</v>
      </c>
      <c r="F325" s="3" t="str">
        <f>IFERROR(__xludf.DUMMYFUNCTION("""COMPUTED_VALUE"""),"City of Tshwane Metropolitan Municipality")</f>
        <v>City of Tshwane Metropolitan Municipality</v>
      </c>
      <c r="G325" s="3">
        <f>IFERROR(__xludf.DUMMYFUNCTION("""COMPUTED_VALUE"""),25.0)</f>
        <v>25</v>
      </c>
      <c r="H325" s="3" t="str">
        <f>IFERROR(__xludf.DUMMYFUNCTION("""COMPUTED_VALUE"""),"female")</f>
        <v>female</v>
      </c>
      <c r="I325" s="3" t="str">
        <f>IFERROR(__xludf.DUMMYFUNCTION("""COMPUTED_VALUE"""),"6to12")</f>
        <v>6to12</v>
      </c>
      <c r="J325" s="3" t="str">
        <f>IFERROR(__xludf.DUMMYFUNCTION("""COMPUTED_VALUE"""),"informal")</f>
        <v>informal</v>
      </c>
      <c r="K325" s="3" t="str">
        <f>IFERROR(__xludf.DUMMYFUNCTION("""COMPUTED_VALUE"""),"secondary")</f>
        <v>secondary</v>
      </c>
      <c r="L325" s="3"/>
      <c r="M325" s="3" t="str">
        <f>IFERROR(__xludf.DUMMYFUNCTION("""COMPUTED_VALUE"""),"agree")</f>
        <v>agree</v>
      </c>
      <c r="N325" s="3" t="str">
        <f>IFERROR(__xludf.DUMMYFUNCTION("""COMPUTED_VALUE"""),"agree")</f>
        <v>agree</v>
      </c>
      <c r="O325" s="3" t="str">
        <f>IFERROR(__xludf.DUMMYFUNCTION("""COMPUTED_VALUE"""),"agree")</f>
        <v>agree</v>
      </c>
      <c r="P325" s="3"/>
      <c r="Q325" s="3" t="str">
        <f>IFERROR(__xludf.DUMMYFUNCTION("""COMPUTED_VALUE"""),"agree")</f>
        <v>agree</v>
      </c>
      <c r="R325" s="3" t="str">
        <f>IFERROR(__xludf.DUMMYFUNCTION("""COMPUTED_VALUE"""),"agree")</f>
        <v>agree</v>
      </c>
      <c r="S325" s="3" t="str">
        <f>IFERROR(__xludf.DUMMYFUNCTION("""COMPUTED_VALUE"""),"agree")</f>
        <v>agree</v>
      </c>
      <c r="T325" s="3" t="str">
        <f>IFERROR(__xludf.DUMMYFUNCTION("""COMPUTED_VALUE"""),"agree")</f>
        <v>agree</v>
      </c>
      <c r="U325" s="3" t="str">
        <f>IFERROR(__xludf.DUMMYFUNCTION("""COMPUTED_VALUE"""),"agree")</f>
        <v>agree</v>
      </c>
      <c r="V325" s="3" t="str">
        <f>IFERROR(__xludf.DUMMYFUNCTION("""COMPUTED_VALUE"""),"agree")</f>
        <v>agree</v>
      </c>
      <c r="W325" s="3" t="str">
        <f>IFERROR(__xludf.DUMMYFUNCTION("""COMPUTED_VALUE"""),"agree")</f>
        <v>agree</v>
      </c>
      <c r="X325" s="3" t="str">
        <f>IFERROR(__xludf.DUMMYFUNCTION("""COMPUTED_VALUE"""),"Gold")</f>
        <v>Gold</v>
      </c>
      <c r="Y325" s="3" t="str">
        <f>IFERROR(__xludf.DUMMYFUNCTION("""COMPUTED_VALUE"""),"cash")</f>
        <v>cash</v>
      </c>
      <c r="Z325" s="3" t="str">
        <f>IFERROR(__xludf.DUMMYFUNCTION("""COMPUTED_VALUE"""),"monthly")</f>
        <v>monthly</v>
      </c>
      <c r="AA325" s="3">
        <f>IFERROR(__xludf.DUMMYFUNCTION("""COMPUTED_VALUE"""),100.0)</f>
        <v>100</v>
      </c>
      <c r="AB325" s="3" t="str">
        <f>IFERROR(__xludf.DUMMYFUNCTION("""COMPUTED_VALUE"""),"assisted")</f>
        <v>assisted</v>
      </c>
      <c r="AC325" s="3" t="str">
        <f>IFERROR(__xludf.DUMMYFUNCTION("""COMPUTED_VALUE"""),"Yes")</f>
        <v>Yes</v>
      </c>
      <c r="AD325" s="3" t="str">
        <f>IFERROR(__xludf.DUMMYFUNCTION("""COMPUTED_VALUE"""),"Gold")</f>
        <v>Gold</v>
      </c>
      <c r="AE325" s="3" t="str">
        <f>IFERROR(__xludf.DUMMYFUNCTION("""COMPUTED_VALUE"""),"Yes")</f>
        <v>Yes</v>
      </c>
      <c r="AF325" s="3" t="str">
        <f>IFERROR(__xludf.DUMMYFUNCTION("""COMPUTED_VALUE"""),"Yes")</f>
        <v>Yes</v>
      </c>
      <c r="AG325" s="3" t="str">
        <f>IFERROR(__xludf.DUMMYFUNCTION("""COMPUTED_VALUE"""),"No")</f>
        <v>No</v>
      </c>
      <c r="AH325" s="3"/>
      <c r="AI325" s="3">
        <f>IFERROR(__xludf.DUMMYFUNCTION("""COMPUTED_VALUE"""),1.0)</f>
        <v>1</v>
      </c>
      <c r="AJ325" s="3">
        <f>IFERROR(__xludf.DUMMYFUNCTION("""COMPUTED_VALUE"""),0.0)</f>
        <v>0</v>
      </c>
      <c r="AK325" s="3">
        <f>IFERROR(__xludf.DUMMYFUNCTION("""COMPUTED_VALUE"""),0.0)</f>
        <v>0</v>
      </c>
      <c r="AL325" s="3">
        <f>IFERROR(__xludf.DUMMYFUNCTION("""COMPUTED_VALUE"""),0.0)</f>
        <v>0</v>
      </c>
      <c r="AM325" s="3" t="str">
        <f>IFERROR(__xludf.DUMMYFUNCTION("""COMPUTED_VALUE"""),"Yes")</f>
        <v>Yes</v>
      </c>
      <c r="AN325" s="3"/>
      <c r="AO325" s="3"/>
      <c r="AP325" s="3">
        <f>IFERROR(__xludf.DUMMYFUNCTION("""COMPUTED_VALUE"""),4.90870025E8)</f>
        <v>490870025</v>
      </c>
      <c r="AQ325" s="3" t="str">
        <f>IFERROR(__xludf.DUMMYFUNCTION("""COMPUTED_VALUE"""),"2c75eaf3-d359-4cac-b718-4eed1f4cb80d")</f>
        <v>2c75eaf3-d359-4cac-b718-4eed1f4cb80d</v>
      </c>
      <c r="AR325" s="3">
        <f>IFERROR(__xludf.DUMMYFUNCTION("""COMPUTED_VALUE"""),45810.451516203706)</f>
        <v>45810.45152</v>
      </c>
      <c r="AS325" s="3"/>
      <c r="AT325" s="3"/>
      <c r="AU325" s="3" t="str">
        <f>IFERROR(__xludf.DUMMYFUNCTION("""COMPUTED_VALUE"""),"submitted_via_web")</f>
        <v>submitted_via_web</v>
      </c>
      <c r="AV325" s="3"/>
      <c r="AW325" s="3" t="str">
        <f>IFERROR(__xludf.DUMMYFUNCTION("""COMPUTED_VALUE"""),"vckVTgNzM4XXtKAKNnsHpB")</f>
        <v>vckVTgNzM4XXtKAKNnsHpB</v>
      </c>
      <c r="AX325" s="3"/>
      <c r="AY325" s="3">
        <f>IFERROR(__xludf.DUMMYFUNCTION("""COMPUTED_VALUE"""),324.0)</f>
        <v>324</v>
      </c>
    </row>
    <row r="326">
      <c r="A326" s="3" t="str">
        <f>IFERROR(__xludf.DUMMYFUNCTION("""COMPUTED_VALUE"""),"Yes")</f>
        <v>Yes</v>
      </c>
      <c r="B326" s="3"/>
      <c r="C326" s="3" t="str">
        <f>IFERROR(__xludf.DUMMYFUNCTION("""COMPUTED_VALUE"""),"mozambique")</f>
        <v>mozambique</v>
      </c>
      <c r="D326" s="3"/>
      <c r="E326" s="3" t="str">
        <f>IFERROR(__xludf.DUMMYFUNCTION("""COMPUTED_VALUE"""),"south_africa")</f>
        <v>south_africa</v>
      </c>
      <c r="F326" s="3" t="str">
        <f>IFERROR(__xludf.DUMMYFUNCTION("""COMPUTED_VALUE"""),"City of Tshwane Metropolitan Municipality")</f>
        <v>City of Tshwane Metropolitan Municipality</v>
      </c>
      <c r="G326" s="3">
        <f>IFERROR(__xludf.DUMMYFUNCTION("""COMPUTED_VALUE"""),25.0)</f>
        <v>25</v>
      </c>
      <c r="H326" s="3" t="str">
        <f>IFERROR(__xludf.DUMMYFUNCTION("""COMPUTED_VALUE"""),"male")</f>
        <v>male</v>
      </c>
      <c r="I326" s="3" t="str">
        <f>IFERROR(__xludf.DUMMYFUNCTION("""COMPUTED_VALUE"""),"1to5")</f>
        <v>1to5</v>
      </c>
      <c r="J326" s="3" t="str">
        <f>IFERROR(__xludf.DUMMYFUNCTION("""COMPUTED_VALUE"""),"informal")</f>
        <v>informal</v>
      </c>
      <c r="K326" s="3" t="str">
        <f>IFERROR(__xludf.DUMMYFUNCTION("""COMPUTED_VALUE"""),"primary")</f>
        <v>primary</v>
      </c>
      <c r="L326" s="3"/>
      <c r="M326" s="3" t="str">
        <f>IFERROR(__xludf.DUMMYFUNCTION("""COMPUTED_VALUE"""),"agree")</f>
        <v>agree</v>
      </c>
      <c r="N326" s="3" t="str">
        <f>IFERROR(__xludf.DUMMYFUNCTION("""COMPUTED_VALUE"""),"agree")</f>
        <v>agree</v>
      </c>
      <c r="O326" s="3" t="str">
        <f>IFERROR(__xludf.DUMMYFUNCTION("""COMPUTED_VALUE"""),"agree")</f>
        <v>agree</v>
      </c>
      <c r="P326" s="3"/>
      <c r="Q326" s="3" t="str">
        <f>IFERROR(__xludf.DUMMYFUNCTION("""COMPUTED_VALUE"""),"agree")</f>
        <v>agree</v>
      </c>
      <c r="R326" s="3" t="str">
        <f>IFERROR(__xludf.DUMMYFUNCTION("""COMPUTED_VALUE"""),"agree")</f>
        <v>agree</v>
      </c>
      <c r="S326" s="3" t="str">
        <f>IFERROR(__xludf.DUMMYFUNCTION("""COMPUTED_VALUE"""),"agree")</f>
        <v>agree</v>
      </c>
      <c r="T326" s="3" t="str">
        <f>IFERROR(__xludf.DUMMYFUNCTION("""COMPUTED_VALUE"""),"agree")</f>
        <v>agree</v>
      </c>
      <c r="U326" s="3" t="str">
        <f>IFERROR(__xludf.DUMMYFUNCTION("""COMPUTED_VALUE"""),"agree")</f>
        <v>agree</v>
      </c>
      <c r="V326" s="3" t="str">
        <f>IFERROR(__xludf.DUMMYFUNCTION("""COMPUTED_VALUE"""),"agree")</f>
        <v>agree</v>
      </c>
      <c r="W326" s="3" t="str">
        <f>IFERROR(__xludf.DUMMYFUNCTION("""COMPUTED_VALUE"""),"agree")</f>
        <v>agree</v>
      </c>
      <c r="X326" s="3" t="str">
        <f>IFERROR(__xludf.DUMMYFUNCTION("""COMPUTED_VALUE"""),"Gold")</f>
        <v>Gold</v>
      </c>
      <c r="Y326" s="3" t="str">
        <f>IFERROR(__xludf.DUMMYFUNCTION("""COMPUTED_VALUE"""),"cash")</f>
        <v>cash</v>
      </c>
      <c r="Z326" s="3" t="str">
        <f>IFERROR(__xludf.DUMMYFUNCTION("""COMPUTED_VALUE"""),"once")</f>
        <v>once</v>
      </c>
      <c r="AA326" s="3">
        <f>IFERROR(__xludf.DUMMYFUNCTION("""COMPUTED_VALUE"""),20.0)</f>
        <v>20</v>
      </c>
      <c r="AB326" s="3" t="str">
        <f>IFERROR(__xludf.DUMMYFUNCTION("""COMPUTED_VALUE"""),"employer")</f>
        <v>employer</v>
      </c>
      <c r="AC326" s="3" t="str">
        <f>IFERROR(__xludf.DUMMYFUNCTION("""COMPUTED_VALUE"""),"I am not an employer")</f>
        <v>I am not an employer</v>
      </c>
      <c r="AD326" s="3"/>
      <c r="AE326" s="3"/>
      <c r="AF326" s="3" t="str">
        <f>IFERROR(__xludf.DUMMYFUNCTION("""COMPUTED_VALUE"""),"Yes")</f>
        <v>Yes</v>
      </c>
      <c r="AG326" s="3" t="str">
        <f>IFERROR(__xludf.DUMMYFUNCTION("""COMPUTED_VALUE"""),"Yes")</f>
        <v>Yes</v>
      </c>
      <c r="AH326" s="3"/>
      <c r="AI326" s="3">
        <f>IFERROR(__xludf.DUMMYFUNCTION("""COMPUTED_VALUE"""),0.0)</f>
        <v>0</v>
      </c>
      <c r="AJ326" s="3">
        <f>IFERROR(__xludf.DUMMYFUNCTION("""COMPUTED_VALUE"""),0.0)</f>
        <v>0</v>
      </c>
      <c r="AK326" s="3">
        <f>IFERROR(__xludf.DUMMYFUNCTION("""COMPUTED_VALUE"""),0.0)</f>
        <v>0</v>
      </c>
      <c r="AL326" s="3">
        <f>IFERROR(__xludf.DUMMYFUNCTION("""COMPUTED_VALUE"""),1.0)</f>
        <v>1</v>
      </c>
      <c r="AM326" s="3" t="str">
        <f>IFERROR(__xludf.DUMMYFUNCTION("""COMPUTED_VALUE"""),"No")</f>
        <v>No</v>
      </c>
      <c r="AN326" s="3"/>
      <c r="AO326" s="3"/>
      <c r="AP326" s="3">
        <f>IFERROR(__xludf.DUMMYFUNCTION("""COMPUTED_VALUE"""),4.90872118E8)</f>
        <v>490872118</v>
      </c>
      <c r="AQ326" s="3" t="str">
        <f>IFERROR(__xludf.DUMMYFUNCTION("""COMPUTED_VALUE"""),"d5b98aef-736f-4325-9089-76861ee04e82")</f>
        <v>d5b98aef-736f-4325-9089-76861ee04e82</v>
      </c>
      <c r="AR326" s="3">
        <f>IFERROR(__xludf.DUMMYFUNCTION("""COMPUTED_VALUE"""),45810.4540625)</f>
        <v>45810.45406</v>
      </c>
      <c r="AS326" s="3"/>
      <c r="AT326" s="3"/>
      <c r="AU326" s="3" t="str">
        <f>IFERROR(__xludf.DUMMYFUNCTION("""COMPUTED_VALUE"""),"submitted_via_web")</f>
        <v>submitted_via_web</v>
      </c>
      <c r="AV326" s="3"/>
      <c r="AW326" s="3" t="str">
        <f>IFERROR(__xludf.DUMMYFUNCTION("""COMPUTED_VALUE"""),"vckVTgNzM4XXtKAKNnsHpB")</f>
        <v>vckVTgNzM4XXtKAKNnsHpB</v>
      </c>
      <c r="AX326" s="3"/>
      <c r="AY326" s="3">
        <f>IFERROR(__xludf.DUMMYFUNCTION("""COMPUTED_VALUE"""),325.0)</f>
        <v>325</v>
      </c>
    </row>
    <row r="327">
      <c r="A327" s="3" t="str">
        <f>IFERROR(__xludf.DUMMYFUNCTION("""COMPUTED_VALUE"""),"Yes")</f>
        <v>Yes</v>
      </c>
      <c r="B327" s="3"/>
      <c r="C327" s="3" t="str">
        <f>IFERROR(__xludf.DUMMYFUNCTION("""COMPUTED_VALUE"""),"malawi")</f>
        <v>malawi</v>
      </c>
      <c r="D327" s="3"/>
      <c r="E327" s="3" t="str">
        <f>IFERROR(__xludf.DUMMYFUNCTION("""COMPUTED_VALUE"""),"south_africa")</f>
        <v>south_africa</v>
      </c>
      <c r="F327" s="3" t="str">
        <f>IFERROR(__xludf.DUMMYFUNCTION("""COMPUTED_VALUE"""),"City of Tshwane Metropolitan Municipality")</f>
        <v>City of Tshwane Metropolitan Municipality</v>
      </c>
      <c r="G327" s="3">
        <f>IFERROR(__xludf.DUMMYFUNCTION("""COMPUTED_VALUE"""),28.0)</f>
        <v>28</v>
      </c>
      <c r="H327" s="3" t="str">
        <f>IFERROR(__xludf.DUMMYFUNCTION("""COMPUTED_VALUE"""),"other")</f>
        <v>other</v>
      </c>
      <c r="I327" s="3" t="str">
        <f>IFERROR(__xludf.DUMMYFUNCTION("""COMPUTED_VALUE"""),"6to12")</f>
        <v>6to12</v>
      </c>
      <c r="J327" s="3" t="str">
        <f>IFERROR(__xludf.DUMMYFUNCTION("""COMPUTED_VALUE"""),"unemployed")</f>
        <v>unemployed</v>
      </c>
      <c r="K327" s="3" t="str">
        <f>IFERROR(__xludf.DUMMYFUNCTION("""COMPUTED_VALUE"""),"secondary")</f>
        <v>secondary</v>
      </c>
      <c r="L327" s="3"/>
      <c r="M327" s="3" t="str">
        <f>IFERROR(__xludf.DUMMYFUNCTION("""COMPUTED_VALUE"""),"agree")</f>
        <v>agree</v>
      </c>
      <c r="N327" s="3"/>
      <c r="O327" s="3" t="str">
        <f>IFERROR(__xludf.DUMMYFUNCTION("""COMPUTED_VALUE"""),"agree")</f>
        <v>agree</v>
      </c>
      <c r="P327" s="3"/>
      <c r="Q327" s="3" t="str">
        <f>IFERROR(__xludf.DUMMYFUNCTION("""COMPUTED_VALUE"""),"agree")</f>
        <v>agree</v>
      </c>
      <c r="R327" s="3" t="str">
        <f>IFERROR(__xludf.DUMMYFUNCTION("""COMPUTED_VALUE"""),"agree")</f>
        <v>agree</v>
      </c>
      <c r="S327" s="3" t="str">
        <f>IFERROR(__xludf.DUMMYFUNCTION("""COMPUTED_VALUE"""),"agree")</f>
        <v>agree</v>
      </c>
      <c r="T327" s="3" t="str">
        <f>IFERROR(__xludf.DUMMYFUNCTION("""COMPUTED_VALUE"""),"agree")</f>
        <v>agree</v>
      </c>
      <c r="U327" s="3" t="str">
        <f>IFERROR(__xludf.DUMMYFUNCTION("""COMPUTED_VALUE"""),"agree")</f>
        <v>agree</v>
      </c>
      <c r="V327" s="3" t="str">
        <f>IFERROR(__xludf.DUMMYFUNCTION("""COMPUTED_VALUE"""),"agree")</f>
        <v>agree</v>
      </c>
      <c r="W327" s="3" t="str">
        <f>IFERROR(__xludf.DUMMYFUNCTION("""COMPUTED_VALUE"""),"agree")</f>
        <v>agree</v>
      </c>
      <c r="X327" s="3" t="str">
        <f>IFERROR(__xludf.DUMMYFUNCTION("""COMPUTED_VALUE"""),"Gold")</f>
        <v>Gold</v>
      </c>
      <c r="Y327" s="3" t="str">
        <f>IFERROR(__xludf.DUMMYFUNCTION("""COMPUTED_VALUE"""),"cash")</f>
        <v>cash</v>
      </c>
      <c r="Z327" s="3" t="str">
        <f>IFERROR(__xludf.DUMMYFUNCTION("""COMPUTED_VALUE"""),"once")</f>
        <v>once</v>
      </c>
      <c r="AA327" s="3">
        <f>IFERROR(__xludf.DUMMYFUNCTION("""COMPUTED_VALUE"""),10.0)</f>
        <v>10</v>
      </c>
      <c r="AB327" s="3" t="str">
        <f>IFERROR(__xludf.DUMMYFUNCTION("""COMPUTED_VALUE"""),"employer")</f>
        <v>employer</v>
      </c>
      <c r="AC327" s="3" t="str">
        <f>IFERROR(__xludf.DUMMYFUNCTION("""COMPUTED_VALUE"""),"Yes")</f>
        <v>Yes</v>
      </c>
      <c r="AD327" s="3" t="str">
        <f>IFERROR(__xludf.DUMMYFUNCTION("""COMPUTED_VALUE"""),"Gold")</f>
        <v>Gold</v>
      </c>
      <c r="AE327" s="3" t="str">
        <f>IFERROR(__xludf.DUMMYFUNCTION("""COMPUTED_VALUE"""),"Yes")</f>
        <v>Yes</v>
      </c>
      <c r="AF327" s="3" t="str">
        <f>IFERROR(__xludf.DUMMYFUNCTION("""COMPUTED_VALUE"""),"Yes")</f>
        <v>Yes</v>
      </c>
      <c r="AG327" s="3" t="str">
        <f>IFERROR(__xludf.DUMMYFUNCTION("""COMPUTED_VALUE"""),"No")</f>
        <v>No</v>
      </c>
      <c r="AH327" s="3"/>
      <c r="AI327" s="3"/>
      <c r="AJ327" s="3"/>
      <c r="AK327" s="3"/>
      <c r="AL327" s="3"/>
      <c r="AM327" s="3" t="str">
        <f>IFERROR(__xludf.DUMMYFUNCTION("""COMPUTED_VALUE"""),"No")</f>
        <v>No</v>
      </c>
      <c r="AN327" s="3"/>
      <c r="AO327" s="3"/>
      <c r="AP327" s="3">
        <f>IFERROR(__xludf.DUMMYFUNCTION("""COMPUTED_VALUE"""),4.90874202E8)</f>
        <v>490874202</v>
      </c>
      <c r="AQ327" s="3" t="str">
        <f>IFERROR(__xludf.DUMMYFUNCTION("""COMPUTED_VALUE"""),"e1a0358e-f1e5-4160-ad23-83a277da79ba")</f>
        <v>e1a0358e-f1e5-4160-ad23-83a277da79ba</v>
      </c>
      <c r="AR327" s="3">
        <f>IFERROR(__xludf.DUMMYFUNCTION("""COMPUTED_VALUE"""),45810.456724537034)</f>
        <v>45810.45672</v>
      </c>
      <c r="AS327" s="3"/>
      <c r="AT327" s="3"/>
      <c r="AU327" s="3" t="str">
        <f>IFERROR(__xludf.DUMMYFUNCTION("""COMPUTED_VALUE"""),"submitted_via_web")</f>
        <v>submitted_via_web</v>
      </c>
      <c r="AV327" s="3"/>
      <c r="AW327" s="3" t="str">
        <f>IFERROR(__xludf.DUMMYFUNCTION("""COMPUTED_VALUE"""),"vckVTgNzM4XXtKAKNnsHpB")</f>
        <v>vckVTgNzM4XXtKAKNnsHpB</v>
      </c>
      <c r="AX327" s="3"/>
      <c r="AY327" s="3">
        <f>IFERROR(__xludf.DUMMYFUNCTION("""COMPUTED_VALUE"""),326.0)</f>
        <v>326</v>
      </c>
    </row>
    <row r="328">
      <c r="A328" s="3" t="str">
        <f>IFERROR(__xludf.DUMMYFUNCTION("""COMPUTED_VALUE"""),"Yes")</f>
        <v>Yes</v>
      </c>
      <c r="B328" s="3"/>
      <c r="C328" s="3" t="str">
        <f>IFERROR(__xludf.DUMMYFUNCTION("""COMPUTED_VALUE"""),"zimbabwe")</f>
        <v>zimbabwe</v>
      </c>
      <c r="D328" s="3"/>
      <c r="E328" s="3" t="str">
        <f>IFERROR(__xludf.DUMMYFUNCTION("""COMPUTED_VALUE"""),"south_africa")</f>
        <v>south_africa</v>
      </c>
      <c r="F328" s="3" t="str">
        <f>IFERROR(__xludf.DUMMYFUNCTION("""COMPUTED_VALUE"""),"City of Tshwane Metropolitan Municipality")</f>
        <v>City of Tshwane Metropolitan Municipality</v>
      </c>
      <c r="G328" s="3">
        <f>IFERROR(__xludf.DUMMYFUNCTION("""COMPUTED_VALUE"""),30.0)</f>
        <v>30</v>
      </c>
      <c r="H328" s="3" t="str">
        <f>IFERROR(__xludf.DUMMYFUNCTION("""COMPUTED_VALUE"""),"female")</f>
        <v>female</v>
      </c>
      <c r="I328" s="3" t="str">
        <f>IFERROR(__xludf.DUMMYFUNCTION("""COMPUTED_VALUE"""),"over5")</f>
        <v>over5</v>
      </c>
      <c r="J328" s="3" t="str">
        <f>IFERROR(__xludf.DUMMYFUNCTION("""COMPUTED_VALUE"""),"informal")</f>
        <v>informal</v>
      </c>
      <c r="K328" s="3" t="str">
        <f>IFERROR(__xludf.DUMMYFUNCTION("""COMPUTED_VALUE"""),"primary")</f>
        <v>primary</v>
      </c>
      <c r="L328" s="3"/>
      <c r="M328" s="3" t="str">
        <f>IFERROR(__xludf.DUMMYFUNCTION("""COMPUTED_VALUE"""),"agree")</f>
        <v>agree</v>
      </c>
      <c r="N328" s="3" t="str">
        <f>IFERROR(__xludf.DUMMYFUNCTION("""COMPUTED_VALUE"""),"agree")</f>
        <v>agree</v>
      </c>
      <c r="O328" s="3" t="str">
        <f>IFERROR(__xludf.DUMMYFUNCTION("""COMPUTED_VALUE"""),"agree")</f>
        <v>agree</v>
      </c>
      <c r="P328" s="3"/>
      <c r="Q328" s="3" t="str">
        <f>IFERROR(__xludf.DUMMYFUNCTION("""COMPUTED_VALUE"""),"agree")</f>
        <v>agree</v>
      </c>
      <c r="R328" s="3" t="str">
        <f>IFERROR(__xludf.DUMMYFUNCTION("""COMPUTED_VALUE"""),"agree")</f>
        <v>agree</v>
      </c>
      <c r="S328" s="3" t="str">
        <f>IFERROR(__xludf.DUMMYFUNCTION("""COMPUTED_VALUE"""),"agree")</f>
        <v>agree</v>
      </c>
      <c r="T328" s="3" t="str">
        <f>IFERROR(__xludf.DUMMYFUNCTION("""COMPUTED_VALUE"""),"agree")</f>
        <v>agree</v>
      </c>
      <c r="U328" s="3" t="str">
        <f>IFERROR(__xludf.DUMMYFUNCTION("""COMPUTED_VALUE"""),"agree")</f>
        <v>agree</v>
      </c>
      <c r="V328" s="3" t="str">
        <f>IFERROR(__xludf.DUMMYFUNCTION("""COMPUTED_VALUE"""),"agree")</f>
        <v>agree</v>
      </c>
      <c r="W328" s="3" t="str">
        <f>IFERROR(__xludf.DUMMYFUNCTION("""COMPUTED_VALUE"""),"agree")</f>
        <v>agree</v>
      </c>
      <c r="X328" s="3" t="str">
        <f>IFERROR(__xludf.DUMMYFUNCTION("""COMPUTED_VALUE"""),"Gold")</f>
        <v>Gold</v>
      </c>
      <c r="Y328" s="3" t="str">
        <f>IFERROR(__xludf.DUMMYFUNCTION("""COMPUTED_VALUE"""),"cash")</f>
        <v>cash</v>
      </c>
      <c r="Z328" s="3" t="str">
        <f>IFERROR(__xludf.DUMMYFUNCTION("""COMPUTED_VALUE"""),"once")</f>
        <v>once</v>
      </c>
      <c r="AA328" s="3">
        <f>IFERROR(__xludf.DUMMYFUNCTION("""COMPUTED_VALUE"""),10.0)</f>
        <v>10</v>
      </c>
      <c r="AB328" s="3" t="str">
        <f>IFERROR(__xludf.DUMMYFUNCTION("""COMPUTED_VALUE"""),"employer")</f>
        <v>employer</v>
      </c>
      <c r="AC328" s="3" t="str">
        <f>IFERROR(__xludf.DUMMYFUNCTION("""COMPUTED_VALUE"""),"No")</f>
        <v>No</v>
      </c>
      <c r="AD328" s="3"/>
      <c r="AE328" s="3"/>
      <c r="AF328" s="3" t="str">
        <f>IFERROR(__xludf.DUMMYFUNCTION("""COMPUTED_VALUE"""),"Yes")</f>
        <v>Yes</v>
      </c>
      <c r="AG328" s="3" t="str">
        <f>IFERROR(__xludf.DUMMYFUNCTION("""COMPUTED_VALUE"""),"No")</f>
        <v>No</v>
      </c>
      <c r="AH328" s="3"/>
      <c r="AI328" s="3">
        <f>IFERROR(__xludf.DUMMYFUNCTION("""COMPUTED_VALUE"""),0.0)</f>
        <v>0</v>
      </c>
      <c r="AJ328" s="3">
        <f>IFERROR(__xludf.DUMMYFUNCTION("""COMPUTED_VALUE"""),0.0)</f>
        <v>0</v>
      </c>
      <c r="AK328" s="3">
        <f>IFERROR(__xludf.DUMMYFUNCTION("""COMPUTED_VALUE"""),0.0)</f>
        <v>0</v>
      </c>
      <c r="AL328" s="3">
        <f>IFERROR(__xludf.DUMMYFUNCTION("""COMPUTED_VALUE"""),1.0)</f>
        <v>1</v>
      </c>
      <c r="AM328" s="3" t="str">
        <f>IFERROR(__xludf.DUMMYFUNCTION("""COMPUTED_VALUE"""),"No")</f>
        <v>No</v>
      </c>
      <c r="AN328" s="3"/>
      <c r="AO328" s="3"/>
      <c r="AP328" s="3">
        <f>IFERROR(__xludf.DUMMYFUNCTION("""COMPUTED_VALUE"""),4.90875834E8)</f>
        <v>490875834</v>
      </c>
      <c r="AQ328" s="3" t="str">
        <f>IFERROR(__xludf.DUMMYFUNCTION("""COMPUTED_VALUE"""),"c267f31d-d27f-4e6c-b846-e57ffdb72b5b")</f>
        <v>c267f31d-d27f-4e6c-b846-e57ffdb72b5b</v>
      </c>
      <c r="AR328" s="3">
        <f>IFERROR(__xludf.DUMMYFUNCTION("""COMPUTED_VALUE"""),45810.45853009259)</f>
        <v>45810.45853</v>
      </c>
      <c r="AS328" s="3"/>
      <c r="AT328" s="3"/>
      <c r="AU328" s="3" t="str">
        <f>IFERROR(__xludf.DUMMYFUNCTION("""COMPUTED_VALUE"""),"submitted_via_web")</f>
        <v>submitted_via_web</v>
      </c>
      <c r="AV328" s="3"/>
      <c r="AW328" s="3" t="str">
        <f>IFERROR(__xludf.DUMMYFUNCTION("""COMPUTED_VALUE"""),"vckVTgNzM4XXtKAKNnsHpB")</f>
        <v>vckVTgNzM4XXtKAKNnsHpB</v>
      </c>
      <c r="AX328" s="3"/>
      <c r="AY328" s="3">
        <f>IFERROR(__xludf.DUMMYFUNCTION("""COMPUTED_VALUE"""),327.0)</f>
        <v>327</v>
      </c>
    </row>
    <row r="329">
      <c r="A329" s="3" t="str">
        <f>IFERROR(__xludf.DUMMYFUNCTION("""COMPUTED_VALUE"""),"Yes")</f>
        <v>Yes</v>
      </c>
      <c r="B329" s="3"/>
      <c r="C329" s="3" t="str">
        <f>IFERROR(__xludf.DUMMYFUNCTION("""COMPUTED_VALUE"""),"zimbabwe")</f>
        <v>zimbabwe</v>
      </c>
      <c r="D329" s="3"/>
      <c r="E329" s="3" t="str">
        <f>IFERROR(__xludf.DUMMYFUNCTION("""COMPUTED_VALUE"""),"south_africa")</f>
        <v>south_africa</v>
      </c>
      <c r="F329" s="3" t="str">
        <f>IFERROR(__xludf.DUMMYFUNCTION("""COMPUTED_VALUE"""),"City of Tshwane Metropolitan Municipality")</f>
        <v>City of Tshwane Metropolitan Municipality</v>
      </c>
      <c r="G329" s="3">
        <f>IFERROR(__xludf.DUMMYFUNCTION("""COMPUTED_VALUE"""),33.0)</f>
        <v>33</v>
      </c>
      <c r="H329" s="3" t="str">
        <f>IFERROR(__xludf.DUMMYFUNCTION("""COMPUTED_VALUE"""),"female")</f>
        <v>female</v>
      </c>
      <c r="I329" s="3" t="str">
        <f>IFERROR(__xludf.DUMMYFUNCTION("""COMPUTED_VALUE"""),"over5")</f>
        <v>over5</v>
      </c>
      <c r="J329" s="3" t="str">
        <f>IFERROR(__xludf.DUMMYFUNCTION("""COMPUTED_VALUE"""),"informal")</f>
        <v>informal</v>
      </c>
      <c r="K329" s="3" t="str">
        <f>IFERROR(__xludf.DUMMYFUNCTION("""COMPUTED_VALUE"""),"primary")</f>
        <v>primary</v>
      </c>
      <c r="L329" s="3"/>
      <c r="M329" s="3" t="str">
        <f>IFERROR(__xludf.DUMMYFUNCTION("""COMPUTED_VALUE"""),"agree")</f>
        <v>agree</v>
      </c>
      <c r="N329" s="3" t="str">
        <f>IFERROR(__xludf.DUMMYFUNCTION("""COMPUTED_VALUE"""),"agree")</f>
        <v>agree</v>
      </c>
      <c r="O329" s="3" t="str">
        <f>IFERROR(__xludf.DUMMYFUNCTION("""COMPUTED_VALUE"""),"agree")</f>
        <v>agree</v>
      </c>
      <c r="P329" s="3"/>
      <c r="Q329" s="3" t="str">
        <f>IFERROR(__xludf.DUMMYFUNCTION("""COMPUTED_VALUE"""),"agree")</f>
        <v>agree</v>
      </c>
      <c r="R329" s="3" t="str">
        <f>IFERROR(__xludf.DUMMYFUNCTION("""COMPUTED_VALUE"""),"agree")</f>
        <v>agree</v>
      </c>
      <c r="S329" s="3" t="str">
        <f>IFERROR(__xludf.DUMMYFUNCTION("""COMPUTED_VALUE"""),"agree")</f>
        <v>agree</v>
      </c>
      <c r="T329" s="3" t="str">
        <f>IFERROR(__xludf.DUMMYFUNCTION("""COMPUTED_VALUE"""),"agree")</f>
        <v>agree</v>
      </c>
      <c r="U329" s="3" t="str">
        <f>IFERROR(__xludf.DUMMYFUNCTION("""COMPUTED_VALUE"""),"agree")</f>
        <v>agree</v>
      </c>
      <c r="V329" s="3" t="str">
        <f>IFERROR(__xludf.DUMMYFUNCTION("""COMPUTED_VALUE"""),"agree")</f>
        <v>agree</v>
      </c>
      <c r="W329" s="3" t="str">
        <f>IFERROR(__xludf.DUMMYFUNCTION("""COMPUTED_VALUE"""),"agree")</f>
        <v>agree</v>
      </c>
      <c r="X329" s="3" t="str">
        <f>IFERROR(__xludf.DUMMYFUNCTION("""COMPUTED_VALUE"""),"Gold")</f>
        <v>Gold</v>
      </c>
      <c r="Y329" s="3" t="str">
        <f>IFERROR(__xludf.DUMMYFUNCTION("""COMPUTED_VALUE"""),"cash")</f>
        <v>cash</v>
      </c>
      <c r="Z329" s="3" t="str">
        <f>IFERROR(__xludf.DUMMYFUNCTION("""COMPUTED_VALUE"""),"monthly")</f>
        <v>monthly</v>
      </c>
      <c r="AA329" s="3">
        <f>IFERROR(__xludf.DUMMYFUNCTION("""COMPUTED_VALUE"""),10.0)</f>
        <v>10</v>
      </c>
      <c r="AB329" s="3" t="str">
        <f>IFERROR(__xludf.DUMMYFUNCTION("""COMPUTED_VALUE"""),"employer")</f>
        <v>employer</v>
      </c>
      <c r="AC329" s="3" t="str">
        <f>IFERROR(__xludf.DUMMYFUNCTION("""COMPUTED_VALUE"""),"No")</f>
        <v>No</v>
      </c>
      <c r="AD329" s="3"/>
      <c r="AE329" s="3"/>
      <c r="AF329" s="3" t="str">
        <f>IFERROR(__xludf.DUMMYFUNCTION("""COMPUTED_VALUE"""),"Yes")</f>
        <v>Yes</v>
      </c>
      <c r="AG329" s="3" t="str">
        <f>IFERROR(__xludf.DUMMYFUNCTION("""COMPUTED_VALUE"""),"No")</f>
        <v>No</v>
      </c>
      <c r="AH329" s="3"/>
      <c r="AI329" s="3">
        <f>IFERROR(__xludf.DUMMYFUNCTION("""COMPUTED_VALUE"""),0.0)</f>
        <v>0</v>
      </c>
      <c r="AJ329" s="3">
        <f>IFERROR(__xludf.DUMMYFUNCTION("""COMPUTED_VALUE"""),0.0)</f>
        <v>0</v>
      </c>
      <c r="AK329" s="3">
        <f>IFERROR(__xludf.DUMMYFUNCTION("""COMPUTED_VALUE"""),0.0)</f>
        <v>0</v>
      </c>
      <c r="AL329" s="3">
        <f>IFERROR(__xludf.DUMMYFUNCTION("""COMPUTED_VALUE"""),1.0)</f>
        <v>1</v>
      </c>
      <c r="AM329" s="3" t="str">
        <f>IFERROR(__xludf.DUMMYFUNCTION("""COMPUTED_VALUE"""),"No")</f>
        <v>No</v>
      </c>
      <c r="AN329" s="3"/>
      <c r="AO329" s="3"/>
      <c r="AP329" s="3">
        <f>IFERROR(__xludf.DUMMYFUNCTION("""COMPUTED_VALUE"""),4.90877324E8)</f>
        <v>490877324</v>
      </c>
      <c r="AQ329" s="3" t="str">
        <f>IFERROR(__xludf.DUMMYFUNCTION("""COMPUTED_VALUE"""),"06ed5feb-33cf-4f0b-81a7-031a3dddbcd7")</f>
        <v>06ed5feb-33cf-4f0b-81a7-031a3dddbcd7</v>
      </c>
      <c r="AR329" s="3">
        <f>IFERROR(__xludf.DUMMYFUNCTION("""COMPUTED_VALUE"""),45810.46016203704)</f>
        <v>45810.46016</v>
      </c>
      <c r="AS329" s="3"/>
      <c r="AT329" s="3"/>
      <c r="AU329" s="3" t="str">
        <f>IFERROR(__xludf.DUMMYFUNCTION("""COMPUTED_VALUE"""),"submitted_via_web")</f>
        <v>submitted_via_web</v>
      </c>
      <c r="AV329" s="3"/>
      <c r="AW329" s="3" t="str">
        <f>IFERROR(__xludf.DUMMYFUNCTION("""COMPUTED_VALUE"""),"vckVTgNzM4XXtKAKNnsHpB")</f>
        <v>vckVTgNzM4XXtKAKNnsHpB</v>
      </c>
      <c r="AX329" s="3"/>
      <c r="AY329" s="3">
        <f>IFERROR(__xludf.DUMMYFUNCTION("""COMPUTED_VALUE"""),328.0)</f>
        <v>328</v>
      </c>
    </row>
    <row r="330">
      <c r="A330" s="3" t="str">
        <f>IFERROR(__xludf.DUMMYFUNCTION("""COMPUTED_VALUE"""),"Yes")</f>
        <v>Yes</v>
      </c>
      <c r="B330" s="3"/>
      <c r="C330" s="3" t="str">
        <f>IFERROR(__xludf.DUMMYFUNCTION("""COMPUTED_VALUE"""),"zimbabwe")</f>
        <v>zimbabwe</v>
      </c>
      <c r="D330" s="3"/>
      <c r="E330" s="3" t="str">
        <f>IFERROR(__xludf.DUMMYFUNCTION("""COMPUTED_VALUE"""),"south_africa")</f>
        <v>south_africa</v>
      </c>
      <c r="F330" s="3" t="str">
        <f>IFERROR(__xludf.DUMMYFUNCTION("""COMPUTED_VALUE"""),"City of Tshwane Metropolitan Municipality")</f>
        <v>City of Tshwane Metropolitan Municipality</v>
      </c>
      <c r="G330" s="3">
        <f>IFERROR(__xludf.DUMMYFUNCTION("""COMPUTED_VALUE"""),41.0)</f>
        <v>41</v>
      </c>
      <c r="H330" s="3" t="str">
        <f>IFERROR(__xludf.DUMMYFUNCTION("""COMPUTED_VALUE"""),"female")</f>
        <v>female</v>
      </c>
      <c r="I330" s="3" t="str">
        <f>IFERROR(__xludf.DUMMYFUNCTION("""COMPUTED_VALUE"""),"less6")</f>
        <v>less6</v>
      </c>
      <c r="J330" s="3" t="str">
        <f>IFERROR(__xludf.DUMMYFUNCTION("""COMPUTED_VALUE"""),"informal")</f>
        <v>informal</v>
      </c>
      <c r="K330" s="3" t="str">
        <f>IFERROR(__xludf.DUMMYFUNCTION("""COMPUTED_VALUE"""),"secondary")</f>
        <v>secondary</v>
      </c>
      <c r="L330" s="3"/>
      <c r="M330" s="3" t="str">
        <f>IFERROR(__xludf.DUMMYFUNCTION("""COMPUTED_VALUE"""),"agree")</f>
        <v>agree</v>
      </c>
      <c r="N330" s="3" t="str">
        <f>IFERROR(__xludf.DUMMYFUNCTION("""COMPUTED_VALUE"""),"agree")</f>
        <v>agree</v>
      </c>
      <c r="O330" s="3" t="str">
        <f>IFERROR(__xludf.DUMMYFUNCTION("""COMPUTED_VALUE"""),"agree")</f>
        <v>agree</v>
      </c>
      <c r="P330" s="3"/>
      <c r="Q330" s="3" t="str">
        <f>IFERROR(__xludf.DUMMYFUNCTION("""COMPUTED_VALUE"""),"agree")</f>
        <v>agree</v>
      </c>
      <c r="R330" s="3" t="str">
        <f>IFERROR(__xludf.DUMMYFUNCTION("""COMPUTED_VALUE"""),"agree")</f>
        <v>agree</v>
      </c>
      <c r="S330" s="3" t="str">
        <f>IFERROR(__xludf.DUMMYFUNCTION("""COMPUTED_VALUE"""),"agree")</f>
        <v>agree</v>
      </c>
      <c r="T330" s="3" t="str">
        <f>IFERROR(__xludf.DUMMYFUNCTION("""COMPUTED_VALUE"""),"agree")</f>
        <v>agree</v>
      </c>
      <c r="U330" s="3" t="str">
        <f>IFERROR(__xludf.DUMMYFUNCTION("""COMPUTED_VALUE"""),"agree")</f>
        <v>agree</v>
      </c>
      <c r="V330" s="3" t="str">
        <f>IFERROR(__xludf.DUMMYFUNCTION("""COMPUTED_VALUE"""),"agree")</f>
        <v>agree</v>
      </c>
      <c r="W330" s="3" t="str">
        <f>IFERROR(__xludf.DUMMYFUNCTION("""COMPUTED_VALUE"""),"agree")</f>
        <v>agree</v>
      </c>
      <c r="X330" s="3" t="str">
        <f>IFERROR(__xludf.DUMMYFUNCTION("""COMPUTED_VALUE"""),"Gold")</f>
        <v>Gold</v>
      </c>
      <c r="Y330" s="3" t="str">
        <f>IFERROR(__xludf.DUMMYFUNCTION("""COMPUTED_VALUE"""),"cash")</f>
        <v>cash</v>
      </c>
      <c r="Z330" s="3" t="str">
        <f>IFERROR(__xludf.DUMMYFUNCTION("""COMPUTED_VALUE"""),"once")</f>
        <v>once</v>
      </c>
      <c r="AA330" s="3">
        <f>IFERROR(__xludf.DUMMYFUNCTION("""COMPUTED_VALUE"""),20.0)</f>
        <v>20</v>
      </c>
      <c r="AB330" s="3" t="str">
        <f>IFERROR(__xludf.DUMMYFUNCTION("""COMPUTED_VALUE"""),"employer")</f>
        <v>employer</v>
      </c>
      <c r="AC330" s="3" t="str">
        <f>IFERROR(__xludf.DUMMYFUNCTION("""COMPUTED_VALUE"""),"Yes")</f>
        <v>Yes</v>
      </c>
      <c r="AD330" s="3" t="str">
        <f>IFERROR(__xludf.DUMMYFUNCTION("""COMPUTED_VALUE"""),"Gold")</f>
        <v>Gold</v>
      </c>
      <c r="AE330" s="3" t="str">
        <f>IFERROR(__xludf.DUMMYFUNCTION("""COMPUTED_VALUE"""),"Yes")</f>
        <v>Yes</v>
      </c>
      <c r="AF330" s="3" t="str">
        <f>IFERROR(__xludf.DUMMYFUNCTION("""COMPUTED_VALUE"""),"Yes")</f>
        <v>Yes</v>
      </c>
      <c r="AG330" s="3" t="str">
        <f>IFERROR(__xludf.DUMMYFUNCTION("""COMPUTED_VALUE"""),"No")</f>
        <v>No</v>
      </c>
      <c r="AH330" s="3"/>
      <c r="AI330" s="3">
        <f>IFERROR(__xludf.DUMMYFUNCTION("""COMPUTED_VALUE"""),0.0)</f>
        <v>0</v>
      </c>
      <c r="AJ330" s="3">
        <f>IFERROR(__xludf.DUMMYFUNCTION("""COMPUTED_VALUE"""),0.0)</f>
        <v>0</v>
      </c>
      <c r="AK330" s="3">
        <f>IFERROR(__xludf.DUMMYFUNCTION("""COMPUTED_VALUE"""),0.0)</f>
        <v>0</v>
      </c>
      <c r="AL330" s="3">
        <f>IFERROR(__xludf.DUMMYFUNCTION("""COMPUTED_VALUE"""),1.0)</f>
        <v>1</v>
      </c>
      <c r="AM330" s="3" t="str">
        <f>IFERROR(__xludf.DUMMYFUNCTION("""COMPUTED_VALUE"""),"No")</f>
        <v>No</v>
      </c>
      <c r="AN330" s="3"/>
      <c r="AO330" s="3"/>
      <c r="AP330" s="3">
        <f>IFERROR(__xludf.DUMMYFUNCTION("""COMPUTED_VALUE"""),4.90878732E8)</f>
        <v>490878732</v>
      </c>
      <c r="AQ330" s="3" t="str">
        <f>IFERROR(__xludf.DUMMYFUNCTION("""COMPUTED_VALUE"""),"62d94bc0-ae30-41b3-92dd-9e81fbbad05d")</f>
        <v>62d94bc0-ae30-41b3-92dd-9e81fbbad05d</v>
      </c>
      <c r="AR330" s="3">
        <f>IFERROR(__xludf.DUMMYFUNCTION("""COMPUTED_VALUE"""),45810.46167824074)</f>
        <v>45810.46168</v>
      </c>
      <c r="AS330" s="3"/>
      <c r="AT330" s="3"/>
      <c r="AU330" s="3" t="str">
        <f>IFERROR(__xludf.DUMMYFUNCTION("""COMPUTED_VALUE"""),"submitted_via_web")</f>
        <v>submitted_via_web</v>
      </c>
      <c r="AV330" s="3"/>
      <c r="AW330" s="3" t="str">
        <f>IFERROR(__xludf.DUMMYFUNCTION("""COMPUTED_VALUE"""),"vckVTgNzM4XXtKAKNnsHpB")</f>
        <v>vckVTgNzM4XXtKAKNnsHpB</v>
      </c>
      <c r="AX330" s="3"/>
      <c r="AY330" s="3">
        <f>IFERROR(__xludf.DUMMYFUNCTION("""COMPUTED_VALUE"""),329.0)</f>
        <v>329</v>
      </c>
    </row>
    <row r="331">
      <c r="A331" s="3" t="str">
        <f>IFERROR(__xludf.DUMMYFUNCTION("""COMPUTED_VALUE"""),"Yes")</f>
        <v>Yes</v>
      </c>
      <c r="B331" s="3"/>
      <c r="C331" s="3" t="str">
        <f>IFERROR(__xludf.DUMMYFUNCTION("""COMPUTED_VALUE"""),"mozambique")</f>
        <v>mozambique</v>
      </c>
      <c r="D331" s="3"/>
      <c r="E331" s="3" t="str">
        <f>IFERROR(__xludf.DUMMYFUNCTION("""COMPUTED_VALUE"""),"south_africa")</f>
        <v>south_africa</v>
      </c>
      <c r="F331" s="3" t="str">
        <f>IFERROR(__xludf.DUMMYFUNCTION("""COMPUTED_VALUE"""),"City of Tshwane Metropolitan Municipality")</f>
        <v>City of Tshwane Metropolitan Municipality</v>
      </c>
      <c r="G331" s="3">
        <f>IFERROR(__xludf.DUMMYFUNCTION("""COMPUTED_VALUE"""),29.0)</f>
        <v>29</v>
      </c>
      <c r="H331" s="3" t="str">
        <f>IFERROR(__xludf.DUMMYFUNCTION("""COMPUTED_VALUE"""),"female")</f>
        <v>female</v>
      </c>
      <c r="I331" s="3" t="str">
        <f>IFERROR(__xludf.DUMMYFUNCTION("""COMPUTED_VALUE"""),"6to12")</f>
        <v>6to12</v>
      </c>
      <c r="J331" s="3" t="str">
        <f>IFERROR(__xludf.DUMMYFUNCTION("""COMPUTED_VALUE"""),"informal")</f>
        <v>informal</v>
      </c>
      <c r="K331" s="3" t="str">
        <f>IFERROR(__xludf.DUMMYFUNCTION("""COMPUTED_VALUE"""),"secondary")</f>
        <v>secondary</v>
      </c>
      <c r="L331" s="3"/>
      <c r="M331" s="3" t="str">
        <f>IFERROR(__xludf.DUMMYFUNCTION("""COMPUTED_VALUE"""),"agree")</f>
        <v>agree</v>
      </c>
      <c r="N331" s="3" t="str">
        <f>IFERROR(__xludf.DUMMYFUNCTION("""COMPUTED_VALUE"""),"agree")</f>
        <v>agree</v>
      </c>
      <c r="O331" s="3" t="str">
        <f>IFERROR(__xludf.DUMMYFUNCTION("""COMPUTED_VALUE"""),"agree")</f>
        <v>agree</v>
      </c>
      <c r="P331" s="3"/>
      <c r="Q331" s="3" t="str">
        <f>IFERROR(__xludf.DUMMYFUNCTION("""COMPUTED_VALUE"""),"agree")</f>
        <v>agree</v>
      </c>
      <c r="R331" s="3" t="str">
        <f>IFERROR(__xludf.DUMMYFUNCTION("""COMPUTED_VALUE"""),"agree")</f>
        <v>agree</v>
      </c>
      <c r="S331" s="3" t="str">
        <f>IFERROR(__xludf.DUMMYFUNCTION("""COMPUTED_VALUE"""),"agree")</f>
        <v>agree</v>
      </c>
      <c r="T331" s="3" t="str">
        <f>IFERROR(__xludf.DUMMYFUNCTION("""COMPUTED_VALUE"""),"agree")</f>
        <v>agree</v>
      </c>
      <c r="U331" s="3" t="str">
        <f>IFERROR(__xludf.DUMMYFUNCTION("""COMPUTED_VALUE"""),"agree")</f>
        <v>agree</v>
      </c>
      <c r="V331" s="3" t="str">
        <f>IFERROR(__xludf.DUMMYFUNCTION("""COMPUTED_VALUE"""),"agree")</f>
        <v>agree</v>
      </c>
      <c r="W331" s="3" t="str">
        <f>IFERROR(__xludf.DUMMYFUNCTION("""COMPUTED_VALUE"""),"agree")</f>
        <v>agree</v>
      </c>
      <c r="X331" s="3" t="str">
        <f>IFERROR(__xludf.DUMMYFUNCTION("""COMPUTED_VALUE"""),"Gold")</f>
        <v>Gold</v>
      </c>
      <c r="Y331" s="3" t="str">
        <f>IFERROR(__xludf.DUMMYFUNCTION("""COMPUTED_VALUE"""),"card")</f>
        <v>card</v>
      </c>
      <c r="Z331" s="3" t="str">
        <f>IFERROR(__xludf.DUMMYFUNCTION("""COMPUTED_VALUE"""),"once")</f>
        <v>once</v>
      </c>
      <c r="AA331" s="3">
        <f>IFERROR(__xludf.DUMMYFUNCTION("""COMPUTED_VALUE"""),30.0)</f>
        <v>30</v>
      </c>
      <c r="AB331" s="3" t="str">
        <f>IFERROR(__xludf.DUMMYFUNCTION("""COMPUTED_VALUE"""),"employer")</f>
        <v>employer</v>
      </c>
      <c r="AC331" s="3" t="str">
        <f>IFERROR(__xludf.DUMMYFUNCTION("""COMPUTED_VALUE"""),"Yes")</f>
        <v>Yes</v>
      </c>
      <c r="AD331" s="3" t="str">
        <f>IFERROR(__xludf.DUMMYFUNCTION("""COMPUTED_VALUE"""),"Gold")</f>
        <v>Gold</v>
      </c>
      <c r="AE331" s="3" t="str">
        <f>IFERROR(__xludf.DUMMYFUNCTION("""COMPUTED_VALUE"""),"Yes")</f>
        <v>Yes</v>
      </c>
      <c r="AF331" s="3" t="str">
        <f>IFERROR(__xludf.DUMMYFUNCTION("""COMPUTED_VALUE"""),"Yes")</f>
        <v>Yes</v>
      </c>
      <c r="AG331" s="3" t="str">
        <f>IFERROR(__xludf.DUMMYFUNCTION("""COMPUTED_VALUE"""),"No")</f>
        <v>No</v>
      </c>
      <c r="AH331" s="3"/>
      <c r="AI331" s="3">
        <f>IFERROR(__xludf.DUMMYFUNCTION("""COMPUTED_VALUE"""),0.0)</f>
        <v>0</v>
      </c>
      <c r="AJ331" s="3">
        <f>IFERROR(__xludf.DUMMYFUNCTION("""COMPUTED_VALUE"""),0.0)</f>
        <v>0</v>
      </c>
      <c r="AK331" s="3">
        <f>IFERROR(__xludf.DUMMYFUNCTION("""COMPUTED_VALUE"""),0.0)</f>
        <v>0</v>
      </c>
      <c r="AL331" s="3">
        <f>IFERROR(__xludf.DUMMYFUNCTION("""COMPUTED_VALUE"""),1.0)</f>
        <v>1</v>
      </c>
      <c r="AM331" s="3" t="str">
        <f>IFERROR(__xludf.DUMMYFUNCTION("""COMPUTED_VALUE"""),"No")</f>
        <v>No</v>
      </c>
      <c r="AN331" s="3"/>
      <c r="AO331" s="3"/>
      <c r="AP331" s="3">
        <f>IFERROR(__xludf.DUMMYFUNCTION("""COMPUTED_VALUE"""),4.90880482E8)</f>
        <v>490880482</v>
      </c>
      <c r="AQ331" s="3" t="str">
        <f>IFERROR(__xludf.DUMMYFUNCTION("""COMPUTED_VALUE"""),"d329be29-73d1-4dd9-a5f4-3d6f3dea6704")</f>
        <v>d329be29-73d1-4dd9-a5f4-3d6f3dea6704</v>
      </c>
      <c r="AR331" s="3">
        <f>IFERROR(__xludf.DUMMYFUNCTION("""COMPUTED_VALUE"""),45810.463530092595)</f>
        <v>45810.46353</v>
      </c>
      <c r="AS331" s="3"/>
      <c r="AT331" s="3"/>
      <c r="AU331" s="3" t="str">
        <f>IFERROR(__xludf.DUMMYFUNCTION("""COMPUTED_VALUE"""),"submitted_via_web")</f>
        <v>submitted_via_web</v>
      </c>
      <c r="AV331" s="3"/>
      <c r="AW331" s="3" t="str">
        <f>IFERROR(__xludf.DUMMYFUNCTION("""COMPUTED_VALUE"""),"vckVTgNzM4XXtKAKNnsHpB")</f>
        <v>vckVTgNzM4XXtKAKNnsHpB</v>
      </c>
      <c r="AX331" s="3"/>
      <c r="AY331" s="3">
        <f>IFERROR(__xludf.DUMMYFUNCTION("""COMPUTED_VALUE"""),330.0)</f>
        <v>330</v>
      </c>
    </row>
    <row r="332">
      <c r="A332" s="3" t="str">
        <f>IFERROR(__xludf.DUMMYFUNCTION("""COMPUTED_VALUE"""),"Yes")</f>
        <v>Yes</v>
      </c>
      <c r="B332" s="3"/>
      <c r="C332" s="3" t="str">
        <f>IFERROR(__xludf.DUMMYFUNCTION("""COMPUTED_VALUE"""),"zimbabwe")</f>
        <v>zimbabwe</v>
      </c>
      <c r="D332" s="3"/>
      <c r="E332" s="3" t="str">
        <f>IFERROR(__xludf.DUMMYFUNCTION("""COMPUTED_VALUE"""),"south_africa")</f>
        <v>south_africa</v>
      </c>
      <c r="F332" s="3" t="str">
        <f>IFERROR(__xludf.DUMMYFUNCTION("""COMPUTED_VALUE"""),"City of Tshwane Metropolitan Municipality")</f>
        <v>City of Tshwane Metropolitan Municipality</v>
      </c>
      <c r="G332" s="3">
        <f>IFERROR(__xludf.DUMMYFUNCTION("""COMPUTED_VALUE"""),40.0)</f>
        <v>40</v>
      </c>
      <c r="H332" s="3" t="str">
        <f>IFERROR(__xludf.DUMMYFUNCTION("""COMPUTED_VALUE"""),"female")</f>
        <v>female</v>
      </c>
      <c r="I332" s="3" t="str">
        <f>IFERROR(__xludf.DUMMYFUNCTION("""COMPUTED_VALUE"""),"1to5")</f>
        <v>1to5</v>
      </c>
      <c r="J332" s="3" t="str">
        <f>IFERROR(__xludf.DUMMYFUNCTION("""COMPUTED_VALUE"""),"informal")</f>
        <v>informal</v>
      </c>
      <c r="K332" s="3" t="str">
        <f>IFERROR(__xludf.DUMMYFUNCTION("""COMPUTED_VALUE"""),"secondary")</f>
        <v>secondary</v>
      </c>
      <c r="L332" s="3"/>
      <c r="M332" s="3" t="str">
        <f>IFERROR(__xludf.DUMMYFUNCTION("""COMPUTED_VALUE"""),"agree")</f>
        <v>agree</v>
      </c>
      <c r="N332" s="3" t="str">
        <f>IFERROR(__xludf.DUMMYFUNCTION("""COMPUTED_VALUE"""),"agree")</f>
        <v>agree</v>
      </c>
      <c r="O332" s="3" t="str">
        <f>IFERROR(__xludf.DUMMYFUNCTION("""COMPUTED_VALUE"""),"agree")</f>
        <v>agree</v>
      </c>
      <c r="P332" s="3"/>
      <c r="Q332" s="3" t="str">
        <f>IFERROR(__xludf.DUMMYFUNCTION("""COMPUTED_VALUE"""),"agree")</f>
        <v>agree</v>
      </c>
      <c r="R332" s="3" t="str">
        <f>IFERROR(__xludf.DUMMYFUNCTION("""COMPUTED_VALUE"""),"agree")</f>
        <v>agree</v>
      </c>
      <c r="S332" s="3" t="str">
        <f>IFERROR(__xludf.DUMMYFUNCTION("""COMPUTED_VALUE"""),"agree")</f>
        <v>agree</v>
      </c>
      <c r="T332" s="3" t="str">
        <f>IFERROR(__xludf.DUMMYFUNCTION("""COMPUTED_VALUE"""),"agree")</f>
        <v>agree</v>
      </c>
      <c r="U332" s="3" t="str">
        <f>IFERROR(__xludf.DUMMYFUNCTION("""COMPUTED_VALUE"""),"agree")</f>
        <v>agree</v>
      </c>
      <c r="V332" s="3" t="str">
        <f>IFERROR(__xludf.DUMMYFUNCTION("""COMPUTED_VALUE"""),"agree")</f>
        <v>agree</v>
      </c>
      <c r="W332" s="3" t="str">
        <f>IFERROR(__xludf.DUMMYFUNCTION("""COMPUTED_VALUE"""),"agree")</f>
        <v>agree</v>
      </c>
      <c r="X332" s="3" t="str">
        <f>IFERROR(__xludf.DUMMYFUNCTION("""COMPUTED_VALUE"""),"Gold")</f>
        <v>Gold</v>
      </c>
      <c r="Y332" s="3" t="str">
        <f>IFERROR(__xludf.DUMMYFUNCTION("""COMPUTED_VALUE"""),"cash")</f>
        <v>cash</v>
      </c>
      <c r="Z332" s="3" t="str">
        <f>IFERROR(__xludf.DUMMYFUNCTION("""COMPUTED_VALUE"""),"once")</f>
        <v>once</v>
      </c>
      <c r="AA332" s="3">
        <f>IFERROR(__xludf.DUMMYFUNCTION("""COMPUTED_VALUE"""),10.0)</f>
        <v>10</v>
      </c>
      <c r="AB332" s="3" t="str">
        <f>IFERROR(__xludf.DUMMYFUNCTION("""COMPUTED_VALUE"""),"employer")</f>
        <v>employer</v>
      </c>
      <c r="AC332" s="3" t="str">
        <f>IFERROR(__xludf.DUMMYFUNCTION("""COMPUTED_VALUE"""),"Yes")</f>
        <v>Yes</v>
      </c>
      <c r="AD332" s="3" t="str">
        <f>IFERROR(__xludf.DUMMYFUNCTION("""COMPUTED_VALUE"""),"Gold")</f>
        <v>Gold</v>
      </c>
      <c r="AE332" s="3" t="str">
        <f>IFERROR(__xludf.DUMMYFUNCTION("""COMPUTED_VALUE"""),"Yes")</f>
        <v>Yes</v>
      </c>
      <c r="AF332" s="3" t="str">
        <f>IFERROR(__xludf.DUMMYFUNCTION("""COMPUTED_VALUE"""),"Yes")</f>
        <v>Yes</v>
      </c>
      <c r="AG332" s="3" t="str">
        <f>IFERROR(__xludf.DUMMYFUNCTION("""COMPUTED_VALUE"""),"No")</f>
        <v>No</v>
      </c>
      <c r="AH332" s="3"/>
      <c r="AI332" s="3">
        <f>IFERROR(__xludf.DUMMYFUNCTION("""COMPUTED_VALUE"""),0.0)</f>
        <v>0</v>
      </c>
      <c r="AJ332" s="3">
        <f>IFERROR(__xludf.DUMMYFUNCTION("""COMPUTED_VALUE"""),0.0)</f>
        <v>0</v>
      </c>
      <c r="AK332" s="3">
        <f>IFERROR(__xludf.DUMMYFUNCTION("""COMPUTED_VALUE"""),0.0)</f>
        <v>0</v>
      </c>
      <c r="AL332" s="3">
        <f>IFERROR(__xludf.DUMMYFUNCTION("""COMPUTED_VALUE"""),1.0)</f>
        <v>1</v>
      </c>
      <c r="AM332" s="3" t="str">
        <f>IFERROR(__xludf.DUMMYFUNCTION("""COMPUTED_VALUE"""),"No")</f>
        <v>No</v>
      </c>
      <c r="AN332" s="3"/>
      <c r="AO332" s="3"/>
      <c r="AP332" s="3">
        <f>IFERROR(__xludf.DUMMYFUNCTION("""COMPUTED_VALUE"""),4.90881694E8)</f>
        <v>490881694</v>
      </c>
      <c r="AQ332" s="3" t="str">
        <f>IFERROR(__xludf.DUMMYFUNCTION("""COMPUTED_VALUE"""),"8aa12c42-6899-42eb-a615-53a49b4e3b52")</f>
        <v>8aa12c42-6899-42eb-a615-53a49b4e3b52</v>
      </c>
      <c r="AR332" s="3">
        <f>IFERROR(__xludf.DUMMYFUNCTION("""COMPUTED_VALUE"""),45810.46502314815)</f>
        <v>45810.46502</v>
      </c>
      <c r="AS332" s="3"/>
      <c r="AT332" s="3"/>
      <c r="AU332" s="3" t="str">
        <f>IFERROR(__xludf.DUMMYFUNCTION("""COMPUTED_VALUE"""),"submitted_via_web")</f>
        <v>submitted_via_web</v>
      </c>
      <c r="AV332" s="3"/>
      <c r="AW332" s="3" t="str">
        <f>IFERROR(__xludf.DUMMYFUNCTION("""COMPUTED_VALUE"""),"vckVTgNzM4XXtKAKNnsHpB")</f>
        <v>vckVTgNzM4XXtKAKNnsHpB</v>
      </c>
      <c r="AX332" s="3"/>
      <c r="AY332" s="3">
        <f>IFERROR(__xludf.DUMMYFUNCTION("""COMPUTED_VALUE"""),331.0)</f>
        <v>331</v>
      </c>
    </row>
    <row r="333">
      <c r="A333" s="3" t="str">
        <f>IFERROR(__xludf.DUMMYFUNCTION("""COMPUTED_VALUE"""),"Yes")</f>
        <v>Yes</v>
      </c>
      <c r="B333" s="3"/>
      <c r="C333" s="3" t="str">
        <f>IFERROR(__xludf.DUMMYFUNCTION("""COMPUTED_VALUE"""),"malawi")</f>
        <v>malawi</v>
      </c>
      <c r="D333" s="3"/>
      <c r="E333" s="3" t="str">
        <f>IFERROR(__xludf.DUMMYFUNCTION("""COMPUTED_VALUE"""),"south_africa")</f>
        <v>south_africa</v>
      </c>
      <c r="F333" s="3" t="str">
        <f>IFERROR(__xludf.DUMMYFUNCTION("""COMPUTED_VALUE"""),"City of Tshwane Metropolitan Municipality")</f>
        <v>City of Tshwane Metropolitan Municipality</v>
      </c>
      <c r="G333" s="3">
        <f>IFERROR(__xludf.DUMMYFUNCTION("""COMPUTED_VALUE"""),45.0)</f>
        <v>45</v>
      </c>
      <c r="H333" s="3" t="str">
        <f>IFERROR(__xludf.DUMMYFUNCTION("""COMPUTED_VALUE"""),"female")</f>
        <v>female</v>
      </c>
      <c r="I333" s="3" t="str">
        <f>IFERROR(__xludf.DUMMYFUNCTION("""COMPUTED_VALUE"""),"1to5")</f>
        <v>1to5</v>
      </c>
      <c r="J333" s="3" t="str">
        <f>IFERROR(__xludf.DUMMYFUNCTION("""COMPUTED_VALUE"""),"informal")</f>
        <v>informal</v>
      </c>
      <c r="K333" s="3" t="str">
        <f>IFERROR(__xludf.DUMMYFUNCTION("""COMPUTED_VALUE"""),"primary")</f>
        <v>primary</v>
      </c>
      <c r="L333" s="3"/>
      <c r="M333" s="3" t="str">
        <f>IFERROR(__xludf.DUMMYFUNCTION("""COMPUTED_VALUE"""),"agree")</f>
        <v>agree</v>
      </c>
      <c r="N333" s="3" t="str">
        <f>IFERROR(__xludf.DUMMYFUNCTION("""COMPUTED_VALUE"""),"agree")</f>
        <v>agree</v>
      </c>
      <c r="O333" s="3" t="str">
        <f>IFERROR(__xludf.DUMMYFUNCTION("""COMPUTED_VALUE"""),"agree")</f>
        <v>agree</v>
      </c>
      <c r="P333" s="3"/>
      <c r="Q333" s="3" t="str">
        <f>IFERROR(__xludf.DUMMYFUNCTION("""COMPUTED_VALUE"""),"agree")</f>
        <v>agree</v>
      </c>
      <c r="R333" s="3" t="str">
        <f>IFERROR(__xludf.DUMMYFUNCTION("""COMPUTED_VALUE"""),"agree")</f>
        <v>agree</v>
      </c>
      <c r="S333" s="3" t="str">
        <f>IFERROR(__xludf.DUMMYFUNCTION("""COMPUTED_VALUE"""),"agree")</f>
        <v>agree</v>
      </c>
      <c r="T333" s="3" t="str">
        <f>IFERROR(__xludf.DUMMYFUNCTION("""COMPUTED_VALUE"""),"agree")</f>
        <v>agree</v>
      </c>
      <c r="U333" s="3" t="str">
        <f>IFERROR(__xludf.DUMMYFUNCTION("""COMPUTED_VALUE"""),"agree")</f>
        <v>agree</v>
      </c>
      <c r="V333" s="3"/>
      <c r="W333" s="3" t="str">
        <f>IFERROR(__xludf.DUMMYFUNCTION("""COMPUTED_VALUE"""),"agree")</f>
        <v>agree</v>
      </c>
      <c r="X333" s="3" t="str">
        <f>IFERROR(__xludf.DUMMYFUNCTION("""COMPUTED_VALUE"""),"Gold")</f>
        <v>Gold</v>
      </c>
      <c r="Y333" s="3" t="str">
        <f>IFERROR(__xludf.DUMMYFUNCTION("""COMPUTED_VALUE"""),"cash")</f>
        <v>cash</v>
      </c>
      <c r="Z333" s="3" t="str">
        <f>IFERROR(__xludf.DUMMYFUNCTION("""COMPUTED_VALUE"""),"once")</f>
        <v>once</v>
      </c>
      <c r="AA333" s="3">
        <f>IFERROR(__xludf.DUMMYFUNCTION("""COMPUTED_VALUE"""),10.0)</f>
        <v>10</v>
      </c>
      <c r="AB333" s="3" t="str">
        <f>IFERROR(__xludf.DUMMYFUNCTION("""COMPUTED_VALUE"""),"employer")</f>
        <v>employer</v>
      </c>
      <c r="AC333" s="3" t="str">
        <f>IFERROR(__xludf.DUMMYFUNCTION("""COMPUTED_VALUE"""),"Yes")</f>
        <v>Yes</v>
      </c>
      <c r="AD333" s="3" t="str">
        <f>IFERROR(__xludf.DUMMYFUNCTION("""COMPUTED_VALUE"""),"Gold")</f>
        <v>Gold</v>
      </c>
      <c r="AE333" s="3" t="str">
        <f>IFERROR(__xludf.DUMMYFUNCTION("""COMPUTED_VALUE"""),"Yes")</f>
        <v>Yes</v>
      </c>
      <c r="AF333" s="3" t="str">
        <f>IFERROR(__xludf.DUMMYFUNCTION("""COMPUTED_VALUE"""),"Yes")</f>
        <v>Yes</v>
      </c>
      <c r="AG333" s="3" t="str">
        <f>IFERROR(__xludf.DUMMYFUNCTION("""COMPUTED_VALUE"""),"No")</f>
        <v>No</v>
      </c>
      <c r="AH333" s="3"/>
      <c r="AI333" s="3">
        <f>IFERROR(__xludf.DUMMYFUNCTION("""COMPUTED_VALUE"""),0.0)</f>
        <v>0</v>
      </c>
      <c r="AJ333" s="3">
        <f>IFERROR(__xludf.DUMMYFUNCTION("""COMPUTED_VALUE"""),0.0)</f>
        <v>0</v>
      </c>
      <c r="AK333" s="3">
        <f>IFERROR(__xludf.DUMMYFUNCTION("""COMPUTED_VALUE"""),0.0)</f>
        <v>0</v>
      </c>
      <c r="AL333" s="3">
        <f>IFERROR(__xludf.DUMMYFUNCTION("""COMPUTED_VALUE"""),1.0)</f>
        <v>1</v>
      </c>
      <c r="AM333" s="3" t="str">
        <f>IFERROR(__xludf.DUMMYFUNCTION("""COMPUTED_VALUE"""),"No")</f>
        <v>No</v>
      </c>
      <c r="AN333" s="3"/>
      <c r="AO333" s="3"/>
      <c r="AP333" s="3">
        <f>IFERROR(__xludf.DUMMYFUNCTION("""COMPUTED_VALUE"""),4.90883057E8)</f>
        <v>490883057</v>
      </c>
      <c r="AQ333" s="3" t="str">
        <f>IFERROR(__xludf.DUMMYFUNCTION("""COMPUTED_VALUE"""),"85c7472f-7c19-4ada-bc4f-ff680ee8e627")</f>
        <v>85c7472f-7c19-4ada-bc4f-ff680ee8e627</v>
      </c>
      <c r="AR333" s="3">
        <f>IFERROR(__xludf.DUMMYFUNCTION("""COMPUTED_VALUE"""),45810.46697916667)</f>
        <v>45810.46698</v>
      </c>
      <c r="AS333" s="3"/>
      <c r="AT333" s="3"/>
      <c r="AU333" s="3" t="str">
        <f>IFERROR(__xludf.DUMMYFUNCTION("""COMPUTED_VALUE"""),"submitted_via_web")</f>
        <v>submitted_via_web</v>
      </c>
      <c r="AV333" s="3"/>
      <c r="AW333" s="3" t="str">
        <f>IFERROR(__xludf.DUMMYFUNCTION("""COMPUTED_VALUE"""),"vckVTgNzM4XXtKAKNnsHpB")</f>
        <v>vckVTgNzM4XXtKAKNnsHpB</v>
      </c>
      <c r="AX333" s="3"/>
      <c r="AY333" s="3">
        <f>IFERROR(__xludf.DUMMYFUNCTION("""COMPUTED_VALUE"""),332.0)</f>
        <v>332</v>
      </c>
    </row>
    <row r="334">
      <c r="A334" s="3" t="str">
        <f>IFERROR(__xludf.DUMMYFUNCTION("""COMPUTED_VALUE"""),"Yes")</f>
        <v>Yes</v>
      </c>
      <c r="B334" s="3"/>
      <c r="C334" s="3" t="str">
        <f>IFERROR(__xludf.DUMMYFUNCTION("""COMPUTED_VALUE"""),"zimbabwe")</f>
        <v>zimbabwe</v>
      </c>
      <c r="D334" s="3"/>
      <c r="E334" s="3" t="str">
        <f>IFERROR(__xludf.DUMMYFUNCTION("""COMPUTED_VALUE"""),"south_africa")</f>
        <v>south_africa</v>
      </c>
      <c r="F334" s="3" t="str">
        <f>IFERROR(__xludf.DUMMYFUNCTION("""COMPUTED_VALUE"""),"City of Tshwane Metropolitan Municipality")</f>
        <v>City of Tshwane Metropolitan Municipality</v>
      </c>
      <c r="G334" s="3">
        <f>IFERROR(__xludf.DUMMYFUNCTION("""COMPUTED_VALUE"""),36.0)</f>
        <v>36</v>
      </c>
      <c r="H334" s="3" t="str">
        <f>IFERROR(__xludf.DUMMYFUNCTION("""COMPUTED_VALUE"""),"female")</f>
        <v>female</v>
      </c>
      <c r="I334" s="3" t="str">
        <f>IFERROR(__xludf.DUMMYFUNCTION("""COMPUTED_VALUE"""),"6to12")</f>
        <v>6to12</v>
      </c>
      <c r="J334" s="3" t="str">
        <f>IFERROR(__xludf.DUMMYFUNCTION("""COMPUTED_VALUE"""),"informal")</f>
        <v>informal</v>
      </c>
      <c r="K334" s="3" t="str">
        <f>IFERROR(__xludf.DUMMYFUNCTION("""COMPUTED_VALUE"""),"secondary")</f>
        <v>secondary</v>
      </c>
      <c r="L334" s="3"/>
      <c r="M334" s="3" t="str">
        <f>IFERROR(__xludf.DUMMYFUNCTION("""COMPUTED_VALUE"""),"agree")</f>
        <v>agree</v>
      </c>
      <c r="N334" s="3" t="str">
        <f>IFERROR(__xludf.DUMMYFUNCTION("""COMPUTED_VALUE"""),"agree")</f>
        <v>agree</v>
      </c>
      <c r="O334" s="3" t="str">
        <f>IFERROR(__xludf.DUMMYFUNCTION("""COMPUTED_VALUE"""),"agree")</f>
        <v>agree</v>
      </c>
      <c r="P334" s="3"/>
      <c r="Q334" s="3" t="str">
        <f>IFERROR(__xludf.DUMMYFUNCTION("""COMPUTED_VALUE"""),"agree")</f>
        <v>agree</v>
      </c>
      <c r="R334" s="3" t="str">
        <f>IFERROR(__xludf.DUMMYFUNCTION("""COMPUTED_VALUE"""),"agree")</f>
        <v>agree</v>
      </c>
      <c r="S334" s="3" t="str">
        <f>IFERROR(__xludf.DUMMYFUNCTION("""COMPUTED_VALUE"""),"agree")</f>
        <v>agree</v>
      </c>
      <c r="T334" s="3" t="str">
        <f>IFERROR(__xludf.DUMMYFUNCTION("""COMPUTED_VALUE"""),"agree")</f>
        <v>agree</v>
      </c>
      <c r="U334" s="3" t="str">
        <f>IFERROR(__xludf.DUMMYFUNCTION("""COMPUTED_VALUE"""),"agree")</f>
        <v>agree</v>
      </c>
      <c r="V334" s="3" t="str">
        <f>IFERROR(__xludf.DUMMYFUNCTION("""COMPUTED_VALUE"""),"agree")</f>
        <v>agree</v>
      </c>
      <c r="W334" s="3" t="str">
        <f>IFERROR(__xludf.DUMMYFUNCTION("""COMPUTED_VALUE"""),"agree")</f>
        <v>agree</v>
      </c>
      <c r="X334" s="3" t="str">
        <f>IFERROR(__xludf.DUMMYFUNCTION("""COMPUTED_VALUE"""),"Gold")</f>
        <v>Gold</v>
      </c>
      <c r="Y334" s="3"/>
      <c r="Z334" s="3" t="str">
        <f>IFERROR(__xludf.DUMMYFUNCTION("""COMPUTED_VALUE"""),"once")</f>
        <v>once</v>
      </c>
      <c r="AA334" s="3">
        <f>IFERROR(__xludf.DUMMYFUNCTION("""COMPUTED_VALUE"""),20.0)</f>
        <v>20</v>
      </c>
      <c r="AB334" s="3"/>
      <c r="AC334" s="3" t="str">
        <f>IFERROR(__xludf.DUMMYFUNCTION("""COMPUTED_VALUE"""),"Yes")</f>
        <v>Yes</v>
      </c>
      <c r="AD334" s="3" t="str">
        <f>IFERROR(__xludf.DUMMYFUNCTION("""COMPUTED_VALUE"""),"Gold")</f>
        <v>Gold</v>
      </c>
      <c r="AE334" s="3" t="str">
        <f>IFERROR(__xludf.DUMMYFUNCTION("""COMPUTED_VALUE"""),"Yes")</f>
        <v>Yes</v>
      </c>
      <c r="AF334" s="3" t="str">
        <f>IFERROR(__xludf.DUMMYFUNCTION("""COMPUTED_VALUE"""),"Yes")</f>
        <v>Yes</v>
      </c>
      <c r="AG334" s="3" t="str">
        <f>IFERROR(__xludf.DUMMYFUNCTION("""COMPUTED_VALUE"""),"No")</f>
        <v>No</v>
      </c>
      <c r="AH334" s="3"/>
      <c r="AI334" s="3">
        <f>IFERROR(__xludf.DUMMYFUNCTION("""COMPUTED_VALUE"""),0.0)</f>
        <v>0</v>
      </c>
      <c r="AJ334" s="3">
        <f>IFERROR(__xludf.DUMMYFUNCTION("""COMPUTED_VALUE"""),0.0)</f>
        <v>0</v>
      </c>
      <c r="AK334" s="3">
        <f>IFERROR(__xludf.DUMMYFUNCTION("""COMPUTED_VALUE"""),0.0)</f>
        <v>0</v>
      </c>
      <c r="AL334" s="3">
        <f>IFERROR(__xludf.DUMMYFUNCTION("""COMPUTED_VALUE"""),1.0)</f>
        <v>1</v>
      </c>
      <c r="AM334" s="3" t="str">
        <f>IFERROR(__xludf.DUMMYFUNCTION("""COMPUTED_VALUE"""),"No")</f>
        <v>No</v>
      </c>
      <c r="AN334" s="3"/>
      <c r="AO334" s="3"/>
      <c r="AP334" s="3">
        <f>IFERROR(__xludf.DUMMYFUNCTION("""COMPUTED_VALUE"""),4.90884263E8)</f>
        <v>490884263</v>
      </c>
      <c r="AQ334" s="3" t="str">
        <f>IFERROR(__xludf.DUMMYFUNCTION("""COMPUTED_VALUE"""),"ef513f12-b13b-4ec3-8023-becdd3534b5f")</f>
        <v>ef513f12-b13b-4ec3-8023-becdd3534b5f</v>
      </c>
      <c r="AR334" s="3">
        <f>IFERROR(__xludf.DUMMYFUNCTION("""COMPUTED_VALUE"""),45810.46826388889)</f>
        <v>45810.46826</v>
      </c>
      <c r="AS334" s="3"/>
      <c r="AT334" s="3"/>
      <c r="AU334" s="3" t="str">
        <f>IFERROR(__xludf.DUMMYFUNCTION("""COMPUTED_VALUE"""),"submitted_via_web")</f>
        <v>submitted_via_web</v>
      </c>
      <c r="AV334" s="3"/>
      <c r="AW334" s="3" t="str">
        <f>IFERROR(__xludf.DUMMYFUNCTION("""COMPUTED_VALUE"""),"vckVTgNzM4XXtKAKNnsHpB")</f>
        <v>vckVTgNzM4XXtKAKNnsHpB</v>
      </c>
      <c r="AX334" s="3"/>
      <c r="AY334" s="3">
        <f>IFERROR(__xludf.DUMMYFUNCTION("""COMPUTED_VALUE"""),333.0)</f>
        <v>333</v>
      </c>
    </row>
    <row r="335">
      <c r="A335" s="3" t="str">
        <f>IFERROR(__xludf.DUMMYFUNCTION("""COMPUTED_VALUE"""),"Yes")</f>
        <v>Yes</v>
      </c>
      <c r="B335" s="3"/>
      <c r="C335" s="3" t="str">
        <f>IFERROR(__xludf.DUMMYFUNCTION("""COMPUTED_VALUE"""),"zimbabwe")</f>
        <v>zimbabwe</v>
      </c>
      <c r="D335" s="3"/>
      <c r="E335" s="3" t="str">
        <f>IFERROR(__xludf.DUMMYFUNCTION("""COMPUTED_VALUE"""),"south_africa")</f>
        <v>south_africa</v>
      </c>
      <c r="F335" s="3" t="str">
        <f>IFERROR(__xludf.DUMMYFUNCTION("""COMPUTED_VALUE"""),"City of Tshwane Metropolitan Municipality")</f>
        <v>City of Tshwane Metropolitan Municipality</v>
      </c>
      <c r="G335" s="3">
        <f>IFERROR(__xludf.DUMMYFUNCTION("""COMPUTED_VALUE"""),31.0)</f>
        <v>31</v>
      </c>
      <c r="H335" s="3" t="str">
        <f>IFERROR(__xludf.DUMMYFUNCTION("""COMPUTED_VALUE"""),"female")</f>
        <v>female</v>
      </c>
      <c r="I335" s="3" t="str">
        <f>IFERROR(__xludf.DUMMYFUNCTION("""COMPUTED_VALUE"""),"less6")</f>
        <v>less6</v>
      </c>
      <c r="J335" s="3" t="str">
        <f>IFERROR(__xludf.DUMMYFUNCTION("""COMPUTED_VALUE"""),"informal")</f>
        <v>informal</v>
      </c>
      <c r="K335" s="3" t="str">
        <f>IFERROR(__xludf.DUMMYFUNCTION("""COMPUTED_VALUE"""),"secondary")</f>
        <v>secondary</v>
      </c>
      <c r="L335" s="3"/>
      <c r="M335" s="3" t="str">
        <f>IFERROR(__xludf.DUMMYFUNCTION("""COMPUTED_VALUE"""),"agree")</f>
        <v>agree</v>
      </c>
      <c r="N335" s="3" t="str">
        <f>IFERROR(__xludf.DUMMYFUNCTION("""COMPUTED_VALUE"""),"agree")</f>
        <v>agree</v>
      </c>
      <c r="O335" s="3" t="str">
        <f>IFERROR(__xludf.DUMMYFUNCTION("""COMPUTED_VALUE"""),"agree")</f>
        <v>agree</v>
      </c>
      <c r="P335" s="3"/>
      <c r="Q335" s="3" t="str">
        <f>IFERROR(__xludf.DUMMYFUNCTION("""COMPUTED_VALUE"""),"agree")</f>
        <v>agree</v>
      </c>
      <c r="R335" s="3" t="str">
        <f>IFERROR(__xludf.DUMMYFUNCTION("""COMPUTED_VALUE"""),"agree")</f>
        <v>agree</v>
      </c>
      <c r="S335" s="3" t="str">
        <f>IFERROR(__xludf.DUMMYFUNCTION("""COMPUTED_VALUE"""),"agree")</f>
        <v>agree</v>
      </c>
      <c r="T335" s="3" t="str">
        <f>IFERROR(__xludf.DUMMYFUNCTION("""COMPUTED_VALUE"""),"agree")</f>
        <v>agree</v>
      </c>
      <c r="U335" s="3" t="str">
        <f>IFERROR(__xludf.DUMMYFUNCTION("""COMPUTED_VALUE"""),"agree")</f>
        <v>agree</v>
      </c>
      <c r="V335" s="3" t="str">
        <f>IFERROR(__xludf.DUMMYFUNCTION("""COMPUTED_VALUE"""),"agree")</f>
        <v>agree</v>
      </c>
      <c r="W335" s="3" t="str">
        <f>IFERROR(__xludf.DUMMYFUNCTION("""COMPUTED_VALUE"""),"agree")</f>
        <v>agree</v>
      </c>
      <c r="X335" s="3" t="str">
        <f>IFERROR(__xludf.DUMMYFUNCTION("""COMPUTED_VALUE"""),"Gold")</f>
        <v>Gold</v>
      </c>
      <c r="Y335" s="3" t="str">
        <f>IFERROR(__xludf.DUMMYFUNCTION("""COMPUTED_VALUE"""),"cash")</f>
        <v>cash</v>
      </c>
      <c r="Z335" s="3" t="str">
        <f>IFERROR(__xludf.DUMMYFUNCTION("""COMPUTED_VALUE"""),"once")</f>
        <v>once</v>
      </c>
      <c r="AA335" s="3">
        <f>IFERROR(__xludf.DUMMYFUNCTION("""COMPUTED_VALUE"""),10.0)</f>
        <v>10</v>
      </c>
      <c r="AB335" s="3" t="str">
        <f>IFERROR(__xludf.DUMMYFUNCTION("""COMPUTED_VALUE"""),"employer")</f>
        <v>employer</v>
      </c>
      <c r="AC335" s="3" t="str">
        <f>IFERROR(__xludf.DUMMYFUNCTION("""COMPUTED_VALUE"""),"I am not an employer")</f>
        <v>I am not an employer</v>
      </c>
      <c r="AD335" s="3"/>
      <c r="AE335" s="3"/>
      <c r="AF335" s="3" t="str">
        <f>IFERROR(__xludf.DUMMYFUNCTION("""COMPUTED_VALUE"""),"Yes")</f>
        <v>Yes</v>
      </c>
      <c r="AG335" s="3" t="str">
        <f>IFERROR(__xludf.DUMMYFUNCTION("""COMPUTED_VALUE"""),"No")</f>
        <v>No</v>
      </c>
      <c r="AH335" s="3"/>
      <c r="AI335" s="3">
        <f>IFERROR(__xludf.DUMMYFUNCTION("""COMPUTED_VALUE"""),0.0)</f>
        <v>0</v>
      </c>
      <c r="AJ335" s="3">
        <f>IFERROR(__xludf.DUMMYFUNCTION("""COMPUTED_VALUE"""),0.0)</f>
        <v>0</v>
      </c>
      <c r="AK335" s="3">
        <f>IFERROR(__xludf.DUMMYFUNCTION("""COMPUTED_VALUE"""),0.0)</f>
        <v>0</v>
      </c>
      <c r="AL335" s="3">
        <f>IFERROR(__xludf.DUMMYFUNCTION("""COMPUTED_VALUE"""),1.0)</f>
        <v>1</v>
      </c>
      <c r="AM335" s="3" t="str">
        <f>IFERROR(__xludf.DUMMYFUNCTION("""COMPUTED_VALUE"""),"No")</f>
        <v>No</v>
      </c>
      <c r="AN335" s="3"/>
      <c r="AO335" s="3"/>
      <c r="AP335" s="3">
        <f>IFERROR(__xludf.DUMMYFUNCTION("""COMPUTED_VALUE"""),4.90885688E8)</f>
        <v>490885688</v>
      </c>
      <c r="AQ335" s="3" t="str">
        <f>IFERROR(__xludf.DUMMYFUNCTION("""COMPUTED_VALUE"""),"b1c44381-bfd4-4e7b-b36e-a36342b22c41")</f>
        <v>b1c44381-bfd4-4e7b-b36e-a36342b22c41</v>
      </c>
      <c r="AR335" s="3">
        <f>IFERROR(__xludf.DUMMYFUNCTION("""COMPUTED_VALUE"""),45810.469976851855)</f>
        <v>45810.46998</v>
      </c>
      <c r="AS335" s="3"/>
      <c r="AT335" s="3"/>
      <c r="AU335" s="3" t="str">
        <f>IFERROR(__xludf.DUMMYFUNCTION("""COMPUTED_VALUE"""),"submitted_via_web")</f>
        <v>submitted_via_web</v>
      </c>
      <c r="AV335" s="3"/>
      <c r="AW335" s="3" t="str">
        <f>IFERROR(__xludf.DUMMYFUNCTION("""COMPUTED_VALUE"""),"vckVTgNzM4XXtKAKNnsHpB")</f>
        <v>vckVTgNzM4XXtKAKNnsHpB</v>
      </c>
      <c r="AX335" s="3"/>
      <c r="AY335" s="3">
        <f>IFERROR(__xludf.DUMMYFUNCTION("""COMPUTED_VALUE"""),334.0)</f>
        <v>334</v>
      </c>
    </row>
    <row r="336">
      <c r="A336" s="3" t="str">
        <f>IFERROR(__xludf.DUMMYFUNCTION("""COMPUTED_VALUE"""),"Yes")</f>
        <v>Yes</v>
      </c>
      <c r="B336" s="3"/>
      <c r="C336" s="3" t="str">
        <f>IFERROR(__xludf.DUMMYFUNCTION("""COMPUTED_VALUE"""),"zimbabwe")</f>
        <v>zimbabwe</v>
      </c>
      <c r="D336" s="3"/>
      <c r="E336" s="3" t="str">
        <f>IFERROR(__xludf.DUMMYFUNCTION("""COMPUTED_VALUE"""),"south_africa")</f>
        <v>south_africa</v>
      </c>
      <c r="F336" s="3" t="str">
        <f>IFERROR(__xludf.DUMMYFUNCTION("""COMPUTED_VALUE"""),"City of Tshwane Metropolitan Municipality")</f>
        <v>City of Tshwane Metropolitan Municipality</v>
      </c>
      <c r="G336" s="3">
        <f>IFERROR(__xludf.DUMMYFUNCTION("""COMPUTED_VALUE"""),22.0)</f>
        <v>22</v>
      </c>
      <c r="H336" s="3" t="str">
        <f>IFERROR(__xludf.DUMMYFUNCTION("""COMPUTED_VALUE"""),"female")</f>
        <v>female</v>
      </c>
      <c r="I336" s="3" t="str">
        <f>IFERROR(__xludf.DUMMYFUNCTION("""COMPUTED_VALUE"""),"1to5")</f>
        <v>1to5</v>
      </c>
      <c r="J336" s="3" t="str">
        <f>IFERROR(__xludf.DUMMYFUNCTION("""COMPUTED_VALUE"""),"informal")</f>
        <v>informal</v>
      </c>
      <c r="K336" s="3" t="str">
        <f>IFERROR(__xludf.DUMMYFUNCTION("""COMPUTED_VALUE"""),"none")</f>
        <v>none</v>
      </c>
      <c r="L336" s="3"/>
      <c r="M336" s="3" t="str">
        <f>IFERROR(__xludf.DUMMYFUNCTION("""COMPUTED_VALUE"""),"agree")</f>
        <v>agree</v>
      </c>
      <c r="N336" s="3" t="str">
        <f>IFERROR(__xludf.DUMMYFUNCTION("""COMPUTED_VALUE"""),"agree")</f>
        <v>agree</v>
      </c>
      <c r="O336" s="3" t="str">
        <f>IFERROR(__xludf.DUMMYFUNCTION("""COMPUTED_VALUE"""),"agree")</f>
        <v>agree</v>
      </c>
      <c r="P336" s="3"/>
      <c r="Q336" s="3" t="str">
        <f>IFERROR(__xludf.DUMMYFUNCTION("""COMPUTED_VALUE"""),"agree")</f>
        <v>agree</v>
      </c>
      <c r="R336" s="3" t="str">
        <f>IFERROR(__xludf.DUMMYFUNCTION("""COMPUTED_VALUE"""),"agree")</f>
        <v>agree</v>
      </c>
      <c r="S336" s="3" t="str">
        <f>IFERROR(__xludf.DUMMYFUNCTION("""COMPUTED_VALUE"""),"agree")</f>
        <v>agree</v>
      </c>
      <c r="T336" s="3" t="str">
        <f>IFERROR(__xludf.DUMMYFUNCTION("""COMPUTED_VALUE"""),"agree")</f>
        <v>agree</v>
      </c>
      <c r="U336" s="3" t="str">
        <f>IFERROR(__xludf.DUMMYFUNCTION("""COMPUTED_VALUE"""),"agree")</f>
        <v>agree</v>
      </c>
      <c r="V336" s="3" t="str">
        <f>IFERROR(__xludf.DUMMYFUNCTION("""COMPUTED_VALUE"""),"agree")</f>
        <v>agree</v>
      </c>
      <c r="W336" s="3" t="str">
        <f>IFERROR(__xludf.DUMMYFUNCTION("""COMPUTED_VALUE"""),"agree")</f>
        <v>agree</v>
      </c>
      <c r="X336" s="3" t="str">
        <f>IFERROR(__xludf.DUMMYFUNCTION("""COMPUTED_VALUE"""),"Gold")</f>
        <v>Gold</v>
      </c>
      <c r="Y336" s="3" t="str">
        <f>IFERROR(__xludf.DUMMYFUNCTION("""COMPUTED_VALUE"""),"cash")</f>
        <v>cash</v>
      </c>
      <c r="Z336" s="3" t="str">
        <f>IFERROR(__xludf.DUMMYFUNCTION("""COMPUTED_VALUE"""),"monthly")</f>
        <v>monthly</v>
      </c>
      <c r="AA336" s="3">
        <f>IFERROR(__xludf.DUMMYFUNCTION("""COMPUTED_VALUE"""),30.0)</f>
        <v>30</v>
      </c>
      <c r="AB336" s="3" t="str">
        <f>IFERROR(__xludf.DUMMYFUNCTION("""COMPUTED_VALUE"""),"assisted")</f>
        <v>assisted</v>
      </c>
      <c r="AC336" s="3" t="str">
        <f>IFERROR(__xludf.DUMMYFUNCTION("""COMPUTED_VALUE"""),"Yes")</f>
        <v>Yes</v>
      </c>
      <c r="AD336" s="3" t="str">
        <f>IFERROR(__xludf.DUMMYFUNCTION("""COMPUTED_VALUE"""),"Gold")</f>
        <v>Gold</v>
      </c>
      <c r="AE336" s="3" t="str">
        <f>IFERROR(__xludf.DUMMYFUNCTION("""COMPUTED_VALUE"""),"Yes")</f>
        <v>Yes</v>
      </c>
      <c r="AF336" s="3" t="str">
        <f>IFERROR(__xludf.DUMMYFUNCTION("""COMPUTED_VALUE"""),"Yes")</f>
        <v>Yes</v>
      </c>
      <c r="AG336" s="3" t="str">
        <f>IFERROR(__xludf.DUMMYFUNCTION("""COMPUTED_VALUE"""),"Yes")</f>
        <v>Yes</v>
      </c>
      <c r="AH336" s="3"/>
      <c r="AI336" s="3">
        <f>IFERROR(__xludf.DUMMYFUNCTION("""COMPUTED_VALUE"""),1.0)</f>
        <v>1</v>
      </c>
      <c r="AJ336" s="3">
        <f>IFERROR(__xludf.DUMMYFUNCTION("""COMPUTED_VALUE"""),0.0)</f>
        <v>0</v>
      </c>
      <c r="AK336" s="3">
        <f>IFERROR(__xludf.DUMMYFUNCTION("""COMPUTED_VALUE"""),0.0)</f>
        <v>0</v>
      </c>
      <c r="AL336" s="3">
        <f>IFERROR(__xludf.DUMMYFUNCTION("""COMPUTED_VALUE"""),0.0)</f>
        <v>0</v>
      </c>
      <c r="AM336" s="3" t="str">
        <f>IFERROR(__xludf.DUMMYFUNCTION("""COMPUTED_VALUE"""),"Yes")</f>
        <v>Yes</v>
      </c>
      <c r="AN336" s="3"/>
      <c r="AO336" s="3"/>
      <c r="AP336" s="3">
        <f>IFERROR(__xludf.DUMMYFUNCTION("""COMPUTED_VALUE"""),4.90906177E8)</f>
        <v>490906177</v>
      </c>
      <c r="AQ336" s="3" t="str">
        <f>IFERROR(__xludf.DUMMYFUNCTION("""COMPUTED_VALUE"""),"0d21d4e0-548f-4f2e-b499-5ea21ffe170d")</f>
        <v>0d21d4e0-548f-4f2e-b499-5ea21ffe170d</v>
      </c>
      <c r="AR336" s="3">
        <f>IFERROR(__xludf.DUMMYFUNCTION("""COMPUTED_VALUE"""),45810.49365740741)</f>
        <v>45810.49366</v>
      </c>
      <c r="AS336" s="3"/>
      <c r="AT336" s="3"/>
      <c r="AU336" s="3" t="str">
        <f>IFERROR(__xludf.DUMMYFUNCTION("""COMPUTED_VALUE"""),"submitted_via_web")</f>
        <v>submitted_via_web</v>
      </c>
      <c r="AV336" s="3"/>
      <c r="AW336" s="3" t="str">
        <f>IFERROR(__xludf.DUMMYFUNCTION("""COMPUTED_VALUE"""),"vckVTgNzM4XXtKAKNnsHpB")</f>
        <v>vckVTgNzM4XXtKAKNnsHpB</v>
      </c>
      <c r="AX336" s="3"/>
      <c r="AY336" s="3">
        <f>IFERROR(__xludf.DUMMYFUNCTION("""COMPUTED_VALUE"""),335.0)</f>
        <v>335</v>
      </c>
    </row>
    <row r="337">
      <c r="A337" s="3" t="str">
        <f>IFERROR(__xludf.DUMMYFUNCTION("""COMPUTED_VALUE"""),"Yes")</f>
        <v>Yes</v>
      </c>
      <c r="B337" s="3"/>
      <c r="C337" s="3" t="str">
        <f>IFERROR(__xludf.DUMMYFUNCTION("""COMPUTED_VALUE"""),"zimbabwe")</f>
        <v>zimbabwe</v>
      </c>
      <c r="D337" s="3"/>
      <c r="E337" s="3" t="str">
        <f>IFERROR(__xludf.DUMMYFUNCTION("""COMPUTED_VALUE"""),"south_africa")</f>
        <v>south_africa</v>
      </c>
      <c r="F337" s="3" t="str">
        <f>IFERROR(__xludf.DUMMYFUNCTION("""COMPUTED_VALUE"""),"City of Tshwane Metropolitan Municipality")</f>
        <v>City of Tshwane Metropolitan Municipality</v>
      </c>
      <c r="G337" s="3">
        <f>IFERROR(__xludf.DUMMYFUNCTION("""COMPUTED_VALUE"""),22.0)</f>
        <v>22</v>
      </c>
      <c r="H337" s="3" t="str">
        <f>IFERROR(__xludf.DUMMYFUNCTION("""COMPUTED_VALUE"""),"female")</f>
        <v>female</v>
      </c>
      <c r="I337" s="3" t="str">
        <f>IFERROR(__xludf.DUMMYFUNCTION("""COMPUTED_VALUE"""),"1to5")</f>
        <v>1to5</v>
      </c>
      <c r="J337" s="3" t="str">
        <f>IFERROR(__xludf.DUMMYFUNCTION("""COMPUTED_VALUE"""),"informal")</f>
        <v>informal</v>
      </c>
      <c r="K337" s="3" t="str">
        <f>IFERROR(__xludf.DUMMYFUNCTION("""COMPUTED_VALUE"""),"primary")</f>
        <v>primary</v>
      </c>
      <c r="L337" s="3"/>
      <c r="M337" s="3" t="str">
        <f>IFERROR(__xludf.DUMMYFUNCTION("""COMPUTED_VALUE"""),"agree")</f>
        <v>agree</v>
      </c>
      <c r="N337" s="3" t="str">
        <f>IFERROR(__xludf.DUMMYFUNCTION("""COMPUTED_VALUE"""),"agree")</f>
        <v>agree</v>
      </c>
      <c r="O337" s="3" t="str">
        <f>IFERROR(__xludf.DUMMYFUNCTION("""COMPUTED_VALUE"""),"agree")</f>
        <v>agree</v>
      </c>
      <c r="P337" s="3"/>
      <c r="Q337" s="3" t="str">
        <f>IFERROR(__xludf.DUMMYFUNCTION("""COMPUTED_VALUE"""),"agree")</f>
        <v>agree</v>
      </c>
      <c r="R337" s="3" t="str">
        <f>IFERROR(__xludf.DUMMYFUNCTION("""COMPUTED_VALUE"""),"agree")</f>
        <v>agree</v>
      </c>
      <c r="S337" s="3" t="str">
        <f>IFERROR(__xludf.DUMMYFUNCTION("""COMPUTED_VALUE"""),"agree")</f>
        <v>agree</v>
      </c>
      <c r="T337" s="3" t="str">
        <f>IFERROR(__xludf.DUMMYFUNCTION("""COMPUTED_VALUE"""),"agree")</f>
        <v>agree</v>
      </c>
      <c r="U337" s="3" t="str">
        <f>IFERROR(__xludf.DUMMYFUNCTION("""COMPUTED_VALUE"""),"agree")</f>
        <v>agree</v>
      </c>
      <c r="V337" s="3" t="str">
        <f>IFERROR(__xludf.DUMMYFUNCTION("""COMPUTED_VALUE"""),"agree")</f>
        <v>agree</v>
      </c>
      <c r="W337" s="3" t="str">
        <f>IFERROR(__xludf.DUMMYFUNCTION("""COMPUTED_VALUE"""),"agree")</f>
        <v>agree</v>
      </c>
      <c r="X337" s="3" t="str">
        <f>IFERROR(__xludf.DUMMYFUNCTION("""COMPUTED_VALUE"""),"Gold")</f>
        <v>Gold</v>
      </c>
      <c r="Y337" s="3" t="str">
        <f>IFERROR(__xludf.DUMMYFUNCTION("""COMPUTED_VALUE"""),"cash")</f>
        <v>cash</v>
      </c>
      <c r="Z337" s="3" t="str">
        <f>IFERROR(__xludf.DUMMYFUNCTION("""COMPUTED_VALUE"""),"monthly")</f>
        <v>monthly</v>
      </c>
      <c r="AA337" s="3">
        <f>IFERROR(__xludf.DUMMYFUNCTION("""COMPUTED_VALUE"""),20.0)</f>
        <v>20</v>
      </c>
      <c r="AB337" s="3" t="str">
        <f>IFERROR(__xludf.DUMMYFUNCTION("""COMPUTED_VALUE"""),"assisted")</f>
        <v>assisted</v>
      </c>
      <c r="AC337" s="3" t="str">
        <f>IFERROR(__xludf.DUMMYFUNCTION("""COMPUTED_VALUE"""),"Yes")</f>
        <v>Yes</v>
      </c>
      <c r="AD337" s="3" t="str">
        <f>IFERROR(__xludf.DUMMYFUNCTION("""COMPUTED_VALUE"""),"Gold")</f>
        <v>Gold</v>
      </c>
      <c r="AE337" s="3" t="str">
        <f>IFERROR(__xludf.DUMMYFUNCTION("""COMPUTED_VALUE"""),"Yes")</f>
        <v>Yes</v>
      </c>
      <c r="AF337" s="3" t="str">
        <f>IFERROR(__xludf.DUMMYFUNCTION("""COMPUTED_VALUE"""),"Yes")</f>
        <v>Yes</v>
      </c>
      <c r="AG337" s="3" t="str">
        <f>IFERROR(__xludf.DUMMYFUNCTION("""COMPUTED_VALUE"""),"Yes")</f>
        <v>Yes</v>
      </c>
      <c r="AH337" s="3"/>
      <c r="AI337" s="3">
        <f>IFERROR(__xludf.DUMMYFUNCTION("""COMPUTED_VALUE"""),1.0)</f>
        <v>1</v>
      </c>
      <c r="AJ337" s="3">
        <f>IFERROR(__xludf.DUMMYFUNCTION("""COMPUTED_VALUE"""),0.0)</f>
        <v>0</v>
      </c>
      <c r="AK337" s="3">
        <f>IFERROR(__xludf.DUMMYFUNCTION("""COMPUTED_VALUE"""),0.0)</f>
        <v>0</v>
      </c>
      <c r="AL337" s="3">
        <f>IFERROR(__xludf.DUMMYFUNCTION("""COMPUTED_VALUE"""),0.0)</f>
        <v>0</v>
      </c>
      <c r="AM337" s="3" t="str">
        <f>IFERROR(__xludf.DUMMYFUNCTION("""COMPUTED_VALUE"""),"Yes")</f>
        <v>Yes</v>
      </c>
      <c r="AN337" s="3"/>
      <c r="AO337" s="3"/>
      <c r="AP337" s="3">
        <f>IFERROR(__xludf.DUMMYFUNCTION("""COMPUTED_VALUE"""),4.9090619E8)</f>
        <v>490906190</v>
      </c>
      <c r="AQ337" s="3" t="str">
        <f>IFERROR(__xludf.DUMMYFUNCTION("""COMPUTED_VALUE"""),"347cd0aa-4d54-4ace-8cb2-2312ee70d404")</f>
        <v>347cd0aa-4d54-4ace-8cb2-2312ee70d404</v>
      </c>
      <c r="AR337" s="3">
        <f>IFERROR(__xludf.DUMMYFUNCTION("""COMPUTED_VALUE"""),45810.49366898148)</f>
        <v>45810.49367</v>
      </c>
      <c r="AS337" s="3"/>
      <c r="AT337" s="3"/>
      <c r="AU337" s="3" t="str">
        <f>IFERROR(__xludf.DUMMYFUNCTION("""COMPUTED_VALUE"""),"submitted_via_web")</f>
        <v>submitted_via_web</v>
      </c>
      <c r="AV337" s="3"/>
      <c r="AW337" s="3" t="str">
        <f>IFERROR(__xludf.DUMMYFUNCTION("""COMPUTED_VALUE"""),"vckVTgNzM4XXtKAKNnsHpB")</f>
        <v>vckVTgNzM4XXtKAKNnsHpB</v>
      </c>
      <c r="AX337" s="3"/>
      <c r="AY337" s="3">
        <f>IFERROR(__xludf.DUMMYFUNCTION("""COMPUTED_VALUE"""),336.0)</f>
        <v>336</v>
      </c>
    </row>
    <row r="338">
      <c r="A338" s="3" t="str">
        <f>IFERROR(__xludf.DUMMYFUNCTION("""COMPUTED_VALUE"""),"Yes")</f>
        <v>Yes</v>
      </c>
      <c r="B338" s="3"/>
      <c r="C338" s="3" t="str">
        <f>IFERROR(__xludf.DUMMYFUNCTION("""COMPUTED_VALUE"""),"zimbabwe")</f>
        <v>zimbabwe</v>
      </c>
      <c r="D338" s="3"/>
      <c r="E338" s="3" t="str">
        <f>IFERROR(__xludf.DUMMYFUNCTION("""COMPUTED_VALUE"""),"south_africa")</f>
        <v>south_africa</v>
      </c>
      <c r="F338" s="3" t="str">
        <f>IFERROR(__xludf.DUMMYFUNCTION("""COMPUTED_VALUE"""),"City of Tshwane Metropolitan Municipality")</f>
        <v>City of Tshwane Metropolitan Municipality</v>
      </c>
      <c r="G338" s="3">
        <f>IFERROR(__xludf.DUMMYFUNCTION("""COMPUTED_VALUE"""),35.0)</f>
        <v>35</v>
      </c>
      <c r="H338" s="3" t="str">
        <f>IFERROR(__xludf.DUMMYFUNCTION("""COMPUTED_VALUE"""),"female")</f>
        <v>female</v>
      </c>
      <c r="I338" s="3" t="str">
        <f>IFERROR(__xludf.DUMMYFUNCTION("""COMPUTED_VALUE"""),"over5")</f>
        <v>over5</v>
      </c>
      <c r="J338" s="3" t="str">
        <f>IFERROR(__xludf.DUMMYFUNCTION("""COMPUTED_VALUE"""),"informal")</f>
        <v>informal</v>
      </c>
      <c r="K338" s="3" t="str">
        <f>IFERROR(__xludf.DUMMYFUNCTION("""COMPUTED_VALUE"""),"secondary")</f>
        <v>secondary</v>
      </c>
      <c r="L338" s="3"/>
      <c r="M338" s="3" t="str">
        <f>IFERROR(__xludf.DUMMYFUNCTION("""COMPUTED_VALUE"""),"agree")</f>
        <v>agree</v>
      </c>
      <c r="N338" s="3" t="str">
        <f>IFERROR(__xludf.DUMMYFUNCTION("""COMPUTED_VALUE"""),"agree")</f>
        <v>agree</v>
      </c>
      <c r="O338" s="3" t="str">
        <f>IFERROR(__xludf.DUMMYFUNCTION("""COMPUTED_VALUE"""),"agree")</f>
        <v>agree</v>
      </c>
      <c r="P338" s="3"/>
      <c r="Q338" s="3" t="str">
        <f>IFERROR(__xludf.DUMMYFUNCTION("""COMPUTED_VALUE"""),"agree")</f>
        <v>agree</v>
      </c>
      <c r="R338" s="3" t="str">
        <f>IFERROR(__xludf.DUMMYFUNCTION("""COMPUTED_VALUE"""),"agree")</f>
        <v>agree</v>
      </c>
      <c r="S338" s="3" t="str">
        <f>IFERROR(__xludf.DUMMYFUNCTION("""COMPUTED_VALUE"""),"agree")</f>
        <v>agree</v>
      </c>
      <c r="T338" s="3" t="str">
        <f>IFERROR(__xludf.DUMMYFUNCTION("""COMPUTED_VALUE"""),"agree")</f>
        <v>agree</v>
      </c>
      <c r="U338" s="3" t="str">
        <f>IFERROR(__xludf.DUMMYFUNCTION("""COMPUTED_VALUE"""),"agree")</f>
        <v>agree</v>
      </c>
      <c r="V338" s="3" t="str">
        <f>IFERROR(__xludf.DUMMYFUNCTION("""COMPUTED_VALUE"""),"agree")</f>
        <v>agree</v>
      </c>
      <c r="W338" s="3" t="str">
        <f>IFERROR(__xludf.DUMMYFUNCTION("""COMPUTED_VALUE"""),"agree")</f>
        <v>agree</v>
      </c>
      <c r="X338" s="3" t="str">
        <f>IFERROR(__xludf.DUMMYFUNCTION("""COMPUTED_VALUE"""),"Gold")</f>
        <v>Gold</v>
      </c>
      <c r="Y338" s="3" t="str">
        <f>IFERROR(__xludf.DUMMYFUNCTION("""COMPUTED_VALUE"""),"cash")</f>
        <v>cash</v>
      </c>
      <c r="Z338" s="3" t="str">
        <f>IFERROR(__xludf.DUMMYFUNCTION("""COMPUTED_VALUE"""),"once")</f>
        <v>once</v>
      </c>
      <c r="AA338" s="3">
        <f>IFERROR(__xludf.DUMMYFUNCTION("""COMPUTED_VALUE"""),10.0)</f>
        <v>10</v>
      </c>
      <c r="AB338" s="3" t="str">
        <f>IFERROR(__xludf.DUMMYFUNCTION("""COMPUTED_VALUE"""),"employer")</f>
        <v>employer</v>
      </c>
      <c r="AC338" s="3" t="str">
        <f>IFERROR(__xludf.DUMMYFUNCTION("""COMPUTED_VALUE"""),"Yes")</f>
        <v>Yes</v>
      </c>
      <c r="AD338" s="3" t="str">
        <f>IFERROR(__xludf.DUMMYFUNCTION("""COMPUTED_VALUE"""),"Gold")</f>
        <v>Gold</v>
      </c>
      <c r="AE338" s="3" t="str">
        <f>IFERROR(__xludf.DUMMYFUNCTION("""COMPUTED_VALUE"""),"Yes")</f>
        <v>Yes</v>
      </c>
      <c r="AF338" s="3" t="str">
        <f>IFERROR(__xludf.DUMMYFUNCTION("""COMPUTED_VALUE"""),"Yes")</f>
        <v>Yes</v>
      </c>
      <c r="AG338" s="3" t="str">
        <f>IFERROR(__xludf.DUMMYFUNCTION("""COMPUTED_VALUE"""),"No")</f>
        <v>No</v>
      </c>
      <c r="AH338" s="3"/>
      <c r="AI338" s="3">
        <f>IFERROR(__xludf.DUMMYFUNCTION("""COMPUTED_VALUE"""),0.0)</f>
        <v>0</v>
      </c>
      <c r="AJ338" s="3">
        <f>IFERROR(__xludf.DUMMYFUNCTION("""COMPUTED_VALUE"""),0.0)</f>
        <v>0</v>
      </c>
      <c r="AK338" s="3">
        <f>IFERROR(__xludf.DUMMYFUNCTION("""COMPUTED_VALUE"""),0.0)</f>
        <v>0</v>
      </c>
      <c r="AL338" s="3">
        <f>IFERROR(__xludf.DUMMYFUNCTION("""COMPUTED_VALUE"""),1.0)</f>
        <v>1</v>
      </c>
      <c r="AM338" s="3" t="str">
        <f>IFERROR(__xludf.DUMMYFUNCTION("""COMPUTED_VALUE"""),"No")</f>
        <v>No</v>
      </c>
      <c r="AN338" s="3"/>
      <c r="AO338" s="3"/>
      <c r="AP338" s="3">
        <f>IFERROR(__xludf.DUMMYFUNCTION("""COMPUTED_VALUE"""),4.90906204E8)</f>
        <v>490906204</v>
      </c>
      <c r="AQ338" s="3" t="str">
        <f>IFERROR(__xludf.DUMMYFUNCTION("""COMPUTED_VALUE"""),"6baddc52-2759-4526-9563-8f94377f43aa")</f>
        <v>6baddc52-2759-4526-9563-8f94377f43aa</v>
      </c>
      <c r="AR338" s="3">
        <f>IFERROR(__xludf.DUMMYFUNCTION("""COMPUTED_VALUE"""),45810.493680555555)</f>
        <v>45810.49368</v>
      </c>
      <c r="AS338" s="3"/>
      <c r="AT338" s="3"/>
      <c r="AU338" s="3" t="str">
        <f>IFERROR(__xludf.DUMMYFUNCTION("""COMPUTED_VALUE"""),"submitted_via_web")</f>
        <v>submitted_via_web</v>
      </c>
      <c r="AV338" s="3"/>
      <c r="AW338" s="3" t="str">
        <f>IFERROR(__xludf.DUMMYFUNCTION("""COMPUTED_VALUE"""),"vckVTgNzM4XXtKAKNnsHpB")</f>
        <v>vckVTgNzM4XXtKAKNnsHpB</v>
      </c>
      <c r="AX338" s="3"/>
      <c r="AY338" s="3">
        <f>IFERROR(__xludf.DUMMYFUNCTION("""COMPUTED_VALUE"""),337.0)</f>
        <v>337</v>
      </c>
    </row>
    <row r="339">
      <c r="A339" s="3" t="str">
        <f>IFERROR(__xludf.DUMMYFUNCTION("""COMPUTED_VALUE"""),"No")</f>
        <v>No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>
        <f>IFERROR(__xludf.DUMMYFUNCTION("""COMPUTED_VALUE"""),4.90906217E8)</f>
        <v>490906217</v>
      </c>
      <c r="AQ339" s="3" t="str">
        <f>IFERROR(__xludf.DUMMYFUNCTION("""COMPUTED_VALUE"""),"f2affe6f-d17d-427b-8cc7-e7e366748f7e")</f>
        <v>f2affe6f-d17d-427b-8cc7-e7e366748f7e</v>
      </c>
      <c r="AR339" s="3">
        <f>IFERROR(__xludf.DUMMYFUNCTION("""COMPUTED_VALUE"""),45810.493680555555)</f>
        <v>45810.49368</v>
      </c>
      <c r="AS339" s="3"/>
      <c r="AT339" s="3"/>
      <c r="AU339" s="3" t="str">
        <f>IFERROR(__xludf.DUMMYFUNCTION("""COMPUTED_VALUE"""),"submitted_via_web")</f>
        <v>submitted_via_web</v>
      </c>
      <c r="AV339" s="3"/>
      <c r="AW339" s="3" t="str">
        <f>IFERROR(__xludf.DUMMYFUNCTION("""COMPUTED_VALUE"""),"vckVTgNzM4XXtKAKNnsHpB")</f>
        <v>vckVTgNzM4XXtKAKNnsHpB</v>
      </c>
      <c r="AX339" s="3"/>
      <c r="AY339" s="3">
        <f>IFERROR(__xludf.DUMMYFUNCTION("""COMPUTED_VALUE"""),338.0)</f>
        <v>338</v>
      </c>
    </row>
    <row r="340">
      <c r="A340" s="3" t="str">
        <f>IFERROR(__xludf.DUMMYFUNCTION("""COMPUTED_VALUE"""),"Yes")</f>
        <v>Yes</v>
      </c>
      <c r="B340" s="3"/>
      <c r="C340" s="3" t="str">
        <f>IFERROR(__xludf.DUMMYFUNCTION("""COMPUTED_VALUE"""),"zimbabwe")</f>
        <v>zimbabwe</v>
      </c>
      <c r="D340" s="3"/>
      <c r="E340" s="3" t="str">
        <f>IFERROR(__xludf.DUMMYFUNCTION("""COMPUTED_VALUE"""),"south_africa")</f>
        <v>south_africa</v>
      </c>
      <c r="F340" s="3" t="str">
        <f>IFERROR(__xludf.DUMMYFUNCTION("""COMPUTED_VALUE"""),"City of Tshwane Metropolitan Municipality")</f>
        <v>City of Tshwane Metropolitan Municipality</v>
      </c>
      <c r="G340" s="3">
        <f>IFERROR(__xludf.DUMMYFUNCTION("""COMPUTED_VALUE"""),42.0)</f>
        <v>42</v>
      </c>
      <c r="H340" s="3" t="str">
        <f>IFERROR(__xludf.DUMMYFUNCTION("""COMPUTED_VALUE"""),"female")</f>
        <v>female</v>
      </c>
      <c r="I340" s="3" t="str">
        <f>IFERROR(__xludf.DUMMYFUNCTION("""COMPUTED_VALUE"""),"6to12")</f>
        <v>6to12</v>
      </c>
      <c r="J340" s="3" t="str">
        <f>IFERROR(__xludf.DUMMYFUNCTION("""COMPUTED_VALUE"""),"informal")</f>
        <v>informal</v>
      </c>
      <c r="K340" s="3" t="str">
        <f>IFERROR(__xludf.DUMMYFUNCTION("""COMPUTED_VALUE"""),"primary")</f>
        <v>primary</v>
      </c>
      <c r="L340" s="3"/>
      <c r="M340" s="3" t="str">
        <f>IFERROR(__xludf.DUMMYFUNCTION("""COMPUTED_VALUE"""),"agree")</f>
        <v>agree</v>
      </c>
      <c r="N340" s="3" t="str">
        <f>IFERROR(__xludf.DUMMYFUNCTION("""COMPUTED_VALUE"""),"agree")</f>
        <v>agree</v>
      </c>
      <c r="O340" s="3" t="str">
        <f>IFERROR(__xludf.DUMMYFUNCTION("""COMPUTED_VALUE"""),"agree")</f>
        <v>agree</v>
      </c>
      <c r="P340" s="3"/>
      <c r="Q340" s="3" t="str">
        <f>IFERROR(__xludf.DUMMYFUNCTION("""COMPUTED_VALUE"""),"agree")</f>
        <v>agree</v>
      </c>
      <c r="R340" s="3" t="str">
        <f>IFERROR(__xludf.DUMMYFUNCTION("""COMPUTED_VALUE"""),"agree")</f>
        <v>agree</v>
      </c>
      <c r="S340" s="3" t="str">
        <f>IFERROR(__xludf.DUMMYFUNCTION("""COMPUTED_VALUE"""),"agree")</f>
        <v>agree</v>
      </c>
      <c r="T340" s="3" t="str">
        <f>IFERROR(__xludf.DUMMYFUNCTION("""COMPUTED_VALUE"""),"agree")</f>
        <v>agree</v>
      </c>
      <c r="U340" s="3" t="str">
        <f>IFERROR(__xludf.DUMMYFUNCTION("""COMPUTED_VALUE"""),"agree")</f>
        <v>agree</v>
      </c>
      <c r="V340" s="3" t="str">
        <f>IFERROR(__xludf.DUMMYFUNCTION("""COMPUTED_VALUE"""),"agree")</f>
        <v>agree</v>
      </c>
      <c r="W340" s="3" t="str">
        <f>IFERROR(__xludf.DUMMYFUNCTION("""COMPUTED_VALUE"""),"agree")</f>
        <v>agree</v>
      </c>
      <c r="X340" s="3" t="str">
        <f>IFERROR(__xludf.DUMMYFUNCTION("""COMPUTED_VALUE"""),"Gold")</f>
        <v>Gold</v>
      </c>
      <c r="Y340" s="3" t="str">
        <f>IFERROR(__xludf.DUMMYFUNCTION("""COMPUTED_VALUE"""),"cash")</f>
        <v>cash</v>
      </c>
      <c r="Z340" s="3" t="str">
        <f>IFERROR(__xludf.DUMMYFUNCTION("""COMPUTED_VALUE"""),"monthly")</f>
        <v>monthly</v>
      </c>
      <c r="AA340" s="3">
        <f>IFERROR(__xludf.DUMMYFUNCTION("""COMPUTED_VALUE"""),20.0)</f>
        <v>20</v>
      </c>
      <c r="AB340" s="3" t="str">
        <f>IFERROR(__xludf.DUMMYFUNCTION("""COMPUTED_VALUE"""),"employer")</f>
        <v>employer</v>
      </c>
      <c r="AC340" s="3" t="str">
        <f>IFERROR(__xludf.DUMMYFUNCTION("""COMPUTED_VALUE"""),"Yes")</f>
        <v>Yes</v>
      </c>
      <c r="AD340" s="3" t="str">
        <f>IFERROR(__xludf.DUMMYFUNCTION("""COMPUTED_VALUE"""),"Gold")</f>
        <v>Gold</v>
      </c>
      <c r="AE340" s="3" t="str">
        <f>IFERROR(__xludf.DUMMYFUNCTION("""COMPUTED_VALUE"""),"Yes")</f>
        <v>Yes</v>
      </c>
      <c r="AF340" s="3" t="str">
        <f>IFERROR(__xludf.DUMMYFUNCTION("""COMPUTED_VALUE"""),"Yes")</f>
        <v>Yes</v>
      </c>
      <c r="AG340" s="3" t="str">
        <f>IFERROR(__xludf.DUMMYFUNCTION("""COMPUTED_VALUE"""),"No")</f>
        <v>No</v>
      </c>
      <c r="AH340" s="3"/>
      <c r="AI340" s="3">
        <f>IFERROR(__xludf.DUMMYFUNCTION("""COMPUTED_VALUE"""),0.0)</f>
        <v>0</v>
      </c>
      <c r="AJ340" s="3">
        <f>IFERROR(__xludf.DUMMYFUNCTION("""COMPUTED_VALUE"""),0.0)</f>
        <v>0</v>
      </c>
      <c r="AK340" s="3">
        <f>IFERROR(__xludf.DUMMYFUNCTION("""COMPUTED_VALUE"""),0.0)</f>
        <v>0</v>
      </c>
      <c r="AL340" s="3">
        <f>IFERROR(__xludf.DUMMYFUNCTION("""COMPUTED_VALUE"""),1.0)</f>
        <v>1</v>
      </c>
      <c r="AM340" s="3" t="str">
        <f>IFERROR(__xludf.DUMMYFUNCTION("""COMPUTED_VALUE"""),"No")</f>
        <v>No</v>
      </c>
      <c r="AN340" s="3"/>
      <c r="AO340" s="3"/>
      <c r="AP340" s="3">
        <f>IFERROR(__xludf.DUMMYFUNCTION("""COMPUTED_VALUE"""),4.90907267E8)</f>
        <v>490907267</v>
      </c>
      <c r="AQ340" s="3" t="str">
        <f>IFERROR(__xludf.DUMMYFUNCTION("""COMPUTED_VALUE"""),"ca97405c-c4e7-4289-96a4-c4cca87ace77")</f>
        <v>ca97405c-c4e7-4289-96a4-c4cca87ace77</v>
      </c>
      <c r="AR340" s="3">
        <f>IFERROR(__xludf.DUMMYFUNCTION("""COMPUTED_VALUE"""),45810.49484953703)</f>
        <v>45810.49485</v>
      </c>
      <c r="AS340" s="3"/>
      <c r="AT340" s="3"/>
      <c r="AU340" s="3" t="str">
        <f>IFERROR(__xludf.DUMMYFUNCTION("""COMPUTED_VALUE"""),"submitted_via_web")</f>
        <v>submitted_via_web</v>
      </c>
      <c r="AV340" s="3"/>
      <c r="AW340" s="3" t="str">
        <f>IFERROR(__xludf.DUMMYFUNCTION("""COMPUTED_VALUE"""),"vckVTgNzM4XXtKAKNnsHpB")</f>
        <v>vckVTgNzM4XXtKAKNnsHpB</v>
      </c>
      <c r="AX340" s="3"/>
      <c r="AY340" s="3">
        <f>IFERROR(__xludf.DUMMYFUNCTION("""COMPUTED_VALUE"""),339.0)</f>
        <v>339</v>
      </c>
    </row>
    <row r="341">
      <c r="A341" s="3" t="str">
        <f>IFERROR(__xludf.DUMMYFUNCTION("""COMPUTED_VALUE"""),"Yes")</f>
        <v>Yes</v>
      </c>
      <c r="B341" s="3"/>
      <c r="C341" s="3" t="str">
        <f>IFERROR(__xludf.DUMMYFUNCTION("""COMPUTED_VALUE"""),"zimbabwe")</f>
        <v>zimbabwe</v>
      </c>
      <c r="D341" s="3"/>
      <c r="E341" s="3" t="str">
        <f>IFERROR(__xludf.DUMMYFUNCTION("""COMPUTED_VALUE"""),"south_africa")</f>
        <v>south_africa</v>
      </c>
      <c r="F341" s="3" t="str">
        <f>IFERROR(__xludf.DUMMYFUNCTION("""COMPUTED_VALUE"""),"City of Tshwane Metropolitan Municipality")</f>
        <v>City of Tshwane Metropolitan Municipality</v>
      </c>
      <c r="G341" s="3">
        <f>IFERROR(__xludf.DUMMYFUNCTION("""COMPUTED_VALUE"""),21.0)</f>
        <v>21</v>
      </c>
      <c r="H341" s="3" t="str">
        <f>IFERROR(__xludf.DUMMYFUNCTION("""COMPUTED_VALUE"""),"female")</f>
        <v>female</v>
      </c>
      <c r="I341" s="3" t="str">
        <f>IFERROR(__xludf.DUMMYFUNCTION("""COMPUTED_VALUE"""),"1to5")</f>
        <v>1to5</v>
      </c>
      <c r="J341" s="3" t="str">
        <f>IFERROR(__xludf.DUMMYFUNCTION("""COMPUTED_VALUE"""),"informal")</f>
        <v>informal</v>
      </c>
      <c r="K341" s="3" t="str">
        <f>IFERROR(__xludf.DUMMYFUNCTION("""COMPUTED_VALUE"""),"secondary")</f>
        <v>secondary</v>
      </c>
      <c r="L341" s="3"/>
      <c r="M341" s="3" t="str">
        <f>IFERROR(__xludf.DUMMYFUNCTION("""COMPUTED_VALUE"""),"agree")</f>
        <v>agree</v>
      </c>
      <c r="N341" s="3" t="str">
        <f>IFERROR(__xludf.DUMMYFUNCTION("""COMPUTED_VALUE"""),"agree")</f>
        <v>agree</v>
      </c>
      <c r="O341" s="3" t="str">
        <f>IFERROR(__xludf.DUMMYFUNCTION("""COMPUTED_VALUE"""),"agree")</f>
        <v>agree</v>
      </c>
      <c r="P341" s="3"/>
      <c r="Q341" s="3" t="str">
        <f>IFERROR(__xludf.DUMMYFUNCTION("""COMPUTED_VALUE"""),"agree")</f>
        <v>agree</v>
      </c>
      <c r="R341" s="3" t="str">
        <f>IFERROR(__xludf.DUMMYFUNCTION("""COMPUTED_VALUE"""),"agree")</f>
        <v>agree</v>
      </c>
      <c r="S341" s="3" t="str">
        <f>IFERROR(__xludf.DUMMYFUNCTION("""COMPUTED_VALUE"""),"agree")</f>
        <v>agree</v>
      </c>
      <c r="T341" s="3" t="str">
        <f>IFERROR(__xludf.DUMMYFUNCTION("""COMPUTED_VALUE"""),"agree")</f>
        <v>agree</v>
      </c>
      <c r="U341" s="3" t="str">
        <f>IFERROR(__xludf.DUMMYFUNCTION("""COMPUTED_VALUE"""),"agree")</f>
        <v>agree</v>
      </c>
      <c r="V341" s="3" t="str">
        <f>IFERROR(__xludf.DUMMYFUNCTION("""COMPUTED_VALUE"""),"agree")</f>
        <v>agree</v>
      </c>
      <c r="W341" s="3" t="str">
        <f>IFERROR(__xludf.DUMMYFUNCTION("""COMPUTED_VALUE"""),"agree")</f>
        <v>agree</v>
      </c>
      <c r="X341" s="3" t="str">
        <f>IFERROR(__xludf.DUMMYFUNCTION("""COMPUTED_VALUE"""),"Gold")</f>
        <v>Gold</v>
      </c>
      <c r="Y341" s="3" t="str">
        <f>IFERROR(__xludf.DUMMYFUNCTION("""COMPUTED_VALUE"""),"card")</f>
        <v>card</v>
      </c>
      <c r="Z341" s="3" t="str">
        <f>IFERROR(__xludf.DUMMYFUNCTION("""COMPUTED_VALUE"""),"monthly")</f>
        <v>monthly</v>
      </c>
      <c r="AA341" s="3">
        <f>IFERROR(__xludf.DUMMYFUNCTION("""COMPUTED_VALUE"""),20.0)</f>
        <v>20</v>
      </c>
      <c r="AB341" s="3" t="str">
        <f>IFERROR(__xludf.DUMMYFUNCTION("""COMPUTED_VALUE"""),"employer")</f>
        <v>employer</v>
      </c>
      <c r="AC341" s="3" t="str">
        <f>IFERROR(__xludf.DUMMYFUNCTION("""COMPUTED_VALUE"""),"I am not an employer")</f>
        <v>I am not an employer</v>
      </c>
      <c r="AD341" s="3"/>
      <c r="AE341" s="3"/>
      <c r="AF341" s="3" t="str">
        <f>IFERROR(__xludf.DUMMYFUNCTION("""COMPUTED_VALUE"""),"Yes")</f>
        <v>Yes</v>
      </c>
      <c r="AG341" s="3" t="str">
        <f>IFERROR(__xludf.DUMMYFUNCTION("""COMPUTED_VALUE"""),"Yes")</f>
        <v>Yes</v>
      </c>
      <c r="AH341" s="3">
        <f>IFERROR(__xludf.DUMMYFUNCTION("""COMPUTED_VALUE"""),10.0)</f>
        <v>10</v>
      </c>
      <c r="AI341" s="3">
        <f>IFERROR(__xludf.DUMMYFUNCTION("""COMPUTED_VALUE"""),0.0)</f>
        <v>0</v>
      </c>
      <c r="AJ341" s="3">
        <f>IFERROR(__xludf.DUMMYFUNCTION("""COMPUTED_VALUE"""),0.0)</f>
        <v>0</v>
      </c>
      <c r="AK341" s="3">
        <f>IFERROR(__xludf.DUMMYFUNCTION("""COMPUTED_VALUE"""),0.0)</f>
        <v>0</v>
      </c>
      <c r="AL341" s="3">
        <f>IFERROR(__xludf.DUMMYFUNCTION("""COMPUTED_VALUE"""),1.0)</f>
        <v>1</v>
      </c>
      <c r="AM341" s="3" t="str">
        <f>IFERROR(__xludf.DUMMYFUNCTION("""COMPUTED_VALUE"""),"No")</f>
        <v>No</v>
      </c>
      <c r="AN341" s="3"/>
      <c r="AO341" s="3"/>
      <c r="AP341" s="3">
        <f>IFERROR(__xludf.DUMMYFUNCTION("""COMPUTED_VALUE"""),4.90962388E8)</f>
        <v>490962388</v>
      </c>
      <c r="AQ341" s="3" t="str">
        <f>IFERROR(__xludf.DUMMYFUNCTION("""COMPUTED_VALUE"""),"1cb8549c-ff51-40e3-9bd6-340047e708b1")</f>
        <v>1cb8549c-ff51-40e3-9bd6-340047e708b1</v>
      </c>
      <c r="AR341" s="3">
        <f>IFERROR(__xludf.DUMMYFUNCTION("""COMPUTED_VALUE"""),45810.551157407404)</f>
        <v>45810.55116</v>
      </c>
      <c r="AS341" s="3"/>
      <c r="AT341" s="3"/>
      <c r="AU341" s="3" t="str">
        <f>IFERROR(__xludf.DUMMYFUNCTION("""COMPUTED_VALUE"""),"submitted_via_web")</f>
        <v>submitted_via_web</v>
      </c>
      <c r="AV341" s="3"/>
      <c r="AW341" s="3" t="str">
        <f>IFERROR(__xludf.DUMMYFUNCTION("""COMPUTED_VALUE"""),"vckVTgNzM4XXtKAKNnsHpB")</f>
        <v>vckVTgNzM4XXtKAKNnsHpB</v>
      </c>
      <c r="AX341" s="3"/>
      <c r="AY341" s="3">
        <f>IFERROR(__xludf.DUMMYFUNCTION("""COMPUTED_VALUE"""),340.0)</f>
        <v>340</v>
      </c>
    </row>
    <row r="342">
      <c r="A342" s="3" t="str">
        <f>IFERROR(__xludf.DUMMYFUNCTION("""COMPUTED_VALUE"""),"Yes")</f>
        <v>Yes</v>
      </c>
      <c r="B342" s="3"/>
      <c r="C342" s="3" t="str">
        <f>IFERROR(__xludf.DUMMYFUNCTION("""COMPUTED_VALUE"""),"malawi")</f>
        <v>malawi</v>
      </c>
      <c r="D342" s="3"/>
      <c r="E342" s="3" t="str">
        <f>IFERROR(__xludf.DUMMYFUNCTION("""COMPUTED_VALUE"""),"south_africa")</f>
        <v>south_africa</v>
      </c>
      <c r="F342" s="3" t="str">
        <f>IFERROR(__xludf.DUMMYFUNCTION("""COMPUTED_VALUE"""),"City of Tshwane Metropolitan Municipality")</f>
        <v>City of Tshwane Metropolitan Municipality</v>
      </c>
      <c r="G342" s="3">
        <f>IFERROR(__xludf.DUMMYFUNCTION("""COMPUTED_VALUE"""),29.0)</f>
        <v>29</v>
      </c>
      <c r="H342" s="3" t="str">
        <f>IFERROR(__xludf.DUMMYFUNCTION("""COMPUTED_VALUE"""),"female")</f>
        <v>female</v>
      </c>
      <c r="I342" s="3" t="str">
        <f>IFERROR(__xludf.DUMMYFUNCTION("""COMPUTED_VALUE"""),"less6")</f>
        <v>less6</v>
      </c>
      <c r="J342" s="3" t="str">
        <f>IFERROR(__xludf.DUMMYFUNCTION("""COMPUTED_VALUE"""),"unemployed")</f>
        <v>unemployed</v>
      </c>
      <c r="K342" s="3" t="str">
        <f>IFERROR(__xludf.DUMMYFUNCTION("""COMPUTED_VALUE"""),"secondary")</f>
        <v>secondary</v>
      </c>
      <c r="L342" s="3"/>
      <c r="M342" s="3" t="str">
        <f>IFERROR(__xludf.DUMMYFUNCTION("""COMPUTED_VALUE"""),"agree")</f>
        <v>agree</v>
      </c>
      <c r="N342" s="3" t="str">
        <f>IFERROR(__xludf.DUMMYFUNCTION("""COMPUTED_VALUE"""),"agree")</f>
        <v>agree</v>
      </c>
      <c r="O342" s="3" t="str">
        <f>IFERROR(__xludf.DUMMYFUNCTION("""COMPUTED_VALUE"""),"agree")</f>
        <v>agree</v>
      </c>
      <c r="P342" s="3"/>
      <c r="Q342" s="3" t="str">
        <f>IFERROR(__xludf.DUMMYFUNCTION("""COMPUTED_VALUE"""),"agree")</f>
        <v>agree</v>
      </c>
      <c r="R342" s="3" t="str">
        <f>IFERROR(__xludf.DUMMYFUNCTION("""COMPUTED_VALUE"""),"agree")</f>
        <v>agree</v>
      </c>
      <c r="S342" s="3" t="str">
        <f>IFERROR(__xludf.DUMMYFUNCTION("""COMPUTED_VALUE"""),"agree")</f>
        <v>agree</v>
      </c>
      <c r="T342" s="3" t="str">
        <f>IFERROR(__xludf.DUMMYFUNCTION("""COMPUTED_VALUE"""),"agree")</f>
        <v>agree</v>
      </c>
      <c r="U342" s="3" t="str">
        <f>IFERROR(__xludf.DUMMYFUNCTION("""COMPUTED_VALUE"""),"disagree")</f>
        <v>disagree</v>
      </c>
      <c r="V342" s="3" t="str">
        <f>IFERROR(__xludf.DUMMYFUNCTION("""COMPUTED_VALUE"""),"agree")</f>
        <v>agree</v>
      </c>
      <c r="W342" s="3" t="str">
        <f>IFERROR(__xludf.DUMMYFUNCTION("""COMPUTED_VALUE"""),"agree")</f>
        <v>agree</v>
      </c>
      <c r="X342" s="3" t="str">
        <f>IFERROR(__xludf.DUMMYFUNCTION("""COMPUTED_VALUE"""),"Gold")</f>
        <v>Gold</v>
      </c>
      <c r="Y342" s="3" t="str">
        <f>IFERROR(__xludf.DUMMYFUNCTION("""COMPUTED_VALUE"""),"card")</f>
        <v>card</v>
      </c>
      <c r="Z342" s="3" t="str">
        <f>IFERROR(__xludf.DUMMYFUNCTION("""COMPUTED_VALUE"""),"once")</f>
        <v>once</v>
      </c>
      <c r="AA342" s="3">
        <f>IFERROR(__xludf.DUMMYFUNCTION("""COMPUTED_VALUE"""),30.0)</f>
        <v>30</v>
      </c>
      <c r="AB342" s="3" t="str">
        <f>IFERROR(__xludf.DUMMYFUNCTION("""COMPUTED_VALUE"""),"employer")</f>
        <v>employer</v>
      </c>
      <c r="AC342" s="3" t="str">
        <f>IFERROR(__xludf.DUMMYFUNCTION("""COMPUTED_VALUE"""),"Yes")</f>
        <v>Yes</v>
      </c>
      <c r="AD342" s="3" t="str">
        <f>IFERROR(__xludf.DUMMYFUNCTION("""COMPUTED_VALUE"""),"Gold")</f>
        <v>Gold</v>
      </c>
      <c r="AE342" s="3" t="str">
        <f>IFERROR(__xludf.DUMMYFUNCTION("""COMPUTED_VALUE"""),"Yes")</f>
        <v>Yes</v>
      </c>
      <c r="AF342" s="3" t="str">
        <f>IFERROR(__xludf.DUMMYFUNCTION("""COMPUTED_VALUE"""),"Yes")</f>
        <v>Yes</v>
      </c>
      <c r="AG342" s="3" t="str">
        <f>IFERROR(__xludf.DUMMYFUNCTION("""COMPUTED_VALUE"""),"No")</f>
        <v>No</v>
      </c>
      <c r="AH342" s="3"/>
      <c r="AI342" s="3">
        <f>IFERROR(__xludf.DUMMYFUNCTION("""COMPUTED_VALUE"""),0.0)</f>
        <v>0</v>
      </c>
      <c r="AJ342" s="3">
        <f>IFERROR(__xludf.DUMMYFUNCTION("""COMPUTED_VALUE"""),0.0)</f>
        <v>0</v>
      </c>
      <c r="AK342" s="3">
        <f>IFERROR(__xludf.DUMMYFUNCTION("""COMPUTED_VALUE"""),0.0)</f>
        <v>0</v>
      </c>
      <c r="AL342" s="3">
        <f>IFERROR(__xludf.DUMMYFUNCTION("""COMPUTED_VALUE"""),1.0)</f>
        <v>1</v>
      </c>
      <c r="AM342" s="3" t="str">
        <f>IFERROR(__xludf.DUMMYFUNCTION("""COMPUTED_VALUE"""),"No")</f>
        <v>No</v>
      </c>
      <c r="AN342" s="3"/>
      <c r="AO342" s="3"/>
      <c r="AP342" s="3">
        <f>IFERROR(__xludf.DUMMYFUNCTION("""COMPUTED_VALUE"""),4.90969826E8)</f>
        <v>490969826</v>
      </c>
      <c r="AQ342" s="3" t="str">
        <f>IFERROR(__xludf.DUMMYFUNCTION("""COMPUTED_VALUE"""),"59cadfa3-5613-4a67-a903-69a08a954b75")</f>
        <v>59cadfa3-5613-4a67-a903-69a08a954b75</v>
      </c>
      <c r="AR342" s="3">
        <f>IFERROR(__xludf.DUMMYFUNCTION("""COMPUTED_VALUE"""),45810.55866898148)</f>
        <v>45810.55867</v>
      </c>
      <c r="AS342" s="3"/>
      <c r="AT342" s="3"/>
      <c r="AU342" s="3" t="str">
        <f>IFERROR(__xludf.DUMMYFUNCTION("""COMPUTED_VALUE"""),"submitted_via_web")</f>
        <v>submitted_via_web</v>
      </c>
      <c r="AV342" s="3"/>
      <c r="AW342" s="3" t="str">
        <f>IFERROR(__xludf.DUMMYFUNCTION("""COMPUTED_VALUE"""),"vckVTgNzM4XXtKAKNnsHpB")</f>
        <v>vckVTgNzM4XXtKAKNnsHpB</v>
      </c>
      <c r="AX342" s="3"/>
      <c r="AY342" s="3">
        <f>IFERROR(__xludf.DUMMYFUNCTION("""COMPUTED_VALUE"""),341.0)</f>
        <v>341</v>
      </c>
    </row>
    <row r="343">
      <c r="A343" s="3" t="str">
        <f>IFERROR(__xludf.DUMMYFUNCTION("""COMPUTED_VALUE"""),"Yes")</f>
        <v>Yes</v>
      </c>
      <c r="B343" s="3"/>
      <c r="C343" s="3" t="str">
        <f>IFERROR(__xludf.DUMMYFUNCTION("""COMPUTED_VALUE"""),"malawi")</f>
        <v>malawi</v>
      </c>
      <c r="D343" s="3"/>
      <c r="E343" s="3" t="str">
        <f>IFERROR(__xludf.DUMMYFUNCTION("""COMPUTED_VALUE"""),"south_africa")</f>
        <v>south_africa</v>
      </c>
      <c r="F343" s="3" t="str">
        <f>IFERROR(__xludf.DUMMYFUNCTION("""COMPUTED_VALUE"""),"City of Tshwane Metropolitan Municipality")</f>
        <v>City of Tshwane Metropolitan Municipality</v>
      </c>
      <c r="G343" s="3">
        <f>IFERROR(__xludf.DUMMYFUNCTION("""COMPUTED_VALUE"""),40.0)</f>
        <v>40</v>
      </c>
      <c r="H343" s="3" t="str">
        <f>IFERROR(__xludf.DUMMYFUNCTION("""COMPUTED_VALUE"""),"male")</f>
        <v>male</v>
      </c>
      <c r="I343" s="3" t="str">
        <f>IFERROR(__xludf.DUMMYFUNCTION("""COMPUTED_VALUE"""),"over5")</f>
        <v>over5</v>
      </c>
      <c r="J343" s="3" t="str">
        <f>IFERROR(__xludf.DUMMYFUNCTION("""COMPUTED_VALUE"""),"informal")</f>
        <v>informal</v>
      </c>
      <c r="K343" s="3" t="str">
        <f>IFERROR(__xludf.DUMMYFUNCTION("""COMPUTED_VALUE"""),"vocational")</f>
        <v>vocational</v>
      </c>
      <c r="L343" s="3"/>
      <c r="M343" s="3" t="str">
        <f>IFERROR(__xludf.DUMMYFUNCTION("""COMPUTED_VALUE"""),"agree")</f>
        <v>agree</v>
      </c>
      <c r="N343" s="3" t="str">
        <f>IFERROR(__xludf.DUMMYFUNCTION("""COMPUTED_VALUE"""),"agree")</f>
        <v>agree</v>
      </c>
      <c r="O343" s="3" t="str">
        <f>IFERROR(__xludf.DUMMYFUNCTION("""COMPUTED_VALUE"""),"agree")</f>
        <v>agree</v>
      </c>
      <c r="P343" s="3"/>
      <c r="Q343" s="3" t="str">
        <f>IFERROR(__xludf.DUMMYFUNCTION("""COMPUTED_VALUE"""),"agree")</f>
        <v>agree</v>
      </c>
      <c r="R343" s="3" t="str">
        <f>IFERROR(__xludf.DUMMYFUNCTION("""COMPUTED_VALUE"""),"agree")</f>
        <v>agree</v>
      </c>
      <c r="S343" s="3" t="str">
        <f>IFERROR(__xludf.DUMMYFUNCTION("""COMPUTED_VALUE"""),"agree")</f>
        <v>agree</v>
      </c>
      <c r="T343" s="3" t="str">
        <f>IFERROR(__xludf.DUMMYFUNCTION("""COMPUTED_VALUE"""),"agree")</f>
        <v>agree</v>
      </c>
      <c r="U343" s="3" t="str">
        <f>IFERROR(__xludf.DUMMYFUNCTION("""COMPUTED_VALUE"""),"agree")</f>
        <v>agree</v>
      </c>
      <c r="V343" s="3" t="str">
        <f>IFERROR(__xludf.DUMMYFUNCTION("""COMPUTED_VALUE"""),"agree")</f>
        <v>agree</v>
      </c>
      <c r="W343" s="3" t="str">
        <f>IFERROR(__xludf.DUMMYFUNCTION("""COMPUTED_VALUE"""),"agree")</f>
        <v>agree</v>
      </c>
      <c r="X343" s="3" t="str">
        <f>IFERROR(__xludf.DUMMYFUNCTION("""COMPUTED_VALUE"""),"Gold")</f>
        <v>Gold</v>
      </c>
      <c r="Y343" s="3" t="str">
        <f>IFERROR(__xludf.DUMMYFUNCTION("""COMPUTED_VALUE"""),"card")</f>
        <v>card</v>
      </c>
      <c r="Z343" s="3" t="str">
        <f>IFERROR(__xludf.DUMMYFUNCTION("""COMPUTED_VALUE"""),"monthly")</f>
        <v>monthly</v>
      </c>
      <c r="AA343" s="3">
        <f>IFERROR(__xludf.DUMMYFUNCTION("""COMPUTED_VALUE"""),20.0)</f>
        <v>20</v>
      </c>
      <c r="AB343" s="3" t="str">
        <f>IFERROR(__xludf.DUMMYFUNCTION("""COMPUTED_VALUE"""),"employer")</f>
        <v>employer</v>
      </c>
      <c r="AC343" s="3" t="str">
        <f>IFERROR(__xludf.DUMMYFUNCTION("""COMPUTED_VALUE"""),"Yes")</f>
        <v>Yes</v>
      </c>
      <c r="AD343" s="3" t="str">
        <f>IFERROR(__xludf.DUMMYFUNCTION("""COMPUTED_VALUE"""),"Gold")</f>
        <v>Gold</v>
      </c>
      <c r="AE343" s="3" t="str">
        <f>IFERROR(__xludf.DUMMYFUNCTION("""COMPUTED_VALUE"""),"Yes")</f>
        <v>Yes</v>
      </c>
      <c r="AF343" s="3" t="str">
        <f>IFERROR(__xludf.DUMMYFUNCTION("""COMPUTED_VALUE"""),"Yes")</f>
        <v>Yes</v>
      </c>
      <c r="AG343" s="3" t="str">
        <f>IFERROR(__xludf.DUMMYFUNCTION("""COMPUTED_VALUE"""),"No")</f>
        <v>No</v>
      </c>
      <c r="AH343" s="3"/>
      <c r="AI343" s="3">
        <f>IFERROR(__xludf.DUMMYFUNCTION("""COMPUTED_VALUE"""),0.0)</f>
        <v>0</v>
      </c>
      <c r="AJ343" s="3">
        <f>IFERROR(__xludf.DUMMYFUNCTION("""COMPUTED_VALUE"""),0.0)</f>
        <v>0</v>
      </c>
      <c r="AK343" s="3">
        <f>IFERROR(__xludf.DUMMYFUNCTION("""COMPUTED_VALUE"""),0.0)</f>
        <v>0</v>
      </c>
      <c r="AL343" s="3">
        <f>IFERROR(__xludf.DUMMYFUNCTION("""COMPUTED_VALUE"""),1.0)</f>
        <v>1</v>
      </c>
      <c r="AM343" s="3" t="str">
        <f>IFERROR(__xludf.DUMMYFUNCTION("""COMPUTED_VALUE"""),"No")</f>
        <v>No</v>
      </c>
      <c r="AN343" s="3"/>
      <c r="AO343" s="3"/>
      <c r="AP343" s="3">
        <f>IFERROR(__xludf.DUMMYFUNCTION("""COMPUTED_VALUE"""),4.90974958E8)</f>
        <v>490974958</v>
      </c>
      <c r="AQ343" s="3" t="str">
        <f>IFERROR(__xludf.DUMMYFUNCTION("""COMPUTED_VALUE"""),"7d0fd32f-afa3-48c8-b2a7-f144e6513628")</f>
        <v>7d0fd32f-afa3-48c8-b2a7-f144e6513628</v>
      </c>
      <c r="AR343" s="3">
        <f>IFERROR(__xludf.DUMMYFUNCTION("""COMPUTED_VALUE"""),45810.563206018516)</f>
        <v>45810.56321</v>
      </c>
      <c r="AS343" s="3"/>
      <c r="AT343" s="3"/>
      <c r="AU343" s="3" t="str">
        <f>IFERROR(__xludf.DUMMYFUNCTION("""COMPUTED_VALUE"""),"submitted_via_web")</f>
        <v>submitted_via_web</v>
      </c>
      <c r="AV343" s="3"/>
      <c r="AW343" s="3" t="str">
        <f>IFERROR(__xludf.DUMMYFUNCTION("""COMPUTED_VALUE"""),"vckVTgNzM4XXtKAKNnsHpB")</f>
        <v>vckVTgNzM4XXtKAKNnsHpB</v>
      </c>
      <c r="AX343" s="3"/>
      <c r="AY343" s="3">
        <f>IFERROR(__xludf.DUMMYFUNCTION("""COMPUTED_VALUE"""),342.0)</f>
        <v>342</v>
      </c>
    </row>
    <row r="344">
      <c r="A344" s="3" t="str">
        <f>IFERROR(__xludf.DUMMYFUNCTION("""COMPUTED_VALUE"""),"Yes")</f>
        <v>Yes</v>
      </c>
      <c r="B344" s="3"/>
      <c r="C344" s="3" t="str">
        <f>IFERROR(__xludf.DUMMYFUNCTION("""COMPUTED_VALUE"""),"zimbabwe")</f>
        <v>zimbabwe</v>
      </c>
      <c r="D344" s="3"/>
      <c r="E344" s="3" t="str">
        <f>IFERROR(__xludf.DUMMYFUNCTION("""COMPUTED_VALUE"""),"south_africa")</f>
        <v>south_africa</v>
      </c>
      <c r="F344" s="3" t="str">
        <f>IFERROR(__xludf.DUMMYFUNCTION("""COMPUTED_VALUE"""),"City of Tshwane Metropolitan Municipality")</f>
        <v>City of Tshwane Metropolitan Municipality</v>
      </c>
      <c r="G344" s="3">
        <f>IFERROR(__xludf.DUMMYFUNCTION("""COMPUTED_VALUE"""),26.0)</f>
        <v>26</v>
      </c>
      <c r="H344" s="3" t="str">
        <f>IFERROR(__xludf.DUMMYFUNCTION("""COMPUTED_VALUE"""),"female")</f>
        <v>female</v>
      </c>
      <c r="I344" s="3" t="str">
        <f>IFERROR(__xludf.DUMMYFUNCTION("""COMPUTED_VALUE"""),"1to5")</f>
        <v>1to5</v>
      </c>
      <c r="J344" s="3" t="str">
        <f>IFERROR(__xludf.DUMMYFUNCTION("""COMPUTED_VALUE"""),"informal")</f>
        <v>informal</v>
      </c>
      <c r="K344" s="3" t="str">
        <f>IFERROR(__xludf.DUMMYFUNCTION("""COMPUTED_VALUE"""),"vocational")</f>
        <v>vocational</v>
      </c>
      <c r="L344" s="3"/>
      <c r="M344" s="3" t="str">
        <f>IFERROR(__xludf.DUMMYFUNCTION("""COMPUTED_VALUE"""),"agree")</f>
        <v>agree</v>
      </c>
      <c r="N344" s="3" t="str">
        <f>IFERROR(__xludf.DUMMYFUNCTION("""COMPUTED_VALUE"""),"agree")</f>
        <v>agree</v>
      </c>
      <c r="O344" s="3" t="str">
        <f>IFERROR(__xludf.DUMMYFUNCTION("""COMPUTED_VALUE"""),"agree")</f>
        <v>agree</v>
      </c>
      <c r="P344" s="3"/>
      <c r="Q344" s="3" t="str">
        <f>IFERROR(__xludf.DUMMYFUNCTION("""COMPUTED_VALUE"""),"agree")</f>
        <v>agree</v>
      </c>
      <c r="R344" s="3" t="str">
        <f>IFERROR(__xludf.DUMMYFUNCTION("""COMPUTED_VALUE"""),"agree")</f>
        <v>agree</v>
      </c>
      <c r="S344" s="3" t="str">
        <f>IFERROR(__xludf.DUMMYFUNCTION("""COMPUTED_VALUE"""),"agree")</f>
        <v>agree</v>
      </c>
      <c r="T344" s="3" t="str">
        <f>IFERROR(__xludf.DUMMYFUNCTION("""COMPUTED_VALUE"""),"agree")</f>
        <v>agree</v>
      </c>
      <c r="U344" s="3" t="str">
        <f>IFERROR(__xludf.DUMMYFUNCTION("""COMPUTED_VALUE"""),"agree")</f>
        <v>agree</v>
      </c>
      <c r="V344" s="3" t="str">
        <f>IFERROR(__xludf.DUMMYFUNCTION("""COMPUTED_VALUE"""),"agree")</f>
        <v>agree</v>
      </c>
      <c r="W344" s="3" t="str">
        <f>IFERROR(__xludf.DUMMYFUNCTION("""COMPUTED_VALUE"""),"agree")</f>
        <v>agree</v>
      </c>
      <c r="X344" s="3" t="str">
        <f>IFERROR(__xludf.DUMMYFUNCTION("""COMPUTED_VALUE"""),"Gold")</f>
        <v>Gold</v>
      </c>
      <c r="Y344" s="3" t="str">
        <f>IFERROR(__xludf.DUMMYFUNCTION("""COMPUTED_VALUE"""),"cash")</f>
        <v>cash</v>
      </c>
      <c r="Z344" s="3" t="str">
        <f>IFERROR(__xludf.DUMMYFUNCTION("""COMPUTED_VALUE"""),"monthly")</f>
        <v>monthly</v>
      </c>
      <c r="AA344" s="3">
        <f>IFERROR(__xludf.DUMMYFUNCTION("""COMPUTED_VALUE"""),30.0)</f>
        <v>30</v>
      </c>
      <c r="AB344" s="3" t="str">
        <f>IFERROR(__xludf.DUMMYFUNCTION("""COMPUTED_VALUE"""),"employer")</f>
        <v>employer</v>
      </c>
      <c r="AC344" s="3" t="str">
        <f>IFERROR(__xludf.DUMMYFUNCTION("""COMPUTED_VALUE"""),"I am not an employer")</f>
        <v>I am not an employer</v>
      </c>
      <c r="AD344" s="3"/>
      <c r="AE344" s="3"/>
      <c r="AF344" s="3" t="str">
        <f>IFERROR(__xludf.DUMMYFUNCTION("""COMPUTED_VALUE"""),"Yes")</f>
        <v>Yes</v>
      </c>
      <c r="AG344" s="3" t="str">
        <f>IFERROR(__xludf.DUMMYFUNCTION("""COMPUTED_VALUE"""),"No")</f>
        <v>No</v>
      </c>
      <c r="AH344" s="3"/>
      <c r="AI344" s="3">
        <f>IFERROR(__xludf.DUMMYFUNCTION("""COMPUTED_VALUE"""),0.0)</f>
        <v>0</v>
      </c>
      <c r="AJ344" s="3">
        <f>IFERROR(__xludf.DUMMYFUNCTION("""COMPUTED_VALUE"""),0.0)</f>
        <v>0</v>
      </c>
      <c r="AK344" s="3">
        <f>IFERROR(__xludf.DUMMYFUNCTION("""COMPUTED_VALUE"""),0.0)</f>
        <v>0</v>
      </c>
      <c r="AL344" s="3">
        <f>IFERROR(__xludf.DUMMYFUNCTION("""COMPUTED_VALUE"""),1.0)</f>
        <v>1</v>
      </c>
      <c r="AM344" s="3" t="str">
        <f>IFERROR(__xludf.DUMMYFUNCTION("""COMPUTED_VALUE"""),"No")</f>
        <v>No</v>
      </c>
      <c r="AN344" s="3"/>
      <c r="AO344" s="3"/>
      <c r="AP344" s="3">
        <f>IFERROR(__xludf.DUMMYFUNCTION("""COMPUTED_VALUE"""),4.90977302E8)</f>
        <v>490977302</v>
      </c>
      <c r="AQ344" s="3" t="str">
        <f>IFERROR(__xludf.DUMMYFUNCTION("""COMPUTED_VALUE"""),"bf0ee039-d672-49ac-b890-de855d936b1e")</f>
        <v>bf0ee039-d672-49ac-b890-de855d936b1e</v>
      </c>
      <c r="AR344" s="3">
        <f>IFERROR(__xludf.DUMMYFUNCTION("""COMPUTED_VALUE"""),45810.56553240741)</f>
        <v>45810.56553</v>
      </c>
      <c r="AS344" s="3"/>
      <c r="AT344" s="3"/>
      <c r="AU344" s="3" t="str">
        <f>IFERROR(__xludf.DUMMYFUNCTION("""COMPUTED_VALUE"""),"submitted_via_web")</f>
        <v>submitted_via_web</v>
      </c>
      <c r="AV344" s="3"/>
      <c r="AW344" s="3" t="str">
        <f>IFERROR(__xludf.DUMMYFUNCTION("""COMPUTED_VALUE"""),"vckVTgNzM4XXtKAKNnsHpB")</f>
        <v>vckVTgNzM4XXtKAKNnsHpB</v>
      </c>
      <c r="AX344" s="3"/>
      <c r="AY344" s="3">
        <f>IFERROR(__xludf.DUMMYFUNCTION("""COMPUTED_VALUE"""),343.0)</f>
        <v>343</v>
      </c>
    </row>
    <row r="345">
      <c r="A345" s="3" t="str">
        <f>IFERROR(__xludf.DUMMYFUNCTION("""COMPUTED_VALUE"""),"Yes")</f>
        <v>Yes</v>
      </c>
      <c r="B345" s="3"/>
      <c r="C345" s="3" t="str">
        <f>IFERROR(__xludf.DUMMYFUNCTION("""COMPUTED_VALUE"""),"zimbabwe")</f>
        <v>zimbabwe</v>
      </c>
      <c r="D345" s="3"/>
      <c r="E345" s="3" t="str">
        <f>IFERROR(__xludf.DUMMYFUNCTION("""COMPUTED_VALUE"""),"south_africa")</f>
        <v>south_africa</v>
      </c>
      <c r="F345" s="3" t="str">
        <f>IFERROR(__xludf.DUMMYFUNCTION("""COMPUTED_VALUE"""),"City of Tshwane Metropolitan Municipality")</f>
        <v>City of Tshwane Metropolitan Municipality</v>
      </c>
      <c r="G345" s="3">
        <f>IFERROR(__xludf.DUMMYFUNCTION("""COMPUTED_VALUE"""),47.0)</f>
        <v>47</v>
      </c>
      <c r="H345" s="3" t="str">
        <f>IFERROR(__xludf.DUMMYFUNCTION("""COMPUTED_VALUE"""),"female")</f>
        <v>female</v>
      </c>
      <c r="I345" s="3" t="str">
        <f>IFERROR(__xludf.DUMMYFUNCTION("""COMPUTED_VALUE"""),"less6")</f>
        <v>less6</v>
      </c>
      <c r="J345" s="3" t="str">
        <f>IFERROR(__xludf.DUMMYFUNCTION("""COMPUTED_VALUE"""),"informal")</f>
        <v>informal</v>
      </c>
      <c r="K345" s="3" t="str">
        <f>IFERROR(__xludf.DUMMYFUNCTION("""COMPUTED_VALUE"""),"secondary")</f>
        <v>secondary</v>
      </c>
      <c r="L345" s="3"/>
      <c r="M345" s="3" t="str">
        <f>IFERROR(__xludf.DUMMYFUNCTION("""COMPUTED_VALUE"""),"agree")</f>
        <v>agree</v>
      </c>
      <c r="N345" s="3" t="str">
        <f>IFERROR(__xludf.DUMMYFUNCTION("""COMPUTED_VALUE"""),"agree")</f>
        <v>agree</v>
      </c>
      <c r="O345" s="3" t="str">
        <f>IFERROR(__xludf.DUMMYFUNCTION("""COMPUTED_VALUE"""),"agree")</f>
        <v>agree</v>
      </c>
      <c r="P345" s="3"/>
      <c r="Q345" s="3" t="str">
        <f>IFERROR(__xludf.DUMMYFUNCTION("""COMPUTED_VALUE"""),"agree")</f>
        <v>agree</v>
      </c>
      <c r="R345" s="3" t="str">
        <f>IFERROR(__xludf.DUMMYFUNCTION("""COMPUTED_VALUE"""),"agree")</f>
        <v>agree</v>
      </c>
      <c r="S345" s="3" t="str">
        <f>IFERROR(__xludf.DUMMYFUNCTION("""COMPUTED_VALUE"""),"agree")</f>
        <v>agree</v>
      </c>
      <c r="T345" s="3" t="str">
        <f>IFERROR(__xludf.DUMMYFUNCTION("""COMPUTED_VALUE"""),"agree")</f>
        <v>agree</v>
      </c>
      <c r="U345" s="3" t="str">
        <f>IFERROR(__xludf.DUMMYFUNCTION("""COMPUTED_VALUE"""),"agree")</f>
        <v>agree</v>
      </c>
      <c r="V345" s="3" t="str">
        <f>IFERROR(__xludf.DUMMYFUNCTION("""COMPUTED_VALUE"""),"agree")</f>
        <v>agree</v>
      </c>
      <c r="W345" s="3" t="str">
        <f>IFERROR(__xludf.DUMMYFUNCTION("""COMPUTED_VALUE"""),"agree")</f>
        <v>agree</v>
      </c>
      <c r="X345" s="3" t="str">
        <f>IFERROR(__xludf.DUMMYFUNCTION("""COMPUTED_VALUE"""),"Gold")</f>
        <v>Gold</v>
      </c>
      <c r="Y345" s="3" t="str">
        <f>IFERROR(__xludf.DUMMYFUNCTION("""COMPUTED_VALUE"""),"cash")</f>
        <v>cash</v>
      </c>
      <c r="Z345" s="3" t="str">
        <f>IFERROR(__xludf.DUMMYFUNCTION("""COMPUTED_VALUE"""),"once")</f>
        <v>once</v>
      </c>
      <c r="AA345" s="3">
        <f>IFERROR(__xludf.DUMMYFUNCTION("""COMPUTED_VALUE"""),40.0)</f>
        <v>40</v>
      </c>
      <c r="AB345" s="3" t="str">
        <f>IFERROR(__xludf.DUMMYFUNCTION("""COMPUTED_VALUE"""),"employer")</f>
        <v>employer</v>
      </c>
      <c r="AC345" s="3" t="str">
        <f>IFERROR(__xludf.DUMMYFUNCTION("""COMPUTED_VALUE"""),"I am not an employer")</f>
        <v>I am not an employer</v>
      </c>
      <c r="AD345" s="3"/>
      <c r="AE345" s="3"/>
      <c r="AF345" s="3" t="str">
        <f>IFERROR(__xludf.DUMMYFUNCTION("""COMPUTED_VALUE"""),"Yes")</f>
        <v>Yes</v>
      </c>
      <c r="AG345" s="3" t="str">
        <f>IFERROR(__xludf.DUMMYFUNCTION("""COMPUTED_VALUE"""),"No")</f>
        <v>No</v>
      </c>
      <c r="AH345" s="3"/>
      <c r="AI345" s="3">
        <f>IFERROR(__xludf.DUMMYFUNCTION("""COMPUTED_VALUE"""),0.0)</f>
        <v>0</v>
      </c>
      <c r="AJ345" s="3">
        <f>IFERROR(__xludf.DUMMYFUNCTION("""COMPUTED_VALUE"""),0.0)</f>
        <v>0</v>
      </c>
      <c r="AK345" s="3">
        <f>IFERROR(__xludf.DUMMYFUNCTION("""COMPUTED_VALUE"""),0.0)</f>
        <v>0</v>
      </c>
      <c r="AL345" s="3">
        <f>IFERROR(__xludf.DUMMYFUNCTION("""COMPUTED_VALUE"""),1.0)</f>
        <v>1</v>
      </c>
      <c r="AM345" s="3" t="str">
        <f>IFERROR(__xludf.DUMMYFUNCTION("""COMPUTED_VALUE"""),"No")</f>
        <v>No</v>
      </c>
      <c r="AN345" s="3"/>
      <c r="AO345" s="3"/>
      <c r="AP345" s="3">
        <f>IFERROR(__xludf.DUMMYFUNCTION("""COMPUTED_VALUE"""),4.90981552E8)</f>
        <v>490981552</v>
      </c>
      <c r="AQ345" s="3" t="str">
        <f>IFERROR(__xludf.DUMMYFUNCTION("""COMPUTED_VALUE"""),"c0eca709-acad-4ee4-bc8d-e51a66c2d2c2")</f>
        <v>c0eca709-acad-4ee4-bc8d-e51a66c2d2c2</v>
      </c>
      <c r="AR345" s="3">
        <f>IFERROR(__xludf.DUMMYFUNCTION("""COMPUTED_VALUE"""),45810.56888888889)</f>
        <v>45810.56889</v>
      </c>
      <c r="AS345" s="3"/>
      <c r="AT345" s="3"/>
      <c r="AU345" s="3" t="str">
        <f>IFERROR(__xludf.DUMMYFUNCTION("""COMPUTED_VALUE"""),"submitted_via_web")</f>
        <v>submitted_via_web</v>
      </c>
      <c r="AV345" s="3"/>
      <c r="AW345" s="3" t="str">
        <f>IFERROR(__xludf.DUMMYFUNCTION("""COMPUTED_VALUE"""),"vckVTgNzM4XXtKAKNnsHpB")</f>
        <v>vckVTgNzM4XXtKAKNnsHpB</v>
      </c>
      <c r="AX345" s="3"/>
      <c r="AY345" s="3">
        <f>IFERROR(__xludf.DUMMYFUNCTION("""COMPUTED_VALUE"""),344.0)</f>
        <v>344</v>
      </c>
    </row>
    <row r="346">
      <c r="A346" s="3" t="str">
        <f>IFERROR(__xludf.DUMMYFUNCTION("""COMPUTED_VALUE"""),"Yes")</f>
        <v>Yes</v>
      </c>
      <c r="B346" s="3"/>
      <c r="C346" s="3" t="str">
        <f>IFERROR(__xludf.DUMMYFUNCTION("""COMPUTED_VALUE"""),"zimbabwe")</f>
        <v>zimbabwe</v>
      </c>
      <c r="D346" s="3"/>
      <c r="E346" s="3" t="str">
        <f>IFERROR(__xludf.DUMMYFUNCTION("""COMPUTED_VALUE"""),"south_africa")</f>
        <v>south_africa</v>
      </c>
      <c r="F346" s="3" t="str">
        <f>IFERROR(__xludf.DUMMYFUNCTION("""COMPUTED_VALUE"""),"City of Tshwane Metropolitan Municipality")</f>
        <v>City of Tshwane Metropolitan Municipality</v>
      </c>
      <c r="G346" s="3">
        <f>IFERROR(__xludf.DUMMYFUNCTION("""COMPUTED_VALUE"""),32.0)</f>
        <v>32</v>
      </c>
      <c r="H346" s="3" t="str">
        <f>IFERROR(__xludf.DUMMYFUNCTION("""COMPUTED_VALUE"""),"female")</f>
        <v>female</v>
      </c>
      <c r="I346" s="3" t="str">
        <f>IFERROR(__xludf.DUMMYFUNCTION("""COMPUTED_VALUE"""),"1to5")</f>
        <v>1to5</v>
      </c>
      <c r="J346" s="3" t="str">
        <f>IFERROR(__xludf.DUMMYFUNCTION("""COMPUTED_VALUE"""),"informal")</f>
        <v>informal</v>
      </c>
      <c r="K346" s="3" t="str">
        <f>IFERROR(__xludf.DUMMYFUNCTION("""COMPUTED_VALUE"""),"primary")</f>
        <v>primary</v>
      </c>
      <c r="L346" s="3"/>
      <c r="M346" s="3" t="str">
        <f>IFERROR(__xludf.DUMMYFUNCTION("""COMPUTED_VALUE"""),"agree")</f>
        <v>agree</v>
      </c>
      <c r="N346" s="3" t="str">
        <f>IFERROR(__xludf.DUMMYFUNCTION("""COMPUTED_VALUE"""),"agree")</f>
        <v>agree</v>
      </c>
      <c r="O346" s="3" t="str">
        <f>IFERROR(__xludf.DUMMYFUNCTION("""COMPUTED_VALUE"""),"agree")</f>
        <v>agree</v>
      </c>
      <c r="P346" s="3"/>
      <c r="Q346" s="3" t="str">
        <f>IFERROR(__xludf.DUMMYFUNCTION("""COMPUTED_VALUE"""),"agree")</f>
        <v>agree</v>
      </c>
      <c r="R346" s="3" t="str">
        <f>IFERROR(__xludf.DUMMYFUNCTION("""COMPUTED_VALUE"""),"agree")</f>
        <v>agree</v>
      </c>
      <c r="S346" s="3" t="str">
        <f>IFERROR(__xludf.DUMMYFUNCTION("""COMPUTED_VALUE"""),"agree")</f>
        <v>agree</v>
      </c>
      <c r="T346" s="3" t="str">
        <f>IFERROR(__xludf.DUMMYFUNCTION("""COMPUTED_VALUE"""),"agree")</f>
        <v>agree</v>
      </c>
      <c r="U346" s="3" t="str">
        <f>IFERROR(__xludf.DUMMYFUNCTION("""COMPUTED_VALUE"""),"agree")</f>
        <v>agree</v>
      </c>
      <c r="V346" s="3" t="str">
        <f>IFERROR(__xludf.DUMMYFUNCTION("""COMPUTED_VALUE"""),"agree")</f>
        <v>agree</v>
      </c>
      <c r="W346" s="3" t="str">
        <f>IFERROR(__xludf.DUMMYFUNCTION("""COMPUTED_VALUE"""),"agree")</f>
        <v>agree</v>
      </c>
      <c r="X346" s="3" t="str">
        <f>IFERROR(__xludf.DUMMYFUNCTION("""COMPUTED_VALUE"""),"Gold")</f>
        <v>Gold</v>
      </c>
      <c r="Y346" s="3" t="str">
        <f>IFERROR(__xludf.DUMMYFUNCTION("""COMPUTED_VALUE"""),"cash")</f>
        <v>cash</v>
      </c>
      <c r="Z346" s="3" t="str">
        <f>IFERROR(__xludf.DUMMYFUNCTION("""COMPUTED_VALUE"""),"monthly")</f>
        <v>monthly</v>
      </c>
      <c r="AA346" s="3">
        <f>IFERROR(__xludf.DUMMYFUNCTION("""COMPUTED_VALUE"""),20.0)</f>
        <v>20</v>
      </c>
      <c r="AB346" s="3" t="str">
        <f>IFERROR(__xludf.DUMMYFUNCTION("""COMPUTED_VALUE"""),"assisted")</f>
        <v>assisted</v>
      </c>
      <c r="AC346" s="3" t="str">
        <f>IFERROR(__xludf.DUMMYFUNCTION("""COMPUTED_VALUE"""),"Yes")</f>
        <v>Yes</v>
      </c>
      <c r="AD346" s="3" t="str">
        <f>IFERROR(__xludf.DUMMYFUNCTION("""COMPUTED_VALUE"""),"Gold")</f>
        <v>Gold</v>
      </c>
      <c r="AE346" s="3" t="str">
        <f>IFERROR(__xludf.DUMMYFUNCTION("""COMPUTED_VALUE"""),"Yes")</f>
        <v>Yes</v>
      </c>
      <c r="AF346" s="3" t="str">
        <f>IFERROR(__xludf.DUMMYFUNCTION("""COMPUTED_VALUE"""),"Yes")</f>
        <v>Yes</v>
      </c>
      <c r="AG346" s="3" t="str">
        <f>IFERROR(__xludf.DUMMYFUNCTION("""COMPUTED_VALUE"""),"Yes")</f>
        <v>Yes</v>
      </c>
      <c r="AH346" s="3"/>
      <c r="AI346" s="3">
        <f>IFERROR(__xludf.DUMMYFUNCTION("""COMPUTED_VALUE"""),1.0)</f>
        <v>1</v>
      </c>
      <c r="AJ346" s="3">
        <f>IFERROR(__xludf.DUMMYFUNCTION("""COMPUTED_VALUE"""),0.0)</f>
        <v>0</v>
      </c>
      <c r="AK346" s="3">
        <f>IFERROR(__xludf.DUMMYFUNCTION("""COMPUTED_VALUE"""),0.0)</f>
        <v>0</v>
      </c>
      <c r="AL346" s="3">
        <f>IFERROR(__xludf.DUMMYFUNCTION("""COMPUTED_VALUE"""),0.0)</f>
        <v>0</v>
      </c>
      <c r="AM346" s="3" t="str">
        <f>IFERROR(__xludf.DUMMYFUNCTION("""COMPUTED_VALUE"""),"Yes")</f>
        <v>Yes</v>
      </c>
      <c r="AN346" s="3"/>
      <c r="AO346" s="3"/>
      <c r="AP346" s="3">
        <f>IFERROR(__xludf.DUMMYFUNCTION("""COMPUTED_VALUE"""),4.90983613E8)</f>
        <v>490983613</v>
      </c>
      <c r="AQ346" s="3" t="str">
        <f>IFERROR(__xludf.DUMMYFUNCTION("""COMPUTED_VALUE"""),"86680c62-0054-4132-b981-21615eb72f43")</f>
        <v>86680c62-0054-4132-b981-21615eb72f43</v>
      </c>
      <c r="AR346" s="3">
        <f>IFERROR(__xludf.DUMMYFUNCTION("""COMPUTED_VALUE"""),45810.57034722222)</f>
        <v>45810.57035</v>
      </c>
      <c r="AS346" s="3"/>
      <c r="AT346" s="3"/>
      <c r="AU346" s="3" t="str">
        <f>IFERROR(__xludf.DUMMYFUNCTION("""COMPUTED_VALUE"""),"submitted_via_web")</f>
        <v>submitted_via_web</v>
      </c>
      <c r="AV346" s="3"/>
      <c r="AW346" s="3" t="str">
        <f>IFERROR(__xludf.DUMMYFUNCTION("""COMPUTED_VALUE"""),"vckVTgNzM4XXtKAKNnsHpB")</f>
        <v>vckVTgNzM4XXtKAKNnsHpB</v>
      </c>
      <c r="AX346" s="3"/>
      <c r="AY346" s="3">
        <f>IFERROR(__xludf.DUMMYFUNCTION("""COMPUTED_VALUE"""),345.0)</f>
        <v>345</v>
      </c>
    </row>
    <row r="347">
      <c r="A347" s="3" t="str">
        <f>IFERROR(__xludf.DUMMYFUNCTION("""COMPUTED_VALUE"""),"Yes")</f>
        <v>Yes</v>
      </c>
      <c r="B347" s="3"/>
      <c r="C347" s="3" t="str">
        <f>IFERROR(__xludf.DUMMYFUNCTION("""COMPUTED_VALUE"""),"zimbabwe")</f>
        <v>zimbabwe</v>
      </c>
      <c r="D347" s="3"/>
      <c r="E347" s="3" t="str">
        <f>IFERROR(__xludf.DUMMYFUNCTION("""COMPUTED_VALUE"""),"south_africa")</f>
        <v>south_africa</v>
      </c>
      <c r="F347" s="3" t="str">
        <f>IFERROR(__xludf.DUMMYFUNCTION("""COMPUTED_VALUE"""),"City of Tshwane Metropolitan Municipality")</f>
        <v>City of Tshwane Metropolitan Municipality</v>
      </c>
      <c r="G347" s="3">
        <f>IFERROR(__xludf.DUMMYFUNCTION("""COMPUTED_VALUE"""),27.0)</f>
        <v>27</v>
      </c>
      <c r="H347" s="3" t="str">
        <f>IFERROR(__xludf.DUMMYFUNCTION("""COMPUTED_VALUE"""),"female")</f>
        <v>female</v>
      </c>
      <c r="I347" s="3" t="str">
        <f>IFERROR(__xludf.DUMMYFUNCTION("""COMPUTED_VALUE"""),"6to12")</f>
        <v>6to12</v>
      </c>
      <c r="J347" s="3" t="str">
        <f>IFERROR(__xludf.DUMMYFUNCTION("""COMPUTED_VALUE"""),"informal")</f>
        <v>informal</v>
      </c>
      <c r="K347" s="3" t="str">
        <f>IFERROR(__xludf.DUMMYFUNCTION("""COMPUTED_VALUE"""),"primary")</f>
        <v>primary</v>
      </c>
      <c r="L347" s="3"/>
      <c r="M347" s="3" t="str">
        <f>IFERROR(__xludf.DUMMYFUNCTION("""COMPUTED_VALUE"""),"agree")</f>
        <v>agree</v>
      </c>
      <c r="N347" s="3" t="str">
        <f>IFERROR(__xludf.DUMMYFUNCTION("""COMPUTED_VALUE"""),"agree")</f>
        <v>agree</v>
      </c>
      <c r="O347" s="3" t="str">
        <f>IFERROR(__xludf.DUMMYFUNCTION("""COMPUTED_VALUE"""),"agree")</f>
        <v>agree</v>
      </c>
      <c r="P347" s="3"/>
      <c r="Q347" s="3" t="str">
        <f>IFERROR(__xludf.DUMMYFUNCTION("""COMPUTED_VALUE"""),"agree")</f>
        <v>agree</v>
      </c>
      <c r="R347" s="3" t="str">
        <f>IFERROR(__xludf.DUMMYFUNCTION("""COMPUTED_VALUE"""),"agree")</f>
        <v>agree</v>
      </c>
      <c r="S347" s="3" t="str">
        <f>IFERROR(__xludf.DUMMYFUNCTION("""COMPUTED_VALUE"""),"agree")</f>
        <v>agree</v>
      </c>
      <c r="T347" s="3" t="str">
        <f>IFERROR(__xludf.DUMMYFUNCTION("""COMPUTED_VALUE"""),"agree")</f>
        <v>agree</v>
      </c>
      <c r="U347" s="3" t="str">
        <f>IFERROR(__xludf.DUMMYFUNCTION("""COMPUTED_VALUE"""),"agree")</f>
        <v>agree</v>
      </c>
      <c r="V347" s="3" t="str">
        <f>IFERROR(__xludf.DUMMYFUNCTION("""COMPUTED_VALUE"""),"agree")</f>
        <v>agree</v>
      </c>
      <c r="W347" s="3" t="str">
        <f>IFERROR(__xludf.DUMMYFUNCTION("""COMPUTED_VALUE"""),"agree")</f>
        <v>agree</v>
      </c>
      <c r="X347" s="3" t="str">
        <f>IFERROR(__xludf.DUMMYFUNCTION("""COMPUTED_VALUE"""),"Gold")</f>
        <v>Gold</v>
      </c>
      <c r="Y347" s="3" t="str">
        <f>IFERROR(__xludf.DUMMYFUNCTION("""COMPUTED_VALUE"""),"cash")</f>
        <v>cash</v>
      </c>
      <c r="Z347" s="3" t="str">
        <f>IFERROR(__xludf.DUMMYFUNCTION("""COMPUTED_VALUE"""),"monthly")</f>
        <v>monthly</v>
      </c>
      <c r="AA347" s="3">
        <f>IFERROR(__xludf.DUMMYFUNCTION("""COMPUTED_VALUE"""),50.0)</f>
        <v>50</v>
      </c>
      <c r="AB347" s="3" t="str">
        <f>IFERROR(__xludf.DUMMYFUNCTION("""COMPUTED_VALUE"""),"assisted")</f>
        <v>assisted</v>
      </c>
      <c r="AC347" s="3" t="str">
        <f>IFERROR(__xludf.DUMMYFUNCTION("""COMPUTED_VALUE"""),"Yes")</f>
        <v>Yes</v>
      </c>
      <c r="AD347" s="3" t="str">
        <f>IFERROR(__xludf.DUMMYFUNCTION("""COMPUTED_VALUE"""),"Gold")</f>
        <v>Gold</v>
      </c>
      <c r="AE347" s="3" t="str">
        <f>IFERROR(__xludf.DUMMYFUNCTION("""COMPUTED_VALUE"""),"Yes")</f>
        <v>Yes</v>
      </c>
      <c r="AF347" s="3" t="str">
        <f>IFERROR(__xludf.DUMMYFUNCTION("""COMPUTED_VALUE"""),"Yes")</f>
        <v>Yes</v>
      </c>
      <c r="AG347" s="3" t="str">
        <f>IFERROR(__xludf.DUMMYFUNCTION("""COMPUTED_VALUE"""),"Yes")</f>
        <v>Yes</v>
      </c>
      <c r="AH347" s="3"/>
      <c r="AI347" s="3">
        <f>IFERROR(__xludf.DUMMYFUNCTION("""COMPUTED_VALUE"""),1.0)</f>
        <v>1</v>
      </c>
      <c r="AJ347" s="3">
        <f>IFERROR(__xludf.DUMMYFUNCTION("""COMPUTED_VALUE"""),0.0)</f>
        <v>0</v>
      </c>
      <c r="AK347" s="3">
        <f>IFERROR(__xludf.DUMMYFUNCTION("""COMPUTED_VALUE"""),0.0)</f>
        <v>0</v>
      </c>
      <c r="AL347" s="3">
        <f>IFERROR(__xludf.DUMMYFUNCTION("""COMPUTED_VALUE"""),0.0)</f>
        <v>0</v>
      </c>
      <c r="AM347" s="3" t="str">
        <f>IFERROR(__xludf.DUMMYFUNCTION("""COMPUTED_VALUE"""),"Yes")</f>
        <v>Yes</v>
      </c>
      <c r="AN347" s="3"/>
      <c r="AO347" s="3"/>
      <c r="AP347" s="3">
        <f>IFERROR(__xludf.DUMMYFUNCTION("""COMPUTED_VALUE"""),4.90985158E8)</f>
        <v>490985158</v>
      </c>
      <c r="AQ347" s="3" t="str">
        <f>IFERROR(__xludf.DUMMYFUNCTION("""COMPUTED_VALUE"""),"f4286040-5e20-4d3e-8aa6-3918c0953a6e")</f>
        <v>f4286040-5e20-4d3e-8aa6-3918c0953a6e</v>
      </c>
      <c r="AR347" s="3">
        <f>IFERROR(__xludf.DUMMYFUNCTION("""COMPUTED_VALUE"""),45810.57181712963)</f>
        <v>45810.57182</v>
      </c>
      <c r="AS347" s="3"/>
      <c r="AT347" s="3"/>
      <c r="AU347" s="3" t="str">
        <f>IFERROR(__xludf.DUMMYFUNCTION("""COMPUTED_VALUE"""),"submitted_via_web")</f>
        <v>submitted_via_web</v>
      </c>
      <c r="AV347" s="3"/>
      <c r="AW347" s="3" t="str">
        <f>IFERROR(__xludf.DUMMYFUNCTION("""COMPUTED_VALUE"""),"vckVTgNzM4XXtKAKNnsHpB")</f>
        <v>vckVTgNzM4XXtKAKNnsHpB</v>
      </c>
      <c r="AX347" s="3"/>
      <c r="AY347" s="3">
        <f>IFERROR(__xludf.DUMMYFUNCTION("""COMPUTED_VALUE"""),346.0)</f>
        <v>346</v>
      </c>
    </row>
    <row r="348">
      <c r="A348" s="3" t="str">
        <f>IFERROR(__xludf.DUMMYFUNCTION("""COMPUTED_VALUE"""),"Yes")</f>
        <v>Yes</v>
      </c>
      <c r="B348" s="3"/>
      <c r="C348" s="3" t="str">
        <f>IFERROR(__xludf.DUMMYFUNCTION("""COMPUTED_VALUE"""),"zimbabwe")</f>
        <v>zimbabwe</v>
      </c>
      <c r="D348" s="3"/>
      <c r="E348" s="3" t="str">
        <f>IFERROR(__xludf.DUMMYFUNCTION("""COMPUTED_VALUE"""),"south_sudan")</f>
        <v>south_sudan</v>
      </c>
      <c r="F348" s="3"/>
      <c r="G348" s="3">
        <f>IFERROR(__xludf.DUMMYFUNCTION("""COMPUTED_VALUE"""),31.0)</f>
        <v>31</v>
      </c>
      <c r="H348" s="3" t="str">
        <f>IFERROR(__xludf.DUMMYFUNCTION("""COMPUTED_VALUE"""),"female")</f>
        <v>female</v>
      </c>
      <c r="I348" s="3"/>
      <c r="J348" s="3" t="str">
        <f>IFERROR(__xludf.DUMMYFUNCTION("""COMPUTED_VALUE"""),"informal")</f>
        <v>informal</v>
      </c>
      <c r="K348" s="3" t="str">
        <f>IFERROR(__xludf.DUMMYFUNCTION("""COMPUTED_VALUE"""),"secondary")</f>
        <v>secondary</v>
      </c>
      <c r="L348" s="3"/>
      <c r="M348" s="3" t="str">
        <f>IFERROR(__xludf.DUMMYFUNCTION("""COMPUTED_VALUE"""),"agree")</f>
        <v>agree</v>
      </c>
      <c r="N348" s="3" t="str">
        <f>IFERROR(__xludf.DUMMYFUNCTION("""COMPUTED_VALUE"""),"agree")</f>
        <v>agree</v>
      </c>
      <c r="O348" s="3" t="str">
        <f>IFERROR(__xludf.DUMMYFUNCTION("""COMPUTED_VALUE"""),"agree")</f>
        <v>agree</v>
      </c>
      <c r="P348" s="3"/>
      <c r="Q348" s="3" t="str">
        <f>IFERROR(__xludf.DUMMYFUNCTION("""COMPUTED_VALUE"""),"agree")</f>
        <v>agree</v>
      </c>
      <c r="R348" s="3" t="str">
        <f>IFERROR(__xludf.DUMMYFUNCTION("""COMPUTED_VALUE"""),"agree")</f>
        <v>agree</v>
      </c>
      <c r="S348" s="3" t="str">
        <f>IFERROR(__xludf.DUMMYFUNCTION("""COMPUTED_VALUE"""),"agree")</f>
        <v>agree</v>
      </c>
      <c r="T348" s="3" t="str">
        <f>IFERROR(__xludf.DUMMYFUNCTION("""COMPUTED_VALUE"""),"agree")</f>
        <v>agree</v>
      </c>
      <c r="U348" s="3" t="str">
        <f>IFERROR(__xludf.DUMMYFUNCTION("""COMPUTED_VALUE"""),"agree")</f>
        <v>agree</v>
      </c>
      <c r="V348" s="3" t="str">
        <f>IFERROR(__xludf.DUMMYFUNCTION("""COMPUTED_VALUE"""),"agree")</f>
        <v>agree</v>
      </c>
      <c r="W348" s="3" t="str">
        <f>IFERROR(__xludf.DUMMYFUNCTION("""COMPUTED_VALUE"""),"agree")</f>
        <v>agree</v>
      </c>
      <c r="X348" s="3" t="str">
        <f>IFERROR(__xludf.DUMMYFUNCTION("""COMPUTED_VALUE"""),"Gold")</f>
        <v>Gold</v>
      </c>
      <c r="Y348" s="3" t="str">
        <f>IFERROR(__xludf.DUMMYFUNCTION("""COMPUTED_VALUE"""),"cash")</f>
        <v>cash</v>
      </c>
      <c r="Z348" s="3" t="str">
        <f>IFERROR(__xludf.DUMMYFUNCTION("""COMPUTED_VALUE"""),"monthly")</f>
        <v>monthly</v>
      </c>
      <c r="AA348" s="3">
        <f>IFERROR(__xludf.DUMMYFUNCTION("""COMPUTED_VALUE"""),50.0)</f>
        <v>50</v>
      </c>
      <c r="AB348" s="3" t="str">
        <f>IFERROR(__xludf.DUMMYFUNCTION("""COMPUTED_VALUE"""),"assisted")</f>
        <v>assisted</v>
      </c>
      <c r="AC348" s="3" t="str">
        <f>IFERROR(__xludf.DUMMYFUNCTION("""COMPUTED_VALUE"""),"Yes")</f>
        <v>Yes</v>
      </c>
      <c r="AD348" s="3" t="str">
        <f>IFERROR(__xludf.DUMMYFUNCTION("""COMPUTED_VALUE"""),"Gold")</f>
        <v>Gold</v>
      </c>
      <c r="AE348" s="3" t="str">
        <f>IFERROR(__xludf.DUMMYFUNCTION("""COMPUTED_VALUE"""),"Yes")</f>
        <v>Yes</v>
      </c>
      <c r="AF348" s="3" t="str">
        <f>IFERROR(__xludf.DUMMYFUNCTION("""COMPUTED_VALUE"""),"Yes")</f>
        <v>Yes</v>
      </c>
      <c r="AG348" s="3" t="str">
        <f>IFERROR(__xludf.DUMMYFUNCTION("""COMPUTED_VALUE"""),"Yes")</f>
        <v>Yes</v>
      </c>
      <c r="AH348" s="3"/>
      <c r="AI348" s="3">
        <f>IFERROR(__xludf.DUMMYFUNCTION("""COMPUTED_VALUE"""),1.0)</f>
        <v>1</v>
      </c>
      <c r="AJ348" s="3">
        <f>IFERROR(__xludf.DUMMYFUNCTION("""COMPUTED_VALUE"""),0.0)</f>
        <v>0</v>
      </c>
      <c r="AK348" s="3">
        <f>IFERROR(__xludf.DUMMYFUNCTION("""COMPUTED_VALUE"""),0.0)</f>
        <v>0</v>
      </c>
      <c r="AL348" s="3">
        <f>IFERROR(__xludf.DUMMYFUNCTION("""COMPUTED_VALUE"""),0.0)</f>
        <v>0</v>
      </c>
      <c r="AM348" s="3"/>
      <c r="AN348" s="3"/>
      <c r="AO348" s="3"/>
      <c r="AP348" s="3">
        <f>IFERROR(__xludf.DUMMYFUNCTION("""COMPUTED_VALUE"""),4.90986287E8)</f>
        <v>490986287</v>
      </c>
      <c r="AQ348" s="3" t="str">
        <f>IFERROR(__xludf.DUMMYFUNCTION("""COMPUTED_VALUE"""),"ff611ddc-7c3f-44bf-bdc5-5b30c58e1eda")</f>
        <v>ff611ddc-7c3f-44bf-bdc5-5b30c58e1eda</v>
      </c>
      <c r="AR348" s="3">
        <f>IFERROR(__xludf.DUMMYFUNCTION("""COMPUTED_VALUE"""),45810.57287037037)</f>
        <v>45810.57287</v>
      </c>
      <c r="AS348" s="3"/>
      <c r="AT348" s="3"/>
      <c r="AU348" s="3" t="str">
        <f>IFERROR(__xludf.DUMMYFUNCTION("""COMPUTED_VALUE"""),"submitted_via_web")</f>
        <v>submitted_via_web</v>
      </c>
      <c r="AV348" s="3"/>
      <c r="AW348" s="3" t="str">
        <f>IFERROR(__xludf.DUMMYFUNCTION("""COMPUTED_VALUE"""),"vckVTgNzM4XXtKAKNnsHpB")</f>
        <v>vckVTgNzM4XXtKAKNnsHpB</v>
      </c>
      <c r="AX348" s="3"/>
      <c r="AY348" s="3">
        <f>IFERROR(__xludf.DUMMYFUNCTION("""COMPUTED_VALUE"""),347.0)</f>
        <v>347</v>
      </c>
    </row>
    <row r="349">
      <c r="A349" s="3" t="str">
        <f>IFERROR(__xludf.DUMMYFUNCTION("""COMPUTED_VALUE"""),"Yes")</f>
        <v>Yes</v>
      </c>
      <c r="B349" s="3"/>
      <c r="C349" s="3" t="str">
        <f>IFERROR(__xludf.DUMMYFUNCTION("""COMPUTED_VALUE"""),"zimbabwe")</f>
        <v>zimbabwe</v>
      </c>
      <c r="D349" s="3"/>
      <c r="E349" s="3" t="str">
        <f>IFERROR(__xludf.DUMMYFUNCTION("""COMPUTED_VALUE"""),"south_africa")</f>
        <v>south_africa</v>
      </c>
      <c r="F349" s="3" t="str">
        <f>IFERROR(__xludf.DUMMYFUNCTION("""COMPUTED_VALUE"""),"City of Tshwane Metropolitan Municipality")</f>
        <v>City of Tshwane Metropolitan Municipality</v>
      </c>
      <c r="G349" s="3">
        <f>IFERROR(__xludf.DUMMYFUNCTION("""COMPUTED_VALUE"""),41.0)</f>
        <v>41</v>
      </c>
      <c r="H349" s="3" t="str">
        <f>IFERROR(__xludf.DUMMYFUNCTION("""COMPUTED_VALUE"""),"female")</f>
        <v>female</v>
      </c>
      <c r="I349" s="3" t="str">
        <f>IFERROR(__xludf.DUMMYFUNCTION("""COMPUTED_VALUE"""),"6to12")</f>
        <v>6to12</v>
      </c>
      <c r="J349" s="3" t="str">
        <f>IFERROR(__xludf.DUMMYFUNCTION("""COMPUTED_VALUE"""),"informal")</f>
        <v>informal</v>
      </c>
      <c r="K349" s="3" t="str">
        <f>IFERROR(__xludf.DUMMYFUNCTION("""COMPUTED_VALUE"""),"secondary")</f>
        <v>secondary</v>
      </c>
      <c r="L349" s="3"/>
      <c r="M349" s="3" t="str">
        <f>IFERROR(__xludf.DUMMYFUNCTION("""COMPUTED_VALUE"""),"agree")</f>
        <v>agree</v>
      </c>
      <c r="N349" s="3" t="str">
        <f>IFERROR(__xludf.DUMMYFUNCTION("""COMPUTED_VALUE"""),"agree")</f>
        <v>agree</v>
      </c>
      <c r="O349" s="3" t="str">
        <f>IFERROR(__xludf.DUMMYFUNCTION("""COMPUTED_VALUE"""),"agree")</f>
        <v>agree</v>
      </c>
      <c r="P349" s="3"/>
      <c r="Q349" s="3" t="str">
        <f>IFERROR(__xludf.DUMMYFUNCTION("""COMPUTED_VALUE"""),"agree")</f>
        <v>agree</v>
      </c>
      <c r="R349" s="3" t="str">
        <f>IFERROR(__xludf.DUMMYFUNCTION("""COMPUTED_VALUE"""),"agree")</f>
        <v>agree</v>
      </c>
      <c r="S349" s="3" t="str">
        <f>IFERROR(__xludf.DUMMYFUNCTION("""COMPUTED_VALUE"""),"agree")</f>
        <v>agree</v>
      </c>
      <c r="T349" s="3" t="str">
        <f>IFERROR(__xludf.DUMMYFUNCTION("""COMPUTED_VALUE"""),"agree")</f>
        <v>agree</v>
      </c>
      <c r="U349" s="3" t="str">
        <f>IFERROR(__xludf.DUMMYFUNCTION("""COMPUTED_VALUE"""),"agree")</f>
        <v>agree</v>
      </c>
      <c r="V349" s="3" t="str">
        <f>IFERROR(__xludf.DUMMYFUNCTION("""COMPUTED_VALUE"""),"agree")</f>
        <v>agree</v>
      </c>
      <c r="W349" s="3" t="str">
        <f>IFERROR(__xludf.DUMMYFUNCTION("""COMPUTED_VALUE"""),"agree")</f>
        <v>agree</v>
      </c>
      <c r="X349" s="3" t="str">
        <f>IFERROR(__xludf.DUMMYFUNCTION("""COMPUTED_VALUE"""),"Gold")</f>
        <v>Gold</v>
      </c>
      <c r="Y349" s="3" t="str">
        <f>IFERROR(__xludf.DUMMYFUNCTION("""COMPUTED_VALUE"""),"cash")</f>
        <v>cash</v>
      </c>
      <c r="Z349" s="3" t="str">
        <f>IFERROR(__xludf.DUMMYFUNCTION("""COMPUTED_VALUE"""),"monthly")</f>
        <v>monthly</v>
      </c>
      <c r="AA349" s="3">
        <f>IFERROR(__xludf.DUMMYFUNCTION("""COMPUTED_VALUE"""),30.0)</f>
        <v>30</v>
      </c>
      <c r="AB349" s="3" t="str">
        <f>IFERROR(__xludf.DUMMYFUNCTION("""COMPUTED_VALUE"""),"assisted")</f>
        <v>assisted</v>
      </c>
      <c r="AC349" s="3" t="str">
        <f>IFERROR(__xludf.DUMMYFUNCTION("""COMPUTED_VALUE"""),"Yes")</f>
        <v>Yes</v>
      </c>
      <c r="AD349" s="3" t="str">
        <f>IFERROR(__xludf.DUMMYFUNCTION("""COMPUTED_VALUE"""),"Gold")</f>
        <v>Gold</v>
      </c>
      <c r="AE349" s="3" t="str">
        <f>IFERROR(__xludf.DUMMYFUNCTION("""COMPUTED_VALUE"""),"Yes")</f>
        <v>Yes</v>
      </c>
      <c r="AF349" s="3" t="str">
        <f>IFERROR(__xludf.DUMMYFUNCTION("""COMPUTED_VALUE"""),"Yes")</f>
        <v>Yes</v>
      </c>
      <c r="AG349" s="3" t="str">
        <f>IFERROR(__xludf.DUMMYFUNCTION("""COMPUTED_VALUE"""),"Yes")</f>
        <v>Yes</v>
      </c>
      <c r="AH349" s="3"/>
      <c r="AI349" s="3">
        <f>IFERROR(__xludf.DUMMYFUNCTION("""COMPUTED_VALUE"""),1.0)</f>
        <v>1</v>
      </c>
      <c r="AJ349" s="3">
        <f>IFERROR(__xludf.DUMMYFUNCTION("""COMPUTED_VALUE"""),0.0)</f>
        <v>0</v>
      </c>
      <c r="AK349" s="3">
        <f>IFERROR(__xludf.DUMMYFUNCTION("""COMPUTED_VALUE"""),0.0)</f>
        <v>0</v>
      </c>
      <c r="AL349" s="3">
        <f>IFERROR(__xludf.DUMMYFUNCTION("""COMPUTED_VALUE"""),0.0)</f>
        <v>0</v>
      </c>
      <c r="AM349" s="3" t="str">
        <f>IFERROR(__xludf.DUMMYFUNCTION("""COMPUTED_VALUE"""),"Yes")</f>
        <v>Yes</v>
      </c>
      <c r="AN349" s="3"/>
      <c r="AO349" s="3"/>
      <c r="AP349" s="3">
        <f>IFERROR(__xludf.DUMMYFUNCTION("""COMPUTED_VALUE"""),4.9098773E8)</f>
        <v>490987730</v>
      </c>
      <c r="AQ349" s="3" t="str">
        <f>IFERROR(__xludf.DUMMYFUNCTION("""COMPUTED_VALUE"""),"20bf5830-485d-4f31-969d-23e97d5879a6")</f>
        <v>20bf5830-485d-4f31-969d-23e97d5879a6</v>
      </c>
      <c r="AR349" s="3">
        <f>IFERROR(__xludf.DUMMYFUNCTION("""COMPUTED_VALUE"""),45810.57418981481)</f>
        <v>45810.57419</v>
      </c>
      <c r="AS349" s="3"/>
      <c r="AT349" s="3"/>
      <c r="AU349" s="3" t="str">
        <f>IFERROR(__xludf.DUMMYFUNCTION("""COMPUTED_VALUE"""),"submitted_via_web")</f>
        <v>submitted_via_web</v>
      </c>
      <c r="AV349" s="3"/>
      <c r="AW349" s="3" t="str">
        <f>IFERROR(__xludf.DUMMYFUNCTION("""COMPUTED_VALUE"""),"vckVTgNzM4XXtKAKNnsHpB")</f>
        <v>vckVTgNzM4XXtKAKNnsHpB</v>
      </c>
      <c r="AX349" s="3"/>
      <c r="AY349" s="3">
        <f>IFERROR(__xludf.DUMMYFUNCTION("""COMPUTED_VALUE"""),348.0)</f>
        <v>348</v>
      </c>
    </row>
    <row r="350">
      <c r="A350" s="3" t="str">
        <f>IFERROR(__xludf.DUMMYFUNCTION("""COMPUTED_VALUE"""),"Yes")</f>
        <v>Yes</v>
      </c>
      <c r="B350" s="3"/>
      <c r="C350" s="3" t="str">
        <f>IFERROR(__xludf.DUMMYFUNCTION("""COMPUTED_VALUE"""),"zimbabwe")</f>
        <v>zimbabwe</v>
      </c>
      <c r="D350" s="3"/>
      <c r="E350" s="3" t="str">
        <f>IFERROR(__xludf.DUMMYFUNCTION("""COMPUTED_VALUE"""),"south_africa")</f>
        <v>south_africa</v>
      </c>
      <c r="F350" s="3" t="str">
        <f>IFERROR(__xludf.DUMMYFUNCTION("""COMPUTED_VALUE"""),"City of Tshwane Metropolitan Municipality")</f>
        <v>City of Tshwane Metropolitan Municipality</v>
      </c>
      <c r="G350" s="3">
        <f>IFERROR(__xludf.DUMMYFUNCTION("""COMPUTED_VALUE"""),28.0)</f>
        <v>28</v>
      </c>
      <c r="H350" s="3" t="str">
        <f>IFERROR(__xludf.DUMMYFUNCTION("""COMPUTED_VALUE"""),"female")</f>
        <v>female</v>
      </c>
      <c r="I350" s="3" t="str">
        <f>IFERROR(__xludf.DUMMYFUNCTION("""COMPUTED_VALUE"""),"6to12")</f>
        <v>6to12</v>
      </c>
      <c r="J350" s="3" t="str">
        <f>IFERROR(__xludf.DUMMYFUNCTION("""COMPUTED_VALUE"""),"informal")</f>
        <v>informal</v>
      </c>
      <c r="K350" s="3" t="str">
        <f>IFERROR(__xludf.DUMMYFUNCTION("""COMPUTED_VALUE"""),"secondary")</f>
        <v>secondary</v>
      </c>
      <c r="L350" s="3"/>
      <c r="M350" s="3" t="str">
        <f>IFERROR(__xludf.DUMMYFUNCTION("""COMPUTED_VALUE"""),"agree")</f>
        <v>agree</v>
      </c>
      <c r="N350" s="3" t="str">
        <f>IFERROR(__xludf.DUMMYFUNCTION("""COMPUTED_VALUE"""),"agree")</f>
        <v>agree</v>
      </c>
      <c r="O350" s="3" t="str">
        <f>IFERROR(__xludf.DUMMYFUNCTION("""COMPUTED_VALUE"""),"agree")</f>
        <v>agree</v>
      </c>
      <c r="P350" s="3"/>
      <c r="Q350" s="3" t="str">
        <f>IFERROR(__xludf.DUMMYFUNCTION("""COMPUTED_VALUE"""),"agree")</f>
        <v>agree</v>
      </c>
      <c r="R350" s="3" t="str">
        <f>IFERROR(__xludf.DUMMYFUNCTION("""COMPUTED_VALUE"""),"agree")</f>
        <v>agree</v>
      </c>
      <c r="S350" s="3" t="str">
        <f>IFERROR(__xludf.DUMMYFUNCTION("""COMPUTED_VALUE"""),"agree")</f>
        <v>agree</v>
      </c>
      <c r="T350" s="3" t="str">
        <f>IFERROR(__xludf.DUMMYFUNCTION("""COMPUTED_VALUE"""),"agree")</f>
        <v>agree</v>
      </c>
      <c r="U350" s="3" t="str">
        <f>IFERROR(__xludf.DUMMYFUNCTION("""COMPUTED_VALUE"""),"agree")</f>
        <v>agree</v>
      </c>
      <c r="V350" s="3" t="str">
        <f>IFERROR(__xludf.DUMMYFUNCTION("""COMPUTED_VALUE"""),"agree")</f>
        <v>agree</v>
      </c>
      <c r="W350" s="3" t="str">
        <f>IFERROR(__xludf.DUMMYFUNCTION("""COMPUTED_VALUE"""),"agree")</f>
        <v>agree</v>
      </c>
      <c r="X350" s="3" t="str">
        <f>IFERROR(__xludf.DUMMYFUNCTION("""COMPUTED_VALUE"""),"Gold")</f>
        <v>Gold</v>
      </c>
      <c r="Y350" s="3" t="str">
        <f>IFERROR(__xludf.DUMMYFUNCTION("""COMPUTED_VALUE"""),"cash")</f>
        <v>cash</v>
      </c>
      <c r="Z350" s="3" t="str">
        <f>IFERROR(__xludf.DUMMYFUNCTION("""COMPUTED_VALUE"""),"monthly")</f>
        <v>monthly</v>
      </c>
      <c r="AA350" s="3">
        <f>IFERROR(__xludf.DUMMYFUNCTION("""COMPUTED_VALUE"""),10.0)</f>
        <v>10</v>
      </c>
      <c r="AB350" s="3" t="str">
        <f>IFERROR(__xludf.DUMMYFUNCTION("""COMPUTED_VALUE"""),"assisted")</f>
        <v>assisted</v>
      </c>
      <c r="AC350" s="3" t="str">
        <f>IFERROR(__xludf.DUMMYFUNCTION("""COMPUTED_VALUE"""),"Yes")</f>
        <v>Yes</v>
      </c>
      <c r="AD350" s="3"/>
      <c r="AE350" s="3" t="str">
        <f>IFERROR(__xludf.DUMMYFUNCTION("""COMPUTED_VALUE"""),"Yes")</f>
        <v>Yes</v>
      </c>
      <c r="AF350" s="3" t="str">
        <f>IFERROR(__xludf.DUMMYFUNCTION("""COMPUTED_VALUE"""),"Yes")</f>
        <v>Yes</v>
      </c>
      <c r="AG350" s="3" t="str">
        <f>IFERROR(__xludf.DUMMYFUNCTION("""COMPUTED_VALUE"""),"Yes")</f>
        <v>Yes</v>
      </c>
      <c r="AH350" s="3"/>
      <c r="AI350" s="3">
        <f>IFERROR(__xludf.DUMMYFUNCTION("""COMPUTED_VALUE"""),1.0)</f>
        <v>1</v>
      </c>
      <c r="AJ350" s="3">
        <f>IFERROR(__xludf.DUMMYFUNCTION("""COMPUTED_VALUE"""),0.0)</f>
        <v>0</v>
      </c>
      <c r="AK350" s="3">
        <f>IFERROR(__xludf.DUMMYFUNCTION("""COMPUTED_VALUE"""),0.0)</f>
        <v>0</v>
      </c>
      <c r="AL350" s="3">
        <f>IFERROR(__xludf.DUMMYFUNCTION("""COMPUTED_VALUE"""),0.0)</f>
        <v>0</v>
      </c>
      <c r="AM350" s="3" t="str">
        <f>IFERROR(__xludf.DUMMYFUNCTION("""COMPUTED_VALUE"""),"Yes")</f>
        <v>Yes</v>
      </c>
      <c r="AN350" s="3"/>
      <c r="AO350" s="3"/>
      <c r="AP350" s="3">
        <f>IFERROR(__xludf.DUMMYFUNCTION("""COMPUTED_VALUE"""),4.909892E8)</f>
        <v>490989200</v>
      </c>
      <c r="AQ350" s="3" t="str">
        <f>IFERROR(__xludf.DUMMYFUNCTION("""COMPUTED_VALUE"""),"78a213e0-83fd-4edf-b83d-d5e3d0bdffd0")</f>
        <v>78a213e0-83fd-4edf-b83d-d5e3d0bdffd0</v>
      </c>
      <c r="AR350" s="3">
        <f>IFERROR(__xludf.DUMMYFUNCTION("""COMPUTED_VALUE"""),45810.57538194444)</f>
        <v>45810.57538</v>
      </c>
      <c r="AS350" s="3"/>
      <c r="AT350" s="3"/>
      <c r="AU350" s="3" t="str">
        <f>IFERROR(__xludf.DUMMYFUNCTION("""COMPUTED_VALUE"""),"submitted_via_web")</f>
        <v>submitted_via_web</v>
      </c>
      <c r="AV350" s="3"/>
      <c r="AW350" s="3" t="str">
        <f>IFERROR(__xludf.DUMMYFUNCTION("""COMPUTED_VALUE"""),"vckVTgNzM4XXtKAKNnsHpB")</f>
        <v>vckVTgNzM4XXtKAKNnsHpB</v>
      </c>
      <c r="AX350" s="3"/>
      <c r="AY350" s="3">
        <f>IFERROR(__xludf.DUMMYFUNCTION("""COMPUTED_VALUE"""),349.0)</f>
        <v>349</v>
      </c>
    </row>
    <row r="351">
      <c r="A351" s="3" t="str">
        <f>IFERROR(__xludf.DUMMYFUNCTION("""COMPUTED_VALUE"""),"Yes")</f>
        <v>Yes</v>
      </c>
      <c r="B351" s="3"/>
      <c r="C351" s="3" t="str">
        <f>IFERROR(__xludf.DUMMYFUNCTION("""COMPUTED_VALUE"""),"zimbabwe")</f>
        <v>zimbabwe</v>
      </c>
      <c r="D351" s="3"/>
      <c r="E351" s="3" t="str">
        <f>IFERROR(__xludf.DUMMYFUNCTION("""COMPUTED_VALUE"""),"south_africa")</f>
        <v>south_africa</v>
      </c>
      <c r="F351" s="3" t="str">
        <f>IFERROR(__xludf.DUMMYFUNCTION("""COMPUTED_VALUE"""),"City of Tshwane Metropolitan Municipality")</f>
        <v>City of Tshwane Metropolitan Municipality</v>
      </c>
      <c r="G351" s="3">
        <f>IFERROR(__xludf.DUMMYFUNCTION("""COMPUTED_VALUE"""),24.0)</f>
        <v>24</v>
      </c>
      <c r="H351" s="3" t="str">
        <f>IFERROR(__xludf.DUMMYFUNCTION("""COMPUTED_VALUE"""),"female")</f>
        <v>female</v>
      </c>
      <c r="I351" s="3" t="str">
        <f>IFERROR(__xludf.DUMMYFUNCTION("""COMPUTED_VALUE"""),"1to5")</f>
        <v>1to5</v>
      </c>
      <c r="J351" s="3" t="str">
        <f>IFERROR(__xludf.DUMMYFUNCTION("""COMPUTED_VALUE"""),"informal")</f>
        <v>informal</v>
      </c>
      <c r="K351" s="3" t="str">
        <f>IFERROR(__xludf.DUMMYFUNCTION("""COMPUTED_VALUE"""),"secondary")</f>
        <v>secondary</v>
      </c>
      <c r="L351" s="3"/>
      <c r="M351" s="3" t="str">
        <f>IFERROR(__xludf.DUMMYFUNCTION("""COMPUTED_VALUE"""),"agree")</f>
        <v>agree</v>
      </c>
      <c r="N351" s="3" t="str">
        <f>IFERROR(__xludf.DUMMYFUNCTION("""COMPUTED_VALUE"""),"agree")</f>
        <v>agree</v>
      </c>
      <c r="O351" s="3" t="str">
        <f>IFERROR(__xludf.DUMMYFUNCTION("""COMPUTED_VALUE"""),"agree")</f>
        <v>agree</v>
      </c>
      <c r="P351" s="3"/>
      <c r="Q351" s="3" t="str">
        <f>IFERROR(__xludf.DUMMYFUNCTION("""COMPUTED_VALUE"""),"agree")</f>
        <v>agree</v>
      </c>
      <c r="R351" s="3" t="str">
        <f>IFERROR(__xludf.DUMMYFUNCTION("""COMPUTED_VALUE"""),"agree")</f>
        <v>agree</v>
      </c>
      <c r="S351" s="3" t="str">
        <f>IFERROR(__xludf.DUMMYFUNCTION("""COMPUTED_VALUE"""),"agree")</f>
        <v>agree</v>
      </c>
      <c r="T351" s="3" t="str">
        <f>IFERROR(__xludf.DUMMYFUNCTION("""COMPUTED_VALUE"""),"agree")</f>
        <v>agree</v>
      </c>
      <c r="U351" s="3" t="str">
        <f>IFERROR(__xludf.DUMMYFUNCTION("""COMPUTED_VALUE"""),"agree")</f>
        <v>agree</v>
      </c>
      <c r="V351" s="3" t="str">
        <f>IFERROR(__xludf.DUMMYFUNCTION("""COMPUTED_VALUE"""),"agree")</f>
        <v>agree</v>
      </c>
      <c r="W351" s="3" t="str">
        <f>IFERROR(__xludf.DUMMYFUNCTION("""COMPUTED_VALUE"""),"agree")</f>
        <v>agree</v>
      </c>
      <c r="X351" s="3" t="str">
        <f>IFERROR(__xludf.DUMMYFUNCTION("""COMPUTED_VALUE"""),"Gold")</f>
        <v>Gold</v>
      </c>
      <c r="Y351" s="3" t="str">
        <f>IFERROR(__xludf.DUMMYFUNCTION("""COMPUTED_VALUE"""),"cash")</f>
        <v>cash</v>
      </c>
      <c r="Z351" s="3" t="str">
        <f>IFERROR(__xludf.DUMMYFUNCTION("""COMPUTED_VALUE"""),"monthly")</f>
        <v>monthly</v>
      </c>
      <c r="AA351" s="3">
        <f>IFERROR(__xludf.DUMMYFUNCTION("""COMPUTED_VALUE"""),30.0)</f>
        <v>30</v>
      </c>
      <c r="AB351" s="3" t="str">
        <f>IFERROR(__xludf.DUMMYFUNCTION("""COMPUTED_VALUE"""),"assisted")</f>
        <v>assisted</v>
      </c>
      <c r="AC351" s="3" t="str">
        <f>IFERROR(__xludf.DUMMYFUNCTION("""COMPUTED_VALUE"""),"Yes")</f>
        <v>Yes</v>
      </c>
      <c r="AD351" s="3" t="str">
        <f>IFERROR(__xludf.DUMMYFUNCTION("""COMPUTED_VALUE"""),"Gold")</f>
        <v>Gold</v>
      </c>
      <c r="AE351" s="3" t="str">
        <f>IFERROR(__xludf.DUMMYFUNCTION("""COMPUTED_VALUE"""),"Yes")</f>
        <v>Yes</v>
      </c>
      <c r="AF351" s="3" t="str">
        <f>IFERROR(__xludf.DUMMYFUNCTION("""COMPUTED_VALUE"""),"Yes")</f>
        <v>Yes</v>
      </c>
      <c r="AG351" s="3" t="str">
        <f>IFERROR(__xludf.DUMMYFUNCTION("""COMPUTED_VALUE"""),"Yes")</f>
        <v>Yes</v>
      </c>
      <c r="AH351" s="3"/>
      <c r="AI351" s="3">
        <f>IFERROR(__xludf.DUMMYFUNCTION("""COMPUTED_VALUE"""),1.0)</f>
        <v>1</v>
      </c>
      <c r="AJ351" s="3">
        <f>IFERROR(__xludf.DUMMYFUNCTION("""COMPUTED_VALUE"""),0.0)</f>
        <v>0</v>
      </c>
      <c r="AK351" s="3">
        <f>IFERROR(__xludf.DUMMYFUNCTION("""COMPUTED_VALUE"""),0.0)</f>
        <v>0</v>
      </c>
      <c r="AL351" s="3">
        <f>IFERROR(__xludf.DUMMYFUNCTION("""COMPUTED_VALUE"""),0.0)</f>
        <v>0</v>
      </c>
      <c r="AM351" s="3" t="str">
        <f>IFERROR(__xludf.DUMMYFUNCTION("""COMPUTED_VALUE"""),"Yes")</f>
        <v>Yes</v>
      </c>
      <c r="AN351" s="3"/>
      <c r="AO351" s="3"/>
      <c r="AP351" s="3">
        <f>IFERROR(__xludf.DUMMYFUNCTION("""COMPUTED_VALUE"""),4.90990809E8)</f>
        <v>490990809</v>
      </c>
      <c r="AQ351" s="3" t="str">
        <f>IFERROR(__xludf.DUMMYFUNCTION("""COMPUTED_VALUE"""),"283e4f1c-b66c-4c7c-a81c-99ea62e3ca62")</f>
        <v>283e4f1c-b66c-4c7c-a81c-99ea62e3ca62</v>
      </c>
      <c r="AR351" s="3">
        <f>IFERROR(__xludf.DUMMYFUNCTION("""COMPUTED_VALUE"""),45810.57671296296)</f>
        <v>45810.57671</v>
      </c>
      <c r="AS351" s="3"/>
      <c r="AT351" s="3"/>
      <c r="AU351" s="3" t="str">
        <f>IFERROR(__xludf.DUMMYFUNCTION("""COMPUTED_VALUE"""),"submitted_via_web")</f>
        <v>submitted_via_web</v>
      </c>
      <c r="AV351" s="3"/>
      <c r="AW351" s="3" t="str">
        <f>IFERROR(__xludf.DUMMYFUNCTION("""COMPUTED_VALUE"""),"vckVTgNzM4XXtKAKNnsHpB")</f>
        <v>vckVTgNzM4XXtKAKNnsHpB</v>
      </c>
      <c r="AX351" s="3"/>
      <c r="AY351" s="3">
        <f>IFERROR(__xludf.DUMMYFUNCTION("""COMPUTED_VALUE"""),350.0)</f>
        <v>350</v>
      </c>
    </row>
    <row r="352">
      <c r="A352" s="3" t="str">
        <f>IFERROR(__xludf.DUMMYFUNCTION("""COMPUTED_VALUE"""),"Yes")</f>
        <v>Yes</v>
      </c>
      <c r="B352" s="3"/>
      <c r="C352" s="3" t="str">
        <f>IFERROR(__xludf.DUMMYFUNCTION("""COMPUTED_VALUE"""),"zimbabwe")</f>
        <v>zimbabwe</v>
      </c>
      <c r="D352" s="3"/>
      <c r="E352" s="3" t="str">
        <f>IFERROR(__xludf.DUMMYFUNCTION("""COMPUTED_VALUE"""),"south_africa")</f>
        <v>south_africa</v>
      </c>
      <c r="F352" s="3" t="str">
        <f>IFERROR(__xludf.DUMMYFUNCTION("""COMPUTED_VALUE"""),"City of Tshwane Metropolitan Municipality")</f>
        <v>City of Tshwane Metropolitan Municipality</v>
      </c>
      <c r="G352" s="3">
        <f>IFERROR(__xludf.DUMMYFUNCTION("""COMPUTED_VALUE"""),24.0)</f>
        <v>24</v>
      </c>
      <c r="H352" s="3" t="str">
        <f>IFERROR(__xludf.DUMMYFUNCTION("""COMPUTED_VALUE"""),"female")</f>
        <v>female</v>
      </c>
      <c r="I352" s="3" t="str">
        <f>IFERROR(__xludf.DUMMYFUNCTION("""COMPUTED_VALUE"""),"1to5")</f>
        <v>1to5</v>
      </c>
      <c r="J352" s="3" t="str">
        <f>IFERROR(__xludf.DUMMYFUNCTION("""COMPUTED_VALUE"""),"informal")</f>
        <v>informal</v>
      </c>
      <c r="K352" s="3" t="str">
        <f>IFERROR(__xludf.DUMMYFUNCTION("""COMPUTED_VALUE"""),"secondary")</f>
        <v>secondary</v>
      </c>
      <c r="L352" s="3"/>
      <c r="M352" s="3" t="str">
        <f>IFERROR(__xludf.DUMMYFUNCTION("""COMPUTED_VALUE"""),"agree")</f>
        <v>agree</v>
      </c>
      <c r="N352" s="3" t="str">
        <f>IFERROR(__xludf.DUMMYFUNCTION("""COMPUTED_VALUE"""),"agree")</f>
        <v>agree</v>
      </c>
      <c r="O352" s="3" t="str">
        <f>IFERROR(__xludf.DUMMYFUNCTION("""COMPUTED_VALUE"""),"agree")</f>
        <v>agree</v>
      </c>
      <c r="P352" s="3"/>
      <c r="Q352" s="3" t="str">
        <f>IFERROR(__xludf.DUMMYFUNCTION("""COMPUTED_VALUE"""),"agree")</f>
        <v>agree</v>
      </c>
      <c r="R352" s="3" t="str">
        <f>IFERROR(__xludf.DUMMYFUNCTION("""COMPUTED_VALUE"""),"agree")</f>
        <v>agree</v>
      </c>
      <c r="S352" s="3" t="str">
        <f>IFERROR(__xludf.DUMMYFUNCTION("""COMPUTED_VALUE"""),"agree")</f>
        <v>agree</v>
      </c>
      <c r="T352" s="3" t="str">
        <f>IFERROR(__xludf.DUMMYFUNCTION("""COMPUTED_VALUE"""),"agree")</f>
        <v>agree</v>
      </c>
      <c r="U352" s="3" t="str">
        <f>IFERROR(__xludf.DUMMYFUNCTION("""COMPUTED_VALUE"""),"agree")</f>
        <v>agree</v>
      </c>
      <c r="V352" s="3" t="str">
        <f>IFERROR(__xludf.DUMMYFUNCTION("""COMPUTED_VALUE"""),"agree")</f>
        <v>agree</v>
      </c>
      <c r="W352" s="3" t="str">
        <f>IFERROR(__xludf.DUMMYFUNCTION("""COMPUTED_VALUE"""),"agree")</f>
        <v>agree</v>
      </c>
      <c r="X352" s="3" t="str">
        <f>IFERROR(__xludf.DUMMYFUNCTION("""COMPUTED_VALUE"""),"Gold")</f>
        <v>Gold</v>
      </c>
      <c r="Y352" s="3" t="str">
        <f>IFERROR(__xludf.DUMMYFUNCTION("""COMPUTED_VALUE"""),"cash")</f>
        <v>cash</v>
      </c>
      <c r="Z352" s="3" t="str">
        <f>IFERROR(__xludf.DUMMYFUNCTION("""COMPUTED_VALUE"""),"monthly")</f>
        <v>monthly</v>
      </c>
      <c r="AA352" s="3">
        <f>IFERROR(__xludf.DUMMYFUNCTION("""COMPUTED_VALUE"""),10.0)</f>
        <v>10</v>
      </c>
      <c r="AB352" s="3" t="str">
        <f>IFERROR(__xludf.DUMMYFUNCTION("""COMPUTED_VALUE"""),"assisted")</f>
        <v>assisted</v>
      </c>
      <c r="AC352" s="3" t="str">
        <f>IFERROR(__xludf.DUMMYFUNCTION("""COMPUTED_VALUE"""),"Yes")</f>
        <v>Yes</v>
      </c>
      <c r="AD352" s="3" t="str">
        <f>IFERROR(__xludf.DUMMYFUNCTION("""COMPUTED_VALUE"""),"Gold")</f>
        <v>Gold</v>
      </c>
      <c r="AE352" s="3" t="str">
        <f>IFERROR(__xludf.DUMMYFUNCTION("""COMPUTED_VALUE"""),"Yes")</f>
        <v>Yes</v>
      </c>
      <c r="AF352" s="3" t="str">
        <f>IFERROR(__xludf.DUMMYFUNCTION("""COMPUTED_VALUE"""),"Yes")</f>
        <v>Yes</v>
      </c>
      <c r="AG352" s="3" t="str">
        <f>IFERROR(__xludf.DUMMYFUNCTION("""COMPUTED_VALUE"""),"Yes")</f>
        <v>Yes</v>
      </c>
      <c r="AH352" s="3"/>
      <c r="AI352" s="3">
        <f>IFERROR(__xludf.DUMMYFUNCTION("""COMPUTED_VALUE"""),1.0)</f>
        <v>1</v>
      </c>
      <c r="AJ352" s="3">
        <f>IFERROR(__xludf.DUMMYFUNCTION("""COMPUTED_VALUE"""),0.0)</f>
        <v>0</v>
      </c>
      <c r="AK352" s="3">
        <f>IFERROR(__xludf.DUMMYFUNCTION("""COMPUTED_VALUE"""),0.0)</f>
        <v>0</v>
      </c>
      <c r="AL352" s="3">
        <f>IFERROR(__xludf.DUMMYFUNCTION("""COMPUTED_VALUE"""),0.0)</f>
        <v>0</v>
      </c>
      <c r="AM352" s="3" t="str">
        <f>IFERROR(__xludf.DUMMYFUNCTION("""COMPUTED_VALUE"""),"Yes")</f>
        <v>Yes</v>
      </c>
      <c r="AN352" s="3"/>
      <c r="AO352" s="3"/>
      <c r="AP352" s="3">
        <f>IFERROR(__xludf.DUMMYFUNCTION("""COMPUTED_VALUE"""),4.90993117E8)</f>
        <v>490993117</v>
      </c>
      <c r="AQ352" s="3" t="str">
        <f>IFERROR(__xludf.DUMMYFUNCTION("""COMPUTED_VALUE"""),"4bdea6e1-d5ca-460f-a667-53f984b62ca3")</f>
        <v>4bdea6e1-d5ca-460f-a667-53f984b62ca3</v>
      </c>
      <c r="AR352" s="3">
        <f>IFERROR(__xludf.DUMMYFUNCTION("""COMPUTED_VALUE"""),45810.57863425926)</f>
        <v>45810.57863</v>
      </c>
      <c r="AS352" s="3"/>
      <c r="AT352" s="3"/>
      <c r="AU352" s="3" t="str">
        <f>IFERROR(__xludf.DUMMYFUNCTION("""COMPUTED_VALUE"""),"submitted_via_web")</f>
        <v>submitted_via_web</v>
      </c>
      <c r="AV352" s="3"/>
      <c r="AW352" s="3" t="str">
        <f>IFERROR(__xludf.DUMMYFUNCTION("""COMPUTED_VALUE"""),"vckVTgNzM4XXtKAKNnsHpB")</f>
        <v>vckVTgNzM4XXtKAKNnsHpB</v>
      </c>
      <c r="AX352" s="3"/>
      <c r="AY352" s="3">
        <f>IFERROR(__xludf.DUMMYFUNCTION("""COMPUTED_VALUE"""),351.0)</f>
        <v>351</v>
      </c>
    </row>
    <row r="353">
      <c r="A353" s="3" t="str">
        <f>IFERROR(__xludf.DUMMYFUNCTION("""COMPUTED_VALUE"""),"Yes")</f>
        <v>Yes</v>
      </c>
      <c r="B353" s="3"/>
      <c r="C353" s="3" t="str">
        <f>IFERROR(__xludf.DUMMYFUNCTION("""COMPUTED_VALUE"""),"zimbabwe")</f>
        <v>zimbabwe</v>
      </c>
      <c r="D353" s="3"/>
      <c r="E353" s="3" t="str">
        <f>IFERROR(__xludf.DUMMYFUNCTION("""COMPUTED_VALUE"""),"south_africa")</f>
        <v>south_africa</v>
      </c>
      <c r="F353" s="3" t="str">
        <f>IFERROR(__xludf.DUMMYFUNCTION("""COMPUTED_VALUE"""),"City of Tshwane Metropolitan Municipality")</f>
        <v>City of Tshwane Metropolitan Municipality</v>
      </c>
      <c r="G353" s="3">
        <f>IFERROR(__xludf.DUMMYFUNCTION("""COMPUTED_VALUE"""),32.0)</f>
        <v>32</v>
      </c>
      <c r="H353" s="3" t="str">
        <f>IFERROR(__xludf.DUMMYFUNCTION("""COMPUTED_VALUE"""),"female")</f>
        <v>female</v>
      </c>
      <c r="I353" s="3" t="str">
        <f>IFERROR(__xludf.DUMMYFUNCTION("""COMPUTED_VALUE"""),"1to5")</f>
        <v>1to5</v>
      </c>
      <c r="J353" s="3" t="str">
        <f>IFERROR(__xludf.DUMMYFUNCTION("""COMPUTED_VALUE"""),"informal")</f>
        <v>informal</v>
      </c>
      <c r="K353" s="3" t="str">
        <f>IFERROR(__xludf.DUMMYFUNCTION("""COMPUTED_VALUE"""),"secondary")</f>
        <v>secondary</v>
      </c>
      <c r="L353" s="3"/>
      <c r="M353" s="3" t="str">
        <f>IFERROR(__xludf.DUMMYFUNCTION("""COMPUTED_VALUE"""),"agree")</f>
        <v>agree</v>
      </c>
      <c r="N353" s="3" t="str">
        <f>IFERROR(__xludf.DUMMYFUNCTION("""COMPUTED_VALUE"""),"agree")</f>
        <v>agree</v>
      </c>
      <c r="O353" s="3" t="str">
        <f>IFERROR(__xludf.DUMMYFUNCTION("""COMPUTED_VALUE"""),"agree")</f>
        <v>agree</v>
      </c>
      <c r="P353" s="3"/>
      <c r="Q353" s="3" t="str">
        <f>IFERROR(__xludf.DUMMYFUNCTION("""COMPUTED_VALUE"""),"agree")</f>
        <v>agree</v>
      </c>
      <c r="R353" s="3" t="str">
        <f>IFERROR(__xludf.DUMMYFUNCTION("""COMPUTED_VALUE"""),"agree")</f>
        <v>agree</v>
      </c>
      <c r="S353" s="3" t="str">
        <f>IFERROR(__xludf.DUMMYFUNCTION("""COMPUTED_VALUE"""),"agree")</f>
        <v>agree</v>
      </c>
      <c r="T353" s="3" t="str">
        <f>IFERROR(__xludf.DUMMYFUNCTION("""COMPUTED_VALUE"""),"agree")</f>
        <v>agree</v>
      </c>
      <c r="U353" s="3" t="str">
        <f>IFERROR(__xludf.DUMMYFUNCTION("""COMPUTED_VALUE"""),"agree")</f>
        <v>agree</v>
      </c>
      <c r="V353" s="3" t="str">
        <f>IFERROR(__xludf.DUMMYFUNCTION("""COMPUTED_VALUE"""),"agree")</f>
        <v>agree</v>
      </c>
      <c r="W353" s="3" t="str">
        <f>IFERROR(__xludf.DUMMYFUNCTION("""COMPUTED_VALUE"""),"agree")</f>
        <v>agree</v>
      </c>
      <c r="X353" s="3" t="str">
        <f>IFERROR(__xludf.DUMMYFUNCTION("""COMPUTED_VALUE"""),"Gold")</f>
        <v>Gold</v>
      </c>
      <c r="Y353" s="3" t="str">
        <f>IFERROR(__xludf.DUMMYFUNCTION("""COMPUTED_VALUE"""),"cash")</f>
        <v>cash</v>
      </c>
      <c r="Z353" s="3" t="str">
        <f>IFERROR(__xludf.DUMMYFUNCTION("""COMPUTED_VALUE"""),"monthly")</f>
        <v>monthly</v>
      </c>
      <c r="AA353" s="3">
        <f>IFERROR(__xludf.DUMMYFUNCTION("""COMPUTED_VALUE"""),30.0)</f>
        <v>30</v>
      </c>
      <c r="AB353" s="3" t="str">
        <f>IFERROR(__xludf.DUMMYFUNCTION("""COMPUTED_VALUE"""),"assisted")</f>
        <v>assisted</v>
      </c>
      <c r="AC353" s="3" t="str">
        <f>IFERROR(__xludf.DUMMYFUNCTION("""COMPUTED_VALUE"""),"Yes")</f>
        <v>Yes</v>
      </c>
      <c r="AD353" s="3" t="str">
        <f>IFERROR(__xludf.DUMMYFUNCTION("""COMPUTED_VALUE"""),"Gold")</f>
        <v>Gold</v>
      </c>
      <c r="AE353" s="3" t="str">
        <f>IFERROR(__xludf.DUMMYFUNCTION("""COMPUTED_VALUE"""),"Yes")</f>
        <v>Yes</v>
      </c>
      <c r="AF353" s="3" t="str">
        <f>IFERROR(__xludf.DUMMYFUNCTION("""COMPUTED_VALUE"""),"Yes")</f>
        <v>Yes</v>
      </c>
      <c r="AG353" s="3" t="str">
        <f>IFERROR(__xludf.DUMMYFUNCTION("""COMPUTED_VALUE"""),"Yes")</f>
        <v>Yes</v>
      </c>
      <c r="AH353" s="3"/>
      <c r="AI353" s="3">
        <f>IFERROR(__xludf.DUMMYFUNCTION("""COMPUTED_VALUE"""),1.0)</f>
        <v>1</v>
      </c>
      <c r="AJ353" s="3">
        <f>IFERROR(__xludf.DUMMYFUNCTION("""COMPUTED_VALUE"""),0.0)</f>
        <v>0</v>
      </c>
      <c r="AK353" s="3">
        <f>IFERROR(__xludf.DUMMYFUNCTION("""COMPUTED_VALUE"""),0.0)</f>
        <v>0</v>
      </c>
      <c r="AL353" s="3">
        <f>IFERROR(__xludf.DUMMYFUNCTION("""COMPUTED_VALUE"""),0.0)</f>
        <v>0</v>
      </c>
      <c r="AM353" s="3" t="str">
        <f>IFERROR(__xludf.DUMMYFUNCTION("""COMPUTED_VALUE"""),"Yes")</f>
        <v>Yes</v>
      </c>
      <c r="AN353" s="3"/>
      <c r="AO353" s="3"/>
      <c r="AP353" s="3">
        <f>IFERROR(__xludf.DUMMYFUNCTION("""COMPUTED_VALUE"""),4.90994751E8)</f>
        <v>490994751</v>
      </c>
      <c r="AQ353" s="3" t="str">
        <f>IFERROR(__xludf.DUMMYFUNCTION("""COMPUTED_VALUE"""),"0050bf02-807c-457b-9ba4-49770081ad17")</f>
        <v>0050bf02-807c-457b-9ba4-49770081ad17</v>
      </c>
      <c r="AR353" s="3">
        <f>IFERROR(__xludf.DUMMYFUNCTION("""COMPUTED_VALUE"""),45810.58002314815)</f>
        <v>45810.58002</v>
      </c>
      <c r="AS353" s="3"/>
      <c r="AT353" s="3"/>
      <c r="AU353" s="3" t="str">
        <f>IFERROR(__xludf.DUMMYFUNCTION("""COMPUTED_VALUE"""),"submitted_via_web")</f>
        <v>submitted_via_web</v>
      </c>
      <c r="AV353" s="3"/>
      <c r="AW353" s="3" t="str">
        <f>IFERROR(__xludf.DUMMYFUNCTION("""COMPUTED_VALUE"""),"vckVTgNzM4XXtKAKNnsHpB")</f>
        <v>vckVTgNzM4XXtKAKNnsHpB</v>
      </c>
      <c r="AX353" s="3"/>
      <c r="AY353" s="3">
        <f>IFERROR(__xludf.DUMMYFUNCTION("""COMPUTED_VALUE"""),352.0)</f>
        <v>352</v>
      </c>
    </row>
    <row r="354">
      <c r="A354" s="3" t="str">
        <f>IFERROR(__xludf.DUMMYFUNCTION("""COMPUTED_VALUE"""),"Yes")</f>
        <v>Yes</v>
      </c>
      <c r="B354" s="3"/>
      <c r="C354" s="3" t="str">
        <f>IFERROR(__xludf.DUMMYFUNCTION("""COMPUTED_VALUE"""),"zimbabwe")</f>
        <v>zimbabwe</v>
      </c>
      <c r="D354" s="3"/>
      <c r="E354" s="3" t="str">
        <f>IFERROR(__xludf.DUMMYFUNCTION("""COMPUTED_VALUE"""),"south_africa")</f>
        <v>south_africa</v>
      </c>
      <c r="F354" s="3" t="str">
        <f>IFERROR(__xludf.DUMMYFUNCTION("""COMPUTED_VALUE"""),"City of Tshwane Metropolitan Municipality")</f>
        <v>City of Tshwane Metropolitan Municipality</v>
      </c>
      <c r="G354" s="3">
        <f>IFERROR(__xludf.DUMMYFUNCTION("""COMPUTED_VALUE"""),42.0)</f>
        <v>42</v>
      </c>
      <c r="H354" s="3" t="str">
        <f>IFERROR(__xludf.DUMMYFUNCTION("""COMPUTED_VALUE"""),"female")</f>
        <v>female</v>
      </c>
      <c r="I354" s="3" t="str">
        <f>IFERROR(__xludf.DUMMYFUNCTION("""COMPUTED_VALUE"""),"over5")</f>
        <v>over5</v>
      </c>
      <c r="J354" s="3" t="str">
        <f>IFERROR(__xludf.DUMMYFUNCTION("""COMPUTED_VALUE"""),"informal")</f>
        <v>informal</v>
      </c>
      <c r="K354" s="3" t="str">
        <f>IFERROR(__xludf.DUMMYFUNCTION("""COMPUTED_VALUE"""),"primary")</f>
        <v>primary</v>
      </c>
      <c r="L354" s="3"/>
      <c r="M354" s="3" t="str">
        <f>IFERROR(__xludf.DUMMYFUNCTION("""COMPUTED_VALUE"""),"agree")</f>
        <v>agree</v>
      </c>
      <c r="N354" s="3" t="str">
        <f>IFERROR(__xludf.DUMMYFUNCTION("""COMPUTED_VALUE"""),"agree")</f>
        <v>agree</v>
      </c>
      <c r="O354" s="3" t="str">
        <f>IFERROR(__xludf.DUMMYFUNCTION("""COMPUTED_VALUE"""),"agree")</f>
        <v>agree</v>
      </c>
      <c r="P354" s="3"/>
      <c r="Q354" s="3" t="str">
        <f>IFERROR(__xludf.DUMMYFUNCTION("""COMPUTED_VALUE"""),"agree")</f>
        <v>agree</v>
      </c>
      <c r="R354" s="3" t="str">
        <f>IFERROR(__xludf.DUMMYFUNCTION("""COMPUTED_VALUE"""),"agree")</f>
        <v>agree</v>
      </c>
      <c r="S354" s="3" t="str">
        <f>IFERROR(__xludf.DUMMYFUNCTION("""COMPUTED_VALUE"""),"agree")</f>
        <v>agree</v>
      </c>
      <c r="T354" s="3" t="str">
        <f>IFERROR(__xludf.DUMMYFUNCTION("""COMPUTED_VALUE"""),"agree")</f>
        <v>agree</v>
      </c>
      <c r="U354" s="3" t="str">
        <f>IFERROR(__xludf.DUMMYFUNCTION("""COMPUTED_VALUE"""),"agree")</f>
        <v>agree</v>
      </c>
      <c r="V354" s="3" t="str">
        <f>IFERROR(__xludf.DUMMYFUNCTION("""COMPUTED_VALUE"""),"agree")</f>
        <v>agree</v>
      </c>
      <c r="W354" s="3" t="str">
        <f>IFERROR(__xludf.DUMMYFUNCTION("""COMPUTED_VALUE"""),"agree")</f>
        <v>agree</v>
      </c>
      <c r="X354" s="3" t="str">
        <f>IFERROR(__xludf.DUMMYFUNCTION("""COMPUTED_VALUE"""),"Gold")</f>
        <v>Gold</v>
      </c>
      <c r="Y354" s="3" t="str">
        <f>IFERROR(__xludf.DUMMYFUNCTION("""COMPUTED_VALUE"""),"cash")</f>
        <v>cash</v>
      </c>
      <c r="Z354" s="3" t="str">
        <f>IFERROR(__xludf.DUMMYFUNCTION("""COMPUTED_VALUE"""),"monthly")</f>
        <v>monthly</v>
      </c>
      <c r="AA354" s="3">
        <f>IFERROR(__xludf.DUMMYFUNCTION("""COMPUTED_VALUE"""),40.0)</f>
        <v>40</v>
      </c>
      <c r="AB354" s="3" t="str">
        <f>IFERROR(__xludf.DUMMYFUNCTION("""COMPUTED_VALUE"""),"assisted")</f>
        <v>assisted</v>
      </c>
      <c r="AC354" s="3" t="str">
        <f>IFERROR(__xludf.DUMMYFUNCTION("""COMPUTED_VALUE"""),"Yes")</f>
        <v>Yes</v>
      </c>
      <c r="AD354" s="3" t="str">
        <f>IFERROR(__xludf.DUMMYFUNCTION("""COMPUTED_VALUE"""),"Gold")</f>
        <v>Gold</v>
      </c>
      <c r="AE354" s="3" t="str">
        <f>IFERROR(__xludf.DUMMYFUNCTION("""COMPUTED_VALUE"""),"Yes")</f>
        <v>Yes</v>
      </c>
      <c r="AF354" s="3" t="str">
        <f>IFERROR(__xludf.DUMMYFUNCTION("""COMPUTED_VALUE"""),"Yes")</f>
        <v>Yes</v>
      </c>
      <c r="AG354" s="3" t="str">
        <f>IFERROR(__xludf.DUMMYFUNCTION("""COMPUTED_VALUE"""),"Yes")</f>
        <v>Yes</v>
      </c>
      <c r="AH354" s="3"/>
      <c r="AI354" s="3">
        <f>IFERROR(__xludf.DUMMYFUNCTION("""COMPUTED_VALUE"""),1.0)</f>
        <v>1</v>
      </c>
      <c r="AJ354" s="3">
        <f>IFERROR(__xludf.DUMMYFUNCTION("""COMPUTED_VALUE"""),0.0)</f>
        <v>0</v>
      </c>
      <c r="AK354" s="3">
        <f>IFERROR(__xludf.DUMMYFUNCTION("""COMPUTED_VALUE"""),0.0)</f>
        <v>0</v>
      </c>
      <c r="AL354" s="3">
        <f>IFERROR(__xludf.DUMMYFUNCTION("""COMPUTED_VALUE"""),0.0)</f>
        <v>0</v>
      </c>
      <c r="AM354" s="3" t="str">
        <f>IFERROR(__xludf.DUMMYFUNCTION("""COMPUTED_VALUE"""),"Yes")</f>
        <v>Yes</v>
      </c>
      <c r="AN354" s="3"/>
      <c r="AO354" s="3"/>
      <c r="AP354" s="3">
        <f>IFERROR(__xludf.DUMMYFUNCTION("""COMPUTED_VALUE"""),4.90996564E8)</f>
        <v>490996564</v>
      </c>
      <c r="AQ354" s="3" t="str">
        <f>IFERROR(__xludf.DUMMYFUNCTION("""COMPUTED_VALUE"""),"871adcf2-9500-4c0d-b824-48ca74835af7")</f>
        <v>871adcf2-9500-4c0d-b824-48ca74835af7</v>
      </c>
      <c r="AR354" s="3">
        <f>IFERROR(__xludf.DUMMYFUNCTION("""COMPUTED_VALUE"""),45810.581354166665)</f>
        <v>45810.58135</v>
      </c>
      <c r="AS354" s="3"/>
      <c r="AT354" s="3"/>
      <c r="AU354" s="3" t="str">
        <f>IFERROR(__xludf.DUMMYFUNCTION("""COMPUTED_VALUE"""),"submitted_via_web")</f>
        <v>submitted_via_web</v>
      </c>
      <c r="AV354" s="3"/>
      <c r="AW354" s="3" t="str">
        <f>IFERROR(__xludf.DUMMYFUNCTION("""COMPUTED_VALUE"""),"vckVTgNzM4XXtKAKNnsHpB")</f>
        <v>vckVTgNzM4XXtKAKNnsHpB</v>
      </c>
      <c r="AX354" s="3"/>
      <c r="AY354" s="3">
        <f>IFERROR(__xludf.DUMMYFUNCTION("""COMPUTED_VALUE"""),353.0)</f>
        <v>353</v>
      </c>
    </row>
    <row r="355">
      <c r="A355" s="3" t="str">
        <f>IFERROR(__xludf.DUMMYFUNCTION("""COMPUTED_VALUE"""),"Yes")</f>
        <v>Yes</v>
      </c>
      <c r="B355" s="3"/>
      <c r="C355" s="3" t="str">
        <f>IFERROR(__xludf.DUMMYFUNCTION("""COMPUTED_VALUE"""),"zimbabwe")</f>
        <v>zimbabwe</v>
      </c>
      <c r="D355" s="3"/>
      <c r="E355" s="3" t="str">
        <f>IFERROR(__xludf.DUMMYFUNCTION("""COMPUTED_VALUE"""),"south_africa")</f>
        <v>south_africa</v>
      </c>
      <c r="F355" s="3" t="str">
        <f>IFERROR(__xludf.DUMMYFUNCTION("""COMPUTED_VALUE"""),"City of Tshwane Metropolitan Municipality")</f>
        <v>City of Tshwane Metropolitan Municipality</v>
      </c>
      <c r="G355" s="3">
        <f>IFERROR(__xludf.DUMMYFUNCTION("""COMPUTED_VALUE"""),26.0)</f>
        <v>26</v>
      </c>
      <c r="H355" s="3" t="str">
        <f>IFERROR(__xludf.DUMMYFUNCTION("""COMPUTED_VALUE"""),"female")</f>
        <v>female</v>
      </c>
      <c r="I355" s="3" t="str">
        <f>IFERROR(__xludf.DUMMYFUNCTION("""COMPUTED_VALUE"""),"6to12")</f>
        <v>6to12</v>
      </c>
      <c r="J355" s="3" t="str">
        <f>IFERROR(__xludf.DUMMYFUNCTION("""COMPUTED_VALUE"""),"unemployed")</f>
        <v>unemployed</v>
      </c>
      <c r="K355" s="3" t="str">
        <f>IFERROR(__xludf.DUMMYFUNCTION("""COMPUTED_VALUE"""),"primary")</f>
        <v>primary</v>
      </c>
      <c r="L355" s="3"/>
      <c r="M355" s="3" t="str">
        <f>IFERROR(__xludf.DUMMYFUNCTION("""COMPUTED_VALUE"""),"agree")</f>
        <v>agree</v>
      </c>
      <c r="N355" s="3" t="str">
        <f>IFERROR(__xludf.DUMMYFUNCTION("""COMPUTED_VALUE"""),"agree")</f>
        <v>agree</v>
      </c>
      <c r="O355" s="3" t="str">
        <f>IFERROR(__xludf.DUMMYFUNCTION("""COMPUTED_VALUE"""),"agree")</f>
        <v>agree</v>
      </c>
      <c r="P355" s="3"/>
      <c r="Q355" s="3" t="str">
        <f>IFERROR(__xludf.DUMMYFUNCTION("""COMPUTED_VALUE"""),"agree")</f>
        <v>agree</v>
      </c>
      <c r="R355" s="3" t="str">
        <f>IFERROR(__xludf.DUMMYFUNCTION("""COMPUTED_VALUE"""),"agree")</f>
        <v>agree</v>
      </c>
      <c r="S355" s="3" t="str">
        <f>IFERROR(__xludf.DUMMYFUNCTION("""COMPUTED_VALUE"""),"agree")</f>
        <v>agree</v>
      </c>
      <c r="T355" s="3" t="str">
        <f>IFERROR(__xludf.DUMMYFUNCTION("""COMPUTED_VALUE"""),"agree")</f>
        <v>agree</v>
      </c>
      <c r="U355" s="3" t="str">
        <f>IFERROR(__xludf.DUMMYFUNCTION("""COMPUTED_VALUE"""),"agree")</f>
        <v>agree</v>
      </c>
      <c r="V355" s="3" t="str">
        <f>IFERROR(__xludf.DUMMYFUNCTION("""COMPUTED_VALUE"""),"agree")</f>
        <v>agree</v>
      </c>
      <c r="W355" s="3" t="str">
        <f>IFERROR(__xludf.DUMMYFUNCTION("""COMPUTED_VALUE"""),"agree")</f>
        <v>agree</v>
      </c>
      <c r="X355" s="3" t="str">
        <f>IFERROR(__xludf.DUMMYFUNCTION("""COMPUTED_VALUE"""),"Gold")</f>
        <v>Gold</v>
      </c>
      <c r="Y355" s="3" t="str">
        <f>IFERROR(__xludf.DUMMYFUNCTION("""COMPUTED_VALUE"""),"cash")</f>
        <v>cash</v>
      </c>
      <c r="Z355" s="3" t="str">
        <f>IFERROR(__xludf.DUMMYFUNCTION("""COMPUTED_VALUE"""),"monthly")</f>
        <v>monthly</v>
      </c>
      <c r="AA355" s="3">
        <f>IFERROR(__xludf.DUMMYFUNCTION("""COMPUTED_VALUE"""),10.0)</f>
        <v>10</v>
      </c>
      <c r="AB355" s="3" t="str">
        <f>IFERROR(__xludf.DUMMYFUNCTION("""COMPUTED_VALUE"""),"assisted")</f>
        <v>assisted</v>
      </c>
      <c r="AC355" s="3" t="str">
        <f>IFERROR(__xludf.DUMMYFUNCTION("""COMPUTED_VALUE"""),"Yes")</f>
        <v>Yes</v>
      </c>
      <c r="AD355" s="3" t="str">
        <f>IFERROR(__xludf.DUMMYFUNCTION("""COMPUTED_VALUE"""),"Gold")</f>
        <v>Gold</v>
      </c>
      <c r="AE355" s="3" t="str">
        <f>IFERROR(__xludf.DUMMYFUNCTION("""COMPUTED_VALUE"""),"Yes")</f>
        <v>Yes</v>
      </c>
      <c r="AF355" s="3" t="str">
        <f>IFERROR(__xludf.DUMMYFUNCTION("""COMPUTED_VALUE"""),"Yes")</f>
        <v>Yes</v>
      </c>
      <c r="AG355" s="3" t="str">
        <f>IFERROR(__xludf.DUMMYFUNCTION("""COMPUTED_VALUE"""),"Yes")</f>
        <v>Yes</v>
      </c>
      <c r="AH355" s="3"/>
      <c r="AI355" s="3">
        <f>IFERROR(__xludf.DUMMYFUNCTION("""COMPUTED_VALUE"""),1.0)</f>
        <v>1</v>
      </c>
      <c r="AJ355" s="3">
        <f>IFERROR(__xludf.DUMMYFUNCTION("""COMPUTED_VALUE"""),0.0)</f>
        <v>0</v>
      </c>
      <c r="AK355" s="3">
        <f>IFERROR(__xludf.DUMMYFUNCTION("""COMPUTED_VALUE"""),0.0)</f>
        <v>0</v>
      </c>
      <c r="AL355" s="3">
        <f>IFERROR(__xludf.DUMMYFUNCTION("""COMPUTED_VALUE"""),0.0)</f>
        <v>0</v>
      </c>
      <c r="AM355" s="3" t="str">
        <f>IFERROR(__xludf.DUMMYFUNCTION("""COMPUTED_VALUE"""),"Yes")</f>
        <v>Yes</v>
      </c>
      <c r="AN355" s="3"/>
      <c r="AO355" s="3"/>
      <c r="AP355" s="3">
        <f>IFERROR(__xludf.DUMMYFUNCTION("""COMPUTED_VALUE"""),4.90997907E8)</f>
        <v>490997907</v>
      </c>
      <c r="AQ355" s="3" t="str">
        <f>IFERROR(__xludf.DUMMYFUNCTION("""COMPUTED_VALUE"""),"dc37eb81-a17c-42a0-8dc7-1b8d2e0a5770")</f>
        <v>dc37eb81-a17c-42a0-8dc7-1b8d2e0a5770</v>
      </c>
      <c r="AR355" s="3">
        <f>IFERROR(__xludf.DUMMYFUNCTION("""COMPUTED_VALUE"""),45810.58256944444)</f>
        <v>45810.58257</v>
      </c>
      <c r="AS355" s="3"/>
      <c r="AT355" s="3"/>
      <c r="AU355" s="3" t="str">
        <f>IFERROR(__xludf.DUMMYFUNCTION("""COMPUTED_VALUE"""),"submitted_via_web")</f>
        <v>submitted_via_web</v>
      </c>
      <c r="AV355" s="3"/>
      <c r="AW355" s="3" t="str">
        <f>IFERROR(__xludf.DUMMYFUNCTION("""COMPUTED_VALUE"""),"vckVTgNzM4XXtKAKNnsHpB")</f>
        <v>vckVTgNzM4XXtKAKNnsHpB</v>
      </c>
      <c r="AX355" s="3"/>
      <c r="AY355" s="3">
        <f>IFERROR(__xludf.DUMMYFUNCTION("""COMPUTED_VALUE"""),354.0)</f>
        <v>354</v>
      </c>
    </row>
    <row r="356">
      <c r="A356" s="3" t="str">
        <f>IFERROR(__xludf.DUMMYFUNCTION("""COMPUTED_VALUE"""),"Yes")</f>
        <v>Yes</v>
      </c>
      <c r="B356" s="3"/>
      <c r="C356" s="3" t="str">
        <f>IFERROR(__xludf.DUMMYFUNCTION("""COMPUTED_VALUE"""),"zimbabwe")</f>
        <v>zimbabwe</v>
      </c>
      <c r="D356" s="3"/>
      <c r="E356" s="3" t="str">
        <f>IFERROR(__xludf.DUMMYFUNCTION("""COMPUTED_VALUE"""),"south_africa")</f>
        <v>south_africa</v>
      </c>
      <c r="F356" s="3" t="str">
        <f>IFERROR(__xludf.DUMMYFUNCTION("""COMPUTED_VALUE"""),"City of Tshwane Metropolitan Municipality")</f>
        <v>City of Tshwane Metropolitan Municipality</v>
      </c>
      <c r="G356" s="3">
        <f>IFERROR(__xludf.DUMMYFUNCTION("""COMPUTED_VALUE"""),22.0)</f>
        <v>22</v>
      </c>
      <c r="H356" s="3" t="str">
        <f>IFERROR(__xludf.DUMMYFUNCTION("""COMPUTED_VALUE"""),"female")</f>
        <v>female</v>
      </c>
      <c r="I356" s="3" t="str">
        <f>IFERROR(__xludf.DUMMYFUNCTION("""COMPUTED_VALUE"""),"1to5")</f>
        <v>1to5</v>
      </c>
      <c r="J356" s="3" t="str">
        <f>IFERROR(__xludf.DUMMYFUNCTION("""COMPUTED_VALUE"""),"unemployed")</f>
        <v>unemployed</v>
      </c>
      <c r="K356" s="3" t="str">
        <f>IFERROR(__xludf.DUMMYFUNCTION("""COMPUTED_VALUE"""),"primary")</f>
        <v>primary</v>
      </c>
      <c r="L356" s="3"/>
      <c r="M356" s="3" t="str">
        <f>IFERROR(__xludf.DUMMYFUNCTION("""COMPUTED_VALUE"""),"agree")</f>
        <v>agree</v>
      </c>
      <c r="N356" s="3" t="str">
        <f>IFERROR(__xludf.DUMMYFUNCTION("""COMPUTED_VALUE"""),"agree")</f>
        <v>agree</v>
      </c>
      <c r="O356" s="3" t="str">
        <f>IFERROR(__xludf.DUMMYFUNCTION("""COMPUTED_VALUE"""),"agree")</f>
        <v>agree</v>
      </c>
      <c r="P356" s="3"/>
      <c r="Q356" s="3" t="str">
        <f>IFERROR(__xludf.DUMMYFUNCTION("""COMPUTED_VALUE"""),"agree")</f>
        <v>agree</v>
      </c>
      <c r="R356" s="3" t="str">
        <f>IFERROR(__xludf.DUMMYFUNCTION("""COMPUTED_VALUE"""),"agree")</f>
        <v>agree</v>
      </c>
      <c r="S356" s="3" t="str">
        <f>IFERROR(__xludf.DUMMYFUNCTION("""COMPUTED_VALUE"""),"agree")</f>
        <v>agree</v>
      </c>
      <c r="T356" s="3" t="str">
        <f>IFERROR(__xludf.DUMMYFUNCTION("""COMPUTED_VALUE"""),"agree")</f>
        <v>agree</v>
      </c>
      <c r="U356" s="3"/>
      <c r="V356" s="3" t="str">
        <f>IFERROR(__xludf.DUMMYFUNCTION("""COMPUTED_VALUE"""),"agree")</f>
        <v>agree</v>
      </c>
      <c r="W356" s="3"/>
      <c r="X356" s="3" t="str">
        <f>IFERROR(__xludf.DUMMYFUNCTION("""COMPUTED_VALUE"""),"Gold")</f>
        <v>Gold</v>
      </c>
      <c r="Y356" s="3" t="str">
        <f>IFERROR(__xludf.DUMMYFUNCTION("""COMPUTED_VALUE"""),"cash")</f>
        <v>cash</v>
      </c>
      <c r="Z356" s="3" t="str">
        <f>IFERROR(__xludf.DUMMYFUNCTION("""COMPUTED_VALUE"""),"monthly")</f>
        <v>monthly</v>
      </c>
      <c r="AA356" s="3">
        <f>IFERROR(__xludf.DUMMYFUNCTION("""COMPUTED_VALUE"""),30.0)</f>
        <v>30</v>
      </c>
      <c r="AB356" s="3" t="str">
        <f>IFERROR(__xludf.DUMMYFUNCTION("""COMPUTED_VALUE"""),"assisted")</f>
        <v>assisted</v>
      </c>
      <c r="AC356" s="3" t="str">
        <f>IFERROR(__xludf.DUMMYFUNCTION("""COMPUTED_VALUE"""),"Yes")</f>
        <v>Yes</v>
      </c>
      <c r="AD356" s="3" t="str">
        <f>IFERROR(__xludf.DUMMYFUNCTION("""COMPUTED_VALUE"""),"Gold")</f>
        <v>Gold</v>
      </c>
      <c r="AE356" s="3" t="str">
        <f>IFERROR(__xludf.DUMMYFUNCTION("""COMPUTED_VALUE"""),"Yes")</f>
        <v>Yes</v>
      </c>
      <c r="AF356" s="3" t="str">
        <f>IFERROR(__xludf.DUMMYFUNCTION("""COMPUTED_VALUE"""),"Yes")</f>
        <v>Yes</v>
      </c>
      <c r="AG356" s="3" t="str">
        <f>IFERROR(__xludf.DUMMYFUNCTION("""COMPUTED_VALUE"""),"Yes")</f>
        <v>Yes</v>
      </c>
      <c r="AH356" s="3"/>
      <c r="AI356" s="3">
        <f>IFERROR(__xludf.DUMMYFUNCTION("""COMPUTED_VALUE"""),0.0)</f>
        <v>0</v>
      </c>
      <c r="AJ356" s="3">
        <f>IFERROR(__xludf.DUMMYFUNCTION("""COMPUTED_VALUE"""),0.0)</f>
        <v>0</v>
      </c>
      <c r="AK356" s="3">
        <f>IFERROR(__xludf.DUMMYFUNCTION("""COMPUTED_VALUE"""),0.0)</f>
        <v>0</v>
      </c>
      <c r="AL356" s="3">
        <f>IFERROR(__xludf.DUMMYFUNCTION("""COMPUTED_VALUE"""),1.0)</f>
        <v>1</v>
      </c>
      <c r="AM356" s="3" t="str">
        <f>IFERROR(__xludf.DUMMYFUNCTION("""COMPUTED_VALUE"""),"Yes")</f>
        <v>Yes</v>
      </c>
      <c r="AN356" s="3"/>
      <c r="AO356" s="3"/>
      <c r="AP356" s="3">
        <f>IFERROR(__xludf.DUMMYFUNCTION("""COMPUTED_VALUE"""),4.90999516E8)</f>
        <v>490999516</v>
      </c>
      <c r="AQ356" s="3" t="str">
        <f>IFERROR(__xludf.DUMMYFUNCTION("""COMPUTED_VALUE"""),"b3f56fe8-06be-45f1-a1f7-eddb86635666")</f>
        <v>b3f56fe8-06be-45f1-a1f7-eddb86635666</v>
      </c>
      <c r="AR356" s="3">
        <f>IFERROR(__xludf.DUMMYFUNCTION("""COMPUTED_VALUE"""),45810.58390046296)</f>
        <v>45810.5839</v>
      </c>
      <c r="AS356" s="3"/>
      <c r="AT356" s="3"/>
      <c r="AU356" s="3" t="str">
        <f>IFERROR(__xludf.DUMMYFUNCTION("""COMPUTED_VALUE"""),"submitted_via_web")</f>
        <v>submitted_via_web</v>
      </c>
      <c r="AV356" s="3"/>
      <c r="AW356" s="3" t="str">
        <f>IFERROR(__xludf.DUMMYFUNCTION("""COMPUTED_VALUE"""),"vckVTgNzM4XXtKAKNnsHpB")</f>
        <v>vckVTgNzM4XXtKAKNnsHpB</v>
      </c>
      <c r="AX356" s="3"/>
      <c r="AY356" s="3">
        <f>IFERROR(__xludf.DUMMYFUNCTION("""COMPUTED_VALUE"""),355.0)</f>
        <v>355</v>
      </c>
    </row>
    <row r="357">
      <c r="A357" s="3" t="str">
        <f>IFERROR(__xludf.DUMMYFUNCTION("""COMPUTED_VALUE"""),"Yes")</f>
        <v>Yes</v>
      </c>
      <c r="B357" s="3"/>
      <c r="C357" s="3" t="str">
        <f>IFERROR(__xludf.DUMMYFUNCTION("""COMPUTED_VALUE"""),"zimbabwe")</f>
        <v>zimbabwe</v>
      </c>
      <c r="D357" s="3"/>
      <c r="E357" s="3" t="str">
        <f>IFERROR(__xludf.DUMMYFUNCTION("""COMPUTED_VALUE"""),"south_africa")</f>
        <v>south_africa</v>
      </c>
      <c r="F357" s="3" t="str">
        <f>IFERROR(__xludf.DUMMYFUNCTION("""COMPUTED_VALUE"""),"City of Tshwane Metropolitan Municipality")</f>
        <v>City of Tshwane Metropolitan Municipality</v>
      </c>
      <c r="G357" s="3">
        <f>IFERROR(__xludf.DUMMYFUNCTION("""COMPUTED_VALUE"""),31.0)</f>
        <v>31</v>
      </c>
      <c r="H357" s="3" t="str">
        <f>IFERROR(__xludf.DUMMYFUNCTION("""COMPUTED_VALUE"""),"female")</f>
        <v>female</v>
      </c>
      <c r="I357" s="3" t="str">
        <f>IFERROR(__xludf.DUMMYFUNCTION("""COMPUTED_VALUE"""),"1to5")</f>
        <v>1to5</v>
      </c>
      <c r="J357" s="3" t="str">
        <f>IFERROR(__xludf.DUMMYFUNCTION("""COMPUTED_VALUE"""),"informal")</f>
        <v>informal</v>
      </c>
      <c r="K357" s="3" t="str">
        <f>IFERROR(__xludf.DUMMYFUNCTION("""COMPUTED_VALUE"""),"vocational")</f>
        <v>vocational</v>
      </c>
      <c r="L357" s="3"/>
      <c r="M357" s="3" t="str">
        <f>IFERROR(__xludf.DUMMYFUNCTION("""COMPUTED_VALUE"""),"agree")</f>
        <v>agree</v>
      </c>
      <c r="N357" s="3" t="str">
        <f>IFERROR(__xludf.DUMMYFUNCTION("""COMPUTED_VALUE"""),"agree")</f>
        <v>agree</v>
      </c>
      <c r="O357" s="3" t="str">
        <f>IFERROR(__xludf.DUMMYFUNCTION("""COMPUTED_VALUE"""),"agree")</f>
        <v>agree</v>
      </c>
      <c r="P357" s="3"/>
      <c r="Q357" s="3" t="str">
        <f>IFERROR(__xludf.DUMMYFUNCTION("""COMPUTED_VALUE"""),"agree")</f>
        <v>agree</v>
      </c>
      <c r="R357" s="3" t="str">
        <f>IFERROR(__xludf.DUMMYFUNCTION("""COMPUTED_VALUE"""),"agree")</f>
        <v>agree</v>
      </c>
      <c r="S357" s="3" t="str">
        <f>IFERROR(__xludf.DUMMYFUNCTION("""COMPUTED_VALUE"""),"agree")</f>
        <v>agree</v>
      </c>
      <c r="T357" s="3" t="str">
        <f>IFERROR(__xludf.DUMMYFUNCTION("""COMPUTED_VALUE"""),"agree")</f>
        <v>agree</v>
      </c>
      <c r="U357" s="3" t="str">
        <f>IFERROR(__xludf.DUMMYFUNCTION("""COMPUTED_VALUE"""),"agree")</f>
        <v>agree</v>
      </c>
      <c r="V357" s="3" t="str">
        <f>IFERROR(__xludf.DUMMYFUNCTION("""COMPUTED_VALUE"""),"agree")</f>
        <v>agree</v>
      </c>
      <c r="W357" s="3" t="str">
        <f>IFERROR(__xludf.DUMMYFUNCTION("""COMPUTED_VALUE"""),"agree")</f>
        <v>agree</v>
      </c>
      <c r="X357" s="3" t="str">
        <f>IFERROR(__xludf.DUMMYFUNCTION("""COMPUTED_VALUE"""),"Gold")</f>
        <v>Gold</v>
      </c>
      <c r="Y357" s="3" t="str">
        <f>IFERROR(__xludf.DUMMYFUNCTION("""COMPUTED_VALUE"""),"cash")</f>
        <v>cash</v>
      </c>
      <c r="Z357" s="3" t="str">
        <f>IFERROR(__xludf.DUMMYFUNCTION("""COMPUTED_VALUE"""),"monthly")</f>
        <v>monthly</v>
      </c>
      <c r="AA357" s="3">
        <f>IFERROR(__xludf.DUMMYFUNCTION("""COMPUTED_VALUE"""),10.0)</f>
        <v>10</v>
      </c>
      <c r="AB357" s="3" t="str">
        <f>IFERROR(__xludf.DUMMYFUNCTION("""COMPUTED_VALUE"""),"employer")</f>
        <v>employer</v>
      </c>
      <c r="AC357" s="3" t="str">
        <f>IFERROR(__xludf.DUMMYFUNCTION("""COMPUTED_VALUE"""),"I am not an employer")</f>
        <v>I am not an employer</v>
      </c>
      <c r="AD357" s="3"/>
      <c r="AE357" s="3"/>
      <c r="AF357" s="3" t="str">
        <f>IFERROR(__xludf.DUMMYFUNCTION("""COMPUTED_VALUE"""),"Yes")</f>
        <v>Yes</v>
      </c>
      <c r="AG357" s="3" t="str">
        <f>IFERROR(__xludf.DUMMYFUNCTION("""COMPUTED_VALUE"""),"No")</f>
        <v>No</v>
      </c>
      <c r="AH357" s="3"/>
      <c r="AI357" s="3">
        <f>IFERROR(__xludf.DUMMYFUNCTION("""COMPUTED_VALUE"""),0.0)</f>
        <v>0</v>
      </c>
      <c r="AJ357" s="3">
        <f>IFERROR(__xludf.DUMMYFUNCTION("""COMPUTED_VALUE"""),0.0)</f>
        <v>0</v>
      </c>
      <c r="AK357" s="3">
        <f>IFERROR(__xludf.DUMMYFUNCTION("""COMPUTED_VALUE"""),0.0)</f>
        <v>0</v>
      </c>
      <c r="AL357" s="3">
        <f>IFERROR(__xludf.DUMMYFUNCTION("""COMPUTED_VALUE"""),1.0)</f>
        <v>1</v>
      </c>
      <c r="AM357" s="3" t="str">
        <f>IFERROR(__xludf.DUMMYFUNCTION("""COMPUTED_VALUE"""),"No")</f>
        <v>No</v>
      </c>
      <c r="AN357" s="3"/>
      <c r="AO357" s="3"/>
      <c r="AP357" s="3">
        <f>IFERROR(__xludf.DUMMYFUNCTION("""COMPUTED_VALUE"""),4.91002485E8)</f>
        <v>491002485</v>
      </c>
      <c r="AQ357" s="3" t="str">
        <f>IFERROR(__xludf.DUMMYFUNCTION("""COMPUTED_VALUE"""),"2eef5f4d-845b-4625-9367-3f08104c241d")</f>
        <v>2eef5f4d-845b-4625-9367-3f08104c241d</v>
      </c>
      <c r="AR357" s="3">
        <f>IFERROR(__xludf.DUMMYFUNCTION("""COMPUTED_VALUE"""),45810.585914351854)</f>
        <v>45810.58591</v>
      </c>
      <c r="AS357" s="3"/>
      <c r="AT357" s="3"/>
      <c r="AU357" s="3" t="str">
        <f>IFERROR(__xludf.DUMMYFUNCTION("""COMPUTED_VALUE"""),"submitted_via_web")</f>
        <v>submitted_via_web</v>
      </c>
      <c r="AV357" s="3"/>
      <c r="AW357" s="3" t="str">
        <f>IFERROR(__xludf.DUMMYFUNCTION("""COMPUTED_VALUE"""),"vckVTgNzM4XXtKAKNnsHpB")</f>
        <v>vckVTgNzM4XXtKAKNnsHpB</v>
      </c>
      <c r="AX357" s="3"/>
      <c r="AY357" s="3">
        <f>IFERROR(__xludf.DUMMYFUNCTION("""COMPUTED_VALUE"""),356.0)</f>
        <v>356</v>
      </c>
    </row>
    <row r="358">
      <c r="A358" s="3" t="str">
        <f>IFERROR(__xludf.DUMMYFUNCTION("""COMPUTED_VALUE"""),"Yes")</f>
        <v>Yes</v>
      </c>
      <c r="B358" s="3"/>
      <c r="C358" s="3" t="str">
        <f>IFERROR(__xludf.DUMMYFUNCTION("""COMPUTED_VALUE"""),"malawi")</f>
        <v>malawi</v>
      </c>
      <c r="D358" s="3"/>
      <c r="E358" s="3" t="str">
        <f>IFERROR(__xludf.DUMMYFUNCTION("""COMPUTED_VALUE"""),"south_africa")</f>
        <v>south_africa</v>
      </c>
      <c r="F358" s="3" t="str">
        <f>IFERROR(__xludf.DUMMYFUNCTION("""COMPUTED_VALUE"""),"City of Tshwane Metropolitan Municipality")</f>
        <v>City of Tshwane Metropolitan Municipality</v>
      </c>
      <c r="G358" s="3">
        <f>IFERROR(__xludf.DUMMYFUNCTION("""COMPUTED_VALUE"""),34.0)</f>
        <v>34</v>
      </c>
      <c r="H358" s="3"/>
      <c r="I358" s="3" t="str">
        <f>IFERROR(__xludf.DUMMYFUNCTION("""COMPUTED_VALUE"""),"1to5")</f>
        <v>1to5</v>
      </c>
      <c r="J358" s="3" t="str">
        <f>IFERROR(__xludf.DUMMYFUNCTION("""COMPUTED_VALUE"""),"formal")</f>
        <v>formal</v>
      </c>
      <c r="K358" s="3" t="str">
        <f>IFERROR(__xludf.DUMMYFUNCTION("""COMPUTED_VALUE"""),"tertiary")</f>
        <v>tertiary</v>
      </c>
      <c r="L358" s="3"/>
      <c r="M358" s="3" t="str">
        <f>IFERROR(__xludf.DUMMYFUNCTION("""COMPUTED_VALUE"""),"agree")</f>
        <v>agree</v>
      </c>
      <c r="N358" s="3" t="str">
        <f>IFERROR(__xludf.DUMMYFUNCTION("""COMPUTED_VALUE"""),"agree")</f>
        <v>agree</v>
      </c>
      <c r="O358" s="3" t="str">
        <f>IFERROR(__xludf.DUMMYFUNCTION("""COMPUTED_VALUE"""),"agree")</f>
        <v>agree</v>
      </c>
      <c r="P358" s="3"/>
      <c r="Q358" s="3" t="str">
        <f>IFERROR(__xludf.DUMMYFUNCTION("""COMPUTED_VALUE"""),"disagree")</f>
        <v>disagree</v>
      </c>
      <c r="R358" s="3" t="str">
        <f>IFERROR(__xludf.DUMMYFUNCTION("""COMPUTED_VALUE"""),"agree")</f>
        <v>agree</v>
      </c>
      <c r="S358" s="3" t="str">
        <f>IFERROR(__xludf.DUMMYFUNCTION("""COMPUTED_VALUE"""),"disagree")</f>
        <v>disagree</v>
      </c>
      <c r="T358" s="3" t="str">
        <f>IFERROR(__xludf.DUMMYFUNCTION("""COMPUTED_VALUE"""),"disagree")</f>
        <v>disagree</v>
      </c>
      <c r="U358" s="3" t="str">
        <f>IFERROR(__xludf.DUMMYFUNCTION("""COMPUTED_VALUE"""),"agree")</f>
        <v>agree</v>
      </c>
      <c r="V358" s="3" t="str">
        <f>IFERROR(__xludf.DUMMYFUNCTION("""COMPUTED_VALUE"""),"agree")</f>
        <v>agree</v>
      </c>
      <c r="W358" s="3" t="str">
        <f>IFERROR(__xludf.DUMMYFUNCTION("""COMPUTED_VALUE"""),"disagree")</f>
        <v>disagree</v>
      </c>
      <c r="X358" s="3" t="str">
        <f>IFERROR(__xludf.DUMMYFUNCTION("""COMPUTED_VALUE"""),"Silver")</f>
        <v>Silver</v>
      </c>
      <c r="Y358" s="3" t="str">
        <f>IFERROR(__xludf.DUMMYFUNCTION("""COMPUTED_VALUE"""),"card")</f>
        <v>card</v>
      </c>
      <c r="Z358" s="3" t="str">
        <f>IFERROR(__xludf.DUMMYFUNCTION("""COMPUTED_VALUE"""),"quarterly")</f>
        <v>quarterly</v>
      </c>
      <c r="AA358" s="3">
        <f>IFERROR(__xludf.DUMMYFUNCTION("""COMPUTED_VALUE"""),20.0)</f>
        <v>20</v>
      </c>
      <c r="AB358" s="3" t="str">
        <f>IFERROR(__xludf.DUMMYFUNCTION("""COMPUTED_VALUE"""),"online")</f>
        <v>online</v>
      </c>
      <c r="AC358" s="3" t="str">
        <f>IFERROR(__xludf.DUMMYFUNCTION("""COMPUTED_VALUE"""),"I am not an employer")</f>
        <v>I am not an employer</v>
      </c>
      <c r="AD358" s="3"/>
      <c r="AE358" s="3"/>
      <c r="AF358" s="3" t="str">
        <f>IFERROR(__xludf.DUMMYFUNCTION("""COMPUTED_VALUE"""),"Yes")</f>
        <v>Yes</v>
      </c>
      <c r="AG358" s="3" t="str">
        <f>IFERROR(__xludf.DUMMYFUNCTION("""COMPUTED_VALUE"""),"Yes")</f>
        <v>Yes</v>
      </c>
      <c r="AH358" s="3">
        <f>IFERROR(__xludf.DUMMYFUNCTION("""COMPUTED_VALUE"""),50.0)</f>
        <v>50</v>
      </c>
      <c r="AI358" s="3">
        <f>IFERROR(__xludf.DUMMYFUNCTION("""COMPUTED_VALUE"""),0.0)</f>
        <v>0</v>
      </c>
      <c r="AJ358" s="3">
        <f>IFERROR(__xludf.DUMMYFUNCTION("""COMPUTED_VALUE"""),0.0)</f>
        <v>0</v>
      </c>
      <c r="AK358" s="3">
        <f>IFERROR(__xludf.DUMMYFUNCTION("""COMPUTED_VALUE"""),0.0)</f>
        <v>0</v>
      </c>
      <c r="AL358" s="3">
        <f>IFERROR(__xludf.DUMMYFUNCTION("""COMPUTED_VALUE"""),1.0)</f>
        <v>1</v>
      </c>
      <c r="AM358" s="3" t="str">
        <f>IFERROR(__xludf.DUMMYFUNCTION("""COMPUTED_VALUE"""),"No")</f>
        <v>No</v>
      </c>
      <c r="AN358" s="3"/>
      <c r="AO358" s="3"/>
      <c r="AP358" s="3">
        <f>IFERROR(__xludf.DUMMYFUNCTION("""COMPUTED_VALUE"""),4.91024236E8)</f>
        <v>491024236</v>
      </c>
      <c r="AQ358" s="3" t="str">
        <f>IFERROR(__xludf.DUMMYFUNCTION("""COMPUTED_VALUE"""),"4177d121-fb2d-43cb-a75d-9bde42321233")</f>
        <v>4177d121-fb2d-43cb-a75d-9bde42321233</v>
      </c>
      <c r="AR358" s="3">
        <f>IFERROR(__xludf.DUMMYFUNCTION("""COMPUTED_VALUE"""),45810.60663194444)</f>
        <v>45810.60663</v>
      </c>
      <c r="AS358" s="3"/>
      <c r="AT358" s="3"/>
      <c r="AU358" s="3" t="str">
        <f>IFERROR(__xludf.DUMMYFUNCTION("""COMPUTED_VALUE"""),"submitted_via_web")</f>
        <v>submitted_via_web</v>
      </c>
      <c r="AV358" s="3"/>
      <c r="AW358" s="3" t="str">
        <f>IFERROR(__xludf.DUMMYFUNCTION("""COMPUTED_VALUE"""),"vckVTgNzM4XXtKAKNnsHpB")</f>
        <v>vckVTgNzM4XXtKAKNnsHpB</v>
      </c>
      <c r="AX358" s="3"/>
      <c r="AY358" s="3">
        <f>IFERROR(__xludf.DUMMYFUNCTION("""COMPUTED_VALUE"""),357.0)</f>
        <v>357</v>
      </c>
    </row>
    <row r="359">
      <c r="A359" s="3" t="str">
        <f>IFERROR(__xludf.DUMMYFUNCTION("""COMPUTED_VALUE"""),"Yes")</f>
        <v>Yes</v>
      </c>
      <c r="B359" s="3"/>
      <c r="C359" s="3" t="str">
        <f>IFERROR(__xludf.DUMMYFUNCTION("""COMPUTED_VALUE"""),"zimbabwe")</f>
        <v>zimbabwe</v>
      </c>
      <c r="D359" s="3"/>
      <c r="E359" s="3" t="str">
        <f>IFERROR(__xludf.DUMMYFUNCTION("""COMPUTED_VALUE"""),"south_africa")</f>
        <v>south_africa</v>
      </c>
      <c r="F359" s="3" t="str">
        <f>IFERROR(__xludf.DUMMYFUNCTION("""COMPUTED_VALUE"""),"City of Johannesburg Metropolitan Municipality")</f>
        <v>City of Johannesburg Metropolitan Municipality</v>
      </c>
      <c r="G359" s="3">
        <f>IFERROR(__xludf.DUMMYFUNCTION("""COMPUTED_VALUE"""),21.0)</f>
        <v>21</v>
      </c>
      <c r="H359" s="3" t="str">
        <f>IFERROR(__xludf.DUMMYFUNCTION("""COMPUTED_VALUE"""),"male")</f>
        <v>male</v>
      </c>
      <c r="I359" s="3" t="str">
        <f>IFERROR(__xludf.DUMMYFUNCTION("""COMPUTED_VALUE"""),"1to5")</f>
        <v>1to5</v>
      </c>
      <c r="J359" s="3" t="str">
        <f>IFERROR(__xludf.DUMMYFUNCTION("""COMPUTED_VALUE"""),"informal")</f>
        <v>informal</v>
      </c>
      <c r="K359" s="3" t="str">
        <f>IFERROR(__xludf.DUMMYFUNCTION("""COMPUTED_VALUE"""),"secondary")</f>
        <v>secondary</v>
      </c>
      <c r="L359" s="3"/>
      <c r="M359" s="3" t="str">
        <f>IFERROR(__xludf.DUMMYFUNCTION("""COMPUTED_VALUE"""),"agree")</f>
        <v>agree</v>
      </c>
      <c r="N359" s="3" t="str">
        <f>IFERROR(__xludf.DUMMYFUNCTION("""COMPUTED_VALUE"""),"agree")</f>
        <v>agree</v>
      </c>
      <c r="O359" s="3" t="str">
        <f>IFERROR(__xludf.DUMMYFUNCTION("""COMPUTED_VALUE"""),"agree")</f>
        <v>agree</v>
      </c>
      <c r="P359" s="3"/>
      <c r="Q359" s="3" t="str">
        <f>IFERROR(__xludf.DUMMYFUNCTION("""COMPUTED_VALUE"""),"agree")</f>
        <v>agree</v>
      </c>
      <c r="R359" s="3" t="str">
        <f>IFERROR(__xludf.DUMMYFUNCTION("""COMPUTED_VALUE"""),"agree")</f>
        <v>agree</v>
      </c>
      <c r="S359" s="3" t="str">
        <f>IFERROR(__xludf.DUMMYFUNCTION("""COMPUTED_VALUE"""),"agree")</f>
        <v>agree</v>
      </c>
      <c r="T359" s="3" t="str">
        <f>IFERROR(__xludf.DUMMYFUNCTION("""COMPUTED_VALUE"""),"agree")</f>
        <v>agree</v>
      </c>
      <c r="U359" s="3" t="str">
        <f>IFERROR(__xludf.DUMMYFUNCTION("""COMPUTED_VALUE"""),"agree")</f>
        <v>agree</v>
      </c>
      <c r="V359" s="3" t="str">
        <f>IFERROR(__xludf.DUMMYFUNCTION("""COMPUTED_VALUE"""),"dontknow")</f>
        <v>dontknow</v>
      </c>
      <c r="W359" s="3" t="str">
        <f>IFERROR(__xludf.DUMMYFUNCTION("""COMPUTED_VALUE"""),"disagree")</f>
        <v>disagree</v>
      </c>
      <c r="X359" s="3" t="str">
        <f>IFERROR(__xludf.DUMMYFUNCTION("""COMPUTED_VALUE"""),"Gold")</f>
        <v>Gold</v>
      </c>
      <c r="Y359" s="3" t="str">
        <f>IFERROR(__xludf.DUMMYFUNCTION("""COMPUTED_VALUE"""),"prepaid")</f>
        <v>prepaid</v>
      </c>
      <c r="Z359" s="3" t="str">
        <f>IFERROR(__xludf.DUMMYFUNCTION("""COMPUTED_VALUE"""),"annual")</f>
        <v>annual</v>
      </c>
      <c r="AA359" s="3">
        <f>IFERROR(__xludf.DUMMYFUNCTION("""COMPUTED_VALUE"""),10.0)</f>
        <v>10</v>
      </c>
      <c r="AB359" s="3" t="str">
        <f>IFERROR(__xludf.DUMMYFUNCTION("""COMPUTED_VALUE"""),"assisted")</f>
        <v>assisted</v>
      </c>
      <c r="AC359" s="3" t="str">
        <f>IFERROR(__xludf.DUMMYFUNCTION("""COMPUTED_VALUE"""),"I am not an employer")</f>
        <v>I am not an employer</v>
      </c>
      <c r="AD359" s="3"/>
      <c r="AE359" s="3"/>
      <c r="AF359" s="3" t="str">
        <f>IFERROR(__xludf.DUMMYFUNCTION("""COMPUTED_VALUE"""),"Yes")</f>
        <v>Yes</v>
      </c>
      <c r="AG359" s="3" t="str">
        <f>IFERROR(__xludf.DUMMYFUNCTION("""COMPUTED_VALUE"""),"No")</f>
        <v>No</v>
      </c>
      <c r="AH359" s="3"/>
      <c r="AI359" s="3">
        <f>IFERROR(__xludf.DUMMYFUNCTION("""COMPUTED_VALUE"""),1.0)</f>
        <v>1</v>
      </c>
      <c r="AJ359" s="3">
        <f>IFERROR(__xludf.DUMMYFUNCTION("""COMPUTED_VALUE"""),0.0)</f>
        <v>0</v>
      </c>
      <c r="AK359" s="3">
        <f>IFERROR(__xludf.DUMMYFUNCTION("""COMPUTED_VALUE"""),0.0)</f>
        <v>0</v>
      </c>
      <c r="AL359" s="3">
        <f>IFERROR(__xludf.DUMMYFUNCTION("""COMPUTED_VALUE"""),0.0)</f>
        <v>0</v>
      </c>
      <c r="AM359" s="3" t="str">
        <f>IFERROR(__xludf.DUMMYFUNCTION("""COMPUTED_VALUE"""),"Yes")</f>
        <v>Yes</v>
      </c>
      <c r="AN359" s="3"/>
      <c r="AO359" s="3"/>
      <c r="AP359" s="3">
        <f>IFERROR(__xludf.DUMMYFUNCTION("""COMPUTED_VALUE"""),4.91177719E8)</f>
        <v>491177719</v>
      </c>
      <c r="AQ359" s="3" t="str">
        <f>IFERROR(__xludf.DUMMYFUNCTION("""COMPUTED_VALUE"""),"baf698d7-a7a9-4f1d-855d-03e7be434502")</f>
        <v>baf698d7-a7a9-4f1d-855d-03e7be434502</v>
      </c>
      <c r="AR359" s="3">
        <f>IFERROR(__xludf.DUMMYFUNCTION("""COMPUTED_VALUE"""),45810.805231481485)</f>
        <v>45810.80523</v>
      </c>
      <c r="AS359" s="3"/>
      <c r="AT359" s="3"/>
      <c r="AU359" s="3" t="str">
        <f>IFERROR(__xludf.DUMMYFUNCTION("""COMPUTED_VALUE"""),"submitted_via_web")</f>
        <v>submitted_via_web</v>
      </c>
      <c r="AV359" s="3"/>
      <c r="AW359" s="3" t="str">
        <f>IFERROR(__xludf.DUMMYFUNCTION("""COMPUTED_VALUE"""),"vckVTgNzM4XXtKAKNnsHpB")</f>
        <v>vckVTgNzM4XXtKAKNnsHpB</v>
      </c>
      <c r="AX359" s="3"/>
      <c r="AY359" s="3">
        <f>IFERROR(__xludf.DUMMYFUNCTION("""COMPUTED_VALUE"""),358.0)</f>
        <v>358</v>
      </c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>
        <f>IFERROR(__xludf.DUMMYFUNCTION("""COMPUTED_VALUE"""),4.91177779E8)</f>
        <v>491177779</v>
      </c>
      <c r="AQ360" s="3" t="str">
        <f>IFERROR(__xludf.DUMMYFUNCTION("""COMPUTED_VALUE"""),"9e92678e-09f1-416d-9226-f4cacd1c85d3")</f>
        <v>9e92678e-09f1-416d-9226-f4cacd1c85d3</v>
      </c>
      <c r="AR360" s="3">
        <f>IFERROR(__xludf.DUMMYFUNCTION("""COMPUTED_VALUE"""),45810.80535879629)</f>
        <v>45810.80536</v>
      </c>
      <c r="AS360" s="3"/>
      <c r="AT360" s="3"/>
      <c r="AU360" s="3" t="str">
        <f>IFERROR(__xludf.DUMMYFUNCTION("""COMPUTED_VALUE"""),"submitted_via_web")</f>
        <v>submitted_via_web</v>
      </c>
      <c r="AV360" s="3"/>
      <c r="AW360" s="3" t="str">
        <f>IFERROR(__xludf.DUMMYFUNCTION("""COMPUTED_VALUE"""),"vckVTgNzM4XXtKAKNnsHpB")</f>
        <v>vckVTgNzM4XXtKAKNnsHpB</v>
      </c>
      <c r="AX360" s="3"/>
      <c r="AY360" s="3">
        <f>IFERROR(__xludf.DUMMYFUNCTION("""COMPUTED_VALUE"""),359.0)</f>
        <v>359</v>
      </c>
    </row>
    <row r="361">
      <c r="A361" s="3" t="str">
        <f>IFERROR(__xludf.DUMMYFUNCTION("""COMPUTED_VALUE"""),"Yes")</f>
        <v>Yes</v>
      </c>
      <c r="B361" s="3"/>
      <c r="C361" s="3" t="str">
        <f>IFERROR(__xludf.DUMMYFUNCTION("""COMPUTED_VALUE"""),"namibia")</f>
        <v>namibia</v>
      </c>
      <c r="D361" s="3"/>
      <c r="E361" s="3" t="str">
        <f>IFERROR(__xludf.DUMMYFUNCTION("""COMPUTED_VALUE"""),"namibia")</f>
        <v>namibia</v>
      </c>
      <c r="F361" s="3"/>
      <c r="G361" s="3">
        <f>IFERROR(__xludf.DUMMYFUNCTION("""COMPUTED_VALUE"""),48.0)</f>
        <v>48</v>
      </c>
      <c r="H361" s="3" t="str">
        <f>IFERROR(__xludf.DUMMYFUNCTION("""COMPUTED_VALUE"""),"female")</f>
        <v>female</v>
      </c>
      <c r="I361" s="3"/>
      <c r="J361" s="3" t="str">
        <f>IFERROR(__xludf.DUMMYFUNCTION("""COMPUTED_VALUE"""),"formal")</f>
        <v>formal</v>
      </c>
      <c r="K361" s="3" t="str">
        <f>IFERROR(__xludf.DUMMYFUNCTION("""COMPUTED_VALUE"""),"tertiary")</f>
        <v>tertiary</v>
      </c>
      <c r="L361" s="3"/>
      <c r="M361" s="3" t="str">
        <f>IFERROR(__xludf.DUMMYFUNCTION("""COMPUTED_VALUE"""),"agree")</f>
        <v>agree</v>
      </c>
      <c r="N361" s="3" t="str">
        <f>IFERROR(__xludf.DUMMYFUNCTION("""COMPUTED_VALUE"""),"agree")</f>
        <v>agree</v>
      </c>
      <c r="O361" s="3" t="str">
        <f>IFERROR(__xludf.DUMMYFUNCTION("""COMPUTED_VALUE"""),"agree")</f>
        <v>agree</v>
      </c>
      <c r="P361" s="3"/>
      <c r="Q361" s="3" t="str">
        <f>IFERROR(__xludf.DUMMYFUNCTION("""COMPUTED_VALUE"""),"disagree")</f>
        <v>disagree</v>
      </c>
      <c r="R361" s="3" t="str">
        <f>IFERROR(__xludf.DUMMYFUNCTION("""COMPUTED_VALUE"""),"agree")</f>
        <v>agree</v>
      </c>
      <c r="S361" s="3" t="str">
        <f>IFERROR(__xludf.DUMMYFUNCTION("""COMPUTED_VALUE"""),"disagree")</f>
        <v>disagree</v>
      </c>
      <c r="T361" s="3" t="str">
        <f>IFERROR(__xludf.DUMMYFUNCTION("""COMPUTED_VALUE"""),"agree")</f>
        <v>agree</v>
      </c>
      <c r="U361" s="3" t="str">
        <f>IFERROR(__xludf.DUMMYFUNCTION("""COMPUTED_VALUE"""),"agree")</f>
        <v>agree</v>
      </c>
      <c r="V361" s="3" t="str">
        <f>IFERROR(__xludf.DUMMYFUNCTION("""COMPUTED_VALUE"""),"agree")</f>
        <v>agree</v>
      </c>
      <c r="W361" s="3" t="str">
        <f>IFERROR(__xludf.DUMMYFUNCTION("""COMPUTED_VALUE"""),"disagree")</f>
        <v>disagree</v>
      </c>
      <c r="X361" s="3" t="str">
        <f>IFERROR(__xludf.DUMMYFUNCTION("""COMPUTED_VALUE"""),"Lithium")</f>
        <v>Lithium</v>
      </c>
      <c r="Y361" s="3" t="str">
        <f>IFERROR(__xludf.DUMMYFUNCTION("""COMPUTED_VALUE"""),"insurance")</f>
        <v>insurance</v>
      </c>
      <c r="Z361" s="3" t="str">
        <f>IFERROR(__xludf.DUMMYFUNCTION("""COMPUTED_VALUE"""),"annual")</f>
        <v>annual</v>
      </c>
      <c r="AA361" s="3">
        <f>IFERROR(__xludf.DUMMYFUNCTION("""COMPUTED_VALUE"""),100.0)</f>
        <v>100</v>
      </c>
      <c r="AB361" s="3" t="str">
        <f>IFERROR(__xludf.DUMMYFUNCTION("""COMPUTED_VALUE"""),"employer")</f>
        <v>employer</v>
      </c>
      <c r="AC361" s="3" t="str">
        <f>IFERROR(__xludf.DUMMYFUNCTION("""COMPUTED_VALUE"""),"Yes")</f>
        <v>Yes</v>
      </c>
      <c r="AD361" s="3" t="str">
        <f>IFERROR(__xludf.DUMMYFUNCTION("""COMPUTED_VALUE"""),"Lithium")</f>
        <v>Lithium</v>
      </c>
      <c r="AE361" s="3" t="str">
        <f>IFERROR(__xludf.DUMMYFUNCTION("""COMPUTED_VALUE"""),"No")</f>
        <v>No</v>
      </c>
      <c r="AF361" s="3" t="str">
        <f>IFERROR(__xludf.DUMMYFUNCTION("""COMPUTED_VALUE"""),"Yes")</f>
        <v>Yes</v>
      </c>
      <c r="AG361" s="3" t="str">
        <f>IFERROR(__xludf.DUMMYFUNCTION("""COMPUTED_VALUE"""),"Yes")</f>
        <v>Yes</v>
      </c>
      <c r="AH361" s="3">
        <f>IFERROR(__xludf.DUMMYFUNCTION("""COMPUTED_VALUE"""),500.0)</f>
        <v>500</v>
      </c>
      <c r="AI361" s="3">
        <f>IFERROR(__xludf.DUMMYFUNCTION("""COMPUTED_VALUE"""),1.0)</f>
        <v>1</v>
      </c>
      <c r="AJ361" s="3">
        <f>IFERROR(__xludf.DUMMYFUNCTION("""COMPUTED_VALUE"""),0.0)</f>
        <v>0</v>
      </c>
      <c r="AK361" s="3">
        <f>IFERROR(__xludf.DUMMYFUNCTION("""COMPUTED_VALUE"""),1.0)</f>
        <v>1</v>
      </c>
      <c r="AL361" s="3">
        <f>IFERROR(__xludf.DUMMYFUNCTION("""COMPUTED_VALUE"""),0.0)</f>
        <v>0</v>
      </c>
      <c r="AM361" s="3"/>
      <c r="AN361" s="3"/>
      <c r="AO361" s="3"/>
      <c r="AP361" s="3">
        <f>IFERROR(__xludf.DUMMYFUNCTION("""COMPUTED_VALUE"""),4.91178031E8)</f>
        <v>491178031</v>
      </c>
      <c r="AQ361" s="3" t="str">
        <f>IFERROR(__xludf.DUMMYFUNCTION("""COMPUTED_VALUE"""),"03955c68-9b5c-43b2-b05d-651bd0be8556")</f>
        <v>03955c68-9b5c-43b2-b05d-651bd0be8556</v>
      </c>
      <c r="AR361" s="3">
        <f>IFERROR(__xludf.DUMMYFUNCTION("""COMPUTED_VALUE"""),45810.80601851852)</f>
        <v>45810.80602</v>
      </c>
      <c r="AS361" s="3"/>
      <c r="AT361" s="3"/>
      <c r="AU361" s="3" t="str">
        <f>IFERROR(__xludf.DUMMYFUNCTION("""COMPUTED_VALUE"""),"submitted_via_web")</f>
        <v>submitted_via_web</v>
      </c>
      <c r="AV361" s="3"/>
      <c r="AW361" s="3" t="str">
        <f>IFERROR(__xludf.DUMMYFUNCTION("""COMPUTED_VALUE"""),"vckVTgNzM4XXtKAKNnsHpB")</f>
        <v>vckVTgNzM4XXtKAKNnsHpB</v>
      </c>
      <c r="AX361" s="3"/>
      <c r="AY361" s="3">
        <f>IFERROR(__xludf.DUMMYFUNCTION("""COMPUTED_VALUE"""),360.0)</f>
        <v>360</v>
      </c>
    </row>
    <row r="362">
      <c r="A362" s="3" t="str">
        <f>IFERROR(__xludf.DUMMYFUNCTION("""COMPUTED_VALUE"""),"No")</f>
        <v>No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>
        <f>IFERROR(__xludf.DUMMYFUNCTION("""COMPUTED_VALUE"""),4.91292839E8)</f>
        <v>491292839</v>
      </c>
      <c r="AQ362" s="3" t="str">
        <f>IFERROR(__xludf.DUMMYFUNCTION("""COMPUTED_VALUE"""),"6ed39cff-0ba6-4d50-a6ba-c19f5548e05e")</f>
        <v>6ed39cff-0ba6-4d50-a6ba-c19f5548e05e</v>
      </c>
      <c r="AR362" s="3">
        <f>IFERROR(__xludf.DUMMYFUNCTION("""COMPUTED_VALUE"""),45811.209189814814)</f>
        <v>45811.20919</v>
      </c>
      <c r="AS362" s="3"/>
      <c r="AT362" s="3"/>
      <c r="AU362" s="3" t="str">
        <f>IFERROR(__xludf.DUMMYFUNCTION("""COMPUTED_VALUE"""),"submitted_via_web")</f>
        <v>submitted_via_web</v>
      </c>
      <c r="AV362" s="3"/>
      <c r="AW362" s="3" t="str">
        <f>IFERROR(__xludf.DUMMYFUNCTION("""COMPUTED_VALUE"""),"vckVTgNzM4XXtKAKNnsHpB")</f>
        <v>vckVTgNzM4XXtKAKNnsHpB</v>
      </c>
      <c r="AX362" s="3"/>
      <c r="AY362" s="3">
        <f>IFERROR(__xludf.DUMMYFUNCTION("""COMPUTED_VALUE"""),361.0)</f>
        <v>361</v>
      </c>
    </row>
    <row r="363">
      <c r="A363" s="3" t="str">
        <f>IFERROR(__xludf.DUMMYFUNCTION("""COMPUTED_VALUE"""),"Yes")</f>
        <v>Yes</v>
      </c>
      <c r="B363" s="3"/>
      <c r="C363" s="3" t="str">
        <f>IFERROR(__xludf.DUMMYFUNCTION("""COMPUTED_VALUE"""),"zimbabwe")</f>
        <v>zimbabwe</v>
      </c>
      <c r="D363" s="3"/>
      <c r="E363" s="3" t="str">
        <f>IFERROR(__xludf.DUMMYFUNCTION("""COMPUTED_VALUE"""),"south_africa")</f>
        <v>south_africa</v>
      </c>
      <c r="F363" s="3" t="str">
        <f>IFERROR(__xludf.DUMMYFUNCTION("""COMPUTED_VALUE"""),"City of Tshwane Metropolitan Municipality")</f>
        <v>City of Tshwane Metropolitan Municipality</v>
      </c>
      <c r="G363" s="3">
        <f>IFERROR(__xludf.DUMMYFUNCTION("""COMPUTED_VALUE"""),39.0)</f>
        <v>39</v>
      </c>
      <c r="H363" s="3" t="str">
        <f>IFERROR(__xludf.DUMMYFUNCTION("""COMPUTED_VALUE"""),"female")</f>
        <v>female</v>
      </c>
      <c r="I363" s="3" t="str">
        <f>IFERROR(__xludf.DUMMYFUNCTION("""COMPUTED_VALUE"""),"over5")</f>
        <v>over5</v>
      </c>
      <c r="J363" s="3" t="str">
        <f>IFERROR(__xludf.DUMMYFUNCTION("""COMPUTED_VALUE"""),"ownbusiness")</f>
        <v>ownbusiness</v>
      </c>
      <c r="K363" s="3" t="str">
        <f>IFERROR(__xludf.DUMMYFUNCTION("""COMPUTED_VALUE"""),"vocational")</f>
        <v>vocational</v>
      </c>
      <c r="L363" s="3"/>
      <c r="M363" s="3" t="str">
        <f>IFERROR(__xludf.DUMMYFUNCTION("""COMPUTED_VALUE"""),"agree")</f>
        <v>agree</v>
      </c>
      <c r="N363" s="3" t="str">
        <f>IFERROR(__xludf.DUMMYFUNCTION("""COMPUTED_VALUE"""),"agree")</f>
        <v>agree</v>
      </c>
      <c r="O363" s="3" t="str">
        <f>IFERROR(__xludf.DUMMYFUNCTION("""COMPUTED_VALUE"""),"dontknow")</f>
        <v>dontknow</v>
      </c>
      <c r="P363" s="3"/>
      <c r="Q363" s="3" t="str">
        <f>IFERROR(__xludf.DUMMYFUNCTION("""COMPUTED_VALUE"""),"agree")</f>
        <v>agree</v>
      </c>
      <c r="R363" s="3" t="str">
        <f>IFERROR(__xludf.DUMMYFUNCTION("""COMPUTED_VALUE"""),"agree")</f>
        <v>agree</v>
      </c>
      <c r="S363" s="3" t="str">
        <f>IFERROR(__xludf.DUMMYFUNCTION("""COMPUTED_VALUE"""),"agree")</f>
        <v>agree</v>
      </c>
      <c r="T363" s="3" t="str">
        <f>IFERROR(__xludf.DUMMYFUNCTION("""COMPUTED_VALUE"""),"agree")</f>
        <v>agree</v>
      </c>
      <c r="U363" s="3" t="str">
        <f>IFERROR(__xludf.DUMMYFUNCTION("""COMPUTED_VALUE"""),"agree")</f>
        <v>agree</v>
      </c>
      <c r="V363" s="3" t="str">
        <f>IFERROR(__xludf.DUMMYFUNCTION("""COMPUTED_VALUE"""),"dontknow")</f>
        <v>dontknow</v>
      </c>
      <c r="W363" s="3" t="str">
        <f>IFERROR(__xludf.DUMMYFUNCTION("""COMPUTED_VALUE"""),"disagree")</f>
        <v>disagree</v>
      </c>
      <c r="X363" s="3" t="str">
        <f>IFERROR(__xludf.DUMMYFUNCTION("""COMPUTED_VALUE"""),"Silver")</f>
        <v>Silver</v>
      </c>
      <c r="Y363" s="3" t="str">
        <f>IFERROR(__xludf.DUMMYFUNCTION("""COMPUTED_VALUE"""),"prepaid")</f>
        <v>prepaid</v>
      </c>
      <c r="Z363" s="3" t="str">
        <f>IFERROR(__xludf.DUMMYFUNCTION("""COMPUTED_VALUE"""),"quarterly")</f>
        <v>quarterly</v>
      </c>
      <c r="AA363" s="3">
        <f>IFERROR(__xludf.DUMMYFUNCTION("""COMPUTED_VALUE"""),100.0)</f>
        <v>100</v>
      </c>
      <c r="AB363" s="3" t="str">
        <f>IFERROR(__xludf.DUMMYFUNCTION("""COMPUTED_VALUE"""),"online")</f>
        <v>online</v>
      </c>
      <c r="AC363" s="3" t="str">
        <f>IFERROR(__xludf.DUMMYFUNCTION("""COMPUTED_VALUE"""),"I am not an employer")</f>
        <v>I am not an employer</v>
      </c>
      <c r="AD363" s="3"/>
      <c r="AE363" s="3"/>
      <c r="AF363" s="3" t="str">
        <f>IFERROR(__xludf.DUMMYFUNCTION("""COMPUTED_VALUE"""),"Yes")</f>
        <v>Yes</v>
      </c>
      <c r="AG363" s="3" t="str">
        <f>IFERROR(__xludf.DUMMYFUNCTION("""COMPUTED_VALUE"""),"No")</f>
        <v>No</v>
      </c>
      <c r="AH363" s="3"/>
      <c r="AI363" s="3">
        <f>IFERROR(__xludf.DUMMYFUNCTION("""COMPUTED_VALUE"""),0.0)</f>
        <v>0</v>
      </c>
      <c r="AJ363" s="3">
        <f>IFERROR(__xludf.DUMMYFUNCTION("""COMPUTED_VALUE"""),0.0)</f>
        <v>0</v>
      </c>
      <c r="AK363" s="3">
        <f>IFERROR(__xludf.DUMMYFUNCTION("""COMPUTED_VALUE"""),0.0)</f>
        <v>0</v>
      </c>
      <c r="AL363" s="3">
        <f>IFERROR(__xludf.DUMMYFUNCTION("""COMPUTED_VALUE"""),1.0)</f>
        <v>1</v>
      </c>
      <c r="AM363" s="3" t="str">
        <f>IFERROR(__xludf.DUMMYFUNCTION("""COMPUTED_VALUE"""),"No")</f>
        <v>No</v>
      </c>
      <c r="AN363" s="3"/>
      <c r="AO363" s="3"/>
      <c r="AP363" s="3">
        <f>IFERROR(__xludf.DUMMYFUNCTION("""COMPUTED_VALUE"""),4.91297762E8)</f>
        <v>491297762</v>
      </c>
      <c r="AQ363" s="3" t="str">
        <f>IFERROR(__xludf.DUMMYFUNCTION("""COMPUTED_VALUE"""),"9004f542-da7c-4522-87b6-c59cc87cc610")</f>
        <v>9004f542-da7c-4522-87b6-c59cc87cc610</v>
      </c>
      <c r="AR363" s="3">
        <f>IFERROR(__xludf.DUMMYFUNCTION("""COMPUTED_VALUE"""),45811.2221875)</f>
        <v>45811.22219</v>
      </c>
      <c r="AS363" s="3"/>
      <c r="AT363" s="3"/>
      <c r="AU363" s="3" t="str">
        <f>IFERROR(__xludf.DUMMYFUNCTION("""COMPUTED_VALUE"""),"submitted_via_web")</f>
        <v>submitted_via_web</v>
      </c>
      <c r="AV363" s="3"/>
      <c r="AW363" s="3" t="str">
        <f>IFERROR(__xludf.DUMMYFUNCTION("""COMPUTED_VALUE"""),"vckVTgNzM4XXtKAKNnsHpB")</f>
        <v>vckVTgNzM4XXtKAKNnsHpB</v>
      </c>
      <c r="AX363" s="3"/>
      <c r="AY363" s="3">
        <f>IFERROR(__xludf.DUMMYFUNCTION("""COMPUTED_VALUE"""),362.0)</f>
        <v>362</v>
      </c>
    </row>
    <row r="364">
      <c r="A364" s="3" t="str">
        <f>IFERROR(__xludf.DUMMYFUNCTION("""COMPUTED_VALUE"""),"Yes")</f>
        <v>Yes</v>
      </c>
      <c r="B364" s="3"/>
      <c r="C364" s="3" t="str">
        <f>IFERROR(__xludf.DUMMYFUNCTION("""COMPUTED_VALUE"""),"zimbabwe")</f>
        <v>zimbabwe</v>
      </c>
      <c r="D364" s="3"/>
      <c r="E364" s="3" t="str">
        <f>IFERROR(__xludf.DUMMYFUNCTION("""COMPUTED_VALUE"""),"south_africa")</f>
        <v>south_africa</v>
      </c>
      <c r="F364" s="3" t="str">
        <f>IFERROR(__xludf.DUMMYFUNCTION("""COMPUTED_VALUE"""),"West Rand District")</f>
        <v>West Rand District</v>
      </c>
      <c r="G364" s="3">
        <f>IFERROR(__xludf.DUMMYFUNCTION("""COMPUTED_VALUE"""),37.0)</f>
        <v>37</v>
      </c>
      <c r="H364" s="3" t="str">
        <f>IFERROR(__xludf.DUMMYFUNCTION("""COMPUTED_VALUE"""),"female")</f>
        <v>female</v>
      </c>
      <c r="I364" s="3" t="str">
        <f>IFERROR(__xludf.DUMMYFUNCTION("""COMPUTED_VALUE"""),"over5")</f>
        <v>over5</v>
      </c>
      <c r="J364" s="3" t="str">
        <f>IFERROR(__xludf.DUMMYFUNCTION("""COMPUTED_VALUE"""),"unemployed")</f>
        <v>unemployed</v>
      </c>
      <c r="K364" s="3" t="str">
        <f>IFERROR(__xludf.DUMMYFUNCTION("""COMPUTED_VALUE"""),"secondary")</f>
        <v>secondary</v>
      </c>
      <c r="L364" s="3"/>
      <c r="M364" s="3" t="str">
        <f>IFERROR(__xludf.DUMMYFUNCTION("""COMPUTED_VALUE"""),"agree")</f>
        <v>agree</v>
      </c>
      <c r="N364" s="3" t="str">
        <f>IFERROR(__xludf.DUMMYFUNCTION("""COMPUTED_VALUE"""),"agree")</f>
        <v>agree</v>
      </c>
      <c r="O364" s="3" t="str">
        <f>IFERROR(__xludf.DUMMYFUNCTION("""COMPUTED_VALUE"""),"dontknow")</f>
        <v>dontknow</v>
      </c>
      <c r="P364" s="3"/>
      <c r="Q364" s="3" t="str">
        <f>IFERROR(__xludf.DUMMYFUNCTION("""COMPUTED_VALUE"""),"agree")</f>
        <v>agree</v>
      </c>
      <c r="R364" s="3" t="str">
        <f>IFERROR(__xludf.DUMMYFUNCTION("""COMPUTED_VALUE"""),"agree")</f>
        <v>agree</v>
      </c>
      <c r="S364" s="3" t="str">
        <f>IFERROR(__xludf.DUMMYFUNCTION("""COMPUTED_VALUE"""),"disagree")</f>
        <v>disagree</v>
      </c>
      <c r="T364" s="3" t="str">
        <f>IFERROR(__xludf.DUMMYFUNCTION("""COMPUTED_VALUE"""),"agree")</f>
        <v>agree</v>
      </c>
      <c r="U364" s="3" t="str">
        <f>IFERROR(__xludf.DUMMYFUNCTION("""COMPUTED_VALUE"""),"agree")</f>
        <v>agree</v>
      </c>
      <c r="V364" s="3" t="str">
        <f>IFERROR(__xludf.DUMMYFUNCTION("""COMPUTED_VALUE"""),"agree")</f>
        <v>agree</v>
      </c>
      <c r="W364" s="3" t="str">
        <f>IFERROR(__xludf.DUMMYFUNCTION("""COMPUTED_VALUE"""),"disagree")</f>
        <v>disagree</v>
      </c>
      <c r="X364" s="3" t="str">
        <f>IFERROR(__xludf.DUMMYFUNCTION("""COMPUTED_VALUE"""),"Platinum")</f>
        <v>Platinum</v>
      </c>
      <c r="Y364" s="3" t="str">
        <f>IFERROR(__xludf.DUMMYFUNCTION("""COMPUTED_VALUE"""),"card")</f>
        <v>card</v>
      </c>
      <c r="Z364" s="3" t="str">
        <f>IFERROR(__xludf.DUMMYFUNCTION("""COMPUTED_VALUE"""),"quarterly")</f>
        <v>quarterly</v>
      </c>
      <c r="AA364" s="3">
        <f>IFERROR(__xludf.DUMMYFUNCTION("""COMPUTED_VALUE"""),40.0)</f>
        <v>40</v>
      </c>
      <c r="AB364" s="3" t="str">
        <f>IFERROR(__xludf.DUMMYFUNCTION("""COMPUTED_VALUE"""),"online")</f>
        <v>online</v>
      </c>
      <c r="AC364" s="3" t="str">
        <f>IFERROR(__xludf.DUMMYFUNCTION("""COMPUTED_VALUE"""),"I am not an employer")</f>
        <v>I am not an employer</v>
      </c>
      <c r="AD364" s="3"/>
      <c r="AE364" s="3"/>
      <c r="AF364" s="3" t="str">
        <f>IFERROR(__xludf.DUMMYFUNCTION("""COMPUTED_VALUE"""),"Yes")</f>
        <v>Yes</v>
      </c>
      <c r="AG364" s="3" t="str">
        <f>IFERROR(__xludf.DUMMYFUNCTION("""COMPUTED_VALUE"""),"No")</f>
        <v>No</v>
      </c>
      <c r="AH364" s="3"/>
      <c r="AI364" s="3">
        <f>IFERROR(__xludf.DUMMYFUNCTION("""COMPUTED_VALUE"""),0.0)</f>
        <v>0</v>
      </c>
      <c r="AJ364" s="3">
        <f>IFERROR(__xludf.DUMMYFUNCTION("""COMPUTED_VALUE"""),0.0)</f>
        <v>0</v>
      </c>
      <c r="AK364" s="3">
        <f>IFERROR(__xludf.DUMMYFUNCTION("""COMPUTED_VALUE"""),1.0)</f>
        <v>1</v>
      </c>
      <c r="AL364" s="3">
        <f>IFERROR(__xludf.DUMMYFUNCTION("""COMPUTED_VALUE"""),0.0)</f>
        <v>0</v>
      </c>
      <c r="AM364" s="3" t="str">
        <f>IFERROR(__xludf.DUMMYFUNCTION("""COMPUTED_VALUE"""),"No")</f>
        <v>No</v>
      </c>
      <c r="AN364" s="3"/>
      <c r="AO364" s="3"/>
      <c r="AP364" s="3">
        <f>IFERROR(__xludf.DUMMYFUNCTION("""COMPUTED_VALUE"""),4.91299433E8)</f>
        <v>491299433</v>
      </c>
      <c r="AQ364" s="3" t="str">
        <f>IFERROR(__xludf.DUMMYFUNCTION("""COMPUTED_VALUE"""),"8176cc5e-e412-41c9-8cd7-6b0102222574")</f>
        <v>8176cc5e-e412-41c9-8cd7-6b0102222574</v>
      </c>
      <c r="AR364" s="3">
        <f>IFERROR(__xludf.DUMMYFUNCTION("""COMPUTED_VALUE"""),45811.22628472222)</f>
        <v>45811.22628</v>
      </c>
      <c r="AS364" s="3"/>
      <c r="AT364" s="3"/>
      <c r="AU364" s="3" t="str">
        <f>IFERROR(__xludf.DUMMYFUNCTION("""COMPUTED_VALUE"""),"submitted_via_web")</f>
        <v>submitted_via_web</v>
      </c>
      <c r="AV364" s="3"/>
      <c r="AW364" s="3" t="str">
        <f>IFERROR(__xludf.DUMMYFUNCTION("""COMPUTED_VALUE"""),"vckVTgNzM4XXtKAKNnsHpB")</f>
        <v>vckVTgNzM4XXtKAKNnsHpB</v>
      </c>
      <c r="AX364" s="3"/>
      <c r="AY364" s="3">
        <f>IFERROR(__xludf.DUMMYFUNCTION("""COMPUTED_VALUE"""),363.0)</f>
        <v>363</v>
      </c>
    </row>
    <row r="365">
      <c r="A365" s="3" t="str">
        <f>IFERROR(__xludf.DUMMYFUNCTION("""COMPUTED_VALUE"""),"Yes")</f>
        <v>Yes</v>
      </c>
      <c r="B365" s="3"/>
      <c r="C365" s="3" t="str">
        <f>IFERROR(__xludf.DUMMYFUNCTION("""COMPUTED_VALUE"""),"nigeria")</f>
        <v>nigeria</v>
      </c>
      <c r="D365" s="3"/>
      <c r="E365" s="3" t="str">
        <f>IFERROR(__xludf.DUMMYFUNCTION("""COMPUTED_VALUE"""),"south_africa")</f>
        <v>south_africa</v>
      </c>
      <c r="F365" s="3" t="str">
        <f>IFERROR(__xludf.DUMMYFUNCTION("""COMPUTED_VALUE"""),"City of Tshwane Metropolitan Municipality")</f>
        <v>City of Tshwane Metropolitan Municipality</v>
      </c>
      <c r="G365" s="3">
        <f>IFERROR(__xludf.DUMMYFUNCTION("""COMPUTED_VALUE"""),38.0)</f>
        <v>38</v>
      </c>
      <c r="H365" s="3" t="str">
        <f>IFERROR(__xludf.DUMMYFUNCTION("""COMPUTED_VALUE"""),"male")</f>
        <v>male</v>
      </c>
      <c r="I365" s="3" t="str">
        <f>IFERROR(__xludf.DUMMYFUNCTION("""COMPUTED_VALUE"""),"over5")</f>
        <v>over5</v>
      </c>
      <c r="J365" s="3" t="str">
        <f>IFERROR(__xludf.DUMMYFUNCTION("""COMPUTED_VALUE"""),"ownbusiness")</f>
        <v>ownbusiness</v>
      </c>
      <c r="K365" s="3" t="str">
        <f>IFERROR(__xludf.DUMMYFUNCTION("""COMPUTED_VALUE"""),"vocational")</f>
        <v>vocational</v>
      </c>
      <c r="L365" s="3"/>
      <c r="M365" s="3" t="str">
        <f>IFERROR(__xludf.DUMMYFUNCTION("""COMPUTED_VALUE"""),"agree")</f>
        <v>agree</v>
      </c>
      <c r="N365" s="3" t="str">
        <f>IFERROR(__xludf.DUMMYFUNCTION("""COMPUTED_VALUE"""),"agree")</f>
        <v>agree</v>
      </c>
      <c r="O365" s="3" t="str">
        <f>IFERROR(__xludf.DUMMYFUNCTION("""COMPUTED_VALUE"""),"dontknow")</f>
        <v>dontknow</v>
      </c>
      <c r="P365" s="3"/>
      <c r="Q365" s="3" t="str">
        <f>IFERROR(__xludf.DUMMYFUNCTION("""COMPUTED_VALUE"""),"disagree")</f>
        <v>disagree</v>
      </c>
      <c r="R365" s="3" t="str">
        <f>IFERROR(__xludf.DUMMYFUNCTION("""COMPUTED_VALUE"""),"agree")</f>
        <v>agree</v>
      </c>
      <c r="S365" s="3" t="str">
        <f>IFERROR(__xludf.DUMMYFUNCTION("""COMPUTED_VALUE"""),"disagree")</f>
        <v>disagree</v>
      </c>
      <c r="T365" s="3" t="str">
        <f>IFERROR(__xludf.DUMMYFUNCTION("""COMPUTED_VALUE"""),"disagree")</f>
        <v>disagree</v>
      </c>
      <c r="U365" s="3" t="str">
        <f>IFERROR(__xludf.DUMMYFUNCTION("""COMPUTED_VALUE"""),"agree")</f>
        <v>agree</v>
      </c>
      <c r="V365" s="3" t="str">
        <f>IFERROR(__xludf.DUMMYFUNCTION("""COMPUTED_VALUE"""),"agree")</f>
        <v>agree</v>
      </c>
      <c r="W365" s="3" t="str">
        <f>IFERROR(__xludf.DUMMYFUNCTION("""COMPUTED_VALUE"""),"disagree")</f>
        <v>disagree</v>
      </c>
      <c r="X365" s="3" t="str">
        <f>IFERROR(__xludf.DUMMYFUNCTION("""COMPUTED_VALUE"""),"Silver")</f>
        <v>Silver</v>
      </c>
      <c r="Y365" s="3" t="str">
        <f>IFERROR(__xludf.DUMMYFUNCTION("""COMPUTED_VALUE"""),"card")</f>
        <v>card</v>
      </c>
      <c r="Z365" s="3" t="str">
        <f>IFERROR(__xludf.DUMMYFUNCTION("""COMPUTED_VALUE"""),"quarterly")</f>
        <v>quarterly</v>
      </c>
      <c r="AA365" s="3">
        <f>IFERROR(__xludf.DUMMYFUNCTION("""COMPUTED_VALUE"""),50.0)</f>
        <v>50</v>
      </c>
      <c r="AB365" s="3" t="str">
        <f>IFERROR(__xludf.DUMMYFUNCTION("""COMPUTED_VALUE"""),"online")</f>
        <v>online</v>
      </c>
      <c r="AC365" s="3" t="str">
        <f>IFERROR(__xludf.DUMMYFUNCTION("""COMPUTED_VALUE"""),"I am not an employer")</f>
        <v>I am not an employer</v>
      </c>
      <c r="AD365" s="3"/>
      <c r="AE365" s="3"/>
      <c r="AF365" s="3" t="str">
        <f>IFERROR(__xludf.DUMMYFUNCTION("""COMPUTED_VALUE"""),"Yes")</f>
        <v>Yes</v>
      </c>
      <c r="AG365" s="3" t="str">
        <f>IFERROR(__xludf.DUMMYFUNCTION("""COMPUTED_VALUE"""),"No")</f>
        <v>No</v>
      </c>
      <c r="AH365" s="3"/>
      <c r="AI365" s="3">
        <f>IFERROR(__xludf.DUMMYFUNCTION("""COMPUTED_VALUE"""),0.0)</f>
        <v>0</v>
      </c>
      <c r="AJ365" s="3">
        <f>IFERROR(__xludf.DUMMYFUNCTION("""COMPUTED_VALUE"""),0.0)</f>
        <v>0</v>
      </c>
      <c r="AK365" s="3">
        <f>IFERROR(__xludf.DUMMYFUNCTION("""COMPUTED_VALUE"""),0.0)</f>
        <v>0</v>
      </c>
      <c r="AL365" s="3">
        <f>IFERROR(__xludf.DUMMYFUNCTION("""COMPUTED_VALUE"""),1.0)</f>
        <v>1</v>
      </c>
      <c r="AM365" s="3" t="str">
        <f>IFERROR(__xludf.DUMMYFUNCTION("""COMPUTED_VALUE"""),"No")</f>
        <v>No</v>
      </c>
      <c r="AN365" s="3"/>
      <c r="AO365" s="3"/>
      <c r="AP365" s="3">
        <f>IFERROR(__xludf.DUMMYFUNCTION("""COMPUTED_VALUE"""),4.91301599E8)</f>
        <v>491301599</v>
      </c>
      <c r="AQ365" s="3" t="str">
        <f>IFERROR(__xludf.DUMMYFUNCTION("""COMPUTED_VALUE"""),"68a12f26-abdb-4a00-96ff-a097a57fd5fb")</f>
        <v>68a12f26-abdb-4a00-96ff-a097a57fd5fb</v>
      </c>
      <c r="AR365" s="3">
        <f>IFERROR(__xludf.DUMMYFUNCTION("""COMPUTED_VALUE"""),45811.23045138889)</f>
        <v>45811.23045</v>
      </c>
      <c r="AS365" s="3"/>
      <c r="AT365" s="3"/>
      <c r="AU365" s="3" t="str">
        <f>IFERROR(__xludf.DUMMYFUNCTION("""COMPUTED_VALUE"""),"submitted_via_web")</f>
        <v>submitted_via_web</v>
      </c>
      <c r="AV365" s="3"/>
      <c r="AW365" s="3" t="str">
        <f>IFERROR(__xludf.DUMMYFUNCTION("""COMPUTED_VALUE"""),"vckVTgNzM4XXtKAKNnsHpB")</f>
        <v>vckVTgNzM4XXtKAKNnsHpB</v>
      </c>
      <c r="AX365" s="3"/>
      <c r="AY365" s="3">
        <f>IFERROR(__xludf.DUMMYFUNCTION("""COMPUTED_VALUE"""),364.0)</f>
        <v>364</v>
      </c>
    </row>
    <row r="366">
      <c r="A366" s="3" t="str">
        <f>IFERROR(__xludf.DUMMYFUNCTION("""COMPUTED_VALUE"""),"Yes")</f>
        <v>Yes</v>
      </c>
      <c r="B366" s="3"/>
      <c r="C366" s="3" t="str">
        <f>IFERROR(__xludf.DUMMYFUNCTION("""COMPUTED_VALUE"""),"zimbabwe")</f>
        <v>zimbabwe</v>
      </c>
      <c r="D366" s="3"/>
      <c r="E366" s="3" t="str">
        <f>IFERROR(__xludf.DUMMYFUNCTION("""COMPUTED_VALUE"""),"south_africa")</f>
        <v>south_africa</v>
      </c>
      <c r="F366" s="3" t="str">
        <f>IFERROR(__xludf.DUMMYFUNCTION("""COMPUTED_VALUE"""),"City of Cape Town Metropolitan Municipality")</f>
        <v>City of Cape Town Metropolitan Municipality</v>
      </c>
      <c r="G366" s="3">
        <f>IFERROR(__xludf.DUMMYFUNCTION("""COMPUTED_VALUE"""),27.0)</f>
        <v>27</v>
      </c>
      <c r="H366" s="3" t="str">
        <f>IFERROR(__xludf.DUMMYFUNCTION("""COMPUTED_VALUE"""),"male")</f>
        <v>male</v>
      </c>
      <c r="I366" s="3" t="str">
        <f>IFERROR(__xludf.DUMMYFUNCTION("""COMPUTED_VALUE"""),"1to5")</f>
        <v>1to5</v>
      </c>
      <c r="J366" s="3" t="str">
        <f>IFERROR(__xludf.DUMMYFUNCTION("""COMPUTED_VALUE"""),"informal")</f>
        <v>informal</v>
      </c>
      <c r="K366" s="3" t="str">
        <f>IFERROR(__xludf.DUMMYFUNCTION("""COMPUTED_VALUE"""),"secondary")</f>
        <v>secondary</v>
      </c>
      <c r="L366" s="3"/>
      <c r="M366" s="3" t="str">
        <f>IFERROR(__xludf.DUMMYFUNCTION("""COMPUTED_VALUE"""),"agree")</f>
        <v>agree</v>
      </c>
      <c r="N366" s="3" t="str">
        <f>IFERROR(__xludf.DUMMYFUNCTION("""COMPUTED_VALUE"""),"agree")</f>
        <v>agree</v>
      </c>
      <c r="O366" s="3" t="str">
        <f>IFERROR(__xludf.DUMMYFUNCTION("""COMPUTED_VALUE"""),"disagree")</f>
        <v>disagree</v>
      </c>
      <c r="P366" s="3"/>
      <c r="Q366" s="3" t="str">
        <f>IFERROR(__xludf.DUMMYFUNCTION("""COMPUTED_VALUE"""),"agree")</f>
        <v>agree</v>
      </c>
      <c r="R366" s="3" t="str">
        <f>IFERROR(__xludf.DUMMYFUNCTION("""COMPUTED_VALUE"""),"agree")</f>
        <v>agree</v>
      </c>
      <c r="S366" s="3" t="str">
        <f>IFERROR(__xludf.DUMMYFUNCTION("""COMPUTED_VALUE"""),"disagree")</f>
        <v>disagree</v>
      </c>
      <c r="T366" s="3" t="str">
        <f>IFERROR(__xludf.DUMMYFUNCTION("""COMPUTED_VALUE"""),"disagree")</f>
        <v>disagree</v>
      </c>
      <c r="U366" s="3" t="str">
        <f>IFERROR(__xludf.DUMMYFUNCTION("""COMPUTED_VALUE"""),"agree")</f>
        <v>agree</v>
      </c>
      <c r="V366" s="3" t="str">
        <f>IFERROR(__xludf.DUMMYFUNCTION("""COMPUTED_VALUE"""),"disagree")</f>
        <v>disagree</v>
      </c>
      <c r="W366" s="3" t="str">
        <f>IFERROR(__xludf.DUMMYFUNCTION("""COMPUTED_VALUE"""),"disagree")</f>
        <v>disagree</v>
      </c>
      <c r="X366" s="3" t="str">
        <f>IFERROR(__xludf.DUMMYFUNCTION("""COMPUTED_VALUE"""),"Silver")</f>
        <v>Silver</v>
      </c>
      <c r="Y366" s="3" t="str">
        <f>IFERROR(__xludf.DUMMYFUNCTION("""COMPUTED_VALUE"""),"prepaid")</f>
        <v>prepaid</v>
      </c>
      <c r="Z366" s="3" t="str">
        <f>IFERROR(__xludf.DUMMYFUNCTION("""COMPUTED_VALUE"""),"quarterly")</f>
        <v>quarterly</v>
      </c>
      <c r="AA366" s="3">
        <f>IFERROR(__xludf.DUMMYFUNCTION("""COMPUTED_VALUE"""),30.0)</f>
        <v>30</v>
      </c>
      <c r="AB366" s="3" t="str">
        <f>IFERROR(__xludf.DUMMYFUNCTION("""COMPUTED_VALUE"""),"online")</f>
        <v>online</v>
      </c>
      <c r="AC366" s="3" t="str">
        <f>IFERROR(__xludf.DUMMYFUNCTION("""COMPUTED_VALUE"""),"I am not an employer")</f>
        <v>I am not an employer</v>
      </c>
      <c r="AD366" s="3"/>
      <c r="AE366" s="3"/>
      <c r="AF366" s="3" t="str">
        <f>IFERROR(__xludf.DUMMYFUNCTION("""COMPUTED_VALUE"""),"Yes")</f>
        <v>Yes</v>
      </c>
      <c r="AG366" s="3" t="str">
        <f>IFERROR(__xludf.DUMMYFUNCTION("""COMPUTED_VALUE"""),"No")</f>
        <v>No</v>
      </c>
      <c r="AH366" s="3"/>
      <c r="AI366" s="3">
        <f>IFERROR(__xludf.DUMMYFUNCTION("""COMPUTED_VALUE"""),0.0)</f>
        <v>0</v>
      </c>
      <c r="AJ366" s="3">
        <f>IFERROR(__xludf.DUMMYFUNCTION("""COMPUTED_VALUE"""),0.0)</f>
        <v>0</v>
      </c>
      <c r="AK366" s="3">
        <f>IFERROR(__xludf.DUMMYFUNCTION("""COMPUTED_VALUE"""),0.0)</f>
        <v>0</v>
      </c>
      <c r="AL366" s="3">
        <f>IFERROR(__xludf.DUMMYFUNCTION("""COMPUTED_VALUE"""),1.0)</f>
        <v>1</v>
      </c>
      <c r="AM366" s="3" t="str">
        <f>IFERROR(__xludf.DUMMYFUNCTION("""COMPUTED_VALUE"""),"Yes")</f>
        <v>Yes</v>
      </c>
      <c r="AN366" s="3" t="str">
        <f>IFERROR(__xludf.DUMMYFUNCTION("""COMPUTED_VALUE"""),"+27 84 238 8950")</f>
        <v>+27 84 238 8950</v>
      </c>
      <c r="AO366" s="3"/>
      <c r="AP366" s="3">
        <f>IFERROR(__xludf.DUMMYFUNCTION("""COMPUTED_VALUE"""),4.91304043E8)</f>
        <v>491304043</v>
      </c>
      <c r="AQ366" s="3" t="str">
        <f>IFERROR(__xludf.DUMMYFUNCTION("""COMPUTED_VALUE"""),"8cce5bab-9a5b-44dd-a781-29ef7a17c885")</f>
        <v>8cce5bab-9a5b-44dd-a781-29ef7a17c885</v>
      </c>
      <c r="AR366" s="3">
        <f>IFERROR(__xludf.DUMMYFUNCTION("""COMPUTED_VALUE"""),45811.23615740741)</f>
        <v>45811.23616</v>
      </c>
      <c r="AS366" s="3"/>
      <c r="AT366" s="3"/>
      <c r="AU366" s="3" t="str">
        <f>IFERROR(__xludf.DUMMYFUNCTION("""COMPUTED_VALUE"""),"submitted_via_web")</f>
        <v>submitted_via_web</v>
      </c>
      <c r="AV366" s="3"/>
      <c r="AW366" s="3" t="str">
        <f>IFERROR(__xludf.DUMMYFUNCTION("""COMPUTED_VALUE"""),"vckVTgNzM4XXtKAKNnsHpB")</f>
        <v>vckVTgNzM4XXtKAKNnsHpB</v>
      </c>
      <c r="AX366" s="3"/>
      <c r="AY366" s="3">
        <f>IFERROR(__xludf.DUMMYFUNCTION("""COMPUTED_VALUE"""),365.0)</f>
        <v>365</v>
      </c>
    </row>
    <row r="367">
      <c r="A367" s="3" t="str">
        <f>IFERROR(__xludf.DUMMYFUNCTION("""COMPUTED_VALUE"""),"Yes")</f>
        <v>Yes</v>
      </c>
      <c r="B367" s="3"/>
      <c r="C367" s="3" t="str">
        <f>IFERROR(__xludf.DUMMYFUNCTION("""COMPUTED_VALUE"""),"zimbabwe")</f>
        <v>zimbabwe</v>
      </c>
      <c r="D367" s="3"/>
      <c r="E367" s="3" t="str">
        <f>IFERROR(__xludf.DUMMYFUNCTION("""COMPUTED_VALUE"""),"south_africa")</f>
        <v>south_africa</v>
      </c>
      <c r="F367" s="3" t="str">
        <f>IFERROR(__xludf.DUMMYFUNCTION("""COMPUTED_VALUE"""),"City of Cape Town Metropolitan Municipality")</f>
        <v>City of Cape Town Metropolitan Municipality</v>
      </c>
      <c r="G367" s="3">
        <f>IFERROR(__xludf.DUMMYFUNCTION("""COMPUTED_VALUE"""),30.0)</f>
        <v>30</v>
      </c>
      <c r="H367" s="3" t="str">
        <f>IFERROR(__xludf.DUMMYFUNCTION("""COMPUTED_VALUE"""),"female")</f>
        <v>female</v>
      </c>
      <c r="I367" s="3" t="str">
        <f>IFERROR(__xludf.DUMMYFUNCTION("""COMPUTED_VALUE"""),"1to5")</f>
        <v>1to5</v>
      </c>
      <c r="J367" s="3" t="str">
        <f>IFERROR(__xludf.DUMMYFUNCTION("""COMPUTED_VALUE"""),"informal")</f>
        <v>informal</v>
      </c>
      <c r="K367" s="3" t="str">
        <f>IFERROR(__xludf.DUMMYFUNCTION("""COMPUTED_VALUE"""),"secondary")</f>
        <v>secondary</v>
      </c>
      <c r="L367" s="3"/>
      <c r="M367" s="3" t="str">
        <f>IFERROR(__xludf.DUMMYFUNCTION("""COMPUTED_VALUE"""),"agree")</f>
        <v>agree</v>
      </c>
      <c r="N367" s="3" t="str">
        <f>IFERROR(__xludf.DUMMYFUNCTION("""COMPUTED_VALUE"""),"agree")</f>
        <v>agree</v>
      </c>
      <c r="O367" s="3" t="str">
        <f>IFERROR(__xludf.DUMMYFUNCTION("""COMPUTED_VALUE"""),"disagree")</f>
        <v>disagree</v>
      </c>
      <c r="P367" s="3"/>
      <c r="Q367" s="3" t="str">
        <f>IFERROR(__xludf.DUMMYFUNCTION("""COMPUTED_VALUE"""),"disagree")</f>
        <v>disagree</v>
      </c>
      <c r="R367" s="3" t="str">
        <f>IFERROR(__xludf.DUMMYFUNCTION("""COMPUTED_VALUE"""),"agree")</f>
        <v>agree</v>
      </c>
      <c r="S367" s="3" t="str">
        <f>IFERROR(__xludf.DUMMYFUNCTION("""COMPUTED_VALUE"""),"disagree")</f>
        <v>disagree</v>
      </c>
      <c r="T367" s="3" t="str">
        <f>IFERROR(__xludf.DUMMYFUNCTION("""COMPUTED_VALUE"""),"disagree")</f>
        <v>disagree</v>
      </c>
      <c r="U367" s="3" t="str">
        <f>IFERROR(__xludf.DUMMYFUNCTION("""COMPUTED_VALUE"""),"agree")</f>
        <v>agree</v>
      </c>
      <c r="V367" s="3" t="str">
        <f>IFERROR(__xludf.DUMMYFUNCTION("""COMPUTED_VALUE"""),"disagree")</f>
        <v>disagree</v>
      </c>
      <c r="W367" s="3" t="str">
        <f>IFERROR(__xludf.DUMMYFUNCTION("""COMPUTED_VALUE"""),"disagree")</f>
        <v>disagree</v>
      </c>
      <c r="X367" s="3" t="str">
        <f>IFERROR(__xludf.DUMMYFUNCTION("""COMPUTED_VALUE"""),"Gold")</f>
        <v>Gold</v>
      </c>
      <c r="Y367" s="3" t="str">
        <f>IFERROR(__xludf.DUMMYFUNCTION("""COMPUTED_VALUE"""),"prepaid")</f>
        <v>prepaid</v>
      </c>
      <c r="Z367" s="3" t="str">
        <f>IFERROR(__xludf.DUMMYFUNCTION("""COMPUTED_VALUE"""),"quarterly")</f>
        <v>quarterly</v>
      </c>
      <c r="AA367" s="3">
        <f>IFERROR(__xludf.DUMMYFUNCTION("""COMPUTED_VALUE"""),30.0)</f>
        <v>30</v>
      </c>
      <c r="AB367" s="3" t="str">
        <f>IFERROR(__xludf.DUMMYFUNCTION("""COMPUTED_VALUE"""),"assisted")</f>
        <v>assisted</v>
      </c>
      <c r="AC367" s="3" t="str">
        <f>IFERROR(__xludf.DUMMYFUNCTION("""COMPUTED_VALUE"""),"I am not an employer")</f>
        <v>I am not an employer</v>
      </c>
      <c r="AD367" s="3"/>
      <c r="AE367" s="3"/>
      <c r="AF367" s="3" t="str">
        <f>IFERROR(__xludf.DUMMYFUNCTION("""COMPUTED_VALUE"""),"Yes")</f>
        <v>Yes</v>
      </c>
      <c r="AG367" s="3" t="str">
        <f>IFERROR(__xludf.DUMMYFUNCTION("""COMPUTED_VALUE"""),"No")</f>
        <v>No</v>
      </c>
      <c r="AH367" s="3"/>
      <c r="AI367" s="3">
        <f>IFERROR(__xludf.DUMMYFUNCTION("""COMPUTED_VALUE"""),0.0)</f>
        <v>0</v>
      </c>
      <c r="AJ367" s="3">
        <f>IFERROR(__xludf.DUMMYFUNCTION("""COMPUTED_VALUE"""),0.0)</f>
        <v>0</v>
      </c>
      <c r="AK367" s="3">
        <f>IFERROR(__xludf.DUMMYFUNCTION("""COMPUTED_VALUE"""),0.0)</f>
        <v>0</v>
      </c>
      <c r="AL367" s="3">
        <f>IFERROR(__xludf.DUMMYFUNCTION("""COMPUTED_VALUE"""),1.0)</f>
        <v>1</v>
      </c>
      <c r="AM367" s="3" t="str">
        <f>IFERROR(__xludf.DUMMYFUNCTION("""COMPUTED_VALUE"""),"No")</f>
        <v>No</v>
      </c>
      <c r="AN367" s="3"/>
      <c r="AO367" s="3"/>
      <c r="AP367" s="3">
        <f>IFERROR(__xludf.DUMMYFUNCTION("""COMPUTED_VALUE"""),4.91309899E8)</f>
        <v>491309899</v>
      </c>
      <c r="AQ367" s="3" t="str">
        <f>IFERROR(__xludf.DUMMYFUNCTION("""COMPUTED_VALUE"""),"f6dbdedc-d8e4-41bc-b51c-bbb9573e8838")</f>
        <v>f6dbdedc-d8e4-41bc-b51c-bbb9573e8838</v>
      </c>
      <c r="AR367" s="3">
        <f>IFERROR(__xludf.DUMMYFUNCTION("""COMPUTED_VALUE"""),45811.24793981481)</f>
        <v>45811.24794</v>
      </c>
      <c r="AS367" s="3"/>
      <c r="AT367" s="3"/>
      <c r="AU367" s="3" t="str">
        <f>IFERROR(__xludf.DUMMYFUNCTION("""COMPUTED_VALUE"""),"submitted_via_web")</f>
        <v>submitted_via_web</v>
      </c>
      <c r="AV367" s="3"/>
      <c r="AW367" s="3" t="str">
        <f>IFERROR(__xludf.DUMMYFUNCTION("""COMPUTED_VALUE"""),"vckVTgNzM4XXtKAKNnsHpB")</f>
        <v>vckVTgNzM4XXtKAKNnsHpB</v>
      </c>
      <c r="AX367" s="3"/>
      <c r="AY367" s="3">
        <f>IFERROR(__xludf.DUMMYFUNCTION("""COMPUTED_VALUE"""),366.0)</f>
        <v>366</v>
      </c>
    </row>
    <row r="368">
      <c r="A368" s="3" t="str">
        <f>IFERROR(__xludf.DUMMYFUNCTION("""COMPUTED_VALUE"""),"Yes")</f>
        <v>Yes</v>
      </c>
      <c r="B368" s="3"/>
      <c r="C368" s="3" t="str">
        <f>IFERROR(__xludf.DUMMYFUNCTION("""COMPUTED_VALUE"""),"south_africa")</f>
        <v>south_africa</v>
      </c>
      <c r="D368" s="3"/>
      <c r="E368" s="3" t="str">
        <f>IFERROR(__xludf.DUMMYFUNCTION("""COMPUTED_VALUE"""),"south_africa")</f>
        <v>south_africa</v>
      </c>
      <c r="F368" s="3" t="str">
        <f>IFERROR(__xludf.DUMMYFUNCTION("""COMPUTED_VALUE"""),"City of Johannesburg Metropolitan Municipality")</f>
        <v>City of Johannesburg Metropolitan Municipality</v>
      </c>
      <c r="G368" s="3">
        <f>IFERROR(__xludf.DUMMYFUNCTION("""COMPUTED_VALUE"""),36.0)</f>
        <v>36</v>
      </c>
      <c r="H368" s="3" t="str">
        <f>IFERROR(__xludf.DUMMYFUNCTION("""COMPUTED_VALUE"""),"male")</f>
        <v>male</v>
      </c>
      <c r="I368" s="3" t="str">
        <f>IFERROR(__xludf.DUMMYFUNCTION("""COMPUTED_VALUE"""),"citizen")</f>
        <v>citizen</v>
      </c>
      <c r="J368" s="3" t="str">
        <f>IFERROR(__xludf.DUMMYFUNCTION("""COMPUTED_VALUE"""),"formal")</f>
        <v>formal</v>
      </c>
      <c r="K368" s="3" t="str">
        <f>IFERROR(__xludf.DUMMYFUNCTION("""COMPUTED_VALUE"""),"tertiary")</f>
        <v>tertiary</v>
      </c>
      <c r="L368" s="3"/>
      <c r="M368" s="3" t="str">
        <f>IFERROR(__xludf.DUMMYFUNCTION("""COMPUTED_VALUE"""),"agree")</f>
        <v>agree</v>
      </c>
      <c r="N368" s="3" t="str">
        <f>IFERROR(__xludf.DUMMYFUNCTION("""COMPUTED_VALUE"""),"agree")</f>
        <v>agree</v>
      </c>
      <c r="O368" s="3" t="str">
        <f>IFERROR(__xludf.DUMMYFUNCTION("""COMPUTED_VALUE"""),"disagree")</f>
        <v>disagree</v>
      </c>
      <c r="P368" s="3"/>
      <c r="Q368" s="3" t="str">
        <f>IFERROR(__xludf.DUMMYFUNCTION("""COMPUTED_VALUE"""),"disagree")</f>
        <v>disagree</v>
      </c>
      <c r="R368" s="3" t="str">
        <f>IFERROR(__xludf.DUMMYFUNCTION("""COMPUTED_VALUE"""),"agree")</f>
        <v>agree</v>
      </c>
      <c r="S368" s="3" t="str">
        <f>IFERROR(__xludf.DUMMYFUNCTION("""COMPUTED_VALUE"""),"disagree")</f>
        <v>disagree</v>
      </c>
      <c r="T368" s="3" t="str">
        <f>IFERROR(__xludf.DUMMYFUNCTION("""COMPUTED_VALUE"""),"disagree")</f>
        <v>disagree</v>
      </c>
      <c r="U368" s="3" t="str">
        <f>IFERROR(__xludf.DUMMYFUNCTION("""COMPUTED_VALUE"""),"agree")</f>
        <v>agree</v>
      </c>
      <c r="V368" s="3" t="str">
        <f>IFERROR(__xludf.DUMMYFUNCTION("""COMPUTED_VALUE"""),"agree")</f>
        <v>agree</v>
      </c>
      <c r="W368" s="3" t="str">
        <f>IFERROR(__xludf.DUMMYFUNCTION("""COMPUTED_VALUE"""),"disagree")</f>
        <v>disagree</v>
      </c>
      <c r="X368" s="3" t="str">
        <f>IFERROR(__xludf.DUMMYFUNCTION("""COMPUTED_VALUE"""),"Platinum")</f>
        <v>Platinum</v>
      </c>
      <c r="Y368" s="3" t="str">
        <f>IFERROR(__xludf.DUMMYFUNCTION("""COMPUTED_VALUE"""),"insurance")</f>
        <v>insurance</v>
      </c>
      <c r="Z368" s="3" t="str">
        <f>IFERROR(__xludf.DUMMYFUNCTION("""COMPUTED_VALUE"""),"monthly")</f>
        <v>monthly</v>
      </c>
      <c r="AA368" s="3">
        <f>IFERROR(__xludf.DUMMYFUNCTION("""COMPUTED_VALUE"""),50.0)</f>
        <v>50</v>
      </c>
      <c r="AB368" s="3" t="str">
        <f>IFERROR(__xludf.DUMMYFUNCTION("""COMPUTED_VALUE"""),"employer")</f>
        <v>employer</v>
      </c>
      <c r="AC368" s="3" t="str">
        <f>IFERROR(__xludf.DUMMYFUNCTION("""COMPUTED_VALUE"""),"I am not an employer")</f>
        <v>I am not an employer</v>
      </c>
      <c r="AD368" s="3"/>
      <c r="AE368" s="3"/>
      <c r="AF368" s="3" t="str">
        <f>IFERROR(__xludf.DUMMYFUNCTION("""COMPUTED_VALUE"""),"Yes")</f>
        <v>Yes</v>
      </c>
      <c r="AG368" s="3" t="str">
        <f>IFERROR(__xludf.DUMMYFUNCTION("""COMPUTED_VALUE"""),"No")</f>
        <v>No</v>
      </c>
      <c r="AH368" s="3"/>
      <c r="AI368" s="3">
        <f>IFERROR(__xludf.DUMMYFUNCTION("""COMPUTED_VALUE"""),0.0)</f>
        <v>0</v>
      </c>
      <c r="AJ368" s="3">
        <f>IFERROR(__xludf.DUMMYFUNCTION("""COMPUTED_VALUE"""),0.0)</f>
        <v>0</v>
      </c>
      <c r="AK368" s="3">
        <f>IFERROR(__xludf.DUMMYFUNCTION("""COMPUTED_VALUE"""),1.0)</f>
        <v>1</v>
      </c>
      <c r="AL368" s="3">
        <f>IFERROR(__xludf.DUMMYFUNCTION("""COMPUTED_VALUE"""),0.0)</f>
        <v>0</v>
      </c>
      <c r="AM368" s="3" t="str">
        <f>IFERROR(__xludf.DUMMYFUNCTION("""COMPUTED_VALUE"""),"No")</f>
        <v>No</v>
      </c>
      <c r="AN368" s="3"/>
      <c r="AO368" s="3"/>
      <c r="AP368" s="3">
        <f>IFERROR(__xludf.DUMMYFUNCTION("""COMPUTED_VALUE"""),4.91349281E8)</f>
        <v>491349281</v>
      </c>
      <c r="AQ368" s="3" t="str">
        <f>IFERROR(__xludf.DUMMYFUNCTION("""COMPUTED_VALUE"""),"2f3ae31d-4284-49ac-8b59-3944aa1375ac")</f>
        <v>2f3ae31d-4284-49ac-8b59-3944aa1375ac</v>
      </c>
      <c r="AR368" s="3">
        <f>IFERROR(__xludf.DUMMYFUNCTION("""COMPUTED_VALUE"""),45811.31107638889)</f>
        <v>45811.31108</v>
      </c>
      <c r="AS368" s="3"/>
      <c r="AT368" s="3"/>
      <c r="AU368" s="3" t="str">
        <f>IFERROR(__xludf.DUMMYFUNCTION("""COMPUTED_VALUE"""),"submitted_via_web")</f>
        <v>submitted_via_web</v>
      </c>
      <c r="AV368" s="3"/>
      <c r="AW368" s="3" t="str">
        <f>IFERROR(__xludf.DUMMYFUNCTION("""COMPUTED_VALUE"""),"vckVTgNzM4XXtKAKNnsHpB")</f>
        <v>vckVTgNzM4XXtKAKNnsHpB</v>
      </c>
      <c r="AX368" s="3"/>
      <c r="AY368" s="3">
        <f>IFERROR(__xludf.DUMMYFUNCTION("""COMPUTED_VALUE"""),367.0)</f>
        <v>367</v>
      </c>
    </row>
    <row r="369">
      <c r="A369" s="3" t="str">
        <f>IFERROR(__xludf.DUMMYFUNCTION("""COMPUTED_VALUE"""),"Yes")</f>
        <v>Yes</v>
      </c>
      <c r="B369" s="3"/>
      <c r="C369" s="3" t="str">
        <f>IFERROR(__xludf.DUMMYFUNCTION("""COMPUTED_VALUE"""),"zimbabwe")</f>
        <v>zimbabwe</v>
      </c>
      <c r="D369" s="3"/>
      <c r="E369" s="3" t="str">
        <f>IFERROR(__xludf.DUMMYFUNCTION("""COMPUTED_VALUE"""),"south_africa")</f>
        <v>south_africa</v>
      </c>
      <c r="F369" s="3" t="str">
        <f>IFERROR(__xludf.DUMMYFUNCTION("""COMPUTED_VALUE"""),"City of Tshwane Metropolitan Municipality")</f>
        <v>City of Tshwane Metropolitan Municipality</v>
      </c>
      <c r="G369" s="3">
        <f>IFERROR(__xludf.DUMMYFUNCTION("""COMPUTED_VALUE"""),49.0)</f>
        <v>49</v>
      </c>
      <c r="H369" s="3" t="str">
        <f>IFERROR(__xludf.DUMMYFUNCTION("""COMPUTED_VALUE"""),"female")</f>
        <v>female</v>
      </c>
      <c r="I369" s="3" t="str">
        <f>IFERROR(__xludf.DUMMYFUNCTION("""COMPUTED_VALUE"""),"over5")</f>
        <v>over5</v>
      </c>
      <c r="J369" s="3" t="str">
        <f>IFERROR(__xludf.DUMMYFUNCTION("""COMPUTED_VALUE"""),"unemployed")</f>
        <v>unemployed</v>
      </c>
      <c r="K369" s="3" t="str">
        <f>IFERROR(__xludf.DUMMYFUNCTION("""COMPUTED_VALUE"""),"tertiary")</f>
        <v>tertiary</v>
      </c>
      <c r="L369" s="3"/>
      <c r="M369" s="3" t="str">
        <f>IFERROR(__xludf.DUMMYFUNCTION("""COMPUTED_VALUE"""),"agree")</f>
        <v>agree</v>
      </c>
      <c r="N369" s="3" t="str">
        <f>IFERROR(__xludf.DUMMYFUNCTION("""COMPUTED_VALUE"""),"agree")</f>
        <v>agree</v>
      </c>
      <c r="O369" s="3" t="str">
        <f>IFERROR(__xludf.DUMMYFUNCTION("""COMPUTED_VALUE"""),"agree")</f>
        <v>agree</v>
      </c>
      <c r="P369" s="3"/>
      <c r="Q369" s="3" t="str">
        <f>IFERROR(__xludf.DUMMYFUNCTION("""COMPUTED_VALUE"""),"disagree")</f>
        <v>disagree</v>
      </c>
      <c r="R369" s="3" t="str">
        <f>IFERROR(__xludf.DUMMYFUNCTION("""COMPUTED_VALUE"""),"agree")</f>
        <v>agree</v>
      </c>
      <c r="S369" s="3" t="str">
        <f>IFERROR(__xludf.DUMMYFUNCTION("""COMPUTED_VALUE"""),"disagree")</f>
        <v>disagree</v>
      </c>
      <c r="T369" s="3" t="str">
        <f>IFERROR(__xludf.DUMMYFUNCTION("""COMPUTED_VALUE"""),"disagree")</f>
        <v>disagree</v>
      </c>
      <c r="U369" s="3" t="str">
        <f>IFERROR(__xludf.DUMMYFUNCTION("""COMPUTED_VALUE"""),"agree")</f>
        <v>agree</v>
      </c>
      <c r="V369" s="3" t="str">
        <f>IFERROR(__xludf.DUMMYFUNCTION("""COMPUTED_VALUE"""),"disagree")</f>
        <v>disagree</v>
      </c>
      <c r="W369" s="3" t="str">
        <f>IFERROR(__xludf.DUMMYFUNCTION("""COMPUTED_VALUE"""),"disagree")</f>
        <v>disagree</v>
      </c>
      <c r="X369" s="3"/>
      <c r="Y369" s="3" t="str">
        <f>IFERROR(__xludf.DUMMYFUNCTION("""COMPUTED_VALUE"""),"insurance")</f>
        <v>insurance</v>
      </c>
      <c r="Z369" s="3" t="str">
        <f>IFERROR(__xludf.DUMMYFUNCTION("""COMPUTED_VALUE"""),"monthly")</f>
        <v>monthly</v>
      </c>
      <c r="AA369" s="3">
        <f>IFERROR(__xludf.DUMMYFUNCTION("""COMPUTED_VALUE"""),100.0)</f>
        <v>100</v>
      </c>
      <c r="AB369" s="3" t="str">
        <f>IFERROR(__xludf.DUMMYFUNCTION("""COMPUTED_VALUE"""),"employer")</f>
        <v>employer</v>
      </c>
      <c r="AC369" s="3" t="str">
        <f>IFERROR(__xludf.DUMMYFUNCTION("""COMPUTED_VALUE"""),"I am not an employer")</f>
        <v>I am not an employer</v>
      </c>
      <c r="AD369" s="3"/>
      <c r="AE369" s="3"/>
      <c r="AF369" s="3" t="str">
        <f>IFERROR(__xludf.DUMMYFUNCTION("""COMPUTED_VALUE"""),"Yes")</f>
        <v>Yes</v>
      </c>
      <c r="AG369" s="3" t="str">
        <f>IFERROR(__xludf.DUMMYFUNCTION("""COMPUTED_VALUE"""),"No")</f>
        <v>No</v>
      </c>
      <c r="AH369" s="3"/>
      <c r="AI369" s="3">
        <f>IFERROR(__xludf.DUMMYFUNCTION("""COMPUTED_VALUE"""),0.0)</f>
        <v>0</v>
      </c>
      <c r="AJ369" s="3">
        <f>IFERROR(__xludf.DUMMYFUNCTION("""COMPUTED_VALUE"""),0.0)</f>
        <v>0</v>
      </c>
      <c r="AK369" s="3">
        <f>IFERROR(__xludf.DUMMYFUNCTION("""COMPUTED_VALUE"""),0.0)</f>
        <v>0</v>
      </c>
      <c r="AL369" s="3">
        <f>IFERROR(__xludf.DUMMYFUNCTION("""COMPUTED_VALUE"""),1.0)</f>
        <v>1</v>
      </c>
      <c r="AM369" s="3" t="str">
        <f>IFERROR(__xludf.DUMMYFUNCTION("""COMPUTED_VALUE"""),"No")</f>
        <v>No</v>
      </c>
      <c r="AN369" s="3"/>
      <c r="AO369" s="3"/>
      <c r="AP369" s="3">
        <f>IFERROR(__xludf.DUMMYFUNCTION("""COMPUTED_VALUE"""),4.91359161E8)</f>
        <v>491359161</v>
      </c>
      <c r="AQ369" s="3" t="str">
        <f>IFERROR(__xludf.DUMMYFUNCTION("""COMPUTED_VALUE"""),"01bc90a6-cbab-487c-9b75-cc36349b828c")</f>
        <v>01bc90a6-cbab-487c-9b75-cc36349b828c</v>
      </c>
      <c r="AR369" s="3">
        <f>IFERROR(__xludf.DUMMYFUNCTION("""COMPUTED_VALUE"""),45811.32417824074)</f>
        <v>45811.32418</v>
      </c>
      <c r="AS369" s="3"/>
      <c r="AT369" s="3"/>
      <c r="AU369" s="3" t="str">
        <f>IFERROR(__xludf.DUMMYFUNCTION("""COMPUTED_VALUE"""),"submitted_via_web")</f>
        <v>submitted_via_web</v>
      </c>
      <c r="AV369" s="3"/>
      <c r="AW369" s="3" t="str">
        <f>IFERROR(__xludf.DUMMYFUNCTION("""COMPUTED_VALUE"""),"vgUJxCcLkhbxcmcrDMVzkY")</f>
        <v>vgUJxCcLkhbxcmcrDMVzkY</v>
      </c>
      <c r="AX369" s="3"/>
      <c r="AY369" s="3">
        <f>IFERROR(__xludf.DUMMYFUNCTION("""COMPUTED_VALUE"""),368.0)</f>
        <v>368</v>
      </c>
    </row>
    <row r="370">
      <c r="A370" s="3" t="str">
        <f>IFERROR(__xludf.DUMMYFUNCTION("""COMPUTED_VALUE"""),"Yes")</f>
        <v>Yes</v>
      </c>
      <c r="B370" s="3"/>
      <c r="C370" s="3" t="str">
        <f>IFERROR(__xludf.DUMMYFUNCTION("""COMPUTED_VALUE"""),"zimbabwe")</f>
        <v>zimbabwe</v>
      </c>
      <c r="D370" s="3"/>
      <c r="E370" s="3" t="str">
        <f>IFERROR(__xludf.DUMMYFUNCTION("""COMPUTED_VALUE"""),"south_africa")</f>
        <v>south_africa</v>
      </c>
      <c r="F370" s="3" t="str">
        <f>IFERROR(__xludf.DUMMYFUNCTION("""COMPUTED_VALUE"""),"eThekwini Metropolitan Municipality")</f>
        <v>eThekwini Metropolitan Municipality</v>
      </c>
      <c r="G370" s="3">
        <f>IFERROR(__xludf.DUMMYFUNCTION("""COMPUTED_VALUE"""),47.0)</f>
        <v>47</v>
      </c>
      <c r="H370" s="3" t="str">
        <f>IFERROR(__xludf.DUMMYFUNCTION("""COMPUTED_VALUE"""),"female")</f>
        <v>female</v>
      </c>
      <c r="I370" s="3" t="str">
        <f>IFERROR(__xludf.DUMMYFUNCTION("""COMPUTED_VALUE"""),"over5")</f>
        <v>over5</v>
      </c>
      <c r="J370" s="3" t="str">
        <f>IFERROR(__xludf.DUMMYFUNCTION("""COMPUTED_VALUE"""),"unemployed")</f>
        <v>unemployed</v>
      </c>
      <c r="K370" s="3" t="str">
        <f>IFERROR(__xludf.DUMMYFUNCTION("""COMPUTED_VALUE"""),"tertiary")</f>
        <v>tertiary</v>
      </c>
      <c r="L370" s="3"/>
      <c r="M370" s="3" t="str">
        <f>IFERROR(__xludf.DUMMYFUNCTION("""COMPUTED_VALUE"""),"agree")</f>
        <v>agree</v>
      </c>
      <c r="N370" s="3" t="str">
        <f>IFERROR(__xludf.DUMMYFUNCTION("""COMPUTED_VALUE"""),"agree")</f>
        <v>agree</v>
      </c>
      <c r="O370" s="3" t="str">
        <f>IFERROR(__xludf.DUMMYFUNCTION("""COMPUTED_VALUE"""),"agree")</f>
        <v>agree</v>
      </c>
      <c r="P370" s="3"/>
      <c r="Q370" s="3" t="str">
        <f>IFERROR(__xludf.DUMMYFUNCTION("""COMPUTED_VALUE"""),"disagree")</f>
        <v>disagree</v>
      </c>
      <c r="R370" s="3" t="str">
        <f>IFERROR(__xludf.DUMMYFUNCTION("""COMPUTED_VALUE"""),"agree")</f>
        <v>agree</v>
      </c>
      <c r="S370" s="3" t="str">
        <f>IFERROR(__xludf.DUMMYFUNCTION("""COMPUTED_VALUE"""),"agree")</f>
        <v>agree</v>
      </c>
      <c r="T370" s="3" t="str">
        <f>IFERROR(__xludf.DUMMYFUNCTION("""COMPUTED_VALUE"""),"agree")</f>
        <v>agree</v>
      </c>
      <c r="U370" s="3" t="str">
        <f>IFERROR(__xludf.DUMMYFUNCTION("""COMPUTED_VALUE"""),"agree")</f>
        <v>agree</v>
      </c>
      <c r="V370" s="3" t="str">
        <f>IFERROR(__xludf.DUMMYFUNCTION("""COMPUTED_VALUE"""),"agree")</f>
        <v>agree</v>
      </c>
      <c r="W370" s="3" t="str">
        <f>IFERROR(__xludf.DUMMYFUNCTION("""COMPUTED_VALUE"""),"agree")</f>
        <v>agree</v>
      </c>
      <c r="X370" s="3"/>
      <c r="Y370" s="3" t="str">
        <f>IFERROR(__xludf.DUMMYFUNCTION("""COMPUTED_VALUE"""),"cash")</f>
        <v>cash</v>
      </c>
      <c r="Z370" s="3"/>
      <c r="AA370" s="3"/>
      <c r="AB370" s="3"/>
      <c r="AC370" s="3"/>
      <c r="AD370" s="3"/>
      <c r="AE370" s="3"/>
      <c r="AF370" s="3" t="str">
        <f>IFERROR(__xludf.DUMMYFUNCTION("""COMPUTED_VALUE"""),"Yes")</f>
        <v>Yes</v>
      </c>
      <c r="AG370" s="3"/>
      <c r="AH370" s="3"/>
      <c r="AI370" s="3"/>
      <c r="AJ370" s="3"/>
      <c r="AK370" s="3"/>
      <c r="AL370" s="3"/>
      <c r="AM370" s="3" t="str">
        <f>IFERROR(__xludf.DUMMYFUNCTION("""COMPUTED_VALUE"""),"Yes")</f>
        <v>Yes</v>
      </c>
      <c r="AN370" s="3"/>
      <c r="AO370" s="3"/>
      <c r="AP370" s="3">
        <f>IFERROR(__xludf.DUMMYFUNCTION("""COMPUTED_VALUE"""),4.91556652E8)</f>
        <v>491556652</v>
      </c>
      <c r="AQ370" s="3" t="str">
        <f>IFERROR(__xludf.DUMMYFUNCTION("""COMPUTED_VALUE"""),"f21d5b1a-1caa-4840-bf38-07dd56bebfff")</f>
        <v>f21d5b1a-1caa-4840-bf38-07dd56bebfff</v>
      </c>
      <c r="AR370" s="3">
        <f>IFERROR(__xludf.DUMMYFUNCTION("""COMPUTED_VALUE"""),45811.55459490741)</f>
        <v>45811.55459</v>
      </c>
      <c r="AS370" s="3"/>
      <c r="AT370" s="3"/>
      <c r="AU370" s="3" t="str">
        <f>IFERROR(__xludf.DUMMYFUNCTION("""COMPUTED_VALUE"""),"submitted_via_web")</f>
        <v>submitted_via_web</v>
      </c>
      <c r="AV370" s="3"/>
      <c r="AW370" s="3" t="str">
        <f>IFERROR(__xludf.DUMMYFUNCTION("""COMPUTED_VALUE"""),"vckVTgNzM4XXtKAKNnsHpB")</f>
        <v>vckVTgNzM4XXtKAKNnsHpB</v>
      </c>
      <c r="AX370" s="3"/>
      <c r="AY370" s="3">
        <f>IFERROR(__xludf.DUMMYFUNCTION("""COMPUTED_VALUE"""),369.0)</f>
        <v>369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3E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C2" s="1" t="s">
        <v>52</v>
      </c>
      <c r="E2" s="1" t="s">
        <v>53</v>
      </c>
      <c r="F2" s="1" t="s">
        <v>54</v>
      </c>
      <c r="G2" s="2">
        <v>45.0</v>
      </c>
      <c r="H2" s="1" t="s">
        <v>55</v>
      </c>
      <c r="J2" s="1" t="s">
        <v>56</v>
      </c>
      <c r="K2" s="1" t="s">
        <v>57</v>
      </c>
      <c r="M2" s="1" t="s">
        <v>58</v>
      </c>
      <c r="N2" s="1" t="s">
        <v>58</v>
      </c>
      <c r="O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59</v>
      </c>
      <c r="Y2" s="1" t="s">
        <v>60</v>
      </c>
      <c r="Z2" s="1" t="s">
        <v>61</v>
      </c>
      <c r="AA2" s="2">
        <v>20.0</v>
      </c>
      <c r="AB2" s="1" t="s">
        <v>62</v>
      </c>
      <c r="AC2" s="1" t="s">
        <v>51</v>
      </c>
      <c r="AD2" s="1" t="s">
        <v>59</v>
      </c>
      <c r="AE2" s="1" t="s">
        <v>51</v>
      </c>
      <c r="AF2" s="1" t="s">
        <v>51</v>
      </c>
      <c r="AG2" s="1" t="s">
        <v>51</v>
      </c>
      <c r="AH2" s="2">
        <v>20000.0</v>
      </c>
      <c r="AI2" s="2">
        <v>1.0</v>
      </c>
      <c r="AJ2" s="2">
        <v>0.0</v>
      </c>
      <c r="AK2" s="2">
        <v>0.0</v>
      </c>
      <c r="AL2" s="2">
        <v>0.0</v>
      </c>
      <c r="AM2" s="1" t="s">
        <v>51</v>
      </c>
      <c r="AN2" s="2">
        <v>7.440664E8</v>
      </c>
      <c r="AP2" s="2">
        <v>4.89854387E8</v>
      </c>
      <c r="AQ2" s="1" t="s">
        <v>63</v>
      </c>
      <c r="AR2" s="2">
        <v>45808.279710648145</v>
      </c>
      <c r="AU2" s="1" t="s">
        <v>64</v>
      </c>
      <c r="AW2" s="1" t="s">
        <v>65</v>
      </c>
      <c r="AY2" s="2">
        <v>1.0</v>
      </c>
    </row>
    <row r="3">
      <c r="A3" s="1" t="s">
        <v>51</v>
      </c>
      <c r="C3" s="1" t="s">
        <v>52</v>
      </c>
      <c r="E3" s="1" t="s">
        <v>53</v>
      </c>
      <c r="F3" s="1" t="s">
        <v>54</v>
      </c>
      <c r="G3" s="2">
        <v>38.0</v>
      </c>
      <c r="H3" s="1" t="s">
        <v>66</v>
      </c>
      <c r="I3" s="1" t="s">
        <v>67</v>
      </c>
      <c r="J3" s="1" t="s">
        <v>68</v>
      </c>
      <c r="K3" s="1" t="s">
        <v>57</v>
      </c>
      <c r="M3" s="1" t="s">
        <v>58</v>
      </c>
      <c r="N3" s="1" t="s">
        <v>58</v>
      </c>
      <c r="O3" s="1" t="s">
        <v>58</v>
      </c>
      <c r="Q3" s="1" t="s">
        <v>69</v>
      </c>
      <c r="R3" s="1" t="s">
        <v>69</v>
      </c>
      <c r="S3" s="1" t="s">
        <v>58</v>
      </c>
      <c r="T3" s="1" t="s">
        <v>58</v>
      </c>
      <c r="U3" s="1" t="s">
        <v>69</v>
      </c>
      <c r="V3" s="1" t="s">
        <v>70</v>
      </c>
      <c r="W3" s="1" t="s">
        <v>69</v>
      </c>
      <c r="X3" s="1" t="s">
        <v>59</v>
      </c>
      <c r="Y3" s="1" t="s">
        <v>60</v>
      </c>
      <c r="Z3" s="1" t="s">
        <v>61</v>
      </c>
      <c r="AA3" s="2">
        <v>30.0</v>
      </c>
      <c r="AB3" s="1" t="s">
        <v>62</v>
      </c>
      <c r="AC3" s="1" t="s">
        <v>71</v>
      </c>
      <c r="AF3" s="1" t="s">
        <v>51</v>
      </c>
      <c r="AG3" s="1" t="s">
        <v>72</v>
      </c>
      <c r="AI3" s="2">
        <v>1.0</v>
      </c>
      <c r="AJ3" s="2">
        <v>0.0</v>
      </c>
      <c r="AK3" s="2">
        <v>0.0</v>
      </c>
      <c r="AL3" s="2">
        <v>0.0</v>
      </c>
      <c r="AM3" s="1" t="s">
        <v>72</v>
      </c>
      <c r="AP3" s="2">
        <v>4.89889246E8</v>
      </c>
      <c r="AQ3" s="1" t="s">
        <v>73</v>
      </c>
      <c r="AR3" s="2">
        <v>45808.33771990741</v>
      </c>
      <c r="AU3" s="1" t="s">
        <v>64</v>
      </c>
      <c r="AW3" s="1" t="s">
        <v>65</v>
      </c>
      <c r="AY3" s="2">
        <v>2.0</v>
      </c>
    </row>
    <row r="4">
      <c r="A4" s="1" t="s">
        <v>51</v>
      </c>
      <c r="C4" s="1" t="s">
        <v>52</v>
      </c>
      <c r="E4" s="1" t="s">
        <v>53</v>
      </c>
      <c r="F4" s="1" t="s">
        <v>54</v>
      </c>
      <c r="G4" s="2">
        <v>39.0</v>
      </c>
      <c r="H4" s="1" t="s">
        <v>66</v>
      </c>
      <c r="I4" s="1" t="s">
        <v>67</v>
      </c>
      <c r="J4" s="1" t="s">
        <v>68</v>
      </c>
      <c r="K4" s="1" t="s">
        <v>74</v>
      </c>
      <c r="M4" s="1" t="s">
        <v>58</v>
      </c>
      <c r="N4" s="1" t="s">
        <v>58</v>
      </c>
      <c r="O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59</v>
      </c>
      <c r="Y4" s="1" t="s">
        <v>60</v>
      </c>
      <c r="Z4" s="1" t="s">
        <v>61</v>
      </c>
      <c r="AA4" s="2">
        <v>30.0</v>
      </c>
      <c r="AB4" s="1" t="s">
        <v>62</v>
      </c>
      <c r="AC4" s="1" t="s">
        <v>71</v>
      </c>
      <c r="AF4" s="1" t="s">
        <v>51</v>
      </c>
      <c r="AG4" s="1" t="s">
        <v>72</v>
      </c>
      <c r="AI4" s="2">
        <v>1.0</v>
      </c>
      <c r="AJ4" s="2">
        <v>0.0</v>
      </c>
      <c r="AK4" s="2">
        <v>0.0</v>
      </c>
      <c r="AL4" s="2">
        <v>0.0</v>
      </c>
      <c r="AM4" s="1" t="s">
        <v>72</v>
      </c>
      <c r="AP4" s="2">
        <v>4.89890054E8</v>
      </c>
      <c r="AQ4" s="1" t="s">
        <v>75</v>
      </c>
      <c r="AR4" s="2">
        <v>45808.339270833334</v>
      </c>
      <c r="AU4" s="1" t="s">
        <v>64</v>
      </c>
      <c r="AW4" s="1" t="s">
        <v>65</v>
      </c>
      <c r="AY4" s="2">
        <v>3.0</v>
      </c>
    </row>
    <row r="5">
      <c r="A5" s="1" t="s">
        <v>51</v>
      </c>
      <c r="C5" s="1" t="s">
        <v>52</v>
      </c>
      <c r="E5" s="1" t="s">
        <v>53</v>
      </c>
      <c r="F5" s="1" t="s">
        <v>54</v>
      </c>
      <c r="G5" s="2">
        <v>27.0</v>
      </c>
      <c r="H5" s="1" t="s">
        <v>66</v>
      </c>
      <c r="I5" s="1" t="s">
        <v>76</v>
      </c>
      <c r="J5" s="1" t="s">
        <v>68</v>
      </c>
      <c r="K5" s="1" t="s">
        <v>74</v>
      </c>
      <c r="M5" s="1" t="s">
        <v>58</v>
      </c>
      <c r="N5" s="1" t="s">
        <v>58</v>
      </c>
      <c r="O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59</v>
      </c>
      <c r="Y5" s="1" t="s">
        <v>60</v>
      </c>
      <c r="Z5" s="1" t="s">
        <v>61</v>
      </c>
      <c r="AA5" s="2">
        <v>40.0</v>
      </c>
      <c r="AB5" s="1" t="s">
        <v>62</v>
      </c>
      <c r="AC5" s="1" t="s">
        <v>71</v>
      </c>
      <c r="AF5" s="1" t="s">
        <v>51</v>
      </c>
      <c r="AG5" s="1" t="s">
        <v>72</v>
      </c>
      <c r="AI5" s="2">
        <v>1.0</v>
      </c>
      <c r="AJ5" s="2">
        <v>0.0</v>
      </c>
      <c r="AK5" s="2">
        <v>0.0</v>
      </c>
      <c r="AL5" s="2">
        <v>0.0</v>
      </c>
      <c r="AM5" s="1" t="s">
        <v>72</v>
      </c>
      <c r="AP5" s="2">
        <v>4.89890911E8</v>
      </c>
      <c r="AQ5" s="1" t="s">
        <v>77</v>
      </c>
      <c r="AR5" s="2">
        <v>45808.340578703705</v>
      </c>
      <c r="AU5" s="1" t="s">
        <v>64</v>
      </c>
      <c r="AW5" s="1" t="s">
        <v>65</v>
      </c>
      <c r="AY5" s="2">
        <v>4.0</v>
      </c>
    </row>
    <row r="6">
      <c r="A6" s="1" t="s">
        <v>51</v>
      </c>
      <c r="C6" s="1" t="s">
        <v>52</v>
      </c>
      <c r="E6" s="1" t="s">
        <v>52</v>
      </c>
      <c r="G6" s="2">
        <v>53.0</v>
      </c>
      <c r="H6" s="1" t="s">
        <v>66</v>
      </c>
      <c r="J6" s="1" t="s">
        <v>68</v>
      </c>
      <c r="K6" s="1" t="s">
        <v>78</v>
      </c>
      <c r="M6" s="1" t="s">
        <v>58</v>
      </c>
      <c r="N6" s="1" t="s">
        <v>58</v>
      </c>
      <c r="O6" s="1" t="s">
        <v>58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58</v>
      </c>
      <c r="W6" s="1" t="s">
        <v>58</v>
      </c>
      <c r="X6" s="1" t="s">
        <v>59</v>
      </c>
      <c r="Y6" s="1" t="s">
        <v>60</v>
      </c>
      <c r="Z6" s="1" t="s">
        <v>61</v>
      </c>
      <c r="AA6" s="2">
        <v>20.0</v>
      </c>
      <c r="AB6" s="1" t="s">
        <v>79</v>
      </c>
      <c r="AC6" s="1" t="s">
        <v>71</v>
      </c>
      <c r="AF6" s="1" t="s">
        <v>51</v>
      </c>
      <c r="AG6" s="1" t="s">
        <v>51</v>
      </c>
      <c r="AH6" s="2">
        <v>5000.0</v>
      </c>
      <c r="AI6" s="2">
        <v>1.0</v>
      </c>
      <c r="AJ6" s="2">
        <v>0.0</v>
      </c>
      <c r="AK6" s="2">
        <v>0.0</v>
      </c>
      <c r="AL6" s="2">
        <v>0.0</v>
      </c>
      <c r="AP6" s="2">
        <v>4.89891719E8</v>
      </c>
      <c r="AQ6" s="1" t="s">
        <v>80</v>
      </c>
      <c r="AR6" s="2">
        <v>45808.34217592593</v>
      </c>
      <c r="AU6" s="1" t="s">
        <v>64</v>
      </c>
      <c r="AW6" s="1" t="s">
        <v>65</v>
      </c>
      <c r="AY6" s="2">
        <v>5.0</v>
      </c>
    </row>
    <row r="7">
      <c r="A7" s="1" t="s">
        <v>51</v>
      </c>
      <c r="C7" s="1" t="s">
        <v>52</v>
      </c>
      <c r="E7" s="1" t="s">
        <v>53</v>
      </c>
      <c r="F7" s="1" t="s">
        <v>54</v>
      </c>
      <c r="G7" s="2">
        <v>36.0</v>
      </c>
      <c r="H7" s="1" t="s">
        <v>66</v>
      </c>
      <c r="I7" s="1" t="s">
        <v>67</v>
      </c>
      <c r="J7" s="1" t="s">
        <v>68</v>
      </c>
      <c r="K7" s="1" t="s">
        <v>74</v>
      </c>
      <c r="M7" s="1" t="s">
        <v>58</v>
      </c>
      <c r="N7" s="1" t="s">
        <v>58</v>
      </c>
      <c r="O7" s="1" t="s">
        <v>69</v>
      </c>
      <c r="Q7" s="1" t="s">
        <v>70</v>
      </c>
      <c r="R7" s="1" t="s">
        <v>58</v>
      </c>
      <c r="S7" s="1" t="s">
        <v>69</v>
      </c>
      <c r="T7" s="1" t="s">
        <v>69</v>
      </c>
      <c r="U7" s="1" t="s">
        <v>70</v>
      </c>
      <c r="V7" s="1" t="s">
        <v>69</v>
      </c>
      <c r="W7" s="1" t="s">
        <v>69</v>
      </c>
      <c r="X7" s="1" t="s">
        <v>81</v>
      </c>
      <c r="Y7" s="1" t="s">
        <v>82</v>
      </c>
      <c r="Z7" s="1" t="s">
        <v>61</v>
      </c>
      <c r="AA7" s="2">
        <v>100.0</v>
      </c>
      <c r="AB7" s="1" t="s">
        <v>79</v>
      </c>
      <c r="AC7" s="1" t="s">
        <v>71</v>
      </c>
      <c r="AF7" s="1" t="s">
        <v>51</v>
      </c>
      <c r="AG7" s="1" t="s">
        <v>51</v>
      </c>
      <c r="AH7" s="2">
        <v>20.0</v>
      </c>
      <c r="AI7" s="2">
        <v>0.0</v>
      </c>
      <c r="AJ7" s="2">
        <v>0.0</v>
      </c>
      <c r="AK7" s="2">
        <v>0.0</v>
      </c>
      <c r="AL7" s="2">
        <v>1.0</v>
      </c>
      <c r="AM7" s="1" t="s">
        <v>51</v>
      </c>
      <c r="AN7" s="2">
        <v>6.03855945E8</v>
      </c>
      <c r="AP7" s="2">
        <v>4.87549124E8</v>
      </c>
      <c r="AQ7" s="1" t="s">
        <v>83</v>
      </c>
      <c r="AR7" s="2">
        <v>45805.156481481485</v>
      </c>
      <c r="AU7" s="1" t="s">
        <v>64</v>
      </c>
      <c r="AW7" s="1" t="s">
        <v>84</v>
      </c>
      <c r="AY7" s="2">
        <v>1.0</v>
      </c>
    </row>
    <row r="8">
      <c r="A8" s="1" t="s">
        <v>51</v>
      </c>
      <c r="C8" s="1" t="s">
        <v>52</v>
      </c>
      <c r="E8" s="1" t="s">
        <v>53</v>
      </c>
      <c r="F8" s="1" t="s">
        <v>85</v>
      </c>
      <c r="G8" s="2">
        <v>41.0</v>
      </c>
      <c r="H8" s="1" t="s">
        <v>55</v>
      </c>
      <c r="I8" s="1" t="s">
        <v>67</v>
      </c>
      <c r="J8" s="1" t="s">
        <v>86</v>
      </c>
      <c r="K8" s="1" t="s">
        <v>87</v>
      </c>
      <c r="M8" s="1" t="s">
        <v>58</v>
      </c>
      <c r="N8" s="1" t="s">
        <v>70</v>
      </c>
      <c r="O8" s="1" t="s">
        <v>58</v>
      </c>
      <c r="Q8" s="1" t="s">
        <v>58</v>
      </c>
      <c r="R8" s="1" t="s">
        <v>58</v>
      </c>
      <c r="S8" s="1" t="s">
        <v>69</v>
      </c>
      <c r="T8" s="1" t="s">
        <v>70</v>
      </c>
      <c r="U8" s="1" t="s">
        <v>58</v>
      </c>
      <c r="V8" s="1" t="s">
        <v>58</v>
      </c>
      <c r="W8" s="1" t="s">
        <v>58</v>
      </c>
      <c r="X8" s="1" t="s">
        <v>88</v>
      </c>
      <c r="Y8" s="1" t="s">
        <v>60</v>
      </c>
      <c r="Z8" s="1" t="s">
        <v>89</v>
      </c>
      <c r="AA8" s="2">
        <v>100.0</v>
      </c>
      <c r="AB8" s="1" t="s">
        <v>62</v>
      </c>
      <c r="AC8" s="1" t="s">
        <v>51</v>
      </c>
      <c r="AD8" s="1" t="s">
        <v>59</v>
      </c>
      <c r="AE8" s="1" t="s">
        <v>51</v>
      </c>
      <c r="AF8" s="1" t="s">
        <v>51</v>
      </c>
      <c r="AG8" s="1" t="s">
        <v>72</v>
      </c>
      <c r="AI8" s="2">
        <v>0.0</v>
      </c>
      <c r="AJ8" s="2">
        <v>0.0</v>
      </c>
      <c r="AK8" s="2">
        <v>0.0</v>
      </c>
      <c r="AL8" s="2">
        <v>1.0</v>
      </c>
      <c r="AM8" s="1" t="s">
        <v>51</v>
      </c>
      <c r="AN8" s="2">
        <v>7.89114176E8</v>
      </c>
      <c r="AP8" s="2">
        <v>4.87569504E8</v>
      </c>
      <c r="AQ8" s="1" t="s">
        <v>90</v>
      </c>
      <c r="AR8" s="2">
        <v>45805.204988425925</v>
      </c>
      <c r="AU8" s="1" t="s">
        <v>64</v>
      </c>
      <c r="AW8" s="1" t="s">
        <v>84</v>
      </c>
      <c r="AY8" s="2">
        <v>2.0</v>
      </c>
    </row>
    <row r="9">
      <c r="A9" s="1" t="s">
        <v>72</v>
      </c>
      <c r="AP9" s="2">
        <v>4.87569554E8</v>
      </c>
      <c r="AQ9" s="1" t="s">
        <v>91</v>
      </c>
      <c r="AR9" s="2">
        <v>45805.20506944445</v>
      </c>
      <c r="AU9" s="1" t="s">
        <v>64</v>
      </c>
      <c r="AW9" s="1" t="s">
        <v>84</v>
      </c>
      <c r="AY9" s="2">
        <v>3.0</v>
      </c>
    </row>
    <row r="10">
      <c r="A10" s="1" t="s">
        <v>51</v>
      </c>
      <c r="C10" s="1" t="s">
        <v>52</v>
      </c>
      <c r="E10" s="1" t="s">
        <v>53</v>
      </c>
      <c r="F10" s="1" t="s">
        <v>54</v>
      </c>
      <c r="G10" s="2">
        <v>36.0</v>
      </c>
      <c r="H10" s="1" t="s">
        <v>55</v>
      </c>
      <c r="I10" s="1" t="s">
        <v>67</v>
      </c>
      <c r="J10" s="1" t="s">
        <v>68</v>
      </c>
      <c r="K10" s="1" t="s">
        <v>92</v>
      </c>
      <c r="M10" s="1" t="s">
        <v>58</v>
      </c>
      <c r="N10" s="1" t="s">
        <v>58</v>
      </c>
      <c r="O10" s="1" t="s">
        <v>58</v>
      </c>
      <c r="Q10" s="1" t="s">
        <v>69</v>
      </c>
      <c r="R10" s="1" t="s">
        <v>58</v>
      </c>
      <c r="S10" s="1" t="s">
        <v>69</v>
      </c>
      <c r="T10" s="1" t="s">
        <v>58</v>
      </c>
      <c r="U10" s="1" t="s">
        <v>58</v>
      </c>
      <c r="V10" s="1" t="s">
        <v>58</v>
      </c>
      <c r="W10" s="1" t="s">
        <v>69</v>
      </c>
      <c r="X10" s="1" t="s">
        <v>81</v>
      </c>
      <c r="Y10" s="1" t="s">
        <v>60</v>
      </c>
      <c r="Z10" s="1" t="s">
        <v>89</v>
      </c>
      <c r="AA10" s="2">
        <v>50.0</v>
      </c>
      <c r="AB10" s="1" t="s">
        <v>79</v>
      </c>
      <c r="AC10" s="1" t="s">
        <v>51</v>
      </c>
      <c r="AD10" s="1" t="s">
        <v>81</v>
      </c>
      <c r="AE10" s="1" t="s">
        <v>51</v>
      </c>
      <c r="AF10" s="1" t="s">
        <v>51</v>
      </c>
      <c r="AG10" s="1" t="s">
        <v>51</v>
      </c>
      <c r="AH10" s="2">
        <v>50.0</v>
      </c>
      <c r="AI10" s="2">
        <v>0.0</v>
      </c>
      <c r="AJ10" s="2">
        <v>0.0</v>
      </c>
      <c r="AK10" s="2">
        <v>0.0</v>
      </c>
      <c r="AL10" s="2">
        <v>1.0</v>
      </c>
      <c r="AM10" s="1" t="s">
        <v>51</v>
      </c>
      <c r="AN10" s="2">
        <v>7.85939885E8</v>
      </c>
      <c r="AP10" s="2">
        <v>4.87579768E8</v>
      </c>
      <c r="AQ10" s="1" t="s">
        <v>93</v>
      </c>
      <c r="AR10" s="2">
        <v>45805.2256712963</v>
      </c>
      <c r="AU10" s="1" t="s">
        <v>64</v>
      </c>
      <c r="AW10" s="1" t="s">
        <v>84</v>
      </c>
      <c r="AY10" s="2">
        <v>4.0</v>
      </c>
    </row>
    <row r="11">
      <c r="A11" s="1" t="s">
        <v>51</v>
      </c>
      <c r="C11" s="1" t="s">
        <v>52</v>
      </c>
      <c r="E11" s="1" t="s">
        <v>53</v>
      </c>
      <c r="F11" s="1" t="s">
        <v>94</v>
      </c>
      <c r="G11" s="2">
        <v>45.0</v>
      </c>
      <c r="H11" s="1" t="s">
        <v>66</v>
      </c>
      <c r="I11" s="1" t="s">
        <v>67</v>
      </c>
      <c r="J11" s="1" t="s">
        <v>86</v>
      </c>
      <c r="K11" s="1" t="s">
        <v>87</v>
      </c>
      <c r="M11" s="1" t="s">
        <v>58</v>
      </c>
      <c r="N11" s="1" t="s">
        <v>58</v>
      </c>
      <c r="O11" s="1" t="s">
        <v>69</v>
      </c>
      <c r="Q11" s="1" t="s">
        <v>69</v>
      </c>
      <c r="R11" s="1" t="s">
        <v>58</v>
      </c>
      <c r="S11" s="1" t="s">
        <v>58</v>
      </c>
      <c r="T11" s="1" t="s">
        <v>58</v>
      </c>
      <c r="U11" s="1" t="s">
        <v>69</v>
      </c>
      <c r="V11" s="1" t="s">
        <v>58</v>
      </c>
      <c r="W11" s="1" t="s">
        <v>58</v>
      </c>
      <c r="X11" s="1" t="s">
        <v>88</v>
      </c>
      <c r="Y11" s="1" t="s">
        <v>95</v>
      </c>
      <c r="Z11" s="1" t="s">
        <v>96</v>
      </c>
      <c r="AA11" s="2">
        <v>100.0</v>
      </c>
      <c r="AB11" s="1" t="s">
        <v>62</v>
      </c>
      <c r="AF11" s="1" t="s">
        <v>51</v>
      </c>
      <c r="AI11" s="2">
        <v>0.0</v>
      </c>
      <c r="AJ11" s="2">
        <v>0.0</v>
      </c>
      <c r="AK11" s="2">
        <v>0.0</v>
      </c>
      <c r="AL11" s="2">
        <v>1.0</v>
      </c>
      <c r="AM11" s="1" t="s">
        <v>51</v>
      </c>
      <c r="AP11" s="2">
        <v>4.87581103E8</v>
      </c>
      <c r="AQ11" s="1" t="s">
        <v>97</v>
      </c>
      <c r="AR11" s="2">
        <v>45805.22862268519</v>
      </c>
      <c r="AU11" s="1" t="s">
        <v>64</v>
      </c>
      <c r="AW11" s="1" t="s">
        <v>84</v>
      </c>
      <c r="AY11" s="2">
        <v>5.0</v>
      </c>
    </row>
    <row r="12">
      <c r="A12" s="1" t="s">
        <v>51</v>
      </c>
      <c r="C12" s="1" t="s">
        <v>52</v>
      </c>
      <c r="E12" s="1" t="s">
        <v>53</v>
      </c>
      <c r="F12" s="1" t="s">
        <v>54</v>
      </c>
      <c r="G12" s="2">
        <v>49.0</v>
      </c>
      <c r="H12" s="1" t="s">
        <v>55</v>
      </c>
      <c r="I12" s="1" t="s">
        <v>67</v>
      </c>
      <c r="J12" s="1" t="s">
        <v>86</v>
      </c>
      <c r="K12" s="1" t="s">
        <v>87</v>
      </c>
      <c r="M12" s="1" t="s">
        <v>58</v>
      </c>
      <c r="N12" s="1" t="s">
        <v>58</v>
      </c>
      <c r="O12" s="1" t="s">
        <v>58</v>
      </c>
      <c r="Q12" s="1" t="s">
        <v>58</v>
      </c>
      <c r="R12" s="1" t="s">
        <v>58</v>
      </c>
      <c r="S12" s="1" t="s">
        <v>58</v>
      </c>
      <c r="T12" s="1" t="s">
        <v>70</v>
      </c>
      <c r="U12" s="1" t="s">
        <v>58</v>
      </c>
      <c r="V12" s="1" t="s">
        <v>58</v>
      </c>
      <c r="W12" s="1" t="s">
        <v>58</v>
      </c>
      <c r="X12" s="1" t="s">
        <v>88</v>
      </c>
      <c r="Y12" s="1" t="s">
        <v>95</v>
      </c>
      <c r="Z12" s="1" t="s">
        <v>96</v>
      </c>
      <c r="AA12" s="2">
        <v>100.0</v>
      </c>
      <c r="AB12" s="1" t="s">
        <v>62</v>
      </c>
      <c r="AC12" s="1" t="s">
        <v>51</v>
      </c>
      <c r="AD12" s="1" t="s">
        <v>81</v>
      </c>
      <c r="AE12" s="1" t="s">
        <v>51</v>
      </c>
      <c r="AF12" s="1" t="s">
        <v>51</v>
      </c>
      <c r="AG12" s="1" t="s">
        <v>51</v>
      </c>
      <c r="AH12" s="2">
        <v>50.0</v>
      </c>
      <c r="AI12" s="2">
        <v>0.0</v>
      </c>
      <c r="AJ12" s="2">
        <v>0.0</v>
      </c>
      <c r="AK12" s="2">
        <v>1.0</v>
      </c>
      <c r="AL12" s="2">
        <v>0.0</v>
      </c>
      <c r="AM12" s="1" t="s">
        <v>51</v>
      </c>
      <c r="AN12" s="2">
        <v>6.80530886E8</v>
      </c>
      <c r="AP12" s="2">
        <v>4.87583535E8</v>
      </c>
      <c r="AQ12" s="1" t="s">
        <v>98</v>
      </c>
      <c r="AR12" s="2">
        <v>45805.23370370371</v>
      </c>
      <c r="AU12" s="1" t="s">
        <v>64</v>
      </c>
      <c r="AW12" s="1" t="s">
        <v>84</v>
      </c>
      <c r="AY12" s="2">
        <v>6.0</v>
      </c>
    </row>
    <row r="13">
      <c r="A13" s="1" t="s">
        <v>51</v>
      </c>
      <c r="C13" s="1" t="s">
        <v>52</v>
      </c>
      <c r="E13" s="1" t="s">
        <v>53</v>
      </c>
      <c r="F13" s="1" t="s">
        <v>54</v>
      </c>
      <c r="G13" s="2">
        <v>39.0</v>
      </c>
      <c r="H13" s="1" t="s">
        <v>55</v>
      </c>
      <c r="I13" s="1" t="s">
        <v>67</v>
      </c>
      <c r="J13" s="1" t="s">
        <v>86</v>
      </c>
      <c r="K13" s="1" t="s">
        <v>87</v>
      </c>
      <c r="M13" s="1" t="s">
        <v>58</v>
      </c>
      <c r="N13" s="1" t="s">
        <v>58</v>
      </c>
      <c r="O13" s="1" t="s">
        <v>69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88</v>
      </c>
      <c r="Y13" s="1" t="s">
        <v>95</v>
      </c>
      <c r="Z13" s="1" t="s">
        <v>89</v>
      </c>
      <c r="AA13" s="2">
        <v>50.0</v>
      </c>
      <c r="AB13" s="1" t="s">
        <v>62</v>
      </c>
      <c r="AC13" s="1" t="s">
        <v>51</v>
      </c>
      <c r="AD13" s="1" t="s">
        <v>81</v>
      </c>
      <c r="AE13" s="1" t="s">
        <v>51</v>
      </c>
      <c r="AF13" s="1" t="s">
        <v>51</v>
      </c>
      <c r="AG13" s="1" t="s">
        <v>72</v>
      </c>
      <c r="AI13" s="2">
        <v>0.0</v>
      </c>
      <c r="AJ13" s="2">
        <v>0.0</v>
      </c>
      <c r="AK13" s="2">
        <v>0.0</v>
      </c>
      <c r="AL13" s="2">
        <v>1.0</v>
      </c>
      <c r="AM13" s="1" t="s">
        <v>72</v>
      </c>
      <c r="AP13" s="2">
        <v>4.87584635E8</v>
      </c>
      <c r="AQ13" s="1" t="s">
        <v>99</v>
      </c>
      <c r="AR13" s="2">
        <v>45805.23600694445</v>
      </c>
      <c r="AU13" s="1" t="s">
        <v>64</v>
      </c>
      <c r="AW13" s="1" t="s">
        <v>84</v>
      </c>
      <c r="AY13" s="2">
        <v>7.0</v>
      </c>
    </row>
    <row r="14">
      <c r="A14" s="1" t="s">
        <v>51</v>
      </c>
      <c r="C14" s="1" t="s">
        <v>53</v>
      </c>
      <c r="E14" s="1" t="s">
        <v>53</v>
      </c>
      <c r="F14" s="1" t="s">
        <v>54</v>
      </c>
      <c r="G14" s="2">
        <v>19.0</v>
      </c>
      <c r="H14" s="1" t="s">
        <v>55</v>
      </c>
      <c r="I14" s="1" t="s">
        <v>100</v>
      </c>
      <c r="J14" s="1" t="s">
        <v>68</v>
      </c>
      <c r="K14" s="1" t="s">
        <v>92</v>
      </c>
      <c r="M14" s="1" t="s">
        <v>58</v>
      </c>
      <c r="N14" s="1" t="s">
        <v>58</v>
      </c>
      <c r="O14" s="1" t="s">
        <v>70</v>
      </c>
      <c r="Q14" s="1" t="s">
        <v>58</v>
      </c>
      <c r="R14" s="1" t="s">
        <v>58</v>
      </c>
      <c r="S14" s="1" t="s">
        <v>69</v>
      </c>
      <c r="T14" s="1" t="s">
        <v>69</v>
      </c>
      <c r="U14" s="1" t="s">
        <v>70</v>
      </c>
      <c r="V14" s="1" t="s">
        <v>58</v>
      </c>
      <c r="W14" s="1" t="s">
        <v>69</v>
      </c>
      <c r="X14" s="1" t="s">
        <v>88</v>
      </c>
      <c r="Y14" s="1" t="s">
        <v>82</v>
      </c>
      <c r="Z14" s="1" t="s">
        <v>89</v>
      </c>
      <c r="AA14" s="2">
        <v>40.0</v>
      </c>
      <c r="AB14" s="1" t="s">
        <v>28</v>
      </c>
      <c r="AC14" s="1" t="s">
        <v>72</v>
      </c>
      <c r="AF14" s="1" t="s">
        <v>51</v>
      </c>
      <c r="AG14" s="1" t="s">
        <v>51</v>
      </c>
      <c r="AH14" s="2">
        <v>20.0</v>
      </c>
      <c r="AI14" s="2">
        <v>0.0</v>
      </c>
      <c r="AJ14" s="2">
        <v>0.0</v>
      </c>
      <c r="AK14" s="2">
        <v>1.0</v>
      </c>
      <c r="AL14" s="2">
        <v>0.0</v>
      </c>
      <c r="AM14" s="1" t="s">
        <v>72</v>
      </c>
      <c r="AP14" s="2">
        <v>4.87590182E8</v>
      </c>
      <c r="AQ14" s="1" t="s">
        <v>101</v>
      </c>
      <c r="AR14" s="2">
        <v>45805.24518518519</v>
      </c>
      <c r="AU14" s="1" t="s">
        <v>64</v>
      </c>
      <c r="AW14" s="1" t="s">
        <v>84</v>
      </c>
      <c r="AY14" s="2">
        <v>8.0</v>
      </c>
    </row>
    <row r="15">
      <c r="A15" s="1" t="s">
        <v>51</v>
      </c>
      <c r="C15" s="1" t="s">
        <v>52</v>
      </c>
      <c r="E15" s="1" t="s">
        <v>53</v>
      </c>
      <c r="F15" s="1" t="s">
        <v>102</v>
      </c>
      <c r="G15" s="2">
        <v>41.0</v>
      </c>
      <c r="H15" s="1" t="s">
        <v>55</v>
      </c>
      <c r="I15" s="1" t="s">
        <v>67</v>
      </c>
      <c r="J15" s="1" t="s">
        <v>56</v>
      </c>
      <c r="K15" s="1" t="s">
        <v>87</v>
      </c>
      <c r="M15" s="1" t="s">
        <v>58</v>
      </c>
      <c r="N15" s="1" t="s">
        <v>58</v>
      </c>
      <c r="O15" s="1" t="s">
        <v>58</v>
      </c>
      <c r="Q15" s="1" t="s">
        <v>70</v>
      </c>
      <c r="R15" s="1" t="s">
        <v>58</v>
      </c>
      <c r="S15" s="1" t="s">
        <v>69</v>
      </c>
      <c r="T15" s="1" t="s">
        <v>69</v>
      </c>
      <c r="U15" s="1" t="s">
        <v>69</v>
      </c>
      <c r="V15" s="1" t="s">
        <v>58</v>
      </c>
      <c r="W15" s="1" t="s">
        <v>69</v>
      </c>
      <c r="X15" s="1" t="s">
        <v>103</v>
      </c>
      <c r="Y15" s="1" t="s">
        <v>95</v>
      </c>
      <c r="Z15" s="1" t="s">
        <v>89</v>
      </c>
      <c r="AA15" s="2">
        <v>100.0</v>
      </c>
      <c r="AB15" s="1" t="s">
        <v>62</v>
      </c>
      <c r="AC15" s="1" t="s">
        <v>71</v>
      </c>
      <c r="AF15" s="1" t="s">
        <v>72</v>
      </c>
      <c r="AG15" s="1" t="s">
        <v>51</v>
      </c>
      <c r="AH15" s="2">
        <v>15.0</v>
      </c>
      <c r="AI15" s="2">
        <v>0.0</v>
      </c>
      <c r="AJ15" s="2">
        <v>0.0</v>
      </c>
      <c r="AK15" s="2">
        <v>1.0</v>
      </c>
      <c r="AL15" s="2">
        <v>0.0</v>
      </c>
      <c r="AM15" s="1" t="s">
        <v>72</v>
      </c>
      <c r="AP15" s="2">
        <v>4.87597851E8</v>
      </c>
      <c r="AQ15" s="1" t="s">
        <v>104</v>
      </c>
      <c r="AR15" s="2">
        <v>45805.25702546296</v>
      </c>
      <c r="AU15" s="1" t="s">
        <v>64</v>
      </c>
      <c r="AW15" s="1" t="s">
        <v>84</v>
      </c>
      <c r="AY15" s="2">
        <v>9.0</v>
      </c>
    </row>
    <row r="16">
      <c r="A16" s="1" t="s">
        <v>51</v>
      </c>
      <c r="C16" s="1" t="s">
        <v>52</v>
      </c>
      <c r="E16" s="1" t="s">
        <v>105</v>
      </c>
      <c r="G16" s="2">
        <v>44.0</v>
      </c>
      <c r="H16" s="1" t="s">
        <v>66</v>
      </c>
      <c r="K16" s="1" t="s">
        <v>92</v>
      </c>
      <c r="M16" s="1" t="s">
        <v>58</v>
      </c>
      <c r="N16" s="1" t="s">
        <v>58</v>
      </c>
      <c r="O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88</v>
      </c>
      <c r="Y16" s="1" t="s">
        <v>95</v>
      </c>
      <c r="Z16" s="1" t="s">
        <v>89</v>
      </c>
      <c r="AA16" s="2">
        <v>100.0</v>
      </c>
      <c r="AB16" s="1" t="s">
        <v>79</v>
      </c>
      <c r="AF16" s="1" t="s">
        <v>51</v>
      </c>
      <c r="AG16" s="1" t="s">
        <v>51</v>
      </c>
      <c r="AI16" s="2">
        <v>0.0</v>
      </c>
      <c r="AJ16" s="2">
        <v>0.0</v>
      </c>
      <c r="AK16" s="2">
        <v>0.0</v>
      </c>
      <c r="AL16" s="2">
        <v>1.0</v>
      </c>
      <c r="AP16" s="2">
        <v>4.87598469E8</v>
      </c>
      <c r="AQ16" s="1" t="s">
        <v>106</v>
      </c>
      <c r="AR16" s="2">
        <v>45805.257789351854</v>
      </c>
      <c r="AU16" s="1" t="s">
        <v>64</v>
      </c>
      <c r="AW16" s="1" t="s">
        <v>84</v>
      </c>
      <c r="AY16" s="2">
        <v>10.0</v>
      </c>
    </row>
    <row r="17">
      <c r="A17" s="1" t="s">
        <v>51</v>
      </c>
      <c r="C17" s="1" t="s">
        <v>52</v>
      </c>
      <c r="E17" s="1" t="s">
        <v>107</v>
      </c>
      <c r="G17" s="2">
        <v>45.0</v>
      </c>
      <c r="H17" s="1" t="s">
        <v>55</v>
      </c>
      <c r="J17" s="1" t="s">
        <v>86</v>
      </c>
      <c r="K17" s="1" t="s">
        <v>87</v>
      </c>
      <c r="M17" s="1" t="s">
        <v>58</v>
      </c>
      <c r="N17" s="1" t="s">
        <v>58</v>
      </c>
      <c r="O17" s="1" t="s">
        <v>58</v>
      </c>
      <c r="Q17" s="1" t="s">
        <v>69</v>
      </c>
      <c r="R17" s="1" t="s">
        <v>58</v>
      </c>
      <c r="S17" s="1" t="s">
        <v>69</v>
      </c>
      <c r="T17" s="1" t="s">
        <v>58</v>
      </c>
      <c r="U17" s="1" t="s">
        <v>58</v>
      </c>
      <c r="V17" s="1" t="s">
        <v>58</v>
      </c>
      <c r="W17" s="1" t="s">
        <v>69</v>
      </c>
      <c r="X17" s="1" t="s">
        <v>103</v>
      </c>
      <c r="Y17" s="1" t="s">
        <v>95</v>
      </c>
      <c r="Z17" s="1" t="s">
        <v>108</v>
      </c>
      <c r="AA17" s="2">
        <v>100.0</v>
      </c>
      <c r="AB17" s="1" t="s">
        <v>62</v>
      </c>
      <c r="AC17" s="1" t="s">
        <v>71</v>
      </c>
      <c r="AF17" s="1" t="s">
        <v>51</v>
      </c>
      <c r="AG17" s="1" t="s">
        <v>72</v>
      </c>
      <c r="AI17" s="2">
        <v>0.0</v>
      </c>
      <c r="AJ17" s="2">
        <v>0.0</v>
      </c>
      <c r="AK17" s="2">
        <v>1.0</v>
      </c>
      <c r="AL17" s="2">
        <v>0.0</v>
      </c>
      <c r="AP17" s="2">
        <v>4.87601692E8</v>
      </c>
      <c r="AQ17" s="1" t="s">
        <v>109</v>
      </c>
      <c r="AR17" s="2">
        <v>45805.2628587963</v>
      </c>
      <c r="AU17" s="1" t="s">
        <v>64</v>
      </c>
      <c r="AW17" s="1" t="s">
        <v>84</v>
      </c>
      <c r="AY17" s="2">
        <v>11.0</v>
      </c>
    </row>
    <row r="18">
      <c r="A18" s="1" t="s">
        <v>51</v>
      </c>
      <c r="C18" s="1" t="s">
        <v>52</v>
      </c>
      <c r="E18" s="1" t="s">
        <v>53</v>
      </c>
      <c r="G18" s="2">
        <v>35.0</v>
      </c>
      <c r="H18" s="1" t="s">
        <v>66</v>
      </c>
      <c r="I18" s="1" t="s">
        <v>67</v>
      </c>
      <c r="J18" s="1" t="s">
        <v>68</v>
      </c>
      <c r="K18" s="1" t="s">
        <v>74</v>
      </c>
      <c r="M18" s="1" t="s">
        <v>58</v>
      </c>
      <c r="N18" s="1" t="s">
        <v>58</v>
      </c>
      <c r="O18" s="1" t="s">
        <v>58</v>
      </c>
      <c r="Q18" s="1" t="s">
        <v>58</v>
      </c>
      <c r="R18" s="1" t="s">
        <v>58</v>
      </c>
      <c r="S18" s="1" t="s">
        <v>69</v>
      </c>
      <c r="T18" s="1" t="s">
        <v>69</v>
      </c>
      <c r="U18" s="1" t="s">
        <v>58</v>
      </c>
      <c r="V18" s="1" t="s">
        <v>58</v>
      </c>
      <c r="W18" s="1" t="s">
        <v>69</v>
      </c>
      <c r="X18" s="1" t="s">
        <v>59</v>
      </c>
      <c r="Y18" s="1" t="s">
        <v>82</v>
      </c>
      <c r="Z18" s="1" t="s">
        <v>108</v>
      </c>
      <c r="AA18" s="2">
        <v>10.0</v>
      </c>
      <c r="AB18" s="1" t="s">
        <v>79</v>
      </c>
      <c r="AC18" s="1" t="s">
        <v>51</v>
      </c>
      <c r="AD18" s="1" t="s">
        <v>81</v>
      </c>
      <c r="AE18" s="1" t="s">
        <v>51</v>
      </c>
      <c r="AF18" s="1" t="s">
        <v>51</v>
      </c>
      <c r="AG18" s="1" t="s">
        <v>51</v>
      </c>
      <c r="AH18" s="2">
        <v>6000.0</v>
      </c>
      <c r="AI18" s="2">
        <v>0.0</v>
      </c>
      <c r="AJ18" s="2">
        <v>1.0</v>
      </c>
      <c r="AK18" s="2">
        <v>0.0</v>
      </c>
      <c r="AL18" s="2">
        <v>0.0</v>
      </c>
      <c r="AM18" s="1" t="s">
        <v>51</v>
      </c>
      <c r="AN18" s="2">
        <v>7.80638071E8</v>
      </c>
      <c r="AP18" s="2">
        <v>4.87603844E8</v>
      </c>
      <c r="AQ18" s="1" t="s">
        <v>110</v>
      </c>
      <c r="AR18" s="2">
        <v>45805.26619212963</v>
      </c>
      <c r="AU18" s="1" t="s">
        <v>64</v>
      </c>
      <c r="AW18" s="1" t="s">
        <v>84</v>
      </c>
      <c r="AY18" s="2">
        <v>12.0</v>
      </c>
    </row>
    <row r="19">
      <c r="A19" s="1" t="s">
        <v>51</v>
      </c>
      <c r="C19" s="1" t="s">
        <v>52</v>
      </c>
      <c r="E19" s="1" t="s">
        <v>53</v>
      </c>
      <c r="F19" s="1" t="s">
        <v>102</v>
      </c>
      <c r="G19" s="2">
        <v>43.0</v>
      </c>
      <c r="H19" s="1" t="s">
        <v>66</v>
      </c>
      <c r="I19" s="1" t="s">
        <v>67</v>
      </c>
      <c r="J19" s="1" t="s">
        <v>111</v>
      </c>
      <c r="K19" s="1" t="s">
        <v>87</v>
      </c>
      <c r="M19" s="1" t="s">
        <v>58</v>
      </c>
      <c r="N19" s="1" t="s">
        <v>58</v>
      </c>
      <c r="O19" s="1" t="s">
        <v>69</v>
      </c>
      <c r="Q19" s="1" t="s">
        <v>69</v>
      </c>
      <c r="R19" s="1" t="s">
        <v>58</v>
      </c>
      <c r="S19" s="1" t="s">
        <v>69</v>
      </c>
      <c r="T19" s="1" t="s">
        <v>69</v>
      </c>
      <c r="U19" s="1" t="s">
        <v>69</v>
      </c>
      <c r="V19" s="1" t="s">
        <v>58</v>
      </c>
      <c r="W19" s="1" t="s">
        <v>70</v>
      </c>
      <c r="X19" s="1" t="s">
        <v>59</v>
      </c>
      <c r="Y19" s="1" t="s">
        <v>95</v>
      </c>
      <c r="Z19" s="1" t="s">
        <v>61</v>
      </c>
      <c r="AA19" s="2">
        <v>10.0</v>
      </c>
      <c r="AB19" s="1" t="s">
        <v>79</v>
      </c>
      <c r="AC19" s="1" t="s">
        <v>51</v>
      </c>
      <c r="AD19" s="1" t="s">
        <v>81</v>
      </c>
      <c r="AE19" s="1" t="s">
        <v>51</v>
      </c>
      <c r="AF19" s="1" t="s">
        <v>51</v>
      </c>
      <c r="AG19" s="1" t="s">
        <v>51</v>
      </c>
      <c r="AH19" s="2">
        <v>100.0</v>
      </c>
      <c r="AI19" s="2">
        <v>0.0</v>
      </c>
      <c r="AJ19" s="2">
        <v>0.0</v>
      </c>
      <c r="AK19" s="2">
        <v>1.0</v>
      </c>
      <c r="AL19" s="2">
        <v>0.0</v>
      </c>
      <c r="AM19" s="1" t="s">
        <v>51</v>
      </c>
      <c r="AN19" s="2">
        <v>7.42878903E8</v>
      </c>
      <c r="AP19" s="2">
        <v>4.8760696E8</v>
      </c>
      <c r="AQ19" s="1" t="s">
        <v>112</v>
      </c>
      <c r="AR19" s="2">
        <v>45805.27038194444</v>
      </c>
      <c r="AU19" s="1" t="s">
        <v>64</v>
      </c>
      <c r="AW19" s="1" t="s">
        <v>84</v>
      </c>
      <c r="AY19" s="2">
        <v>13.0</v>
      </c>
    </row>
    <row r="20">
      <c r="A20" s="1" t="s">
        <v>51</v>
      </c>
      <c r="C20" s="1" t="s">
        <v>52</v>
      </c>
      <c r="E20" s="1" t="s">
        <v>52</v>
      </c>
      <c r="G20" s="2">
        <v>36.0</v>
      </c>
      <c r="H20" s="1" t="s">
        <v>55</v>
      </c>
      <c r="J20" s="1" t="s">
        <v>111</v>
      </c>
      <c r="K20" s="1" t="s">
        <v>87</v>
      </c>
      <c r="M20" s="1" t="s">
        <v>58</v>
      </c>
      <c r="N20" s="1" t="s">
        <v>58</v>
      </c>
      <c r="O20" s="1" t="s">
        <v>69</v>
      </c>
      <c r="Q20" s="1" t="s">
        <v>58</v>
      </c>
      <c r="R20" s="1" t="s">
        <v>58</v>
      </c>
      <c r="S20" s="1" t="s">
        <v>69</v>
      </c>
      <c r="T20" s="1" t="s">
        <v>58</v>
      </c>
      <c r="U20" s="1" t="s">
        <v>58</v>
      </c>
      <c r="V20" s="1" t="s">
        <v>58</v>
      </c>
      <c r="W20" s="1" t="s">
        <v>69</v>
      </c>
      <c r="X20" s="1" t="s">
        <v>88</v>
      </c>
      <c r="Y20" s="1" t="s">
        <v>95</v>
      </c>
      <c r="Z20" s="1" t="s">
        <v>89</v>
      </c>
      <c r="AA20" s="2">
        <v>50.0</v>
      </c>
      <c r="AB20" s="1" t="s">
        <v>79</v>
      </c>
      <c r="AC20" s="1" t="s">
        <v>71</v>
      </c>
      <c r="AF20" s="1" t="s">
        <v>51</v>
      </c>
      <c r="AG20" s="1" t="s">
        <v>51</v>
      </c>
      <c r="AH20" s="2">
        <v>50.0</v>
      </c>
      <c r="AI20" s="2">
        <v>0.0</v>
      </c>
      <c r="AJ20" s="2">
        <v>0.0</v>
      </c>
      <c r="AK20" s="2">
        <v>0.0</v>
      </c>
      <c r="AL20" s="2">
        <v>1.0</v>
      </c>
      <c r="AP20" s="2">
        <v>4.87608107E8</v>
      </c>
      <c r="AQ20" s="1" t="s">
        <v>113</v>
      </c>
      <c r="AR20" s="2">
        <v>45805.271875</v>
      </c>
      <c r="AU20" s="1" t="s">
        <v>64</v>
      </c>
      <c r="AW20" s="1" t="s">
        <v>84</v>
      </c>
      <c r="AY20" s="2">
        <v>14.0</v>
      </c>
    </row>
    <row r="21">
      <c r="A21" s="1" t="s">
        <v>51</v>
      </c>
      <c r="C21" s="1" t="s">
        <v>52</v>
      </c>
      <c r="E21" s="1" t="s">
        <v>52</v>
      </c>
      <c r="G21" s="2">
        <v>30.0</v>
      </c>
      <c r="H21" s="1" t="s">
        <v>55</v>
      </c>
      <c r="J21" s="1" t="s">
        <v>86</v>
      </c>
      <c r="K21" s="1" t="s">
        <v>87</v>
      </c>
      <c r="M21" s="1" t="s">
        <v>58</v>
      </c>
      <c r="N21" s="1" t="s">
        <v>58</v>
      </c>
      <c r="O21" s="1" t="s">
        <v>70</v>
      </c>
      <c r="Q21" s="1" t="s">
        <v>58</v>
      </c>
      <c r="R21" s="1" t="s">
        <v>70</v>
      </c>
      <c r="S21" s="1" t="s">
        <v>69</v>
      </c>
      <c r="T21" s="1" t="s">
        <v>69</v>
      </c>
      <c r="U21" s="1" t="s">
        <v>58</v>
      </c>
      <c r="V21" s="1" t="s">
        <v>58</v>
      </c>
      <c r="W21" s="1" t="s">
        <v>69</v>
      </c>
      <c r="X21" s="1" t="s">
        <v>81</v>
      </c>
      <c r="Y21" s="1" t="s">
        <v>95</v>
      </c>
      <c r="Z21" s="1" t="s">
        <v>89</v>
      </c>
      <c r="AA21" s="2">
        <v>40.0</v>
      </c>
      <c r="AB21" s="1" t="s">
        <v>62</v>
      </c>
      <c r="AC21" s="1" t="s">
        <v>51</v>
      </c>
      <c r="AD21" s="1" t="s">
        <v>81</v>
      </c>
      <c r="AE21" s="1" t="s">
        <v>51</v>
      </c>
      <c r="AF21" s="1" t="s">
        <v>51</v>
      </c>
      <c r="AG21" s="1" t="s">
        <v>51</v>
      </c>
      <c r="AH21" s="2">
        <v>20.0</v>
      </c>
      <c r="AI21" s="2">
        <v>1.0</v>
      </c>
      <c r="AJ21" s="2">
        <v>1.0</v>
      </c>
      <c r="AK21" s="2">
        <v>1.0</v>
      </c>
      <c r="AL21" s="2">
        <v>0.0</v>
      </c>
      <c r="AP21" s="2">
        <v>4.87609783E8</v>
      </c>
      <c r="AQ21" s="1" t="s">
        <v>114</v>
      </c>
      <c r="AR21" s="2">
        <v>45805.27391203704</v>
      </c>
      <c r="AU21" s="1" t="s">
        <v>64</v>
      </c>
      <c r="AW21" s="1" t="s">
        <v>84</v>
      </c>
      <c r="AY21" s="2">
        <v>15.0</v>
      </c>
    </row>
    <row r="22">
      <c r="A22" s="1" t="s">
        <v>51</v>
      </c>
      <c r="C22" s="1" t="s">
        <v>52</v>
      </c>
      <c r="E22" s="1" t="s">
        <v>53</v>
      </c>
      <c r="F22" s="1" t="s">
        <v>115</v>
      </c>
      <c r="G22" s="2">
        <v>44.0</v>
      </c>
      <c r="H22" s="1" t="s">
        <v>55</v>
      </c>
      <c r="I22" s="1" t="s">
        <v>67</v>
      </c>
      <c r="J22" s="1" t="s">
        <v>86</v>
      </c>
      <c r="K22" s="1" t="s">
        <v>87</v>
      </c>
      <c r="M22" s="1" t="s">
        <v>58</v>
      </c>
      <c r="N22" s="1" t="s">
        <v>58</v>
      </c>
      <c r="O22" s="1" t="s">
        <v>69</v>
      </c>
      <c r="Q22" s="1" t="s">
        <v>69</v>
      </c>
      <c r="R22" s="1" t="s">
        <v>70</v>
      </c>
      <c r="S22" s="1" t="s">
        <v>69</v>
      </c>
      <c r="T22" s="1" t="s">
        <v>69</v>
      </c>
      <c r="U22" s="1" t="s">
        <v>70</v>
      </c>
      <c r="V22" s="1" t="s">
        <v>58</v>
      </c>
      <c r="W22" s="1" t="s">
        <v>70</v>
      </c>
      <c r="X22" s="1" t="s">
        <v>88</v>
      </c>
      <c r="Y22" s="1" t="s">
        <v>82</v>
      </c>
      <c r="Z22" s="1" t="s">
        <v>89</v>
      </c>
      <c r="AA22" s="2">
        <v>50.0</v>
      </c>
      <c r="AB22" s="1" t="s">
        <v>62</v>
      </c>
      <c r="AC22" s="1" t="s">
        <v>71</v>
      </c>
      <c r="AF22" s="1" t="s">
        <v>51</v>
      </c>
      <c r="AG22" s="1" t="s">
        <v>51</v>
      </c>
      <c r="AH22" s="2">
        <v>50.0</v>
      </c>
      <c r="AI22" s="2">
        <v>0.0</v>
      </c>
      <c r="AJ22" s="2">
        <v>0.0</v>
      </c>
      <c r="AK22" s="2">
        <v>0.0</v>
      </c>
      <c r="AL22" s="2">
        <v>1.0</v>
      </c>
      <c r="AM22" s="1" t="s">
        <v>51</v>
      </c>
      <c r="AN22" s="2">
        <v>8.35757654E8</v>
      </c>
      <c r="AP22" s="2">
        <v>4.87612881E8</v>
      </c>
      <c r="AQ22" s="1" t="s">
        <v>116</v>
      </c>
      <c r="AR22" s="2">
        <v>45805.27793981481</v>
      </c>
      <c r="AU22" s="1" t="s">
        <v>64</v>
      </c>
      <c r="AW22" s="1" t="s">
        <v>84</v>
      </c>
      <c r="AY22" s="2">
        <v>16.0</v>
      </c>
    </row>
    <row r="23">
      <c r="A23" s="1" t="s">
        <v>51</v>
      </c>
      <c r="Q23" s="1" t="s">
        <v>69</v>
      </c>
      <c r="R23" s="1" t="s">
        <v>70</v>
      </c>
      <c r="S23" s="1" t="s">
        <v>70</v>
      </c>
      <c r="T23" s="1" t="s">
        <v>58</v>
      </c>
      <c r="U23" s="1" t="s">
        <v>58</v>
      </c>
      <c r="V23" s="1" t="s">
        <v>58</v>
      </c>
      <c r="W23" s="1" t="s">
        <v>70</v>
      </c>
      <c r="X23" s="1" t="s">
        <v>88</v>
      </c>
      <c r="Y23" s="1" t="s">
        <v>95</v>
      </c>
      <c r="Z23" s="1" t="s">
        <v>89</v>
      </c>
      <c r="AA23" s="2">
        <v>100.0</v>
      </c>
      <c r="AB23" s="1" t="s">
        <v>79</v>
      </c>
      <c r="AC23" s="1" t="s">
        <v>71</v>
      </c>
      <c r="AF23" s="1" t="s">
        <v>51</v>
      </c>
      <c r="AG23" s="1" t="s">
        <v>72</v>
      </c>
      <c r="AI23" s="2">
        <v>0.0</v>
      </c>
      <c r="AJ23" s="2">
        <v>0.0</v>
      </c>
      <c r="AK23" s="2">
        <v>1.0</v>
      </c>
      <c r="AL23" s="2">
        <v>0.0</v>
      </c>
      <c r="AP23" s="2">
        <v>4.87617465E8</v>
      </c>
      <c r="AQ23" s="1" t="s">
        <v>117</v>
      </c>
      <c r="AR23" s="2">
        <v>45805.283900462964</v>
      </c>
      <c r="AU23" s="1" t="s">
        <v>64</v>
      </c>
      <c r="AW23" s="1" t="s">
        <v>84</v>
      </c>
      <c r="AY23" s="2">
        <v>17.0</v>
      </c>
    </row>
    <row r="24">
      <c r="A24" s="1" t="s">
        <v>51</v>
      </c>
      <c r="C24" s="1" t="s">
        <v>118</v>
      </c>
      <c r="E24" s="1" t="s">
        <v>105</v>
      </c>
      <c r="G24" s="2">
        <v>38.0</v>
      </c>
      <c r="H24" s="1" t="s">
        <v>66</v>
      </c>
      <c r="J24" s="1" t="s">
        <v>86</v>
      </c>
      <c r="K24" s="1" t="s">
        <v>92</v>
      </c>
      <c r="M24" s="1" t="s">
        <v>58</v>
      </c>
      <c r="N24" s="1" t="s">
        <v>58</v>
      </c>
      <c r="O24" s="1" t="s">
        <v>69</v>
      </c>
      <c r="Q24" s="1" t="s">
        <v>69</v>
      </c>
      <c r="R24" s="1" t="s">
        <v>58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81</v>
      </c>
      <c r="Y24" s="1" t="s">
        <v>95</v>
      </c>
      <c r="Z24" s="1" t="s">
        <v>89</v>
      </c>
      <c r="AA24" s="2">
        <v>10.0</v>
      </c>
      <c r="AB24" s="1" t="s">
        <v>28</v>
      </c>
      <c r="AC24" s="1" t="s">
        <v>51</v>
      </c>
      <c r="AD24" s="1" t="s">
        <v>81</v>
      </c>
      <c r="AE24" s="1" t="s">
        <v>51</v>
      </c>
      <c r="AF24" s="1" t="s">
        <v>51</v>
      </c>
      <c r="AG24" s="1" t="s">
        <v>51</v>
      </c>
      <c r="AH24" s="2">
        <v>300.0</v>
      </c>
      <c r="AI24" s="2">
        <v>0.0</v>
      </c>
      <c r="AJ24" s="2">
        <v>0.0</v>
      </c>
      <c r="AK24" s="2">
        <v>0.0</v>
      </c>
      <c r="AL24" s="2">
        <v>1.0</v>
      </c>
      <c r="AP24" s="2">
        <v>4.87617819E8</v>
      </c>
      <c r="AQ24" s="1" t="s">
        <v>119</v>
      </c>
      <c r="AR24" s="2">
        <v>45805.284317129626</v>
      </c>
      <c r="AU24" s="1" t="s">
        <v>64</v>
      </c>
      <c r="AW24" s="1" t="s">
        <v>84</v>
      </c>
      <c r="AY24" s="2">
        <v>18.0</v>
      </c>
    </row>
    <row r="25">
      <c r="A25" s="1" t="s">
        <v>51</v>
      </c>
      <c r="C25" s="1" t="s">
        <v>52</v>
      </c>
      <c r="E25" s="1" t="s">
        <v>52</v>
      </c>
      <c r="G25" s="2">
        <v>48.0</v>
      </c>
      <c r="H25" s="1" t="s">
        <v>66</v>
      </c>
      <c r="J25" s="1" t="s">
        <v>86</v>
      </c>
      <c r="K25" s="1" t="s">
        <v>87</v>
      </c>
      <c r="M25" s="1" t="s">
        <v>58</v>
      </c>
      <c r="N25" s="1" t="s">
        <v>58</v>
      </c>
      <c r="O25" s="1" t="s">
        <v>70</v>
      </c>
      <c r="Q25" s="1" t="s">
        <v>69</v>
      </c>
      <c r="R25" s="1" t="s">
        <v>58</v>
      </c>
      <c r="S25" s="1" t="s">
        <v>69</v>
      </c>
      <c r="T25" s="1" t="s">
        <v>69</v>
      </c>
      <c r="U25" s="1" t="s">
        <v>69</v>
      </c>
      <c r="V25" s="1" t="s">
        <v>58</v>
      </c>
      <c r="W25" s="1" t="s">
        <v>69</v>
      </c>
      <c r="X25" s="1" t="s">
        <v>59</v>
      </c>
      <c r="Y25" s="1" t="s">
        <v>95</v>
      </c>
      <c r="Z25" s="1" t="s">
        <v>89</v>
      </c>
      <c r="AA25" s="2">
        <v>40.0</v>
      </c>
      <c r="AB25" s="1" t="s">
        <v>62</v>
      </c>
      <c r="AC25" s="1" t="s">
        <v>71</v>
      </c>
      <c r="AF25" s="1" t="s">
        <v>51</v>
      </c>
      <c r="AG25" s="1" t="s">
        <v>72</v>
      </c>
      <c r="AI25" s="2">
        <v>1.0</v>
      </c>
      <c r="AJ25" s="2">
        <v>0.0</v>
      </c>
      <c r="AK25" s="2">
        <v>1.0</v>
      </c>
      <c r="AL25" s="2">
        <v>0.0</v>
      </c>
      <c r="AP25" s="2">
        <v>4.87617916E8</v>
      </c>
      <c r="AQ25" s="1" t="s">
        <v>120</v>
      </c>
      <c r="AR25" s="2">
        <v>45805.28444444444</v>
      </c>
      <c r="AU25" s="1" t="s">
        <v>64</v>
      </c>
      <c r="AW25" s="1" t="s">
        <v>84</v>
      </c>
      <c r="AY25" s="2">
        <v>19.0</v>
      </c>
    </row>
    <row r="26">
      <c r="A26" s="1" t="s">
        <v>51</v>
      </c>
      <c r="C26" s="1" t="s">
        <v>53</v>
      </c>
      <c r="E26" s="1" t="s">
        <v>53</v>
      </c>
      <c r="F26" s="1" t="s">
        <v>102</v>
      </c>
      <c r="G26" s="2">
        <v>57.0</v>
      </c>
      <c r="H26" s="1" t="s">
        <v>66</v>
      </c>
      <c r="I26" s="1" t="s">
        <v>121</v>
      </c>
      <c r="J26" s="1" t="s">
        <v>111</v>
      </c>
      <c r="K26" s="1" t="s">
        <v>87</v>
      </c>
      <c r="M26" s="1" t="s">
        <v>58</v>
      </c>
      <c r="N26" s="1" t="s">
        <v>58</v>
      </c>
      <c r="O26" s="1" t="s">
        <v>58</v>
      </c>
      <c r="Q26" s="1" t="s">
        <v>69</v>
      </c>
      <c r="R26" s="1" t="s">
        <v>58</v>
      </c>
      <c r="S26" s="1" t="s">
        <v>70</v>
      </c>
      <c r="T26" s="1" t="s">
        <v>58</v>
      </c>
      <c r="U26" s="1" t="s">
        <v>58</v>
      </c>
      <c r="V26" s="1" t="s">
        <v>58</v>
      </c>
      <c r="W26" s="1" t="s">
        <v>69</v>
      </c>
      <c r="X26" s="1" t="s">
        <v>88</v>
      </c>
      <c r="Y26" s="1" t="s">
        <v>95</v>
      </c>
      <c r="Z26" s="1" t="s">
        <v>89</v>
      </c>
      <c r="AA26" s="2">
        <v>100.0</v>
      </c>
      <c r="AB26" s="1" t="s">
        <v>79</v>
      </c>
      <c r="AC26" s="1" t="s">
        <v>71</v>
      </c>
      <c r="AF26" s="1" t="s">
        <v>51</v>
      </c>
      <c r="AG26" s="1" t="s">
        <v>72</v>
      </c>
      <c r="AI26" s="2">
        <v>0.0</v>
      </c>
      <c r="AJ26" s="2">
        <v>0.0</v>
      </c>
      <c r="AK26" s="2">
        <v>1.0</v>
      </c>
      <c r="AL26" s="2">
        <v>0.0</v>
      </c>
      <c r="AM26" s="1" t="s">
        <v>72</v>
      </c>
      <c r="AP26" s="2">
        <v>4.87618968E8</v>
      </c>
      <c r="AQ26" s="1" t="s">
        <v>122</v>
      </c>
      <c r="AR26" s="2">
        <v>45805.28563657407</v>
      </c>
      <c r="AU26" s="1" t="s">
        <v>64</v>
      </c>
      <c r="AW26" s="1" t="s">
        <v>84</v>
      </c>
      <c r="AY26" s="2">
        <v>20.0</v>
      </c>
    </row>
    <row r="27">
      <c r="A27" s="1" t="s">
        <v>51</v>
      </c>
      <c r="C27" s="1" t="s">
        <v>52</v>
      </c>
      <c r="E27" s="1" t="s">
        <v>53</v>
      </c>
      <c r="F27" s="1" t="s">
        <v>54</v>
      </c>
      <c r="G27" s="2">
        <v>50.0</v>
      </c>
      <c r="H27" s="1" t="s">
        <v>55</v>
      </c>
      <c r="I27" s="1" t="s">
        <v>100</v>
      </c>
      <c r="J27" s="1" t="s">
        <v>111</v>
      </c>
      <c r="K27" s="1" t="s">
        <v>87</v>
      </c>
      <c r="M27" s="1" t="s">
        <v>58</v>
      </c>
      <c r="N27" s="1" t="s">
        <v>58</v>
      </c>
      <c r="O27" s="1" t="s">
        <v>69</v>
      </c>
      <c r="Q27" s="1" t="s">
        <v>70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69</v>
      </c>
      <c r="X27" s="1" t="s">
        <v>59</v>
      </c>
      <c r="Y27" s="1" t="s">
        <v>95</v>
      </c>
      <c r="Z27" s="1" t="s">
        <v>89</v>
      </c>
      <c r="AA27" s="2">
        <v>100.0</v>
      </c>
      <c r="AB27" s="1" t="s">
        <v>79</v>
      </c>
      <c r="AC27" s="1" t="s">
        <v>51</v>
      </c>
      <c r="AD27" s="1" t="s">
        <v>59</v>
      </c>
      <c r="AE27" s="1" t="s">
        <v>51</v>
      </c>
      <c r="AF27" s="1" t="s">
        <v>51</v>
      </c>
      <c r="AG27" s="1" t="s">
        <v>51</v>
      </c>
      <c r="AH27" s="2">
        <v>200.0</v>
      </c>
      <c r="AI27" s="2">
        <v>0.0</v>
      </c>
      <c r="AJ27" s="2">
        <v>0.0</v>
      </c>
      <c r="AK27" s="2">
        <v>0.0</v>
      </c>
      <c r="AL27" s="2">
        <v>1.0</v>
      </c>
      <c r="AM27" s="1" t="s">
        <v>51</v>
      </c>
      <c r="AN27" s="2">
        <v>7.10864009E8</v>
      </c>
      <c r="AP27" s="2">
        <v>4.87620011E8</v>
      </c>
      <c r="AQ27" s="1" t="s">
        <v>123</v>
      </c>
      <c r="AR27" s="2">
        <v>45805.28686342593</v>
      </c>
      <c r="AU27" s="1" t="s">
        <v>64</v>
      </c>
      <c r="AW27" s="1" t="s">
        <v>84</v>
      </c>
      <c r="AY27" s="2">
        <v>21.0</v>
      </c>
    </row>
    <row r="28">
      <c r="A28" s="1" t="s">
        <v>51</v>
      </c>
      <c r="C28" s="1" t="s">
        <v>52</v>
      </c>
      <c r="E28" s="1" t="s">
        <v>53</v>
      </c>
      <c r="F28" s="1" t="s">
        <v>102</v>
      </c>
      <c r="G28" s="2">
        <v>42.0</v>
      </c>
      <c r="H28" s="1" t="s">
        <v>66</v>
      </c>
      <c r="I28" s="1" t="s">
        <v>67</v>
      </c>
      <c r="J28" s="1" t="s">
        <v>86</v>
      </c>
      <c r="K28" s="1" t="s">
        <v>87</v>
      </c>
      <c r="M28" s="1" t="s">
        <v>58</v>
      </c>
      <c r="N28" s="1" t="s">
        <v>58</v>
      </c>
      <c r="O28" s="1" t="s">
        <v>58</v>
      </c>
      <c r="Q28" s="1" t="s">
        <v>69</v>
      </c>
      <c r="R28" s="1" t="s">
        <v>58</v>
      </c>
      <c r="S28" s="1" t="s">
        <v>69</v>
      </c>
      <c r="T28" s="1" t="s">
        <v>58</v>
      </c>
      <c r="U28" s="1" t="s">
        <v>69</v>
      </c>
      <c r="V28" s="1" t="s">
        <v>58</v>
      </c>
      <c r="W28" s="1" t="s">
        <v>58</v>
      </c>
      <c r="X28" s="1" t="s">
        <v>88</v>
      </c>
      <c r="Y28" s="1" t="s">
        <v>95</v>
      </c>
      <c r="Z28" s="1" t="s">
        <v>89</v>
      </c>
      <c r="AA28" s="2">
        <v>40.0</v>
      </c>
      <c r="AB28" s="1" t="s">
        <v>62</v>
      </c>
      <c r="AC28" s="1" t="s">
        <v>71</v>
      </c>
      <c r="AF28" s="1" t="s">
        <v>51</v>
      </c>
      <c r="AG28" s="1" t="s">
        <v>51</v>
      </c>
      <c r="AH28" s="2">
        <v>20.0</v>
      </c>
      <c r="AI28" s="2">
        <v>0.0</v>
      </c>
      <c r="AJ28" s="2">
        <v>0.0</v>
      </c>
      <c r="AK28" s="2">
        <v>0.0</v>
      </c>
      <c r="AL28" s="2">
        <v>1.0</v>
      </c>
      <c r="AM28" s="1" t="s">
        <v>51</v>
      </c>
      <c r="AN28" s="2">
        <v>7.11170838E8</v>
      </c>
      <c r="AP28" s="2">
        <v>4.87629939E8</v>
      </c>
      <c r="AQ28" s="1" t="s">
        <v>124</v>
      </c>
      <c r="AR28" s="2">
        <v>45805.29896990741</v>
      </c>
      <c r="AU28" s="1" t="s">
        <v>64</v>
      </c>
      <c r="AW28" s="1" t="s">
        <v>84</v>
      </c>
      <c r="AY28" s="2">
        <v>22.0</v>
      </c>
    </row>
    <row r="29">
      <c r="A29" s="1" t="s">
        <v>51</v>
      </c>
      <c r="C29" s="1" t="s">
        <v>52</v>
      </c>
      <c r="E29" s="1" t="s">
        <v>53</v>
      </c>
      <c r="F29" s="1" t="s">
        <v>102</v>
      </c>
      <c r="G29" s="2">
        <v>45.0</v>
      </c>
      <c r="H29" s="1" t="s">
        <v>55</v>
      </c>
      <c r="I29" s="1" t="s">
        <v>67</v>
      </c>
      <c r="J29" s="1" t="s">
        <v>86</v>
      </c>
      <c r="K29" s="1" t="s">
        <v>87</v>
      </c>
      <c r="M29" s="1" t="s">
        <v>58</v>
      </c>
      <c r="N29" s="1" t="s">
        <v>58</v>
      </c>
      <c r="O29" s="1" t="s">
        <v>69</v>
      </c>
      <c r="Q29" s="1" t="s">
        <v>69</v>
      </c>
      <c r="R29" s="1" t="s">
        <v>58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88</v>
      </c>
      <c r="Y29" s="1" t="s">
        <v>95</v>
      </c>
      <c r="Z29" s="1" t="s">
        <v>89</v>
      </c>
      <c r="AA29" s="2">
        <v>100.0</v>
      </c>
      <c r="AB29" s="1" t="s">
        <v>62</v>
      </c>
      <c r="AC29" s="1" t="s">
        <v>71</v>
      </c>
      <c r="AF29" s="1" t="s">
        <v>51</v>
      </c>
      <c r="AG29" s="1" t="s">
        <v>72</v>
      </c>
      <c r="AI29" s="2">
        <v>1.0</v>
      </c>
      <c r="AJ29" s="2">
        <v>1.0</v>
      </c>
      <c r="AK29" s="2">
        <v>1.0</v>
      </c>
      <c r="AL29" s="2">
        <v>0.0</v>
      </c>
      <c r="AM29" s="1" t="s">
        <v>72</v>
      </c>
      <c r="AP29" s="2">
        <v>4.87630267E8</v>
      </c>
      <c r="AQ29" s="1" t="s">
        <v>125</v>
      </c>
      <c r="AR29" s="2">
        <v>45805.29935185185</v>
      </c>
      <c r="AU29" s="1" t="s">
        <v>64</v>
      </c>
      <c r="AW29" s="1" t="s">
        <v>84</v>
      </c>
      <c r="AY29" s="2">
        <v>23.0</v>
      </c>
    </row>
    <row r="30">
      <c r="A30" s="1" t="s">
        <v>51</v>
      </c>
      <c r="C30" s="1" t="s">
        <v>118</v>
      </c>
      <c r="E30" s="1" t="s">
        <v>53</v>
      </c>
      <c r="F30" s="1" t="s">
        <v>102</v>
      </c>
      <c r="G30" s="2">
        <v>44.0</v>
      </c>
      <c r="H30" s="1" t="s">
        <v>55</v>
      </c>
      <c r="I30" s="1" t="s">
        <v>67</v>
      </c>
      <c r="J30" s="1" t="s">
        <v>86</v>
      </c>
      <c r="K30" s="1" t="s">
        <v>87</v>
      </c>
      <c r="M30" s="1" t="s">
        <v>58</v>
      </c>
      <c r="N30" s="1" t="s">
        <v>58</v>
      </c>
      <c r="O30" s="1" t="s">
        <v>58</v>
      </c>
      <c r="Q30" s="1" t="s">
        <v>69</v>
      </c>
      <c r="R30" s="1" t="s">
        <v>58</v>
      </c>
      <c r="S30" s="1" t="s">
        <v>69</v>
      </c>
      <c r="T30" s="1" t="s">
        <v>58</v>
      </c>
      <c r="U30" s="1" t="s">
        <v>58</v>
      </c>
      <c r="V30" s="1" t="s">
        <v>58</v>
      </c>
      <c r="W30" s="1" t="s">
        <v>69</v>
      </c>
      <c r="X30" s="1" t="s">
        <v>103</v>
      </c>
      <c r="Y30" s="1" t="s">
        <v>95</v>
      </c>
      <c r="Z30" s="1" t="s">
        <v>89</v>
      </c>
      <c r="AA30" s="2">
        <v>100.0</v>
      </c>
      <c r="AB30" s="1" t="s">
        <v>62</v>
      </c>
      <c r="AC30" s="1" t="s">
        <v>71</v>
      </c>
      <c r="AF30" s="1" t="s">
        <v>51</v>
      </c>
      <c r="AG30" s="1" t="s">
        <v>72</v>
      </c>
      <c r="AI30" s="2">
        <v>0.0</v>
      </c>
      <c r="AJ30" s="2">
        <v>0.0</v>
      </c>
      <c r="AK30" s="2">
        <v>1.0</v>
      </c>
      <c r="AL30" s="2">
        <v>0.0</v>
      </c>
      <c r="AM30" s="1" t="s">
        <v>72</v>
      </c>
      <c r="AP30" s="2">
        <v>4.87631676E8</v>
      </c>
      <c r="AQ30" s="1" t="s">
        <v>126</v>
      </c>
      <c r="AR30" s="2">
        <v>45805.3009375</v>
      </c>
      <c r="AU30" s="1" t="s">
        <v>64</v>
      </c>
      <c r="AW30" s="1" t="s">
        <v>84</v>
      </c>
      <c r="AY30" s="2">
        <v>24.0</v>
      </c>
    </row>
    <row r="31">
      <c r="A31" s="1" t="s">
        <v>51</v>
      </c>
      <c r="C31" s="1" t="s">
        <v>52</v>
      </c>
      <c r="E31" s="1" t="s">
        <v>107</v>
      </c>
      <c r="G31" s="2">
        <v>40.0</v>
      </c>
      <c r="H31" s="1" t="s">
        <v>66</v>
      </c>
      <c r="J31" s="1" t="s">
        <v>86</v>
      </c>
      <c r="K31" s="1" t="s">
        <v>87</v>
      </c>
      <c r="M31" s="1" t="s">
        <v>58</v>
      </c>
      <c r="N31" s="1" t="s">
        <v>58</v>
      </c>
      <c r="O31" s="1" t="s">
        <v>58</v>
      </c>
      <c r="Q31" s="1" t="s">
        <v>70</v>
      </c>
      <c r="R31" s="1" t="s">
        <v>58</v>
      </c>
      <c r="S31" s="1" t="s">
        <v>69</v>
      </c>
      <c r="T31" s="1" t="s">
        <v>69</v>
      </c>
      <c r="U31" s="1" t="s">
        <v>58</v>
      </c>
      <c r="V31" s="1" t="s">
        <v>58</v>
      </c>
      <c r="W31" s="1" t="s">
        <v>69</v>
      </c>
      <c r="X31" s="1" t="s">
        <v>59</v>
      </c>
      <c r="Y31" s="1" t="s">
        <v>60</v>
      </c>
      <c r="Z31" s="1" t="s">
        <v>127</v>
      </c>
      <c r="AA31" s="2">
        <v>40.0</v>
      </c>
      <c r="AB31" s="1" t="s">
        <v>62</v>
      </c>
      <c r="AC31" s="1" t="s">
        <v>71</v>
      </c>
      <c r="AF31" s="1" t="s">
        <v>51</v>
      </c>
      <c r="AG31" s="1" t="s">
        <v>72</v>
      </c>
      <c r="AI31" s="2">
        <v>0.0</v>
      </c>
      <c r="AJ31" s="2">
        <v>0.0</v>
      </c>
      <c r="AK31" s="2">
        <v>0.0</v>
      </c>
      <c r="AL31" s="2">
        <v>1.0</v>
      </c>
      <c r="AP31" s="2">
        <v>4.87633386E8</v>
      </c>
      <c r="AQ31" s="1" t="s">
        <v>128</v>
      </c>
      <c r="AR31" s="2">
        <v>45805.30300925926</v>
      </c>
      <c r="AU31" s="1" t="s">
        <v>64</v>
      </c>
      <c r="AW31" s="1" t="s">
        <v>84</v>
      </c>
      <c r="AY31" s="2">
        <v>25.0</v>
      </c>
    </row>
    <row r="32">
      <c r="A32" s="1" t="s">
        <v>51</v>
      </c>
      <c r="C32" s="1" t="s">
        <v>53</v>
      </c>
      <c r="E32" s="1" t="s">
        <v>53</v>
      </c>
      <c r="F32" s="1" t="s">
        <v>94</v>
      </c>
      <c r="G32" s="2">
        <v>48.0</v>
      </c>
      <c r="H32" s="1" t="s">
        <v>55</v>
      </c>
      <c r="I32" s="1" t="s">
        <v>121</v>
      </c>
      <c r="J32" s="1" t="s">
        <v>86</v>
      </c>
      <c r="K32" s="1" t="s">
        <v>87</v>
      </c>
      <c r="M32" s="1" t="s">
        <v>58</v>
      </c>
      <c r="N32" s="1" t="s">
        <v>58</v>
      </c>
      <c r="O32" s="1" t="s">
        <v>58</v>
      </c>
      <c r="Q32" s="1" t="s">
        <v>69</v>
      </c>
      <c r="R32" s="1" t="s">
        <v>58</v>
      </c>
      <c r="S32" s="1" t="s">
        <v>69</v>
      </c>
      <c r="T32" s="1" t="s">
        <v>58</v>
      </c>
      <c r="U32" s="1" t="s">
        <v>58</v>
      </c>
      <c r="V32" s="1" t="s">
        <v>58</v>
      </c>
      <c r="W32" s="1" t="s">
        <v>69</v>
      </c>
      <c r="X32" s="1" t="s">
        <v>103</v>
      </c>
      <c r="Y32" s="1" t="s">
        <v>60</v>
      </c>
      <c r="Z32" s="1" t="s">
        <v>61</v>
      </c>
      <c r="AA32" s="2">
        <v>100.0</v>
      </c>
      <c r="AB32" s="1" t="s">
        <v>79</v>
      </c>
      <c r="AC32" s="1" t="s">
        <v>71</v>
      </c>
      <c r="AF32" s="1" t="s">
        <v>51</v>
      </c>
      <c r="AG32" s="1" t="s">
        <v>51</v>
      </c>
      <c r="AH32" s="2">
        <v>500.0</v>
      </c>
      <c r="AI32" s="2">
        <v>0.0</v>
      </c>
      <c r="AJ32" s="2">
        <v>0.0</v>
      </c>
      <c r="AK32" s="2">
        <v>0.0</v>
      </c>
      <c r="AL32" s="2">
        <v>1.0</v>
      </c>
      <c r="AM32" s="1" t="s">
        <v>51</v>
      </c>
      <c r="AN32" s="2">
        <v>7.11468867E8</v>
      </c>
      <c r="AP32" s="2">
        <v>4.87636484E8</v>
      </c>
      <c r="AQ32" s="1" t="s">
        <v>129</v>
      </c>
      <c r="AR32" s="2">
        <v>45805.306284722225</v>
      </c>
      <c r="AU32" s="1" t="s">
        <v>64</v>
      </c>
      <c r="AW32" s="1" t="s">
        <v>84</v>
      </c>
      <c r="AY32" s="2">
        <v>26.0</v>
      </c>
    </row>
    <row r="33">
      <c r="A33" s="1" t="s">
        <v>51</v>
      </c>
      <c r="C33" s="1" t="s">
        <v>52</v>
      </c>
      <c r="E33" s="1" t="s">
        <v>107</v>
      </c>
      <c r="G33" s="2">
        <v>44.0</v>
      </c>
      <c r="H33" s="1" t="s">
        <v>55</v>
      </c>
      <c r="J33" s="1" t="s">
        <v>86</v>
      </c>
      <c r="K33" s="1" t="s">
        <v>87</v>
      </c>
      <c r="M33" s="1" t="s">
        <v>58</v>
      </c>
      <c r="N33" s="1" t="s">
        <v>58</v>
      </c>
      <c r="O33" s="1" t="s">
        <v>69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103</v>
      </c>
      <c r="Y33" s="1" t="s">
        <v>95</v>
      </c>
      <c r="Z33" s="1" t="s">
        <v>89</v>
      </c>
      <c r="AA33" s="2">
        <v>100.0</v>
      </c>
      <c r="AB33" s="1" t="s">
        <v>28</v>
      </c>
      <c r="AC33" s="1" t="s">
        <v>51</v>
      </c>
      <c r="AD33" s="1" t="s">
        <v>103</v>
      </c>
      <c r="AE33" s="1" t="s">
        <v>51</v>
      </c>
      <c r="AF33" s="1" t="s">
        <v>51</v>
      </c>
      <c r="AG33" s="1" t="s">
        <v>51</v>
      </c>
      <c r="AH33" s="2">
        <v>50.0</v>
      </c>
      <c r="AI33" s="2">
        <v>1.0</v>
      </c>
      <c r="AJ33" s="2">
        <v>0.0</v>
      </c>
      <c r="AK33" s="2">
        <v>1.0</v>
      </c>
      <c r="AL33" s="2">
        <v>0.0</v>
      </c>
      <c r="AP33" s="2">
        <v>4.87637677E8</v>
      </c>
      <c r="AQ33" s="1" t="s">
        <v>130</v>
      </c>
      <c r="AR33" s="2">
        <v>45805.30783564815</v>
      </c>
      <c r="AU33" s="1" t="s">
        <v>64</v>
      </c>
      <c r="AW33" s="1" t="s">
        <v>84</v>
      </c>
      <c r="AY33" s="2">
        <v>27.0</v>
      </c>
    </row>
    <row r="34">
      <c r="A34" s="1" t="s">
        <v>51</v>
      </c>
      <c r="C34" s="1" t="s">
        <v>131</v>
      </c>
      <c r="E34" s="1" t="s">
        <v>131</v>
      </c>
      <c r="G34" s="2">
        <v>42.0</v>
      </c>
      <c r="H34" s="1" t="s">
        <v>66</v>
      </c>
      <c r="J34" s="1" t="s">
        <v>56</v>
      </c>
      <c r="K34" s="1" t="s">
        <v>87</v>
      </c>
      <c r="M34" s="1" t="s">
        <v>58</v>
      </c>
      <c r="N34" s="1" t="s">
        <v>58</v>
      </c>
      <c r="O34" s="1" t="s">
        <v>69</v>
      </c>
      <c r="Q34" s="1" t="s">
        <v>69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69</v>
      </c>
      <c r="X34" s="1" t="s">
        <v>59</v>
      </c>
      <c r="Y34" s="1" t="s">
        <v>95</v>
      </c>
      <c r="Z34" s="1" t="s">
        <v>96</v>
      </c>
      <c r="AA34" s="2">
        <v>30.0</v>
      </c>
      <c r="AB34" s="1" t="s">
        <v>79</v>
      </c>
      <c r="AC34" s="1" t="s">
        <v>71</v>
      </c>
      <c r="AF34" s="1" t="s">
        <v>51</v>
      </c>
      <c r="AG34" s="1" t="s">
        <v>72</v>
      </c>
      <c r="AI34" s="2">
        <v>1.0</v>
      </c>
      <c r="AJ34" s="2">
        <v>0.0</v>
      </c>
      <c r="AK34" s="2">
        <v>0.0</v>
      </c>
      <c r="AL34" s="2">
        <v>0.0</v>
      </c>
      <c r="AP34" s="2">
        <v>4.87637735E8</v>
      </c>
      <c r="AQ34" s="1" t="s">
        <v>132</v>
      </c>
      <c r="AR34" s="2">
        <v>45805.30792824074</v>
      </c>
      <c r="AU34" s="1" t="s">
        <v>64</v>
      </c>
      <c r="AW34" s="1" t="s">
        <v>84</v>
      </c>
      <c r="AY34" s="2">
        <v>28.0</v>
      </c>
    </row>
    <row r="35">
      <c r="A35" s="1" t="s">
        <v>51</v>
      </c>
      <c r="C35" s="1" t="s">
        <v>52</v>
      </c>
      <c r="E35" s="1" t="s">
        <v>53</v>
      </c>
      <c r="F35" s="1" t="s">
        <v>54</v>
      </c>
      <c r="G35" s="2">
        <v>28.0</v>
      </c>
      <c r="H35" s="1" t="s">
        <v>66</v>
      </c>
      <c r="I35" s="1" t="s">
        <v>67</v>
      </c>
      <c r="J35" s="1" t="s">
        <v>68</v>
      </c>
      <c r="K35" s="1" t="s">
        <v>74</v>
      </c>
      <c r="M35" s="1" t="s">
        <v>58</v>
      </c>
      <c r="N35" s="1" t="s">
        <v>58</v>
      </c>
      <c r="O35" s="1" t="s">
        <v>69</v>
      </c>
      <c r="Q35" s="1" t="s">
        <v>58</v>
      </c>
      <c r="R35" s="1" t="s">
        <v>58</v>
      </c>
      <c r="S35" s="1" t="s">
        <v>69</v>
      </c>
      <c r="T35" s="1" t="s">
        <v>69</v>
      </c>
      <c r="U35" s="1" t="s">
        <v>58</v>
      </c>
      <c r="V35" s="1" t="s">
        <v>58</v>
      </c>
      <c r="W35" s="1" t="s">
        <v>58</v>
      </c>
      <c r="X35" s="1" t="s">
        <v>88</v>
      </c>
      <c r="Y35" s="1" t="s">
        <v>82</v>
      </c>
      <c r="Z35" s="1" t="s">
        <v>61</v>
      </c>
      <c r="AA35" s="2">
        <v>100.0</v>
      </c>
      <c r="AB35" s="1" t="s">
        <v>79</v>
      </c>
      <c r="AC35" s="1" t="s">
        <v>71</v>
      </c>
      <c r="AF35" s="1" t="s">
        <v>51</v>
      </c>
      <c r="AG35" s="1" t="s">
        <v>51</v>
      </c>
      <c r="AH35" s="2">
        <v>500.0</v>
      </c>
      <c r="AI35" s="2">
        <v>0.0</v>
      </c>
      <c r="AJ35" s="2">
        <v>0.0</v>
      </c>
      <c r="AK35" s="2">
        <v>0.0</v>
      </c>
      <c r="AL35" s="2">
        <v>1.0</v>
      </c>
      <c r="AM35" s="1" t="s">
        <v>51</v>
      </c>
      <c r="AP35" s="2">
        <v>4.87640213E8</v>
      </c>
      <c r="AQ35" s="1" t="s">
        <v>133</v>
      </c>
      <c r="AR35" s="2">
        <v>45805.31077546296</v>
      </c>
      <c r="AU35" s="1" t="s">
        <v>64</v>
      </c>
      <c r="AW35" s="1" t="s">
        <v>84</v>
      </c>
      <c r="AY35" s="2">
        <v>29.0</v>
      </c>
    </row>
    <row r="36">
      <c r="A36" s="1" t="s">
        <v>51</v>
      </c>
      <c r="C36" s="1" t="s">
        <v>52</v>
      </c>
      <c r="E36" s="1" t="s">
        <v>107</v>
      </c>
      <c r="G36" s="2">
        <v>37.0</v>
      </c>
      <c r="H36" s="1" t="s">
        <v>66</v>
      </c>
      <c r="J36" s="1" t="s">
        <v>86</v>
      </c>
      <c r="K36" s="1" t="s">
        <v>87</v>
      </c>
      <c r="M36" s="1" t="s">
        <v>58</v>
      </c>
      <c r="N36" s="1" t="s">
        <v>58</v>
      </c>
      <c r="O36" s="1" t="s">
        <v>70</v>
      </c>
      <c r="Q36" s="1" t="s">
        <v>69</v>
      </c>
      <c r="R36" s="1" t="s">
        <v>70</v>
      </c>
      <c r="S36" s="1" t="s">
        <v>69</v>
      </c>
      <c r="T36" s="1" t="s">
        <v>69</v>
      </c>
      <c r="U36" s="1" t="s">
        <v>70</v>
      </c>
      <c r="V36" s="1" t="s">
        <v>58</v>
      </c>
      <c r="W36" s="1" t="s">
        <v>69</v>
      </c>
      <c r="X36" s="1" t="s">
        <v>81</v>
      </c>
      <c r="Y36" s="1" t="s">
        <v>95</v>
      </c>
      <c r="Z36" s="1" t="s">
        <v>108</v>
      </c>
      <c r="AA36" s="2">
        <v>100.0</v>
      </c>
      <c r="AB36" s="1" t="s">
        <v>62</v>
      </c>
      <c r="AC36" s="1" t="s">
        <v>51</v>
      </c>
      <c r="AD36" s="1" t="s">
        <v>81</v>
      </c>
      <c r="AE36" s="1" t="s">
        <v>51</v>
      </c>
      <c r="AF36" s="1" t="s">
        <v>51</v>
      </c>
      <c r="AG36" s="1" t="s">
        <v>72</v>
      </c>
      <c r="AI36" s="2">
        <v>0.0</v>
      </c>
      <c r="AJ36" s="2">
        <v>0.0</v>
      </c>
      <c r="AK36" s="2">
        <v>0.0</v>
      </c>
      <c r="AL36" s="2">
        <v>1.0</v>
      </c>
      <c r="AP36" s="2">
        <v>4.87640652E8</v>
      </c>
      <c r="AQ36" s="1" t="s">
        <v>134</v>
      </c>
      <c r="AR36" s="2">
        <v>45805.3112962963</v>
      </c>
      <c r="AU36" s="1" t="s">
        <v>64</v>
      </c>
      <c r="AW36" s="1" t="s">
        <v>84</v>
      </c>
      <c r="AY36" s="2">
        <v>30.0</v>
      </c>
    </row>
    <row r="37">
      <c r="A37" s="1" t="s">
        <v>51</v>
      </c>
      <c r="C37" s="1" t="s">
        <v>52</v>
      </c>
      <c r="E37" s="1" t="s">
        <v>53</v>
      </c>
      <c r="F37" s="1" t="s">
        <v>102</v>
      </c>
      <c r="G37" s="2">
        <v>21.0</v>
      </c>
      <c r="H37" s="1" t="s">
        <v>55</v>
      </c>
      <c r="I37" s="1" t="s">
        <v>100</v>
      </c>
      <c r="J37" s="1" t="s">
        <v>86</v>
      </c>
      <c r="K37" s="1" t="s">
        <v>87</v>
      </c>
      <c r="M37" s="1" t="s">
        <v>58</v>
      </c>
      <c r="N37" s="1" t="s">
        <v>58</v>
      </c>
      <c r="O37" s="1" t="s">
        <v>69</v>
      </c>
      <c r="Q37" s="1" t="s">
        <v>58</v>
      </c>
      <c r="R37" s="1" t="s">
        <v>58</v>
      </c>
      <c r="S37" s="1" t="s">
        <v>58</v>
      </c>
      <c r="T37" s="1" t="s">
        <v>69</v>
      </c>
      <c r="U37" s="1" t="s">
        <v>70</v>
      </c>
      <c r="V37" s="1" t="s">
        <v>58</v>
      </c>
      <c r="W37" s="1" t="s">
        <v>69</v>
      </c>
      <c r="X37" s="1" t="s">
        <v>81</v>
      </c>
      <c r="Y37" s="1" t="s">
        <v>60</v>
      </c>
      <c r="Z37" s="1" t="s">
        <v>89</v>
      </c>
      <c r="AA37" s="2">
        <v>50.0</v>
      </c>
      <c r="AB37" s="1" t="s">
        <v>79</v>
      </c>
      <c r="AC37" s="1" t="s">
        <v>71</v>
      </c>
      <c r="AF37" s="1" t="s">
        <v>51</v>
      </c>
      <c r="AG37" s="1" t="s">
        <v>51</v>
      </c>
      <c r="AH37" s="2">
        <v>50.0</v>
      </c>
      <c r="AI37" s="2">
        <v>1.0</v>
      </c>
      <c r="AJ37" s="2">
        <v>0.0</v>
      </c>
      <c r="AK37" s="2">
        <v>0.0</v>
      </c>
      <c r="AL37" s="2">
        <v>0.0</v>
      </c>
      <c r="AM37" s="1" t="s">
        <v>51</v>
      </c>
      <c r="AN37" s="2">
        <v>6.01072833E8</v>
      </c>
      <c r="AP37" s="2">
        <v>4.87644284E8</v>
      </c>
      <c r="AQ37" s="1" t="s">
        <v>135</v>
      </c>
      <c r="AR37" s="2">
        <v>45805.31496527778</v>
      </c>
      <c r="AU37" s="1" t="s">
        <v>64</v>
      </c>
      <c r="AW37" s="1" t="s">
        <v>84</v>
      </c>
      <c r="AY37" s="2">
        <v>31.0</v>
      </c>
    </row>
    <row r="38">
      <c r="A38" s="1" t="s">
        <v>51</v>
      </c>
      <c r="C38" s="1" t="s">
        <v>52</v>
      </c>
      <c r="E38" s="1" t="s">
        <v>53</v>
      </c>
      <c r="F38" s="1" t="s">
        <v>136</v>
      </c>
      <c r="G38" s="2">
        <v>28.0</v>
      </c>
      <c r="H38" s="1" t="s">
        <v>66</v>
      </c>
      <c r="I38" s="1" t="s">
        <v>67</v>
      </c>
      <c r="J38" s="1" t="s">
        <v>56</v>
      </c>
      <c r="K38" s="1" t="s">
        <v>74</v>
      </c>
      <c r="M38" s="1" t="s">
        <v>58</v>
      </c>
      <c r="N38" s="1" t="s">
        <v>58</v>
      </c>
      <c r="O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59</v>
      </c>
      <c r="Y38" s="1" t="s">
        <v>82</v>
      </c>
      <c r="Z38" s="1" t="s">
        <v>61</v>
      </c>
      <c r="AA38" s="2">
        <v>100.0</v>
      </c>
      <c r="AB38" s="1" t="s">
        <v>28</v>
      </c>
      <c r="AC38" s="1" t="s">
        <v>71</v>
      </c>
      <c r="AF38" s="1" t="s">
        <v>51</v>
      </c>
      <c r="AG38" s="1" t="s">
        <v>51</v>
      </c>
      <c r="AH38" s="2">
        <v>3000.0</v>
      </c>
      <c r="AI38" s="2">
        <v>0.0</v>
      </c>
      <c r="AJ38" s="2">
        <v>1.0</v>
      </c>
      <c r="AK38" s="2">
        <v>0.0</v>
      </c>
      <c r="AL38" s="2">
        <v>0.0</v>
      </c>
      <c r="AM38" s="1" t="s">
        <v>51</v>
      </c>
      <c r="AN38" s="2">
        <v>7.32575737E8</v>
      </c>
      <c r="AP38" s="2">
        <v>4.87651294E8</v>
      </c>
      <c r="AQ38" s="1" t="s">
        <v>137</v>
      </c>
      <c r="AR38" s="2">
        <v>45805.32439814815</v>
      </c>
      <c r="AU38" s="1" t="s">
        <v>64</v>
      </c>
      <c r="AW38" s="1" t="s">
        <v>84</v>
      </c>
      <c r="AY38" s="2">
        <v>32.0</v>
      </c>
    </row>
    <row r="39">
      <c r="A39" s="1" t="s">
        <v>51</v>
      </c>
      <c r="C39" s="1" t="s">
        <v>52</v>
      </c>
      <c r="E39" s="1" t="s">
        <v>52</v>
      </c>
      <c r="G39" s="2">
        <v>59.0</v>
      </c>
      <c r="H39" s="1" t="s">
        <v>55</v>
      </c>
      <c r="J39" s="1" t="s">
        <v>111</v>
      </c>
      <c r="K39" s="1" t="s">
        <v>87</v>
      </c>
      <c r="M39" s="1" t="s">
        <v>58</v>
      </c>
      <c r="N39" s="1" t="s">
        <v>58</v>
      </c>
      <c r="O39" s="1" t="s">
        <v>58</v>
      </c>
      <c r="Q39" s="1" t="s">
        <v>69</v>
      </c>
      <c r="R39" s="1" t="s">
        <v>58</v>
      </c>
      <c r="S39" s="1" t="s">
        <v>69</v>
      </c>
      <c r="T39" s="1" t="s">
        <v>70</v>
      </c>
      <c r="U39" s="1" t="s">
        <v>58</v>
      </c>
      <c r="V39" s="1" t="s">
        <v>58</v>
      </c>
      <c r="W39" s="1" t="s">
        <v>58</v>
      </c>
      <c r="X39" s="1" t="s">
        <v>103</v>
      </c>
      <c r="Y39" s="1" t="s">
        <v>95</v>
      </c>
      <c r="Z39" s="1" t="s">
        <v>89</v>
      </c>
      <c r="AA39" s="2">
        <v>100.0</v>
      </c>
      <c r="AB39" s="1" t="s">
        <v>62</v>
      </c>
      <c r="AC39" s="1" t="s">
        <v>71</v>
      </c>
      <c r="AF39" s="1" t="s">
        <v>51</v>
      </c>
      <c r="AI39" s="2">
        <v>0.0</v>
      </c>
      <c r="AJ39" s="2">
        <v>0.0</v>
      </c>
      <c r="AK39" s="2">
        <v>1.0</v>
      </c>
      <c r="AL39" s="2">
        <v>0.0</v>
      </c>
      <c r="AP39" s="2">
        <v>4.87664993E8</v>
      </c>
      <c r="AQ39" s="1" t="s">
        <v>138</v>
      </c>
      <c r="AR39" s="2">
        <v>45805.33640046296</v>
      </c>
      <c r="AU39" s="1" t="s">
        <v>64</v>
      </c>
      <c r="AW39" s="1" t="s">
        <v>84</v>
      </c>
      <c r="AY39" s="2">
        <v>33.0</v>
      </c>
    </row>
    <row r="40">
      <c r="A40" s="1" t="s">
        <v>51</v>
      </c>
      <c r="C40" s="1" t="s">
        <v>52</v>
      </c>
      <c r="E40" s="1" t="s">
        <v>53</v>
      </c>
      <c r="F40" s="1" t="s">
        <v>54</v>
      </c>
      <c r="G40" s="2">
        <v>44.0</v>
      </c>
      <c r="H40" s="1" t="s">
        <v>55</v>
      </c>
      <c r="I40" s="1" t="s">
        <v>100</v>
      </c>
      <c r="J40" s="1" t="s">
        <v>86</v>
      </c>
      <c r="K40" s="1" t="s">
        <v>87</v>
      </c>
      <c r="M40" s="1" t="s">
        <v>58</v>
      </c>
      <c r="N40" s="1" t="s">
        <v>58</v>
      </c>
      <c r="O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59</v>
      </c>
      <c r="Y40" s="1" t="s">
        <v>60</v>
      </c>
      <c r="Z40" s="1" t="s">
        <v>89</v>
      </c>
      <c r="AA40" s="2">
        <v>100.0</v>
      </c>
      <c r="AB40" s="1" t="s">
        <v>79</v>
      </c>
      <c r="AC40" s="1" t="s">
        <v>71</v>
      </c>
      <c r="AF40" s="1" t="s">
        <v>51</v>
      </c>
      <c r="AG40" s="1" t="s">
        <v>72</v>
      </c>
      <c r="AI40" s="2">
        <v>1.0</v>
      </c>
      <c r="AJ40" s="2">
        <v>1.0</v>
      </c>
      <c r="AK40" s="2">
        <v>1.0</v>
      </c>
      <c r="AL40" s="2">
        <v>0.0</v>
      </c>
      <c r="AM40" s="1" t="s">
        <v>51</v>
      </c>
      <c r="AN40" s="2">
        <v>7.19465454E8</v>
      </c>
      <c r="AP40" s="2">
        <v>4.87674106E8</v>
      </c>
      <c r="AQ40" s="1" t="s">
        <v>139</v>
      </c>
      <c r="AR40" s="2">
        <v>45805.34543981482</v>
      </c>
      <c r="AU40" s="1" t="s">
        <v>64</v>
      </c>
      <c r="AW40" s="1" t="s">
        <v>84</v>
      </c>
      <c r="AY40" s="2">
        <v>34.0</v>
      </c>
    </row>
    <row r="41">
      <c r="A41" s="1" t="s">
        <v>51</v>
      </c>
      <c r="C41" s="1" t="s">
        <v>52</v>
      </c>
      <c r="E41" s="1" t="s">
        <v>53</v>
      </c>
      <c r="F41" s="1" t="s">
        <v>54</v>
      </c>
      <c r="G41" s="2">
        <v>42.0</v>
      </c>
      <c r="H41" s="1" t="s">
        <v>66</v>
      </c>
      <c r="I41" s="1" t="s">
        <v>67</v>
      </c>
      <c r="J41" s="1" t="s">
        <v>86</v>
      </c>
      <c r="K41" s="1" t="s">
        <v>87</v>
      </c>
      <c r="M41" s="1" t="s">
        <v>58</v>
      </c>
      <c r="N41" s="1" t="s">
        <v>58</v>
      </c>
      <c r="O41" s="1" t="s">
        <v>58</v>
      </c>
      <c r="Q41" s="1" t="s">
        <v>69</v>
      </c>
      <c r="R41" s="1" t="s">
        <v>58</v>
      </c>
      <c r="S41" s="1" t="s">
        <v>69</v>
      </c>
      <c r="T41" s="1" t="s">
        <v>69</v>
      </c>
      <c r="U41" s="1" t="s">
        <v>58</v>
      </c>
      <c r="V41" s="1" t="s">
        <v>58</v>
      </c>
      <c r="W41" s="1" t="s">
        <v>69</v>
      </c>
      <c r="X41" s="1" t="s">
        <v>59</v>
      </c>
      <c r="Y41" s="1" t="s">
        <v>95</v>
      </c>
      <c r="Z41" s="1" t="s">
        <v>89</v>
      </c>
      <c r="AA41" s="2">
        <v>50.0</v>
      </c>
      <c r="AB41" s="1" t="s">
        <v>62</v>
      </c>
      <c r="AC41" s="1" t="s">
        <v>51</v>
      </c>
      <c r="AD41" s="1" t="s">
        <v>81</v>
      </c>
      <c r="AE41" s="1" t="s">
        <v>51</v>
      </c>
      <c r="AF41" s="1" t="s">
        <v>51</v>
      </c>
      <c r="AG41" s="1" t="s">
        <v>51</v>
      </c>
      <c r="AH41" s="2">
        <v>4000.0</v>
      </c>
      <c r="AI41" s="2">
        <v>0.0</v>
      </c>
      <c r="AJ41" s="2">
        <v>0.0</v>
      </c>
      <c r="AK41" s="2">
        <v>0.0</v>
      </c>
      <c r="AL41" s="2">
        <v>1.0</v>
      </c>
      <c r="AM41" s="1" t="s">
        <v>51</v>
      </c>
      <c r="AN41" s="2">
        <v>7.18013824E8</v>
      </c>
      <c r="AP41" s="2">
        <v>4.87690832E8</v>
      </c>
      <c r="AQ41" s="1" t="s">
        <v>140</v>
      </c>
      <c r="AR41" s="2">
        <v>45805.363032407404</v>
      </c>
      <c r="AU41" s="1" t="s">
        <v>64</v>
      </c>
      <c r="AW41" s="1" t="s">
        <v>84</v>
      </c>
      <c r="AY41" s="2">
        <v>35.0</v>
      </c>
    </row>
    <row r="42">
      <c r="A42" s="1" t="s">
        <v>51</v>
      </c>
      <c r="C42" s="1" t="s">
        <v>52</v>
      </c>
      <c r="E42" s="1" t="s">
        <v>52</v>
      </c>
      <c r="G42" s="2">
        <v>55.0</v>
      </c>
      <c r="H42" s="1" t="s">
        <v>55</v>
      </c>
      <c r="J42" s="1" t="s">
        <v>86</v>
      </c>
      <c r="K42" s="1" t="s">
        <v>87</v>
      </c>
      <c r="M42" s="1" t="s">
        <v>58</v>
      </c>
      <c r="N42" s="1" t="s">
        <v>58</v>
      </c>
      <c r="O42" s="1" t="s">
        <v>58</v>
      </c>
      <c r="Q42" s="1" t="s">
        <v>69</v>
      </c>
      <c r="R42" s="1" t="s">
        <v>58</v>
      </c>
      <c r="S42" s="1" t="s">
        <v>69</v>
      </c>
      <c r="T42" s="1" t="s">
        <v>69</v>
      </c>
      <c r="U42" s="1" t="s">
        <v>69</v>
      </c>
      <c r="V42" s="1" t="s">
        <v>58</v>
      </c>
      <c r="W42" s="1" t="s">
        <v>69</v>
      </c>
      <c r="X42" s="1" t="s">
        <v>59</v>
      </c>
      <c r="Y42" s="1" t="s">
        <v>95</v>
      </c>
      <c r="Z42" s="1" t="s">
        <v>89</v>
      </c>
      <c r="AA42" s="2">
        <v>100.0</v>
      </c>
      <c r="AB42" s="1" t="s">
        <v>79</v>
      </c>
      <c r="AC42" s="1" t="s">
        <v>51</v>
      </c>
      <c r="AD42" s="1" t="s">
        <v>59</v>
      </c>
      <c r="AE42" s="1" t="s">
        <v>51</v>
      </c>
      <c r="AF42" s="1" t="s">
        <v>51</v>
      </c>
      <c r="AG42" s="1" t="s">
        <v>72</v>
      </c>
      <c r="AI42" s="2">
        <v>0.0</v>
      </c>
      <c r="AJ42" s="2">
        <v>0.0</v>
      </c>
      <c r="AK42" s="2">
        <v>0.0</v>
      </c>
      <c r="AL42" s="2">
        <v>1.0</v>
      </c>
      <c r="AP42" s="2">
        <v>4.8770913E8</v>
      </c>
      <c r="AQ42" s="1" t="s">
        <v>141</v>
      </c>
      <c r="AR42" s="2">
        <v>45805.381689814814</v>
      </c>
      <c r="AU42" s="1" t="s">
        <v>64</v>
      </c>
      <c r="AW42" s="1" t="s">
        <v>84</v>
      </c>
      <c r="AY42" s="2">
        <v>36.0</v>
      </c>
    </row>
    <row r="43">
      <c r="A43" s="1" t="s">
        <v>51</v>
      </c>
      <c r="C43" s="1" t="s">
        <v>53</v>
      </c>
      <c r="E43" s="1" t="s">
        <v>53</v>
      </c>
      <c r="F43" s="1" t="s">
        <v>54</v>
      </c>
      <c r="G43" s="2">
        <v>51.0</v>
      </c>
      <c r="H43" s="1" t="s">
        <v>66</v>
      </c>
      <c r="I43" s="1" t="s">
        <v>121</v>
      </c>
      <c r="J43" s="1" t="s">
        <v>111</v>
      </c>
      <c r="K43" s="1" t="s">
        <v>87</v>
      </c>
      <c r="M43" s="1" t="s">
        <v>58</v>
      </c>
      <c r="N43" s="1" t="s">
        <v>58</v>
      </c>
      <c r="O43" s="1" t="s">
        <v>58</v>
      </c>
      <c r="Q43" s="1" t="s">
        <v>58</v>
      </c>
      <c r="R43" s="1" t="s">
        <v>58</v>
      </c>
      <c r="S43" s="1" t="s">
        <v>58</v>
      </c>
      <c r="T43" s="1" t="s">
        <v>70</v>
      </c>
      <c r="U43" s="1" t="s">
        <v>69</v>
      </c>
      <c r="V43" s="1" t="s">
        <v>69</v>
      </c>
      <c r="W43" s="1" t="s">
        <v>69</v>
      </c>
      <c r="X43" s="1" t="s">
        <v>59</v>
      </c>
      <c r="Y43" s="1" t="s">
        <v>60</v>
      </c>
      <c r="AC43" s="1" t="s">
        <v>51</v>
      </c>
      <c r="AD43" s="1" t="s">
        <v>59</v>
      </c>
      <c r="AE43" s="1" t="s">
        <v>72</v>
      </c>
      <c r="AF43" s="1" t="s">
        <v>72</v>
      </c>
      <c r="AG43" s="1" t="s">
        <v>72</v>
      </c>
      <c r="AI43" s="2">
        <v>0.0</v>
      </c>
      <c r="AJ43" s="2">
        <v>0.0</v>
      </c>
      <c r="AK43" s="2">
        <v>0.0</v>
      </c>
      <c r="AL43" s="2">
        <v>1.0</v>
      </c>
      <c r="AM43" s="1" t="s">
        <v>72</v>
      </c>
      <c r="AP43" s="2">
        <v>4.87711757E8</v>
      </c>
      <c r="AQ43" s="1" t="s">
        <v>142</v>
      </c>
      <c r="AR43" s="2">
        <v>45805.383993055555</v>
      </c>
      <c r="AU43" s="1" t="s">
        <v>64</v>
      </c>
      <c r="AW43" s="1" t="s">
        <v>84</v>
      </c>
      <c r="AY43" s="2">
        <v>37.0</v>
      </c>
    </row>
    <row r="44">
      <c r="A44" s="1" t="s">
        <v>51</v>
      </c>
      <c r="C44" s="1" t="s">
        <v>107</v>
      </c>
      <c r="E44" s="1" t="s">
        <v>53</v>
      </c>
      <c r="F44" s="1" t="s">
        <v>102</v>
      </c>
      <c r="G44" s="2">
        <v>44.0</v>
      </c>
      <c r="H44" s="1" t="s">
        <v>55</v>
      </c>
      <c r="I44" s="1" t="s">
        <v>67</v>
      </c>
      <c r="J44" s="1" t="s">
        <v>111</v>
      </c>
      <c r="K44" s="1" t="s">
        <v>87</v>
      </c>
      <c r="M44" s="1" t="s">
        <v>58</v>
      </c>
      <c r="N44" s="1" t="s">
        <v>58</v>
      </c>
      <c r="O44" s="1" t="s">
        <v>69</v>
      </c>
      <c r="Q44" s="1" t="s">
        <v>58</v>
      </c>
      <c r="R44" s="1" t="s">
        <v>70</v>
      </c>
      <c r="S44" s="1" t="s">
        <v>69</v>
      </c>
      <c r="T44" s="1" t="s">
        <v>69</v>
      </c>
      <c r="U44" s="1" t="s">
        <v>69</v>
      </c>
      <c r="V44" s="1" t="s">
        <v>58</v>
      </c>
      <c r="W44" s="1" t="s">
        <v>69</v>
      </c>
      <c r="X44" s="1" t="s">
        <v>88</v>
      </c>
      <c r="Y44" s="1" t="s">
        <v>82</v>
      </c>
      <c r="Z44" s="1" t="s">
        <v>61</v>
      </c>
      <c r="AA44" s="2">
        <v>100.0</v>
      </c>
      <c r="AB44" s="1" t="s">
        <v>79</v>
      </c>
      <c r="AC44" s="1" t="s">
        <v>51</v>
      </c>
      <c r="AD44" s="1" t="s">
        <v>59</v>
      </c>
      <c r="AE44" s="1" t="s">
        <v>51</v>
      </c>
      <c r="AF44" s="1" t="s">
        <v>51</v>
      </c>
      <c r="AG44" s="1" t="s">
        <v>72</v>
      </c>
      <c r="AI44" s="2">
        <v>0.0</v>
      </c>
      <c r="AJ44" s="2">
        <v>0.0</v>
      </c>
      <c r="AK44" s="2">
        <v>1.0</v>
      </c>
      <c r="AL44" s="2">
        <v>0.0</v>
      </c>
      <c r="AM44" s="1" t="s">
        <v>51</v>
      </c>
      <c r="AN44" s="2">
        <v>7.24087235E8</v>
      </c>
      <c r="AP44" s="2">
        <v>4.87711791E8</v>
      </c>
      <c r="AQ44" s="1" t="s">
        <v>143</v>
      </c>
      <c r="AR44" s="2">
        <v>45805.3840162037</v>
      </c>
      <c r="AU44" s="1" t="s">
        <v>64</v>
      </c>
      <c r="AW44" s="1" t="s">
        <v>84</v>
      </c>
      <c r="AY44" s="2">
        <v>38.0</v>
      </c>
    </row>
    <row r="45">
      <c r="A45" s="1" t="s">
        <v>51</v>
      </c>
      <c r="C45" s="1" t="s">
        <v>52</v>
      </c>
      <c r="E45" s="1" t="s">
        <v>53</v>
      </c>
      <c r="F45" s="1" t="s">
        <v>85</v>
      </c>
      <c r="G45" s="2">
        <v>43.0</v>
      </c>
      <c r="H45" s="1" t="s">
        <v>55</v>
      </c>
      <c r="I45" s="1" t="s">
        <v>67</v>
      </c>
      <c r="J45" s="1" t="s">
        <v>86</v>
      </c>
      <c r="K45" s="1" t="s">
        <v>87</v>
      </c>
      <c r="M45" s="1" t="s">
        <v>58</v>
      </c>
      <c r="N45" s="1" t="s">
        <v>58</v>
      </c>
      <c r="O45" s="1" t="s">
        <v>69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69</v>
      </c>
      <c r="X45" s="1" t="s">
        <v>59</v>
      </c>
      <c r="Y45" s="1" t="s">
        <v>95</v>
      </c>
      <c r="Z45" s="1" t="s">
        <v>89</v>
      </c>
      <c r="AA45" s="2">
        <v>30.0</v>
      </c>
      <c r="AB45" s="1" t="s">
        <v>62</v>
      </c>
      <c r="AC45" s="1" t="s">
        <v>71</v>
      </c>
      <c r="AF45" s="1" t="s">
        <v>51</v>
      </c>
      <c r="AG45" s="1" t="s">
        <v>72</v>
      </c>
      <c r="AI45" s="2">
        <v>0.0</v>
      </c>
      <c r="AJ45" s="2">
        <v>0.0</v>
      </c>
      <c r="AK45" s="2">
        <v>0.0</v>
      </c>
      <c r="AL45" s="2">
        <v>1.0</v>
      </c>
      <c r="AM45" s="1" t="s">
        <v>72</v>
      </c>
      <c r="AP45" s="2">
        <v>4.8771705E8</v>
      </c>
      <c r="AQ45" s="1" t="s">
        <v>144</v>
      </c>
      <c r="AR45" s="2">
        <v>45805.3884837963</v>
      </c>
      <c r="AU45" s="1" t="s">
        <v>64</v>
      </c>
      <c r="AW45" s="1" t="s">
        <v>84</v>
      </c>
      <c r="AY45" s="2">
        <v>39.0</v>
      </c>
    </row>
    <row r="46">
      <c r="A46" s="1" t="s">
        <v>51</v>
      </c>
      <c r="C46" s="1" t="s">
        <v>53</v>
      </c>
      <c r="E46" s="1" t="s">
        <v>53</v>
      </c>
      <c r="F46" s="1" t="s">
        <v>102</v>
      </c>
      <c r="G46" s="2">
        <v>39.0</v>
      </c>
      <c r="H46" s="1" t="s">
        <v>55</v>
      </c>
      <c r="I46" s="1" t="s">
        <v>121</v>
      </c>
      <c r="J46" s="1" t="s">
        <v>56</v>
      </c>
      <c r="K46" s="1" t="s">
        <v>87</v>
      </c>
      <c r="M46" s="1" t="s">
        <v>58</v>
      </c>
      <c r="N46" s="1" t="s">
        <v>58</v>
      </c>
      <c r="O46" s="1" t="s">
        <v>58</v>
      </c>
      <c r="Q46" s="1" t="s">
        <v>58</v>
      </c>
      <c r="R46" s="1" t="s">
        <v>58</v>
      </c>
      <c r="S46" s="1" t="s">
        <v>69</v>
      </c>
      <c r="T46" s="1" t="s">
        <v>69</v>
      </c>
      <c r="U46" s="1" t="s">
        <v>58</v>
      </c>
      <c r="V46" s="1" t="s">
        <v>69</v>
      </c>
      <c r="W46" s="1" t="s">
        <v>69</v>
      </c>
      <c r="X46" s="1" t="s">
        <v>81</v>
      </c>
      <c r="Y46" s="1" t="s">
        <v>60</v>
      </c>
      <c r="Z46" s="1" t="s">
        <v>61</v>
      </c>
      <c r="AA46" s="2">
        <v>100.0</v>
      </c>
      <c r="AB46" s="1" t="s">
        <v>79</v>
      </c>
      <c r="AC46" s="1" t="s">
        <v>72</v>
      </c>
      <c r="AF46" s="1" t="s">
        <v>51</v>
      </c>
      <c r="AG46" s="1" t="s">
        <v>72</v>
      </c>
      <c r="AI46" s="2">
        <v>0.0</v>
      </c>
      <c r="AJ46" s="2">
        <v>1.0</v>
      </c>
      <c r="AK46" s="2">
        <v>0.0</v>
      </c>
      <c r="AL46" s="2">
        <v>0.0</v>
      </c>
      <c r="AM46" s="1" t="s">
        <v>51</v>
      </c>
      <c r="AP46" s="2">
        <v>4.87749469E8</v>
      </c>
      <c r="AQ46" s="1" t="s">
        <v>145</v>
      </c>
      <c r="AR46" s="2">
        <v>45805.421898148146</v>
      </c>
      <c r="AU46" s="1" t="s">
        <v>64</v>
      </c>
      <c r="AW46" s="1" t="s">
        <v>84</v>
      </c>
      <c r="AY46" s="2">
        <v>40.0</v>
      </c>
    </row>
    <row r="47">
      <c r="A47" s="1" t="s">
        <v>51</v>
      </c>
      <c r="C47" s="1" t="s">
        <v>52</v>
      </c>
      <c r="E47" s="1" t="s">
        <v>53</v>
      </c>
      <c r="F47" s="1" t="s">
        <v>94</v>
      </c>
      <c r="G47" s="2">
        <v>42.0</v>
      </c>
      <c r="H47" s="1" t="s">
        <v>66</v>
      </c>
      <c r="I47" s="1" t="s">
        <v>67</v>
      </c>
      <c r="J47" s="1" t="s">
        <v>56</v>
      </c>
      <c r="K47" s="1" t="s">
        <v>87</v>
      </c>
      <c r="M47" s="1" t="s">
        <v>58</v>
      </c>
      <c r="N47" s="1" t="s">
        <v>58</v>
      </c>
      <c r="O47" s="1" t="s">
        <v>69</v>
      </c>
      <c r="Q47" s="1" t="s">
        <v>69</v>
      </c>
      <c r="R47" s="1" t="s">
        <v>69</v>
      </c>
      <c r="S47" s="1" t="s">
        <v>70</v>
      </c>
      <c r="T47" s="1" t="s">
        <v>69</v>
      </c>
      <c r="U47" s="1" t="s">
        <v>58</v>
      </c>
      <c r="V47" s="1" t="s">
        <v>58</v>
      </c>
      <c r="W47" s="1" t="s">
        <v>69</v>
      </c>
      <c r="X47" s="1" t="s">
        <v>59</v>
      </c>
      <c r="Y47" s="1" t="s">
        <v>60</v>
      </c>
      <c r="Z47" s="1" t="s">
        <v>89</v>
      </c>
      <c r="AA47" s="2">
        <v>100.0</v>
      </c>
      <c r="AB47" s="1" t="s">
        <v>62</v>
      </c>
      <c r="AC47" s="1" t="s">
        <v>71</v>
      </c>
      <c r="AF47" s="1" t="s">
        <v>51</v>
      </c>
      <c r="AG47" s="1" t="s">
        <v>51</v>
      </c>
      <c r="AH47" s="2">
        <v>50.0</v>
      </c>
      <c r="AI47" s="2">
        <v>1.0</v>
      </c>
      <c r="AJ47" s="2">
        <v>0.0</v>
      </c>
      <c r="AK47" s="2">
        <v>1.0</v>
      </c>
      <c r="AL47" s="2">
        <v>0.0</v>
      </c>
      <c r="AM47" s="1" t="s">
        <v>72</v>
      </c>
      <c r="AP47" s="2">
        <v>4.87750454E8</v>
      </c>
      <c r="AQ47" s="1" t="s">
        <v>146</v>
      </c>
      <c r="AR47" s="2">
        <v>45805.42289351852</v>
      </c>
      <c r="AU47" s="1" t="s">
        <v>64</v>
      </c>
      <c r="AW47" s="1" t="s">
        <v>84</v>
      </c>
      <c r="AY47" s="2">
        <v>41.0</v>
      </c>
    </row>
    <row r="48">
      <c r="A48" s="1" t="s">
        <v>51</v>
      </c>
      <c r="C48" s="1" t="s">
        <v>53</v>
      </c>
      <c r="E48" s="1" t="s">
        <v>53</v>
      </c>
      <c r="F48" s="1" t="s">
        <v>54</v>
      </c>
      <c r="G48" s="2">
        <v>55.0</v>
      </c>
      <c r="H48" s="1" t="s">
        <v>66</v>
      </c>
      <c r="I48" s="1" t="s">
        <v>121</v>
      </c>
      <c r="J48" s="1" t="s">
        <v>56</v>
      </c>
      <c r="K48" s="1" t="s">
        <v>87</v>
      </c>
      <c r="M48" s="1" t="s">
        <v>58</v>
      </c>
      <c r="N48" s="1" t="s">
        <v>58</v>
      </c>
      <c r="O48" s="1" t="s">
        <v>58</v>
      </c>
      <c r="Q48" s="1" t="s">
        <v>70</v>
      </c>
      <c r="R48" s="1" t="s">
        <v>58</v>
      </c>
      <c r="S48" s="1" t="s">
        <v>58</v>
      </c>
      <c r="T48" s="1" t="s">
        <v>69</v>
      </c>
      <c r="U48" s="1" t="s">
        <v>70</v>
      </c>
      <c r="V48" s="1" t="s">
        <v>58</v>
      </c>
      <c r="W48" s="1" t="s">
        <v>69</v>
      </c>
      <c r="X48" s="1" t="s">
        <v>59</v>
      </c>
      <c r="Y48" s="1" t="s">
        <v>60</v>
      </c>
      <c r="Z48" s="1" t="s">
        <v>89</v>
      </c>
      <c r="AA48" s="2">
        <v>40.0</v>
      </c>
      <c r="AB48" s="1" t="s">
        <v>79</v>
      </c>
      <c r="AC48" s="1" t="s">
        <v>71</v>
      </c>
      <c r="AF48" s="1" t="s">
        <v>51</v>
      </c>
      <c r="AG48" s="1" t="s">
        <v>72</v>
      </c>
      <c r="AI48" s="2">
        <v>0.0</v>
      </c>
      <c r="AJ48" s="2">
        <v>0.0</v>
      </c>
      <c r="AK48" s="2">
        <v>0.0</v>
      </c>
      <c r="AL48" s="2">
        <v>1.0</v>
      </c>
      <c r="AM48" s="1" t="s">
        <v>51</v>
      </c>
      <c r="AN48" s="2">
        <v>8.27701274E8</v>
      </c>
      <c r="AP48" s="2">
        <v>4.87757298E8</v>
      </c>
      <c r="AQ48" s="1" t="s">
        <v>147</v>
      </c>
      <c r="AR48" s="2">
        <v>45805.43035879629</v>
      </c>
      <c r="AU48" s="1" t="s">
        <v>64</v>
      </c>
      <c r="AW48" s="1" t="s">
        <v>84</v>
      </c>
      <c r="AY48" s="2">
        <v>42.0</v>
      </c>
    </row>
    <row r="49">
      <c r="A49" s="1" t="s">
        <v>51</v>
      </c>
      <c r="C49" s="1" t="s">
        <v>52</v>
      </c>
      <c r="E49" s="1" t="s">
        <v>53</v>
      </c>
      <c r="F49" s="1" t="s">
        <v>85</v>
      </c>
      <c r="G49" s="2">
        <v>42.0</v>
      </c>
      <c r="H49" s="1" t="s">
        <v>55</v>
      </c>
      <c r="I49" s="1" t="s">
        <v>67</v>
      </c>
      <c r="J49" s="1" t="s">
        <v>86</v>
      </c>
      <c r="K49" s="1" t="s">
        <v>87</v>
      </c>
      <c r="M49" s="1" t="s">
        <v>69</v>
      </c>
      <c r="N49" s="1" t="s">
        <v>69</v>
      </c>
      <c r="O49" s="1" t="s">
        <v>69</v>
      </c>
      <c r="Q49" s="1" t="s">
        <v>69</v>
      </c>
      <c r="R49" s="1" t="s">
        <v>58</v>
      </c>
      <c r="S49" s="1" t="s">
        <v>58</v>
      </c>
      <c r="T49" s="1" t="s">
        <v>69</v>
      </c>
      <c r="U49" s="1" t="s">
        <v>58</v>
      </c>
      <c r="V49" s="1" t="s">
        <v>58</v>
      </c>
      <c r="W49" s="1" t="s">
        <v>69</v>
      </c>
      <c r="X49" s="1" t="s">
        <v>81</v>
      </c>
      <c r="Y49" s="1" t="s">
        <v>60</v>
      </c>
      <c r="Z49" s="1" t="s">
        <v>61</v>
      </c>
      <c r="AA49" s="2">
        <v>50.0</v>
      </c>
      <c r="AB49" s="1" t="s">
        <v>62</v>
      </c>
      <c r="AC49" s="1" t="s">
        <v>71</v>
      </c>
      <c r="AF49" s="1" t="s">
        <v>51</v>
      </c>
      <c r="AG49" s="1" t="s">
        <v>72</v>
      </c>
      <c r="AI49" s="2">
        <v>1.0</v>
      </c>
      <c r="AJ49" s="2">
        <v>0.0</v>
      </c>
      <c r="AK49" s="2">
        <v>0.0</v>
      </c>
      <c r="AL49" s="2">
        <v>0.0</v>
      </c>
      <c r="AM49" s="1" t="s">
        <v>72</v>
      </c>
      <c r="AP49" s="2">
        <v>4.87766407E8</v>
      </c>
      <c r="AQ49" s="1" t="s">
        <v>148</v>
      </c>
      <c r="AR49" s="2">
        <v>45805.43989583333</v>
      </c>
      <c r="AU49" s="1" t="s">
        <v>64</v>
      </c>
      <c r="AW49" s="1" t="s">
        <v>84</v>
      </c>
      <c r="AY49" s="2">
        <v>43.0</v>
      </c>
    </row>
    <row r="50">
      <c r="A50" s="1" t="s">
        <v>51</v>
      </c>
      <c r="C50" s="1" t="s">
        <v>52</v>
      </c>
      <c r="E50" s="1" t="s">
        <v>53</v>
      </c>
      <c r="F50" s="1" t="s">
        <v>149</v>
      </c>
      <c r="G50" s="2">
        <v>46.0</v>
      </c>
      <c r="H50" s="1" t="s">
        <v>55</v>
      </c>
      <c r="I50" s="1" t="s">
        <v>67</v>
      </c>
      <c r="J50" s="1" t="s">
        <v>86</v>
      </c>
      <c r="K50" s="1" t="s">
        <v>87</v>
      </c>
      <c r="M50" s="1" t="s">
        <v>58</v>
      </c>
      <c r="N50" s="1" t="s">
        <v>58</v>
      </c>
      <c r="O50" s="1" t="s">
        <v>58</v>
      </c>
      <c r="Q50" s="1" t="s">
        <v>69</v>
      </c>
      <c r="R50" s="1" t="s">
        <v>58</v>
      </c>
      <c r="S50" s="1" t="s">
        <v>69</v>
      </c>
      <c r="T50" s="1" t="s">
        <v>69</v>
      </c>
      <c r="U50" s="1" t="s">
        <v>58</v>
      </c>
      <c r="V50" s="1" t="s">
        <v>58</v>
      </c>
      <c r="W50" s="1" t="s">
        <v>69</v>
      </c>
      <c r="X50" s="1" t="s">
        <v>88</v>
      </c>
      <c r="Y50" s="1" t="s">
        <v>95</v>
      </c>
      <c r="Z50" s="1" t="s">
        <v>89</v>
      </c>
      <c r="AA50" s="2">
        <v>100.0</v>
      </c>
      <c r="AB50" s="1" t="s">
        <v>28</v>
      </c>
      <c r="AC50" s="1" t="s">
        <v>71</v>
      </c>
      <c r="AF50" s="1" t="s">
        <v>51</v>
      </c>
      <c r="AG50" s="1" t="s">
        <v>72</v>
      </c>
      <c r="AI50" s="2">
        <v>0.0</v>
      </c>
      <c r="AJ50" s="2">
        <v>0.0</v>
      </c>
      <c r="AK50" s="2">
        <v>1.0</v>
      </c>
      <c r="AL50" s="2">
        <v>0.0</v>
      </c>
      <c r="AM50" s="1" t="s">
        <v>72</v>
      </c>
      <c r="AP50" s="2">
        <v>4.87788797E8</v>
      </c>
      <c r="AQ50" s="1" t="s">
        <v>150</v>
      </c>
      <c r="AR50" s="2">
        <v>45805.46019675926</v>
      </c>
      <c r="AU50" s="1" t="s">
        <v>64</v>
      </c>
      <c r="AW50" s="1" t="s">
        <v>84</v>
      </c>
      <c r="AY50" s="2">
        <v>44.0</v>
      </c>
    </row>
    <row r="51">
      <c r="A51" s="1" t="s">
        <v>51</v>
      </c>
      <c r="C51" s="1" t="s">
        <v>151</v>
      </c>
      <c r="E51" s="1" t="s">
        <v>53</v>
      </c>
      <c r="F51" s="1" t="s">
        <v>54</v>
      </c>
      <c r="G51" s="2">
        <v>43.0</v>
      </c>
      <c r="H51" s="1" t="s">
        <v>55</v>
      </c>
      <c r="I51" s="1" t="s">
        <v>67</v>
      </c>
      <c r="J51" s="1" t="s">
        <v>56</v>
      </c>
      <c r="K51" s="1" t="s">
        <v>78</v>
      </c>
      <c r="M51" s="1" t="s">
        <v>58</v>
      </c>
      <c r="N51" s="1" t="s">
        <v>58</v>
      </c>
      <c r="O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81</v>
      </c>
      <c r="Y51" s="1" t="s">
        <v>82</v>
      </c>
      <c r="Z51" s="1" t="s">
        <v>89</v>
      </c>
      <c r="AA51" s="2">
        <v>50.0</v>
      </c>
      <c r="AB51" s="1" t="s">
        <v>79</v>
      </c>
      <c r="AC51" s="1" t="s">
        <v>71</v>
      </c>
      <c r="AF51" s="1" t="s">
        <v>51</v>
      </c>
      <c r="AG51" s="1" t="s">
        <v>51</v>
      </c>
      <c r="AH51" s="2">
        <v>40.0</v>
      </c>
      <c r="AI51" s="2">
        <v>0.0</v>
      </c>
      <c r="AJ51" s="2">
        <v>0.0</v>
      </c>
      <c r="AK51" s="2">
        <v>0.0</v>
      </c>
      <c r="AL51" s="2">
        <v>1.0</v>
      </c>
      <c r="AM51" s="1" t="s">
        <v>51</v>
      </c>
      <c r="AN51" s="2">
        <v>8.39756269E8</v>
      </c>
      <c r="AP51" s="2">
        <v>4.87797842E8</v>
      </c>
      <c r="AQ51" s="1" t="s">
        <v>152</v>
      </c>
      <c r="AR51" s="2">
        <v>45805.46944444445</v>
      </c>
      <c r="AU51" s="1" t="s">
        <v>64</v>
      </c>
      <c r="AW51" s="1" t="s">
        <v>84</v>
      </c>
      <c r="AY51" s="2">
        <v>45.0</v>
      </c>
    </row>
    <row r="52">
      <c r="A52" s="1" t="s">
        <v>51</v>
      </c>
      <c r="C52" s="1" t="s">
        <v>118</v>
      </c>
      <c r="E52" s="1" t="s">
        <v>53</v>
      </c>
      <c r="F52" s="1" t="s">
        <v>85</v>
      </c>
      <c r="G52" s="2">
        <v>39.0</v>
      </c>
      <c r="H52" s="1" t="s">
        <v>55</v>
      </c>
      <c r="I52" s="1" t="s">
        <v>67</v>
      </c>
      <c r="J52" s="1" t="s">
        <v>86</v>
      </c>
      <c r="K52" s="1" t="s">
        <v>87</v>
      </c>
      <c r="M52" s="1" t="s">
        <v>58</v>
      </c>
      <c r="N52" s="1" t="s">
        <v>58</v>
      </c>
      <c r="O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58</v>
      </c>
      <c r="W52" s="1" t="s">
        <v>69</v>
      </c>
      <c r="X52" s="1" t="s">
        <v>88</v>
      </c>
      <c r="Y52" s="1" t="s">
        <v>95</v>
      </c>
      <c r="Z52" s="1" t="s">
        <v>89</v>
      </c>
      <c r="AA52" s="2">
        <v>100.0</v>
      </c>
      <c r="AB52" s="1" t="s">
        <v>62</v>
      </c>
      <c r="AC52" s="1" t="s">
        <v>71</v>
      </c>
      <c r="AF52" s="1" t="s">
        <v>51</v>
      </c>
      <c r="AG52" s="1" t="s">
        <v>72</v>
      </c>
      <c r="AI52" s="2">
        <v>0.0</v>
      </c>
      <c r="AJ52" s="2">
        <v>0.0</v>
      </c>
      <c r="AK52" s="2">
        <v>0.0</v>
      </c>
      <c r="AL52" s="2">
        <v>1.0</v>
      </c>
      <c r="AM52" s="1" t="s">
        <v>72</v>
      </c>
      <c r="AP52" s="2">
        <v>4.87805968E8</v>
      </c>
      <c r="AQ52" s="1" t="s">
        <v>153</v>
      </c>
      <c r="AR52" s="2">
        <v>45805.47703703704</v>
      </c>
      <c r="AU52" s="1" t="s">
        <v>64</v>
      </c>
      <c r="AW52" s="1" t="s">
        <v>84</v>
      </c>
      <c r="AY52" s="2">
        <v>46.0</v>
      </c>
    </row>
    <row r="53">
      <c r="A53" s="1" t="s">
        <v>51</v>
      </c>
      <c r="C53" s="1" t="s">
        <v>52</v>
      </c>
      <c r="E53" s="1" t="s">
        <v>154</v>
      </c>
      <c r="G53" s="2">
        <v>45.0</v>
      </c>
      <c r="H53" s="1" t="s">
        <v>66</v>
      </c>
      <c r="J53" s="1" t="s">
        <v>86</v>
      </c>
      <c r="K53" s="1" t="s">
        <v>87</v>
      </c>
      <c r="M53" s="1" t="s">
        <v>69</v>
      </c>
      <c r="N53" s="1" t="s">
        <v>58</v>
      </c>
      <c r="O53" s="1" t="s">
        <v>69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69</v>
      </c>
      <c r="X53" s="1" t="s">
        <v>59</v>
      </c>
      <c r="Y53" s="1" t="s">
        <v>60</v>
      </c>
      <c r="Z53" s="1" t="s">
        <v>127</v>
      </c>
      <c r="AA53" s="2">
        <v>100.0</v>
      </c>
      <c r="AB53" s="1" t="s">
        <v>28</v>
      </c>
      <c r="AC53" s="1" t="s">
        <v>51</v>
      </c>
      <c r="AD53" s="1" t="s">
        <v>59</v>
      </c>
      <c r="AE53" s="1" t="s">
        <v>51</v>
      </c>
      <c r="AF53" s="1" t="s">
        <v>51</v>
      </c>
      <c r="AG53" s="1" t="s">
        <v>51</v>
      </c>
      <c r="AH53" s="2">
        <v>200.0</v>
      </c>
      <c r="AI53" s="2">
        <v>0.0</v>
      </c>
      <c r="AJ53" s="2">
        <v>0.0</v>
      </c>
      <c r="AK53" s="2">
        <v>0.0</v>
      </c>
      <c r="AL53" s="2">
        <v>1.0</v>
      </c>
      <c r="AP53" s="2">
        <v>4.87813566E8</v>
      </c>
      <c r="AQ53" s="1" t="s">
        <v>155</v>
      </c>
      <c r="AR53" s="2">
        <v>45805.48422453704</v>
      </c>
      <c r="AU53" s="1" t="s">
        <v>64</v>
      </c>
      <c r="AW53" s="1" t="s">
        <v>84</v>
      </c>
      <c r="AY53" s="2">
        <v>47.0</v>
      </c>
    </row>
    <row r="54">
      <c r="A54" s="1" t="s">
        <v>51</v>
      </c>
      <c r="C54" s="1" t="s">
        <v>52</v>
      </c>
      <c r="E54" s="1" t="s">
        <v>154</v>
      </c>
      <c r="G54" s="2">
        <v>55.0</v>
      </c>
      <c r="H54" s="1" t="s">
        <v>66</v>
      </c>
      <c r="J54" s="1" t="s">
        <v>86</v>
      </c>
      <c r="K54" s="1" t="s">
        <v>87</v>
      </c>
      <c r="M54" s="1" t="s">
        <v>58</v>
      </c>
      <c r="N54" s="1" t="s">
        <v>58</v>
      </c>
      <c r="O54" s="1" t="s">
        <v>58</v>
      </c>
      <c r="Q54" s="1" t="s">
        <v>58</v>
      </c>
      <c r="R54" s="1" t="s">
        <v>58</v>
      </c>
      <c r="S54" s="1" t="s">
        <v>69</v>
      </c>
      <c r="T54" s="1" t="s">
        <v>70</v>
      </c>
      <c r="U54" s="1" t="s">
        <v>70</v>
      </c>
      <c r="V54" s="1" t="s">
        <v>58</v>
      </c>
      <c r="W54" s="1" t="s">
        <v>70</v>
      </c>
      <c r="X54" s="1" t="s">
        <v>81</v>
      </c>
      <c r="Y54" s="1" t="s">
        <v>95</v>
      </c>
      <c r="Z54" s="1" t="s">
        <v>96</v>
      </c>
      <c r="AA54" s="2">
        <v>100.0</v>
      </c>
      <c r="AB54" s="1" t="s">
        <v>62</v>
      </c>
      <c r="AC54" s="1" t="s">
        <v>71</v>
      </c>
      <c r="AF54" s="1" t="s">
        <v>51</v>
      </c>
      <c r="AG54" s="1" t="s">
        <v>51</v>
      </c>
      <c r="AP54" s="2">
        <v>4.878188E8</v>
      </c>
      <c r="AQ54" s="1" t="s">
        <v>156</v>
      </c>
      <c r="AR54" s="2">
        <v>45805.48887731481</v>
      </c>
      <c r="AU54" s="1" t="s">
        <v>64</v>
      </c>
      <c r="AW54" s="1" t="s">
        <v>84</v>
      </c>
      <c r="AY54" s="2">
        <v>48.0</v>
      </c>
    </row>
    <row r="55">
      <c r="A55" s="1" t="s">
        <v>51</v>
      </c>
      <c r="C55" s="1" t="s">
        <v>52</v>
      </c>
      <c r="E55" s="1" t="s">
        <v>154</v>
      </c>
      <c r="G55" s="2">
        <v>47.0</v>
      </c>
      <c r="H55" s="1" t="s">
        <v>55</v>
      </c>
      <c r="J55" s="1" t="s">
        <v>86</v>
      </c>
      <c r="K55" s="1" t="s">
        <v>87</v>
      </c>
      <c r="M55" s="1" t="s">
        <v>58</v>
      </c>
      <c r="N55" s="1" t="s">
        <v>58</v>
      </c>
      <c r="O55" s="1" t="s">
        <v>58</v>
      </c>
      <c r="Q55" s="1" t="s">
        <v>69</v>
      </c>
      <c r="R55" s="1" t="s">
        <v>58</v>
      </c>
      <c r="S55" s="1" t="s">
        <v>69</v>
      </c>
      <c r="T55" s="1" t="s">
        <v>69</v>
      </c>
      <c r="U55" s="1" t="s">
        <v>58</v>
      </c>
      <c r="V55" s="1" t="s">
        <v>58</v>
      </c>
      <c r="W55" s="1" t="s">
        <v>69</v>
      </c>
      <c r="X55" s="1" t="s">
        <v>88</v>
      </c>
      <c r="Y55" s="1" t="s">
        <v>95</v>
      </c>
      <c r="Z55" s="1" t="s">
        <v>89</v>
      </c>
      <c r="AA55" s="2">
        <v>100.0</v>
      </c>
      <c r="AB55" s="1" t="s">
        <v>62</v>
      </c>
      <c r="AC55" s="1" t="s">
        <v>51</v>
      </c>
      <c r="AD55" s="1" t="s">
        <v>88</v>
      </c>
      <c r="AE55" s="1" t="s">
        <v>51</v>
      </c>
      <c r="AF55" s="1" t="s">
        <v>51</v>
      </c>
      <c r="AG55" s="1" t="s">
        <v>51</v>
      </c>
      <c r="AH55" s="2">
        <v>30.0</v>
      </c>
      <c r="AI55" s="2">
        <v>0.0</v>
      </c>
      <c r="AJ55" s="2">
        <v>0.0</v>
      </c>
      <c r="AK55" s="2">
        <v>0.0</v>
      </c>
      <c r="AL55" s="2">
        <v>1.0</v>
      </c>
      <c r="AP55" s="2">
        <v>4.87826428E8</v>
      </c>
      <c r="AQ55" s="1" t="s">
        <v>157</v>
      </c>
      <c r="AR55" s="2">
        <v>45805.496099537035</v>
      </c>
      <c r="AU55" s="1" t="s">
        <v>64</v>
      </c>
      <c r="AW55" s="1" t="s">
        <v>84</v>
      </c>
      <c r="AY55" s="2">
        <v>49.0</v>
      </c>
    </row>
    <row r="56">
      <c r="A56" s="1" t="s">
        <v>51</v>
      </c>
      <c r="C56" s="1" t="s">
        <v>53</v>
      </c>
      <c r="E56" s="1" t="s">
        <v>53</v>
      </c>
      <c r="F56" s="1" t="s">
        <v>158</v>
      </c>
      <c r="G56" s="2">
        <v>45.0</v>
      </c>
      <c r="H56" s="1" t="s">
        <v>66</v>
      </c>
      <c r="I56" s="1" t="s">
        <v>121</v>
      </c>
      <c r="J56" s="1" t="s">
        <v>86</v>
      </c>
      <c r="K56" s="1" t="s">
        <v>87</v>
      </c>
      <c r="M56" s="1" t="s">
        <v>58</v>
      </c>
      <c r="N56" s="1" t="s">
        <v>58</v>
      </c>
      <c r="O56" s="1" t="s">
        <v>70</v>
      </c>
      <c r="Q56" s="1" t="s">
        <v>58</v>
      </c>
      <c r="R56" s="1" t="s">
        <v>58</v>
      </c>
      <c r="S56" s="1" t="s">
        <v>58</v>
      </c>
      <c r="T56" s="1" t="s">
        <v>69</v>
      </c>
      <c r="U56" s="1" t="s">
        <v>70</v>
      </c>
      <c r="V56" s="1" t="s">
        <v>69</v>
      </c>
      <c r="W56" s="1" t="s">
        <v>69</v>
      </c>
      <c r="X56" s="1" t="s">
        <v>59</v>
      </c>
      <c r="Y56" s="1" t="s">
        <v>82</v>
      </c>
      <c r="Z56" s="1" t="s">
        <v>89</v>
      </c>
      <c r="AA56" s="2">
        <v>10.0</v>
      </c>
      <c r="AB56" s="1" t="s">
        <v>79</v>
      </c>
      <c r="AC56" s="1" t="s">
        <v>71</v>
      </c>
      <c r="AF56" s="1" t="s">
        <v>51</v>
      </c>
      <c r="AG56" s="1" t="s">
        <v>51</v>
      </c>
      <c r="AH56" s="2">
        <v>250.0</v>
      </c>
      <c r="AI56" s="2">
        <v>0.0</v>
      </c>
      <c r="AJ56" s="2">
        <v>0.0</v>
      </c>
      <c r="AK56" s="2">
        <v>0.0</v>
      </c>
      <c r="AL56" s="2">
        <v>1.0</v>
      </c>
      <c r="AM56" s="1" t="s">
        <v>72</v>
      </c>
      <c r="AP56" s="2">
        <v>4.87873583E8</v>
      </c>
      <c r="AQ56" s="1" t="s">
        <v>159</v>
      </c>
      <c r="AR56" s="2">
        <v>45805.533530092594</v>
      </c>
      <c r="AU56" s="1" t="s">
        <v>64</v>
      </c>
      <c r="AW56" s="1" t="s">
        <v>84</v>
      </c>
      <c r="AY56" s="2">
        <v>50.0</v>
      </c>
    </row>
    <row r="57">
      <c r="A57" s="1" t="s">
        <v>51</v>
      </c>
      <c r="C57" s="1" t="s">
        <v>52</v>
      </c>
      <c r="E57" s="1" t="s">
        <v>105</v>
      </c>
      <c r="G57" s="2">
        <v>44.0</v>
      </c>
      <c r="H57" s="1" t="s">
        <v>66</v>
      </c>
      <c r="J57" s="1" t="s">
        <v>86</v>
      </c>
      <c r="K57" s="1" t="s">
        <v>87</v>
      </c>
      <c r="M57" s="1" t="s">
        <v>58</v>
      </c>
      <c r="N57" s="1" t="s">
        <v>58</v>
      </c>
      <c r="O57" s="1" t="s">
        <v>69</v>
      </c>
      <c r="Q57" s="1" t="s">
        <v>58</v>
      </c>
      <c r="R57" s="1" t="s">
        <v>58</v>
      </c>
      <c r="S57" s="1" t="s">
        <v>69</v>
      </c>
      <c r="T57" s="1" t="s">
        <v>70</v>
      </c>
      <c r="U57" s="1" t="s">
        <v>70</v>
      </c>
      <c r="V57" s="1" t="s">
        <v>70</v>
      </c>
      <c r="W57" s="1" t="s">
        <v>69</v>
      </c>
      <c r="X57" s="1" t="s">
        <v>81</v>
      </c>
      <c r="Y57" s="1" t="s">
        <v>95</v>
      </c>
      <c r="Z57" s="1" t="s">
        <v>89</v>
      </c>
      <c r="AA57" s="2">
        <v>100.0</v>
      </c>
      <c r="AB57" s="1" t="s">
        <v>62</v>
      </c>
      <c r="AC57" s="1" t="s">
        <v>71</v>
      </c>
      <c r="AF57" s="1" t="s">
        <v>51</v>
      </c>
      <c r="AG57" s="1" t="s">
        <v>72</v>
      </c>
      <c r="AI57" s="2">
        <v>0.0</v>
      </c>
      <c r="AJ57" s="2">
        <v>0.0</v>
      </c>
      <c r="AK57" s="2">
        <v>0.0</v>
      </c>
      <c r="AL57" s="2">
        <v>1.0</v>
      </c>
      <c r="AP57" s="2">
        <v>4.87902328E8</v>
      </c>
      <c r="AQ57" s="1" t="s">
        <v>160</v>
      </c>
      <c r="AR57" s="2">
        <v>45805.5534375</v>
      </c>
      <c r="AU57" s="1" t="s">
        <v>64</v>
      </c>
      <c r="AW57" s="1" t="s">
        <v>84</v>
      </c>
      <c r="AY57" s="2">
        <v>51.0</v>
      </c>
    </row>
    <row r="58">
      <c r="A58" s="1" t="s">
        <v>51</v>
      </c>
      <c r="C58" s="1" t="s">
        <v>53</v>
      </c>
      <c r="E58" s="1" t="s">
        <v>53</v>
      </c>
      <c r="F58" s="1" t="s">
        <v>161</v>
      </c>
      <c r="G58" s="2">
        <v>41.0</v>
      </c>
      <c r="H58" s="1" t="s">
        <v>66</v>
      </c>
      <c r="I58" s="1" t="s">
        <v>121</v>
      </c>
      <c r="J58" s="1" t="s">
        <v>111</v>
      </c>
      <c r="K58" s="1" t="s">
        <v>87</v>
      </c>
      <c r="M58" s="1" t="s">
        <v>58</v>
      </c>
      <c r="N58" s="1" t="s">
        <v>58</v>
      </c>
      <c r="O58" s="1" t="s">
        <v>69</v>
      </c>
      <c r="Q58" s="1" t="s">
        <v>58</v>
      </c>
      <c r="R58" s="1" t="s">
        <v>58</v>
      </c>
      <c r="S58" s="1" t="s">
        <v>58</v>
      </c>
      <c r="T58" s="1" t="s">
        <v>69</v>
      </c>
      <c r="U58" s="1" t="s">
        <v>69</v>
      </c>
      <c r="V58" s="1" t="s">
        <v>58</v>
      </c>
      <c r="W58" s="1" t="s">
        <v>69</v>
      </c>
      <c r="X58" s="1" t="s">
        <v>88</v>
      </c>
      <c r="Y58" s="1" t="s">
        <v>95</v>
      </c>
      <c r="Z58" s="1" t="s">
        <v>61</v>
      </c>
      <c r="AA58" s="2">
        <v>100.0</v>
      </c>
      <c r="AB58" s="1" t="s">
        <v>62</v>
      </c>
      <c r="AC58" s="1" t="s">
        <v>72</v>
      </c>
      <c r="AF58" s="1" t="s">
        <v>51</v>
      </c>
      <c r="AG58" s="1" t="s">
        <v>51</v>
      </c>
      <c r="AH58" s="2">
        <v>50.0</v>
      </c>
      <c r="AI58" s="2">
        <v>0.0</v>
      </c>
      <c r="AJ58" s="2">
        <v>0.0</v>
      </c>
      <c r="AK58" s="2">
        <v>0.0</v>
      </c>
      <c r="AL58" s="2">
        <v>1.0</v>
      </c>
      <c r="AM58" s="1" t="s">
        <v>51</v>
      </c>
      <c r="AN58" s="2">
        <v>7.16262093E8</v>
      </c>
      <c r="AP58" s="2">
        <v>4.87913501E8</v>
      </c>
      <c r="AQ58" s="1" t="s">
        <v>162</v>
      </c>
      <c r="AR58" s="2">
        <v>45805.56046296296</v>
      </c>
      <c r="AU58" s="1" t="s">
        <v>64</v>
      </c>
      <c r="AW58" s="1" t="s">
        <v>84</v>
      </c>
      <c r="AY58" s="2">
        <v>52.0</v>
      </c>
    </row>
    <row r="59">
      <c r="A59" s="1" t="s">
        <v>51</v>
      </c>
      <c r="C59" s="1" t="s">
        <v>52</v>
      </c>
      <c r="E59" s="1" t="s">
        <v>53</v>
      </c>
      <c r="F59" s="1" t="s">
        <v>102</v>
      </c>
      <c r="G59" s="2">
        <v>45.0</v>
      </c>
      <c r="H59" s="1" t="s">
        <v>55</v>
      </c>
      <c r="I59" s="1" t="s">
        <v>67</v>
      </c>
      <c r="J59" s="1" t="s">
        <v>86</v>
      </c>
      <c r="K59" s="1" t="s">
        <v>87</v>
      </c>
      <c r="M59" s="1" t="s">
        <v>58</v>
      </c>
      <c r="N59" s="1" t="s">
        <v>58</v>
      </c>
      <c r="O59" s="1" t="s">
        <v>58</v>
      </c>
      <c r="Q59" s="1" t="s">
        <v>70</v>
      </c>
      <c r="R59" s="1" t="s">
        <v>58</v>
      </c>
      <c r="S59" s="1" t="s">
        <v>69</v>
      </c>
      <c r="T59" s="1" t="s">
        <v>58</v>
      </c>
      <c r="U59" s="1" t="s">
        <v>70</v>
      </c>
      <c r="V59" s="1" t="s">
        <v>58</v>
      </c>
      <c r="W59" s="1" t="s">
        <v>69</v>
      </c>
      <c r="X59" s="1" t="s">
        <v>81</v>
      </c>
      <c r="Y59" s="1" t="s">
        <v>95</v>
      </c>
      <c r="Z59" s="1" t="s">
        <v>89</v>
      </c>
      <c r="AA59" s="2">
        <v>50.0</v>
      </c>
      <c r="AB59" s="1" t="s">
        <v>62</v>
      </c>
      <c r="AC59" s="1" t="s">
        <v>71</v>
      </c>
      <c r="AF59" s="1" t="s">
        <v>51</v>
      </c>
      <c r="AG59" s="1" t="s">
        <v>72</v>
      </c>
      <c r="AI59" s="2">
        <v>0.0</v>
      </c>
      <c r="AJ59" s="2">
        <v>0.0</v>
      </c>
      <c r="AK59" s="2">
        <v>0.0</v>
      </c>
      <c r="AL59" s="2">
        <v>1.0</v>
      </c>
      <c r="AM59" s="1" t="s">
        <v>72</v>
      </c>
      <c r="AP59" s="2">
        <v>4.87937854E8</v>
      </c>
      <c r="AQ59" s="1" t="s">
        <v>163</v>
      </c>
      <c r="AR59" s="2">
        <v>45805.575833333336</v>
      </c>
      <c r="AU59" s="1" t="s">
        <v>64</v>
      </c>
      <c r="AW59" s="1" t="s">
        <v>84</v>
      </c>
      <c r="AY59" s="2">
        <v>53.0</v>
      </c>
    </row>
    <row r="60">
      <c r="A60" s="1" t="s">
        <v>51</v>
      </c>
      <c r="C60" s="1" t="s">
        <v>52</v>
      </c>
      <c r="E60" s="1" t="s">
        <v>53</v>
      </c>
      <c r="F60" s="1" t="s">
        <v>102</v>
      </c>
      <c r="G60" s="2">
        <v>37.0</v>
      </c>
      <c r="H60" s="1" t="s">
        <v>55</v>
      </c>
      <c r="I60" s="1" t="s">
        <v>67</v>
      </c>
      <c r="J60" s="1" t="s">
        <v>86</v>
      </c>
      <c r="K60" s="1" t="s">
        <v>87</v>
      </c>
      <c r="M60" s="1" t="s">
        <v>58</v>
      </c>
      <c r="N60" s="1" t="s">
        <v>58</v>
      </c>
      <c r="O60" s="1" t="s">
        <v>58</v>
      </c>
      <c r="Q60" s="1" t="s">
        <v>69</v>
      </c>
      <c r="R60" s="1" t="s">
        <v>58</v>
      </c>
      <c r="S60" s="1" t="s">
        <v>69</v>
      </c>
      <c r="T60" s="1" t="s">
        <v>69</v>
      </c>
      <c r="U60" s="1" t="s">
        <v>69</v>
      </c>
      <c r="V60" s="1" t="s">
        <v>70</v>
      </c>
      <c r="W60" s="1" t="s">
        <v>69</v>
      </c>
      <c r="X60" s="1" t="s">
        <v>88</v>
      </c>
      <c r="Y60" s="1" t="s">
        <v>95</v>
      </c>
      <c r="Z60" s="1" t="s">
        <v>89</v>
      </c>
      <c r="AA60" s="2">
        <v>50.0</v>
      </c>
      <c r="AB60" s="1" t="s">
        <v>62</v>
      </c>
      <c r="AC60" s="1" t="s">
        <v>71</v>
      </c>
      <c r="AF60" s="1" t="s">
        <v>51</v>
      </c>
      <c r="AG60" s="1" t="s">
        <v>72</v>
      </c>
      <c r="AI60" s="2">
        <v>0.0</v>
      </c>
      <c r="AJ60" s="2">
        <v>0.0</v>
      </c>
      <c r="AK60" s="2">
        <v>1.0</v>
      </c>
      <c r="AL60" s="2">
        <v>0.0</v>
      </c>
      <c r="AM60" s="1" t="s">
        <v>72</v>
      </c>
      <c r="AP60" s="2">
        <v>4.87977877E8</v>
      </c>
      <c r="AQ60" s="1" t="s">
        <v>164</v>
      </c>
      <c r="AR60" s="2">
        <v>45805.59931712963</v>
      </c>
      <c r="AU60" s="1" t="s">
        <v>64</v>
      </c>
      <c r="AW60" s="1" t="s">
        <v>165</v>
      </c>
      <c r="AY60" s="2">
        <v>54.0</v>
      </c>
    </row>
    <row r="61">
      <c r="A61" s="1" t="s">
        <v>51</v>
      </c>
      <c r="C61" s="1" t="s">
        <v>52</v>
      </c>
      <c r="E61" s="1" t="s">
        <v>53</v>
      </c>
      <c r="F61" s="1" t="s">
        <v>102</v>
      </c>
      <c r="G61" s="2">
        <v>44.0</v>
      </c>
      <c r="H61" s="1" t="s">
        <v>66</v>
      </c>
      <c r="I61" s="1" t="s">
        <v>67</v>
      </c>
      <c r="J61" s="1" t="s">
        <v>111</v>
      </c>
      <c r="K61" s="1" t="s">
        <v>87</v>
      </c>
      <c r="M61" s="1" t="s">
        <v>58</v>
      </c>
      <c r="N61" s="1" t="s">
        <v>58</v>
      </c>
      <c r="O61" s="1" t="s">
        <v>58</v>
      </c>
      <c r="Q61" s="1" t="s">
        <v>69</v>
      </c>
      <c r="R61" s="1" t="s">
        <v>58</v>
      </c>
      <c r="S61" s="1" t="s">
        <v>69</v>
      </c>
      <c r="T61" s="1" t="s">
        <v>69</v>
      </c>
      <c r="U61" s="1" t="s">
        <v>58</v>
      </c>
      <c r="V61" s="1" t="s">
        <v>58</v>
      </c>
      <c r="W61" s="1" t="s">
        <v>69</v>
      </c>
      <c r="X61" s="1" t="s">
        <v>88</v>
      </c>
      <c r="Y61" s="1" t="s">
        <v>95</v>
      </c>
      <c r="Z61" s="1" t="s">
        <v>89</v>
      </c>
      <c r="AA61" s="2">
        <v>100.0</v>
      </c>
      <c r="AB61" s="1" t="s">
        <v>79</v>
      </c>
      <c r="AC61" s="1" t="s">
        <v>71</v>
      </c>
      <c r="AF61" s="1" t="s">
        <v>51</v>
      </c>
      <c r="AG61" s="1" t="s">
        <v>72</v>
      </c>
      <c r="AI61" s="2">
        <v>0.0</v>
      </c>
      <c r="AJ61" s="2">
        <v>1.0</v>
      </c>
      <c r="AK61" s="2">
        <v>1.0</v>
      </c>
      <c r="AL61" s="2">
        <v>0.0</v>
      </c>
      <c r="AM61" s="1" t="s">
        <v>72</v>
      </c>
      <c r="AP61" s="2">
        <v>4.88028391E8</v>
      </c>
      <c r="AQ61" s="1" t="s">
        <v>166</v>
      </c>
      <c r="AR61" s="2">
        <v>45805.62755787037</v>
      </c>
      <c r="AU61" s="1" t="s">
        <v>64</v>
      </c>
      <c r="AW61" s="1" t="s">
        <v>165</v>
      </c>
      <c r="AY61" s="2">
        <v>55.0</v>
      </c>
    </row>
    <row r="62">
      <c r="A62" s="1" t="s">
        <v>51</v>
      </c>
      <c r="C62" s="1" t="s">
        <v>52</v>
      </c>
      <c r="E62" s="1" t="s">
        <v>53</v>
      </c>
      <c r="F62" s="1" t="s">
        <v>54</v>
      </c>
      <c r="G62" s="2">
        <v>45.0</v>
      </c>
      <c r="H62" s="1" t="s">
        <v>66</v>
      </c>
      <c r="I62" s="1" t="s">
        <v>67</v>
      </c>
      <c r="J62" s="1" t="s">
        <v>111</v>
      </c>
      <c r="K62" s="1" t="s">
        <v>87</v>
      </c>
      <c r="M62" s="1" t="s">
        <v>58</v>
      </c>
      <c r="N62" s="1" t="s">
        <v>58</v>
      </c>
      <c r="O62" s="1" t="s">
        <v>69</v>
      </c>
      <c r="Q62" s="1" t="s">
        <v>58</v>
      </c>
      <c r="R62" s="1" t="s">
        <v>58</v>
      </c>
      <c r="S62" s="1" t="s">
        <v>69</v>
      </c>
      <c r="T62" s="1" t="s">
        <v>58</v>
      </c>
      <c r="U62" s="1" t="s">
        <v>58</v>
      </c>
      <c r="V62" s="1" t="s">
        <v>58</v>
      </c>
      <c r="W62" s="1" t="s">
        <v>69</v>
      </c>
      <c r="X62" s="1" t="s">
        <v>81</v>
      </c>
      <c r="Y62" s="1" t="s">
        <v>82</v>
      </c>
      <c r="Z62" s="1" t="s">
        <v>61</v>
      </c>
      <c r="AA62" s="2">
        <v>100.0</v>
      </c>
      <c r="AB62" s="1" t="s">
        <v>79</v>
      </c>
      <c r="AC62" s="1" t="s">
        <v>71</v>
      </c>
      <c r="AF62" s="1" t="s">
        <v>51</v>
      </c>
      <c r="AG62" s="1" t="s">
        <v>51</v>
      </c>
      <c r="AI62" s="2">
        <v>0.0</v>
      </c>
      <c r="AJ62" s="2">
        <v>0.0</v>
      </c>
      <c r="AK62" s="2">
        <v>0.0</v>
      </c>
      <c r="AL62" s="2">
        <v>1.0</v>
      </c>
      <c r="AM62" s="1" t="s">
        <v>51</v>
      </c>
      <c r="AN62" s="2">
        <v>7.39553284E8</v>
      </c>
      <c r="AP62" s="2">
        <v>4.8804228E8</v>
      </c>
      <c r="AQ62" s="1" t="s">
        <v>167</v>
      </c>
      <c r="AR62" s="2">
        <v>45805.635358796295</v>
      </c>
      <c r="AU62" s="1" t="s">
        <v>64</v>
      </c>
      <c r="AW62" s="1" t="s">
        <v>165</v>
      </c>
      <c r="AY62" s="2">
        <v>56.0</v>
      </c>
    </row>
    <row r="63">
      <c r="A63" s="1" t="s">
        <v>51</v>
      </c>
      <c r="C63" s="1" t="s">
        <v>131</v>
      </c>
      <c r="E63" s="1" t="s">
        <v>131</v>
      </c>
      <c r="G63" s="2">
        <v>53.0</v>
      </c>
      <c r="H63" s="1" t="s">
        <v>55</v>
      </c>
      <c r="J63" s="1" t="s">
        <v>86</v>
      </c>
      <c r="K63" s="1" t="s">
        <v>87</v>
      </c>
      <c r="M63" s="1" t="s">
        <v>58</v>
      </c>
      <c r="N63" s="1" t="s">
        <v>58</v>
      </c>
      <c r="O63" s="1" t="s">
        <v>70</v>
      </c>
      <c r="Q63" s="1" t="s">
        <v>69</v>
      </c>
      <c r="R63" s="1" t="s">
        <v>58</v>
      </c>
      <c r="S63" s="1" t="s">
        <v>69</v>
      </c>
      <c r="T63" s="1" t="s">
        <v>69</v>
      </c>
      <c r="U63" s="1" t="s">
        <v>70</v>
      </c>
      <c r="V63" s="1" t="s">
        <v>58</v>
      </c>
      <c r="W63" s="1" t="s">
        <v>69</v>
      </c>
      <c r="X63" s="1" t="s">
        <v>59</v>
      </c>
      <c r="Z63" s="1" t="s">
        <v>108</v>
      </c>
      <c r="AA63" s="2">
        <v>10.0</v>
      </c>
      <c r="AB63" s="1" t="s">
        <v>62</v>
      </c>
      <c r="AF63" s="1" t="s">
        <v>51</v>
      </c>
      <c r="AG63" s="1" t="s">
        <v>72</v>
      </c>
      <c r="AI63" s="2">
        <v>0.0</v>
      </c>
      <c r="AJ63" s="2">
        <v>0.0</v>
      </c>
      <c r="AK63" s="2">
        <v>0.0</v>
      </c>
      <c r="AL63" s="2">
        <v>1.0</v>
      </c>
      <c r="AP63" s="2">
        <v>4.88064602E8</v>
      </c>
      <c r="AQ63" s="1" t="s">
        <v>168</v>
      </c>
      <c r="AR63" s="2">
        <v>45805.64787037037</v>
      </c>
      <c r="AU63" s="1" t="s">
        <v>64</v>
      </c>
      <c r="AW63" s="1" t="s">
        <v>165</v>
      </c>
      <c r="AY63" s="2">
        <v>57.0</v>
      </c>
    </row>
    <row r="64">
      <c r="A64" s="1" t="s">
        <v>51</v>
      </c>
      <c r="C64" s="1" t="s">
        <v>52</v>
      </c>
      <c r="E64" s="1" t="s">
        <v>53</v>
      </c>
      <c r="F64" s="1" t="s">
        <v>161</v>
      </c>
      <c r="G64" s="2">
        <v>45.0</v>
      </c>
      <c r="H64" s="1" t="s">
        <v>55</v>
      </c>
      <c r="I64" s="1" t="s">
        <v>67</v>
      </c>
      <c r="J64" s="1" t="s">
        <v>86</v>
      </c>
      <c r="K64" s="1" t="s">
        <v>87</v>
      </c>
      <c r="M64" s="1" t="s">
        <v>58</v>
      </c>
      <c r="N64" s="1" t="s">
        <v>58</v>
      </c>
      <c r="O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103</v>
      </c>
      <c r="Y64" s="1" t="s">
        <v>95</v>
      </c>
      <c r="Z64" s="1" t="s">
        <v>96</v>
      </c>
      <c r="AA64" s="2">
        <v>100.0</v>
      </c>
      <c r="AB64" s="1" t="s">
        <v>28</v>
      </c>
      <c r="AC64" s="1" t="s">
        <v>51</v>
      </c>
      <c r="AD64" s="1" t="s">
        <v>88</v>
      </c>
      <c r="AE64" s="1" t="s">
        <v>51</v>
      </c>
      <c r="AF64" s="1" t="s">
        <v>51</v>
      </c>
      <c r="AG64" s="1" t="s">
        <v>72</v>
      </c>
      <c r="AI64" s="2">
        <v>0.0</v>
      </c>
      <c r="AJ64" s="2">
        <v>0.0</v>
      </c>
      <c r="AK64" s="2">
        <v>1.0</v>
      </c>
      <c r="AL64" s="2">
        <v>0.0</v>
      </c>
      <c r="AM64" s="1" t="s">
        <v>72</v>
      </c>
      <c r="AP64" s="2">
        <v>4.88106386E8</v>
      </c>
      <c r="AQ64" s="1" t="s">
        <v>169</v>
      </c>
      <c r="AR64" s="2">
        <v>45805.670960648145</v>
      </c>
      <c r="AU64" s="1" t="s">
        <v>64</v>
      </c>
      <c r="AW64" s="1" t="s">
        <v>165</v>
      </c>
      <c r="AY64" s="2">
        <v>58.0</v>
      </c>
    </row>
    <row r="65">
      <c r="A65" s="1" t="s">
        <v>51</v>
      </c>
      <c r="C65" s="1" t="s">
        <v>170</v>
      </c>
      <c r="E65" s="1" t="s">
        <v>53</v>
      </c>
      <c r="F65" s="1" t="s">
        <v>54</v>
      </c>
      <c r="G65" s="2">
        <v>51.0</v>
      </c>
      <c r="H65" s="1" t="s">
        <v>55</v>
      </c>
      <c r="I65" s="1" t="s">
        <v>67</v>
      </c>
      <c r="J65" s="1" t="s">
        <v>68</v>
      </c>
      <c r="K65" s="1" t="s">
        <v>74</v>
      </c>
      <c r="M65" s="1" t="s">
        <v>58</v>
      </c>
      <c r="N65" s="1" t="s">
        <v>58</v>
      </c>
      <c r="O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81</v>
      </c>
      <c r="Y65" s="1" t="s">
        <v>82</v>
      </c>
      <c r="Z65" s="1" t="s">
        <v>89</v>
      </c>
      <c r="AA65" s="2">
        <v>20.0</v>
      </c>
      <c r="AB65" s="1" t="s">
        <v>79</v>
      </c>
      <c r="AC65" s="1" t="s">
        <v>51</v>
      </c>
      <c r="AM65" s="1" t="s">
        <v>51</v>
      </c>
      <c r="AN65" s="2">
        <v>6.4483844E8</v>
      </c>
      <c r="AP65" s="2">
        <v>4.88131078E8</v>
      </c>
      <c r="AQ65" s="1" t="s">
        <v>171</v>
      </c>
      <c r="AR65" s="2">
        <v>45805.68454861111</v>
      </c>
      <c r="AU65" s="1" t="s">
        <v>64</v>
      </c>
      <c r="AW65" s="1" t="s">
        <v>165</v>
      </c>
      <c r="AY65" s="2">
        <v>59.0</v>
      </c>
    </row>
    <row r="66">
      <c r="A66" s="1" t="s">
        <v>51</v>
      </c>
      <c r="C66" s="1" t="s">
        <v>170</v>
      </c>
      <c r="E66" s="1" t="s">
        <v>53</v>
      </c>
      <c r="F66" s="1" t="s">
        <v>54</v>
      </c>
      <c r="H66" s="1" t="s">
        <v>66</v>
      </c>
      <c r="I66" s="1" t="s">
        <v>100</v>
      </c>
      <c r="J66" s="1" t="s">
        <v>56</v>
      </c>
      <c r="K66" s="1" t="s">
        <v>74</v>
      </c>
      <c r="M66" s="1" t="s">
        <v>58</v>
      </c>
      <c r="N66" s="1" t="s">
        <v>58</v>
      </c>
      <c r="O66" s="1" t="s">
        <v>69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103</v>
      </c>
      <c r="Y66" s="1" t="s">
        <v>172</v>
      </c>
      <c r="Z66" s="1" t="s">
        <v>89</v>
      </c>
      <c r="AA66" s="2">
        <v>30.0</v>
      </c>
      <c r="AB66" s="1" t="s">
        <v>28</v>
      </c>
      <c r="AC66" s="1" t="s">
        <v>72</v>
      </c>
      <c r="AF66" s="1" t="s">
        <v>51</v>
      </c>
      <c r="AG66" s="1" t="s">
        <v>51</v>
      </c>
      <c r="AI66" s="2">
        <v>1.0</v>
      </c>
      <c r="AJ66" s="2">
        <v>1.0</v>
      </c>
      <c r="AK66" s="2">
        <v>1.0</v>
      </c>
      <c r="AL66" s="2">
        <v>0.0</v>
      </c>
      <c r="AM66" s="1" t="s">
        <v>72</v>
      </c>
      <c r="AP66" s="2">
        <v>4.88133757E8</v>
      </c>
      <c r="AQ66" s="1" t="s">
        <v>173</v>
      </c>
      <c r="AR66" s="2">
        <v>45805.68608796296</v>
      </c>
      <c r="AU66" s="1" t="s">
        <v>64</v>
      </c>
      <c r="AW66" s="1" t="s">
        <v>165</v>
      </c>
      <c r="AY66" s="2">
        <v>60.0</v>
      </c>
    </row>
    <row r="67">
      <c r="A67" s="1" t="s">
        <v>51</v>
      </c>
      <c r="C67" s="1" t="s">
        <v>52</v>
      </c>
      <c r="E67" s="1" t="s">
        <v>52</v>
      </c>
      <c r="G67" s="2">
        <v>45.0</v>
      </c>
      <c r="H67" s="1" t="s">
        <v>55</v>
      </c>
      <c r="J67" s="1" t="s">
        <v>86</v>
      </c>
      <c r="K67" s="1" t="s">
        <v>87</v>
      </c>
      <c r="M67" s="1" t="s">
        <v>58</v>
      </c>
      <c r="N67" s="1" t="s">
        <v>58</v>
      </c>
      <c r="O67" s="1" t="s">
        <v>58</v>
      </c>
      <c r="Q67" s="1" t="s">
        <v>58</v>
      </c>
      <c r="R67" s="1" t="s">
        <v>58</v>
      </c>
      <c r="S67" s="1" t="s">
        <v>58</v>
      </c>
      <c r="T67" s="1" t="s">
        <v>69</v>
      </c>
      <c r="U67" s="1" t="s">
        <v>58</v>
      </c>
      <c r="V67" s="1" t="s">
        <v>58</v>
      </c>
      <c r="W67" s="1" t="s">
        <v>58</v>
      </c>
      <c r="X67" s="1" t="s">
        <v>88</v>
      </c>
      <c r="Y67" s="1" t="s">
        <v>60</v>
      </c>
      <c r="Z67" s="1" t="s">
        <v>89</v>
      </c>
      <c r="AA67" s="2">
        <v>100.0</v>
      </c>
      <c r="AB67" s="1" t="s">
        <v>62</v>
      </c>
      <c r="AC67" s="1" t="s">
        <v>71</v>
      </c>
      <c r="AF67" s="1" t="s">
        <v>51</v>
      </c>
      <c r="AG67" s="1" t="s">
        <v>72</v>
      </c>
      <c r="AI67" s="2">
        <v>0.0</v>
      </c>
      <c r="AJ67" s="2">
        <v>0.0</v>
      </c>
      <c r="AK67" s="2">
        <v>0.0</v>
      </c>
      <c r="AL67" s="2">
        <v>1.0</v>
      </c>
      <c r="AP67" s="2">
        <v>4.88135385E8</v>
      </c>
      <c r="AQ67" s="1" t="s">
        <v>174</v>
      </c>
      <c r="AR67" s="2">
        <v>45805.68711805555</v>
      </c>
      <c r="AU67" s="1" t="s">
        <v>64</v>
      </c>
      <c r="AW67" s="1" t="s">
        <v>165</v>
      </c>
      <c r="AY67" s="2">
        <v>61.0</v>
      </c>
    </row>
    <row r="68">
      <c r="A68" s="1" t="s">
        <v>51</v>
      </c>
      <c r="C68" s="1" t="s">
        <v>52</v>
      </c>
      <c r="E68" s="1" t="s">
        <v>53</v>
      </c>
      <c r="F68" s="1" t="s">
        <v>54</v>
      </c>
      <c r="G68" s="2">
        <v>47.0</v>
      </c>
      <c r="H68" s="1" t="s">
        <v>66</v>
      </c>
      <c r="I68" s="1" t="s">
        <v>67</v>
      </c>
      <c r="J68" s="1" t="s">
        <v>86</v>
      </c>
      <c r="K68" s="1" t="s">
        <v>74</v>
      </c>
      <c r="M68" s="1" t="s">
        <v>58</v>
      </c>
      <c r="N68" s="1" t="s">
        <v>58</v>
      </c>
      <c r="O68" s="1" t="s">
        <v>69</v>
      </c>
      <c r="Q68" s="1" t="s">
        <v>69</v>
      </c>
      <c r="R68" s="1" t="s">
        <v>58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81</v>
      </c>
      <c r="Y68" s="1" t="s">
        <v>82</v>
      </c>
      <c r="Z68" s="1" t="s">
        <v>89</v>
      </c>
      <c r="AA68" s="2">
        <v>10.0</v>
      </c>
      <c r="AB68" s="1" t="s">
        <v>79</v>
      </c>
      <c r="AC68" s="1" t="s">
        <v>71</v>
      </c>
      <c r="AF68" s="1" t="s">
        <v>51</v>
      </c>
      <c r="AG68" s="1" t="s">
        <v>51</v>
      </c>
      <c r="AH68" s="2">
        <v>100.0</v>
      </c>
      <c r="AI68" s="2">
        <v>0.0</v>
      </c>
      <c r="AJ68" s="2">
        <v>0.0</v>
      </c>
      <c r="AK68" s="2">
        <v>0.0</v>
      </c>
      <c r="AL68" s="2">
        <v>1.0</v>
      </c>
      <c r="AM68" s="1" t="s">
        <v>51</v>
      </c>
      <c r="AN68" s="2">
        <v>6.10832654E8</v>
      </c>
      <c r="AP68" s="2">
        <v>4.88197952E8</v>
      </c>
      <c r="AQ68" s="1" t="s">
        <v>175</v>
      </c>
      <c r="AR68" s="2">
        <v>45805.72736111111</v>
      </c>
      <c r="AU68" s="1" t="s">
        <v>64</v>
      </c>
      <c r="AW68" s="1" t="s">
        <v>165</v>
      </c>
      <c r="AY68" s="2">
        <v>62.0</v>
      </c>
    </row>
    <row r="69">
      <c r="A69" s="1" t="s">
        <v>51</v>
      </c>
      <c r="C69" s="1" t="s">
        <v>53</v>
      </c>
      <c r="E69" s="1" t="s">
        <v>53</v>
      </c>
      <c r="F69" s="1" t="s">
        <v>102</v>
      </c>
      <c r="G69" s="2">
        <v>32.0</v>
      </c>
      <c r="H69" s="1" t="s">
        <v>55</v>
      </c>
      <c r="I69" s="1" t="s">
        <v>121</v>
      </c>
      <c r="J69" s="1" t="s">
        <v>86</v>
      </c>
      <c r="K69" s="1" t="s">
        <v>87</v>
      </c>
      <c r="M69" s="1" t="s">
        <v>58</v>
      </c>
      <c r="N69" s="1" t="s">
        <v>58</v>
      </c>
      <c r="O69" s="1" t="s">
        <v>69</v>
      </c>
      <c r="Q69" s="1" t="s">
        <v>58</v>
      </c>
      <c r="R69" s="1" t="s">
        <v>58</v>
      </c>
      <c r="S69" s="1" t="s">
        <v>69</v>
      </c>
      <c r="T69" s="1" t="s">
        <v>69</v>
      </c>
      <c r="U69" s="1" t="s">
        <v>58</v>
      </c>
      <c r="V69" s="1" t="s">
        <v>58</v>
      </c>
      <c r="W69" s="1" t="s">
        <v>69</v>
      </c>
      <c r="X69" s="1" t="s">
        <v>81</v>
      </c>
      <c r="Y69" s="1" t="s">
        <v>82</v>
      </c>
      <c r="Z69" s="1" t="s">
        <v>89</v>
      </c>
      <c r="AA69" s="2">
        <v>10.0</v>
      </c>
      <c r="AB69" s="1" t="s">
        <v>79</v>
      </c>
      <c r="AC69" s="1" t="s">
        <v>71</v>
      </c>
      <c r="AF69" s="1" t="s">
        <v>51</v>
      </c>
      <c r="AG69" s="1" t="s">
        <v>72</v>
      </c>
      <c r="AI69" s="2">
        <v>1.0</v>
      </c>
      <c r="AJ69" s="2">
        <v>1.0</v>
      </c>
      <c r="AK69" s="2">
        <v>1.0</v>
      </c>
      <c r="AL69" s="2">
        <v>0.0</v>
      </c>
      <c r="AM69" s="1" t="s">
        <v>72</v>
      </c>
      <c r="AP69" s="2">
        <v>4.88202438E8</v>
      </c>
      <c r="AQ69" s="1" t="s">
        <v>176</v>
      </c>
      <c r="AR69" s="2">
        <v>45805.731203703705</v>
      </c>
      <c r="AU69" s="1" t="s">
        <v>64</v>
      </c>
      <c r="AW69" s="1" t="s">
        <v>165</v>
      </c>
      <c r="AY69" s="2">
        <v>63.0</v>
      </c>
    </row>
    <row r="70">
      <c r="A70" s="1" t="s">
        <v>51</v>
      </c>
      <c r="C70" s="1" t="s">
        <v>170</v>
      </c>
      <c r="E70" s="1" t="s">
        <v>53</v>
      </c>
      <c r="F70" s="1" t="s">
        <v>54</v>
      </c>
      <c r="G70" s="2">
        <v>27.0</v>
      </c>
      <c r="H70" s="1" t="s">
        <v>66</v>
      </c>
      <c r="I70" s="1" t="s">
        <v>67</v>
      </c>
      <c r="J70" s="1" t="s">
        <v>68</v>
      </c>
      <c r="K70" s="1" t="s">
        <v>74</v>
      </c>
      <c r="M70" s="1" t="s">
        <v>58</v>
      </c>
      <c r="N70" s="1" t="s">
        <v>58</v>
      </c>
      <c r="O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59</v>
      </c>
      <c r="Y70" s="1" t="s">
        <v>82</v>
      </c>
      <c r="Z70" s="1" t="s">
        <v>89</v>
      </c>
      <c r="AA70" s="2">
        <v>10.0</v>
      </c>
      <c r="AB70" s="1" t="s">
        <v>79</v>
      </c>
      <c r="AC70" s="1" t="s">
        <v>51</v>
      </c>
      <c r="AD70" s="1" t="s">
        <v>81</v>
      </c>
      <c r="AE70" s="1" t="s">
        <v>51</v>
      </c>
      <c r="AF70" s="1" t="s">
        <v>51</v>
      </c>
      <c r="AG70" s="1" t="s">
        <v>51</v>
      </c>
      <c r="AH70" s="2">
        <v>350.0</v>
      </c>
      <c r="AI70" s="2">
        <v>0.0</v>
      </c>
      <c r="AJ70" s="2">
        <v>1.0</v>
      </c>
      <c r="AK70" s="2">
        <v>0.0</v>
      </c>
      <c r="AL70" s="2">
        <v>0.0</v>
      </c>
      <c r="AM70" s="1" t="s">
        <v>51</v>
      </c>
      <c r="AN70" s="2">
        <v>6.59857007E8</v>
      </c>
      <c r="AP70" s="2">
        <v>4.88227278E8</v>
      </c>
      <c r="AQ70" s="1" t="s">
        <v>177</v>
      </c>
      <c r="AR70" s="2">
        <v>45805.75212962963</v>
      </c>
      <c r="AU70" s="1" t="s">
        <v>64</v>
      </c>
      <c r="AW70" s="1" t="s">
        <v>165</v>
      </c>
      <c r="AY70" s="2">
        <v>64.0</v>
      </c>
    </row>
    <row r="71">
      <c r="A71" s="1" t="s">
        <v>51</v>
      </c>
      <c r="C71" s="1" t="s">
        <v>151</v>
      </c>
      <c r="E71" s="1" t="s">
        <v>151</v>
      </c>
      <c r="G71" s="2">
        <v>52.0</v>
      </c>
      <c r="H71" s="1" t="s">
        <v>66</v>
      </c>
      <c r="J71" s="1" t="s">
        <v>86</v>
      </c>
      <c r="K71" s="1" t="s">
        <v>87</v>
      </c>
      <c r="M71" s="1" t="s">
        <v>58</v>
      </c>
      <c r="N71" s="1" t="s">
        <v>58</v>
      </c>
      <c r="O71" s="1" t="s">
        <v>58</v>
      </c>
      <c r="Q71" s="1" t="s">
        <v>69</v>
      </c>
      <c r="R71" s="1" t="s">
        <v>58</v>
      </c>
      <c r="S71" s="1" t="s">
        <v>69</v>
      </c>
      <c r="T71" s="1" t="s">
        <v>69</v>
      </c>
      <c r="U71" s="1" t="s">
        <v>58</v>
      </c>
      <c r="V71" s="1" t="s">
        <v>58</v>
      </c>
      <c r="W71" s="1" t="s">
        <v>69</v>
      </c>
      <c r="X71" s="1" t="s">
        <v>88</v>
      </c>
      <c r="Y71" s="1" t="s">
        <v>95</v>
      </c>
      <c r="Z71" s="1" t="s">
        <v>89</v>
      </c>
      <c r="AA71" s="2">
        <v>100.0</v>
      </c>
      <c r="AB71" s="1" t="s">
        <v>28</v>
      </c>
      <c r="AC71" s="1" t="s">
        <v>51</v>
      </c>
      <c r="AD71" s="1" t="s">
        <v>88</v>
      </c>
      <c r="AE71" s="1" t="s">
        <v>51</v>
      </c>
      <c r="AF71" s="1" t="s">
        <v>51</v>
      </c>
      <c r="AG71" s="1" t="s">
        <v>51</v>
      </c>
      <c r="AI71" s="2">
        <v>1.0</v>
      </c>
      <c r="AJ71" s="2">
        <v>1.0</v>
      </c>
      <c r="AK71" s="2">
        <v>1.0</v>
      </c>
      <c r="AL71" s="2">
        <v>0.0</v>
      </c>
      <c r="AP71" s="2">
        <v>4.8823866E8</v>
      </c>
      <c r="AQ71" s="1" t="s">
        <v>178</v>
      </c>
      <c r="AR71" s="2">
        <v>45805.76369212963</v>
      </c>
      <c r="AU71" s="1" t="s">
        <v>64</v>
      </c>
      <c r="AW71" s="1" t="s">
        <v>165</v>
      </c>
      <c r="AY71" s="2">
        <v>65.0</v>
      </c>
    </row>
    <row r="72">
      <c r="A72" s="1" t="s">
        <v>51</v>
      </c>
      <c r="C72" s="1" t="s">
        <v>151</v>
      </c>
      <c r="E72" s="1" t="s">
        <v>151</v>
      </c>
      <c r="G72" s="2">
        <v>44.0</v>
      </c>
      <c r="H72" s="1" t="s">
        <v>66</v>
      </c>
      <c r="J72" s="1" t="s">
        <v>86</v>
      </c>
      <c r="K72" s="1" t="s">
        <v>87</v>
      </c>
      <c r="M72" s="1" t="s">
        <v>58</v>
      </c>
      <c r="N72" s="1" t="s">
        <v>58</v>
      </c>
      <c r="O72" s="1" t="s">
        <v>58</v>
      </c>
      <c r="Q72" s="1" t="s">
        <v>69</v>
      </c>
      <c r="R72" s="1" t="s">
        <v>58</v>
      </c>
      <c r="S72" s="1" t="s">
        <v>58</v>
      </c>
      <c r="T72" s="1" t="s">
        <v>70</v>
      </c>
      <c r="U72" s="1" t="s">
        <v>69</v>
      </c>
      <c r="V72" s="1" t="s">
        <v>58</v>
      </c>
      <c r="W72" s="1" t="s">
        <v>70</v>
      </c>
      <c r="X72" s="1" t="s">
        <v>59</v>
      </c>
      <c r="Y72" s="1" t="s">
        <v>60</v>
      </c>
      <c r="Z72" s="1" t="s">
        <v>89</v>
      </c>
      <c r="AA72" s="2">
        <v>100.0</v>
      </c>
      <c r="AB72" s="1" t="s">
        <v>62</v>
      </c>
      <c r="AC72" s="1" t="s">
        <v>71</v>
      </c>
      <c r="AF72" s="1" t="s">
        <v>51</v>
      </c>
      <c r="AG72" s="1" t="s">
        <v>51</v>
      </c>
      <c r="AI72" s="2">
        <v>0.0</v>
      </c>
      <c r="AJ72" s="2">
        <v>0.0</v>
      </c>
      <c r="AK72" s="2">
        <v>1.0</v>
      </c>
      <c r="AL72" s="2">
        <v>0.0</v>
      </c>
      <c r="AP72" s="2">
        <v>4.88239373E8</v>
      </c>
      <c r="AQ72" s="1" t="s">
        <v>179</v>
      </c>
      <c r="AR72" s="2">
        <v>45805.76443287037</v>
      </c>
      <c r="AU72" s="1" t="s">
        <v>64</v>
      </c>
      <c r="AW72" s="1" t="s">
        <v>165</v>
      </c>
      <c r="AY72" s="2">
        <v>66.0</v>
      </c>
    </row>
    <row r="73">
      <c r="A73" s="1" t="s">
        <v>51</v>
      </c>
      <c r="C73" s="1" t="s">
        <v>151</v>
      </c>
      <c r="E73" s="1" t="s">
        <v>151</v>
      </c>
      <c r="G73" s="2">
        <v>41.0</v>
      </c>
      <c r="H73" s="1" t="s">
        <v>55</v>
      </c>
      <c r="J73" s="1" t="s">
        <v>86</v>
      </c>
      <c r="K73" s="1" t="s">
        <v>87</v>
      </c>
      <c r="M73" s="1" t="s">
        <v>58</v>
      </c>
      <c r="N73" s="1" t="s">
        <v>58</v>
      </c>
      <c r="O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81</v>
      </c>
      <c r="Y73" s="1" t="s">
        <v>95</v>
      </c>
      <c r="Z73" s="1" t="s">
        <v>96</v>
      </c>
      <c r="AA73" s="2">
        <v>100.0</v>
      </c>
      <c r="AB73" s="1" t="s">
        <v>62</v>
      </c>
      <c r="AC73" s="1" t="s">
        <v>51</v>
      </c>
      <c r="AD73" s="1" t="s">
        <v>81</v>
      </c>
      <c r="AE73" s="1" t="s">
        <v>51</v>
      </c>
      <c r="AF73" s="1" t="s">
        <v>51</v>
      </c>
      <c r="AG73" s="1" t="s">
        <v>51</v>
      </c>
      <c r="AH73" s="2">
        <v>200.0</v>
      </c>
      <c r="AI73" s="2">
        <v>1.0</v>
      </c>
      <c r="AJ73" s="2">
        <v>0.0</v>
      </c>
      <c r="AK73" s="2">
        <v>0.0</v>
      </c>
      <c r="AL73" s="2">
        <v>0.0</v>
      </c>
      <c r="AP73" s="2">
        <v>4.88239828E8</v>
      </c>
      <c r="AQ73" s="1" t="s">
        <v>180</v>
      </c>
      <c r="AR73" s="2">
        <v>45805.76497685185</v>
      </c>
      <c r="AU73" s="1" t="s">
        <v>64</v>
      </c>
      <c r="AW73" s="1" t="s">
        <v>165</v>
      </c>
      <c r="AY73" s="2">
        <v>67.0</v>
      </c>
    </row>
    <row r="74">
      <c r="A74" s="1" t="s">
        <v>51</v>
      </c>
      <c r="C74" s="1" t="s">
        <v>52</v>
      </c>
      <c r="E74" s="1" t="s">
        <v>151</v>
      </c>
      <c r="G74" s="2">
        <v>47.0</v>
      </c>
      <c r="H74" s="1" t="s">
        <v>55</v>
      </c>
      <c r="J74" s="1" t="s">
        <v>86</v>
      </c>
      <c r="K74" s="1" t="s">
        <v>87</v>
      </c>
      <c r="M74" s="1" t="s">
        <v>58</v>
      </c>
      <c r="N74" s="1" t="s">
        <v>58</v>
      </c>
      <c r="O74" s="1" t="s">
        <v>69</v>
      </c>
      <c r="Q74" s="1" t="s">
        <v>69</v>
      </c>
      <c r="R74" s="1" t="s">
        <v>58</v>
      </c>
      <c r="S74" s="1" t="s">
        <v>69</v>
      </c>
      <c r="T74" s="1" t="s">
        <v>69</v>
      </c>
      <c r="U74" s="1" t="s">
        <v>58</v>
      </c>
      <c r="V74" s="1" t="s">
        <v>58</v>
      </c>
      <c r="W74" s="1" t="s">
        <v>69</v>
      </c>
      <c r="X74" s="1" t="s">
        <v>103</v>
      </c>
      <c r="Y74" s="1" t="s">
        <v>60</v>
      </c>
      <c r="Z74" s="1" t="s">
        <v>89</v>
      </c>
      <c r="AA74" s="2">
        <v>100.0</v>
      </c>
      <c r="AB74" s="1" t="s">
        <v>62</v>
      </c>
      <c r="AC74" s="1" t="s">
        <v>71</v>
      </c>
      <c r="AF74" s="1" t="s">
        <v>51</v>
      </c>
      <c r="AG74" s="1" t="s">
        <v>72</v>
      </c>
      <c r="AI74" s="2">
        <v>0.0</v>
      </c>
      <c r="AJ74" s="2">
        <v>0.0</v>
      </c>
      <c r="AK74" s="2">
        <v>0.0</v>
      </c>
      <c r="AL74" s="2">
        <v>1.0</v>
      </c>
      <c r="AP74" s="2">
        <v>4.8824426E8</v>
      </c>
      <c r="AQ74" s="1" t="s">
        <v>181</v>
      </c>
      <c r="AR74" s="2">
        <v>45805.76894675926</v>
      </c>
      <c r="AU74" s="1" t="s">
        <v>64</v>
      </c>
      <c r="AW74" s="1" t="s">
        <v>165</v>
      </c>
      <c r="AY74" s="2">
        <v>68.0</v>
      </c>
    </row>
    <row r="75">
      <c r="A75" s="1" t="s">
        <v>51</v>
      </c>
      <c r="C75" s="1" t="s">
        <v>151</v>
      </c>
      <c r="E75" s="1" t="s">
        <v>151</v>
      </c>
      <c r="G75" s="2">
        <v>39.0</v>
      </c>
      <c r="H75" s="1" t="s">
        <v>66</v>
      </c>
      <c r="J75" s="1" t="s">
        <v>86</v>
      </c>
      <c r="K75" s="1" t="s">
        <v>87</v>
      </c>
      <c r="M75" s="1" t="s">
        <v>58</v>
      </c>
      <c r="N75" s="1" t="s">
        <v>58</v>
      </c>
      <c r="O75" s="1" t="s">
        <v>69</v>
      </c>
      <c r="Q75" s="1" t="s">
        <v>58</v>
      </c>
      <c r="R75" s="1" t="s">
        <v>58</v>
      </c>
      <c r="S75" s="1" t="s">
        <v>69</v>
      </c>
      <c r="T75" s="1" t="s">
        <v>69</v>
      </c>
      <c r="U75" s="1" t="s">
        <v>69</v>
      </c>
      <c r="V75" s="1" t="s">
        <v>58</v>
      </c>
      <c r="W75" s="1" t="s">
        <v>69</v>
      </c>
      <c r="X75" s="1" t="s">
        <v>88</v>
      </c>
      <c r="Y75" s="1" t="s">
        <v>95</v>
      </c>
      <c r="Z75" s="1" t="s">
        <v>89</v>
      </c>
      <c r="AA75" s="2">
        <v>100.0</v>
      </c>
      <c r="AB75" s="1" t="s">
        <v>62</v>
      </c>
      <c r="AC75" s="1" t="s">
        <v>71</v>
      </c>
      <c r="AF75" s="1" t="s">
        <v>51</v>
      </c>
      <c r="AG75" s="1" t="s">
        <v>72</v>
      </c>
      <c r="AI75" s="2">
        <v>1.0</v>
      </c>
      <c r="AJ75" s="2">
        <v>0.0</v>
      </c>
      <c r="AK75" s="2">
        <v>0.0</v>
      </c>
      <c r="AL75" s="2">
        <v>0.0</v>
      </c>
      <c r="AP75" s="2">
        <v>4.88245531E8</v>
      </c>
      <c r="AQ75" s="1" t="s">
        <v>182</v>
      </c>
      <c r="AR75" s="2">
        <v>45805.770474537036</v>
      </c>
      <c r="AU75" s="1" t="s">
        <v>64</v>
      </c>
      <c r="AW75" s="1" t="s">
        <v>165</v>
      </c>
      <c r="AY75" s="2">
        <v>69.0</v>
      </c>
    </row>
    <row r="76">
      <c r="A76" s="1" t="s">
        <v>51</v>
      </c>
      <c r="C76" s="1" t="s">
        <v>52</v>
      </c>
      <c r="E76" s="1" t="s">
        <v>53</v>
      </c>
      <c r="F76" s="1" t="s">
        <v>183</v>
      </c>
      <c r="H76" s="1" t="s">
        <v>55</v>
      </c>
      <c r="I76" s="1" t="s">
        <v>67</v>
      </c>
      <c r="J76" s="1" t="s">
        <v>86</v>
      </c>
      <c r="K76" s="1" t="s">
        <v>87</v>
      </c>
      <c r="M76" s="1" t="s">
        <v>58</v>
      </c>
      <c r="N76" s="1" t="s">
        <v>58</v>
      </c>
      <c r="O76" s="1" t="s">
        <v>58</v>
      </c>
      <c r="Q76" s="1" t="s">
        <v>69</v>
      </c>
      <c r="R76" s="1" t="s">
        <v>58</v>
      </c>
      <c r="S76" s="1" t="s">
        <v>69</v>
      </c>
      <c r="T76" s="1" t="s">
        <v>69</v>
      </c>
      <c r="U76" s="1" t="s">
        <v>70</v>
      </c>
      <c r="V76" s="1" t="s">
        <v>69</v>
      </c>
      <c r="W76" s="1" t="s">
        <v>69</v>
      </c>
      <c r="X76" s="1" t="s">
        <v>103</v>
      </c>
      <c r="Y76" s="1" t="s">
        <v>95</v>
      </c>
      <c r="Z76" s="1" t="s">
        <v>89</v>
      </c>
      <c r="AA76" s="2">
        <v>100.0</v>
      </c>
      <c r="AB76" s="1" t="s">
        <v>62</v>
      </c>
      <c r="AC76" s="1" t="s">
        <v>51</v>
      </c>
      <c r="AD76" s="1" t="s">
        <v>103</v>
      </c>
      <c r="AE76" s="1" t="s">
        <v>51</v>
      </c>
      <c r="AF76" s="1" t="s">
        <v>51</v>
      </c>
      <c r="AG76" s="1" t="s">
        <v>51</v>
      </c>
      <c r="AH76" s="2">
        <v>20.0</v>
      </c>
      <c r="AI76" s="2">
        <v>0.0</v>
      </c>
      <c r="AJ76" s="2">
        <v>0.0</v>
      </c>
      <c r="AK76" s="2">
        <v>1.0</v>
      </c>
      <c r="AL76" s="2">
        <v>0.0</v>
      </c>
      <c r="AM76" s="1" t="s">
        <v>51</v>
      </c>
      <c r="AN76" s="2">
        <v>7.24419895E8</v>
      </c>
      <c r="AP76" s="2">
        <v>4.88246175E8</v>
      </c>
      <c r="AQ76" s="1" t="s">
        <v>184</v>
      </c>
      <c r="AR76" s="2">
        <v>45805.771319444444</v>
      </c>
      <c r="AU76" s="1" t="s">
        <v>64</v>
      </c>
      <c r="AW76" s="1" t="s">
        <v>165</v>
      </c>
      <c r="AY76" s="2">
        <v>70.0</v>
      </c>
    </row>
    <row r="77">
      <c r="A77" s="1" t="s">
        <v>51</v>
      </c>
      <c r="C77" s="1" t="s">
        <v>151</v>
      </c>
      <c r="E77" s="1" t="s">
        <v>151</v>
      </c>
      <c r="G77" s="2">
        <v>51.0</v>
      </c>
      <c r="H77" s="1" t="s">
        <v>66</v>
      </c>
      <c r="J77" s="1" t="s">
        <v>56</v>
      </c>
      <c r="K77" s="1" t="s">
        <v>87</v>
      </c>
      <c r="M77" s="1" t="s">
        <v>58</v>
      </c>
      <c r="N77" s="1" t="s">
        <v>58</v>
      </c>
      <c r="O77" s="1" t="s">
        <v>58</v>
      </c>
      <c r="Q77" s="1" t="s">
        <v>69</v>
      </c>
      <c r="R77" s="1" t="s">
        <v>58</v>
      </c>
      <c r="S77" s="1" t="s">
        <v>69</v>
      </c>
      <c r="T77" s="1" t="s">
        <v>69</v>
      </c>
      <c r="U77" s="1" t="s">
        <v>70</v>
      </c>
      <c r="V77" s="1" t="s">
        <v>58</v>
      </c>
      <c r="W77" s="1" t="s">
        <v>69</v>
      </c>
      <c r="X77" s="1" t="s">
        <v>59</v>
      </c>
      <c r="Y77" s="1" t="s">
        <v>95</v>
      </c>
      <c r="Z77" s="1" t="s">
        <v>61</v>
      </c>
      <c r="AA77" s="2">
        <v>100.0</v>
      </c>
      <c r="AB77" s="1" t="s">
        <v>79</v>
      </c>
      <c r="AC77" s="1" t="s">
        <v>71</v>
      </c>
      <c r="AF77" s="1" t="s">
        <v>51</v>
      </c>
      <c r="AG77" s="1" t="s">
        <v>72</v>
      </c>
      <c r="AI77" s="2">
        <v>1.0</v>
      </c>
      <c r="AJ77" s="2">
        <v>0.0</v>
      </c>
      <c r="AK77" s="2">
        <v>0.0</v>
      </c>
      <c r="AL77" s="2">
        <v>0.0</v>
      </c>
      <c r="AP77" s="2">
        <v>4.882564E8</v>
      </c>
      <c r="AQ77" s="1" t="s">
        <v>185</v>
      </c>
      <c r="AR77" s="2">
        <v>45805.78273148148</v>
      </c>
      <c r="AU77" s="1" t="s">
        <v>64</v>
      </c>
      <c r="AW77" s="1" t="s">
        <v>165</v>
      </c>
      <c r="AY77" s="2">
        <v>71.0</v>
      </c>
    </row>
    <row r="78">
      <c r="A78" s="1" t="s">
        <v>51</v>
      </c>
      <c r="C78" s="1" t="s">
        <v>53</v>
      </c>
      <c r="E78" s="1" t="s">
        <v>53</v>
      </c>
      <c r="F78" s="1" t="s">
        <v>102</v>
      </c>
      <c r="G78" s="2">
        <v>60.0</v>
      </c>
      <c r="H78" s="1" t="s">
        <v>66</v>
      </c>
      <c r="I78" s="1" t="s">
        <v>121</v>
      </c>
      <c r="J78" s="1" t="s">
        <v>111</v>
      </c>
      <c r="K78" s="1" t="s">
        <v>87</v>
      </c>
      <c r="M78" s="1" t="s">
        <v>58</v>
      </c>
      <c r="N78" s="1" t="s">
        <v>58</v>
      </c>
      <c r="O78" s="1" t="s">
        <v>69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 t="s">
        <v>69</v>
      </c>
      <c r="X78" s="1" t="s">
        <v>88</v>
      </c>
      <c r="Y78" s="1" t="s">
        <v>172</v>
      </c>
      <c r="Z78" s="1" t="s">
        <v>89</v>
      </c>
      <c r="AA78" s="2">
        <v>100.0</v>
      </c>
      <c r="AB78" s="1" t="s">
        <v>62</v>
      </c>
      <c r="AC78" s="1" t="s">
        <v>51</v>
      </c>
      <c r="AD78" s="1" t="s">
        <v>88</v>
      </c>
      <c r="AE78" s="1" t="s">
        <v>51</v>
      </c>
      <c r="AF78" s="1" t="s">
        <v>51</v>
      </c>
      <c r="AG78" s="1" t="s">
        <v>72</v>
      </c>
      <c r="AI78" s="2">
        <v>0.0</v>
      </c>
      <c r="AJ78" s="2">
        <v>0.0</v>
      </c>
      <c r="AK78" s="2">
        <v>0.0</v>
      </c>
      <c r="AL78" s="2">
        <v>1.0</v>
      </c>
      <c r="AM78" s="1" t="s">
        <v>72</v>
      </c>
      <c r="AP78" s="2">
        <v>4.88303256E8</v>
      </c>
      <c r="AQ78" s="1" t="s">
        <v>186</v>
      </c>
      <c r="AR78" s="2">
        <v>45805.84951388889</v>
      </c>
      <c r="AU78" s="1" t="s">
        <v>64</v>
      </c>
      <c r="AW78" s="1" t="s">
        <v>165</v>
      </c>
      <c r="AY78" s="2">
        <v>72.0</v>
      </c>
    </row>
    <row r="79">
      <c r="A79" s="1" t="s">
        <v>51</v>
      </c>
      <c r="C79" s="1" t="s">
        <v>52</v>
      </c>
      <c r="E79" s="1" t="s">
        <v>53</v>
      </c>
      <c r="F79" s="1" t="s">
        <v>54</v>
      </c>
      <c r="G79" s="2">
        <v>47.0</v>
      </c>
      <c r="H79" s="1" t="s">
        <v>55</v>
      </c>
      <c r="I79" s="1" t="s">
        <v>67</v>
      </c>
      <c r="J79" s="1" t="s">
        <v>86</v>
      </c>
      <c r="K79" s="1" t="s">
        <v>87</v>
      </c>
      <c r="M79" s="1" t="s">
        <v>58</v>
      </c>
      <c r="N79" s="1" t="s">
        <v>58</v>
      </c>
      <c r="O79" s="1" t="s">
        <v>58</v>
      </c>
      <c r="Q79" s="1" t="s">
        <v>70</v>
      </c>
      <c r="R79" s="1" t="s">
        <v>58</v>
      </c>
      <c r="S79" s="1" t="s">
        <v>69</v>
      </c>
      <c r="T79" s="1" t="s">
        <v>69</v>
      </c>
      <c r="U79" s="1" t="s">
        <v>58</v>
      </c>
      <c r="V79" s="1" t="s">
        <v>58</v>
      </c>
      <c r="W79" s="1" t="s">
        <v>69</v>
      </c>
      <c r="X79" s="1" t="s">
        <v>88</v>
      </c>
      <c r="Y79" s="1" t="s">
        <v>95</v>
      </c>
      <c r="Z79" s="1" t="s">
        <v>89</v>
      </c>
      <c r="AA79" s="2">
        <v>50.0</v>
      </c>
      <c r="AB79" s="1" t="s">
        <v>62</v>
      </c>
      <c r="AC79" s="1" t="s">
        <v>71</v>
      </c>
      <c r="AF79" s="1" t="s">
        <v>51</v>
      </c>
      <c r="AG79" s="1" t="s">
        <v>72</v>
      </c>
      <c r="AI79" s="2">
        <v>0.0</v>
      </c>
      <c r="AJ79" s="2">
        <v>0.0</v>
      </c>
      <c r="AK79" s="2">
        <v>0.0</v>
      </c>
      <c r="AL79" s="2">
        <v>1.0</v>
      </c>
      <c r="AM79" s="1" t="s">
        <v>51</v>
      </c>
      <c r="AN79" s="2">
        <v>8.10323079E8</v>
      </c>
      <c r="AP79" s="2">
        <v>4.88304149E8</v>
      </c>
      <c r="AQ79" s="1" t="s">
        <v>187</v>
      </c>
      <c r="AR79" s="2">
        <v>45805.851111111115</v>
      </c>
      <c r="AU79" s="1" t="s">
        <v>64</v>
      </c>
      <c r="AW79" s="1" t="s">
        <v>165</v>
      </c>
      <c r="AY79" s="2">
        <v>73.0</v>
      </c>
    </row>
    <row r="80">
      <c r="A80" s="1" t="s">
        <v>51</v>
      </c>
      <c r="C80" s="1" t="s">
        <v>188</v>
      </c>
      <c r="E80" s="1" t="s">
        <v>53</v>
      </c>
      <c r="F80" s="1" t="s">
        <v>102</v>
      </c>
      <c r="G80" s="2">
        <v>31.0</v>
      </c>
      <c r="H80" s="1" t="s">
        <v>55</v>
      </c>
      <c r="I80" s="1" t="s">
        <v>100</v>
      </c>
      <c r="J80" s="1" t="s">
        <v>86</v>
      </c>
      <c r="K80" s="1" t="s">
        <v>87</v>
      </c>
      <c r="M80" s="1" t="s">
        <v>58</v>
      </c>
      <c r="N80" s="1" t="s">
        <v>58</v>
      </c>
      <c r="O80" s="1" t="s">
        <v>58</v>
      </c>
      <c r="Q80" s="1" t="s">
        <v>69</v>
      </c>
      <c r="R80" s="1" t="s">
        <v>58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81</v>
      </c>
      <c r="Y80" s="1" t="s">
        <v>60</v>
      </c>
      <c r="Z80" s="1" t="s">
        <v>96</v>
      </c>
      <c r="AA80" s="2">
        <v>100.0</v>
      </c>
      <c r="AB80" s="1" t="s">
        <v>28</v>
      </c>
      <c r="AC80" s="1" t="s">
        <v>71</v>
      </c>
      <c r="AF80" s="1" t="s">
        <v>51</v>
      </c>
      <c r="AG80" s="1" t="s">
        <v>72</v>
      </c>
      <c r="AI80" s="2">
        <v>0.0</v>
      </c>
      <c r="AJ80" s="2">
        <v>0.0</v>
      </c>
      <c r="AK80" s="2">
        <v>0.0</v>
      </c>
      <c r="AL80" s="2">
        <v>1.0</v>
      </c>
      <c r="AM80" s="1" t="s">
        <v>72</v>
      </c>
      <c r="AP80" s="2">
        <v>4.88356383E8</v>
      </c>
      <c r="AQ80" s="1" t="s">
        <v>189</v>
      </c>
      <c r="AR80" s="2">
        <v>45805.996932870374</v>
      </c>
      <c r="AU80" s="1" t="s">
        <v>64</v>
      </c>
      <c r="AW80" s="1" t="s">
        <v>165</v>
      </c>
      <c r="AY80" s="2">
        <v>74.0</v>
      </c>
    </row>
    <row r="81">
      <c r="A81" s="1" t="s">
        <v>51</v>
      </c>
      <c r="C81" s="1" t="s">
        <v>131</v>
      </c>
      <c r="E81" s="1" t="s">
        <v>131</v>
      </c>
      <c r="G81" s="2">
        <v>30.0</v>
      </c>
      <c r="H81" s="1" t="s">
        <v>55</v>
      </c>
      <c r="J81" s="1" t="s">
        <v>111</v>
      </c>
      <c r="K81" s="1" t="s">
        <v>87</v>
      </c>
      <c r="M81" s="1" t="s">
        <v>58</v>
      </c>
      <c r="N81" s="1" t="s">
        <v>58</v>
      </c>
      <c r="O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69</v>
      </c>
      <c r="X81" s="1" t="s">
        <v>103</v>
      </c>
      <c r="Y81" s="1" t="s">
        <v>82</v>
      </c>
      <c r="Z81" s="1" t="s">
        <v>96</v>
      </c>
      <c r="AA81" s="2">
        <v>100.0</v>
      </c>
      <c r="AB81" s="1" t="s">
        <v>28</v>
      </c>
      <c r="AC81" s="1" t="s">
        <v>51</v>
      </c>
      <c r="AD81" s="1" t="s">
        <v>103</v>
      </c>
      <c r="AE81" s="1" t="s">
        <v>51</v>
      </c>
      <c r="AF81" s="1" t="s">
        <v>51</v>
      </c>
      <c r="AG81" s="1" t="s">
        <v>51</v>
      </c>
      <c r="AH81" s="2">
        <v>20.0</v>
      </c>
      <c r="AI81" s="2">
        <v>1.0</v>
      </c>
      <c r="AJ81" s="2">
        <v>1.0</v>
      </c>
      <c r="AK81" s="2">
        <v>1.0</v>
      </c>
      <c r="AL81" s="2">
        <v>0.0</v>
      </c>
      <c r="AP81" s="2">
        <v>4.88401783E8</v>
      </c>
      <c r="AQ81" s="1" t="s">
        <v>190</v>
      </c>
      <c r="AR81" s="2">
        <v>45806.188263888886</v>
      </c>
      <c r="AU81" s="1" t="s">
        <v>64</v>
      </c>
      <c r="AW81" s="1" t="s">
        <v>191</v>
      </c>
      <c r="AY81" s="2">
        <v>75.0</v>
      </c>
    </row>
    <row r="82">
      <c r="A82" s="1" t="s">
        <v>51</v>
      </c>
      <c r="C82" s="1" t="s">
        <v>151</v>
      </c>
      <c r="E82" s="1" t="s">
        <v>151</v>
      </c>
      <c r="G82" s="2">
        <v>42.0</v>
      </c>
      <c r="H82" s="1" t="s">
        <v>55</v>
      </c>
      <c r="J82" s="1" t="s">
        <v>86</v>
      </c>
      <c r="K82" s="1" t="s">
        <v>87</v>
      </c>
      <c r="M82" s="1" t="s">
        <v>58</v>
      </c>
      <c r="N82" s="1" t="s">
        <v>58</v>
      </c>
      <c r="O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58</v>
      </c>
      <c r="V82" s="1" t="s">
        <v>69</v>
      </c>
      <c r="W82" s="1" t="s">
        <v>69</v>
      </c>
      <c r="X82" s="1" t="s">
        <v>81</v>
      </c>
      <c r="Y82" s="1" t="s">
        <v>95</v>
      </c>
      <c r="Z82" s="1" t="s">
        <v>108</v>
      </c>
      <c r="AA82" s="2">
        <v>50.0</v>
      </c>
      <c r="AB82" s="1" t="s">
        <v>62</v>
      </c>
      <c r="AC82" s="1" t="s">
        <v>51</v>
      </c>
      <c r="AD82" s="1" t="s">
        <v>59</v>
      </c>
      <c r="AE82" s="1" t="s">
        <v>51</v>
      </c>
      <c r="AF82" s="1" t="s">
        <v>51</v>
      </c>
      <c r="AG82" s="1" t="s">
        <v>51</v>
      </c>
      <c r="AH82" s="2">
        <v>100.0</v>
      </c>
      <c r="AI82" s="2">
        <v>0.0</v>
      </c>
      <c r="AJ82" s="2">
        <v>0.0</v>
      </c>
      <c r="AK82" s="2">
        <v>0.0</v>
      </c>
      <c r="AL82" s="2">
        <v>1.0</v>
      </c>
      <c r="AP82" s="2">
        <v>4.88438457E8</v>
      </c>
      <c r="AQ82" s="1" t="s">
        <v>192</v>
      </c>
      <c r="AR82" s="2">
        <v>45806.26267361111</v>
      </c>
      <c r="AU82" s="1" t="s">
        <v>64</v>
      </c>
      <c r="AW82" s="1" t="s">
        <v>191</v>
      </c>
      <c r="AY82" s="2">
        <v>76.0</v>
      </c>
    </row>
    <row r="83">
      <c r="A83" s="1" t="s">
        <v>51</v>
      </c>
      <c r="C83" s="1" t="s">
        <v>151</v>
      </c>
      <c r="E83" s="1" t="s">
        <v>151</v>
      </c>
      <c r="G83" s="2">
        <v>40.0</v>
      </c>
      <c r="H83" s="1" t="s">
        <v>66</v>
      </c>
      <c r="J83" s="1" t="s">
        <v>86</v>
      </c>
      <c r="K83" s="1" t="s">
        <v>87</v>
      </c>
      <c r="M83" s="1" t="s">
        <v>58</v>
      </c>
      <c r="N83" s="1" t="s">
        <v>58</v>
      </c>
      <c r="O83" s="1" t="s">
        <v>58</v>
      </c>
      <c r="Q83" s="1" t="s">
        <v>70</v>
      </c>
      <c r="R83" s="1" t="s">
        <v>58</v>
      </c>
      <c r="S83" s="1" t="s">
        <v>69</v>
      </c>
      <c r="T83" s="1" t="s">
        <v>70</v>
      </c>
      <c r="U83" s="1" t="s">
        <v>58</v>
      </c>
      <c r="V83" s="1" t="s">
        <v>58</v>
      </c>
      <c r="W83" s="1" t="s">
        <v>70</v>
      </c>
      <c r="X83" s="1" t="s">
        <v>81</v>
      </c>
      <c r="Y83" s="1" t="s">
        <v>95</v>
      </c>
      <c r="Z83" s="1" t="s">
        <v>127</v>
      </c>
      <c r="AA83" s="2">
        <v>100.0</v>
      </c>
      <c r="AB83" s="1" t="s">
        <v>79</v>
      </c>
      <c r="AC83" s="1" t="s">
        <v>71</v>
      </c>
      <c r="AF83" s="1" t="s">
        <v>51</v>
      </c>
      <c r="AG83" s="1" t="s">
        <v>72</v>
      </c>
      <c r="AI83" s="2">
        <v>0.0</v>
      </c>
      <c r="AJ83" s="2">
        <v>0.0</v>
      </c>
      <c r="AK83" s="2">
        <v>0.0</v>
      </c>
      <c r="AL83" s="2">
        <v>1.0</v>
      </c>
      <c r="AP83" s="2">
        <v>4.88457611E8</v>
      </c>
      <c r="AQ83" s="1" t="s">
        <v>193</v>
      </c>
      <c r="AR83" s="2">
        <v>45806.2902662037</v>
      </c>
      <c r="AU83" s="1" t="s">
        <v>64</v>
      </c>
      <c r="AW83" s="1" t="s">
        <v>191</v>
      </c>
      <c r="AY83" s="2">
        <v>77.0</v>
      </c>
    </row>
    <row r="84">
      <c r="A84" s="1" t="s">
        <v>51</v>
      </c>
      <c r="C84" s="1" t="s">
        <v>170</v>
      </c>
      <c r="E84" s="1" t="s">
        <v>170</v>
      </c>
      <c r="G84" s="2">
        <v>20.0</v>
      </c>
      <c r="H84" s="1" t="s">
        <v>66</v>
      </c>
      <c r="J84" s="1" t="s">
        <v>56</v>
      </c>
      <c r="K84" s="1" t="s">
        <v>74</v>
      </c>
      <c r="M84" s="1" t="s">
        <v>58</v>
      </c>
      <c r="N84" s="1" t="s">
        <v>58</v>
      </c>
      <c r="O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81</v>
      </c>
      <c r="Y84" s="1" t="s">
        <v>82</v>
      </c>
      <c r="Z84" s="1" t="s">
        <v>61</v>
      </c>
      <c r="AA84" s="2">
        <v>100.0</v>
      </c>
      <c r="AB84" s="1" t="s">
        <v>28</v>
      </c>
      <c r="AC84" s="1" t="s">
        <v>51</v>
      </c>
      <c r="AD84" s="1" t="s">
        <v>81</v>
      </c>
      <c r="AE84" s="1" t="s">
        <v>51</v>
      </c>
      <c r="AF84" s="1" t="s">
        <v>51</v>
      </c>
      <c r="AG84" s="1" t="s">
        <v>51</v>
      </c>
      <c r="AH84" s="2">
        <v>100.0</v>
      </c>
      <c r="AI84" s="2">
        <v>0.0</v>
      </c>
      <c r="AJ84" s="2">
        <v>0.0</v>
      </c>
      <c r="AK84" s="2">
        <v>1.0</v>
      </c>
      <c r="AL84" s="2">
        <v>0.0</v>
      </c>
      <c r="AP84" s="2">
        <v>4.88499875E8</v>
      </c>
      <c r="AQ84" s="1" t="s">
        <v>194</v>
      </c>
      <c r="AR84" s="2">
        <v>45806.34857638889</v>
      </c>
      <c r="AU84" s="1" t="s">
        <v>64</v>
      </c>
      <c r="AW84" s="1" t="s">
        <v>191</v>
      </c>
      <c r="AY84" s="2">
        <v>78.0</v>
      </c>
    </row>
    <row r="85">
      <c r="A85" s="1" t="s">
        <v>51</v>
      </c>
      <c r="C85" s="1" t="s">
        <v>52</v>
      </c>
      <c r="E85" s="1" t="s">
        <v>53</v>
      </c>
      <c r="F85" s="1" t="s">
        <v>54</v>
      </c>
      <c r="G85" s="2">
        <v>35.0</v>
      </c>
      <c r="H85" s="1" t="s">
        <v>66</v>
      </c>
      <c r="I85" s="1" t="s">
        <v>67</v>
      </c>
      <c r="J85" s="1" t="s">
        <v>111</v>
      </c>
      <c r="K85" s="1" t="s">
        <v>87</v>
      </c>
      <c r="M85" s="1" t="s">
        <v>58</v>
      </c>
      <c r="N85" s="1" t="s">
        <v>58</v>
      </c>
      <c r="O85" s="1" t="s">
        <v>58</v>
      </c>
      <c r="Q85" s="1" t="s">
        <v>69</v>
      </c>
      <c r="R85" s="1" t="s">
        <v>58</v>
      </c>
      <c r="S85" s="1" t="s">
        <v>58</v>
      </c>
      <c r="T85" s="1" t="s">
        <v>69</v>
      </c>
      <c r="U85" s="1" t="s">
        <v>58</v>
      </c>
      <c r="V85" s="1" t="s">
        <v>58</v>
      </c>
      <c r="W85" s="1" t="s">
        <v>58</v>
      </c>
      <c r="X85" s="1" t="s">
        <v>88</v>
      </c>
      <c r="Y85" s="1" t="s">
        <v>95</v>
      </c>
      <c r="Z85" s="1" t="s">
        <v>89</v>
      </c>
      <c r="AA85" s="2">
        <v>10.0</v>
      </c>
      <c r="AB85" s="1" t="s">
        <v>62</v>
      </c>
      <c r="AC85" s="1" t="s">
        <v>51</v>
      </c>
      <c r="AD85" s="1" t="s">
        <v>59</v>
      </c>
      <c r="AE85" s="1" t="s">
        <v>72</v>
      </c>
      <c r="AF85" s="1" t="s">
        <v>51</v>
      </c>
      <c r="AG85" s="1" t="s">
        <v>72</v>
      </c>
      <c r="AI85" s="2">
        <v>0.0</v>
      </c>
      <c r="AJ85" s="2">
        <v>1.0</v>
      </c>
      <c r="AK85" s="2">
        <v>1.0</v>
      </c>
      <c r="AL85" s="2">
        <v>0.0</v>
      </c>
      <c r="AM85" s="1" t="s">
        <v>72</v>
      </c>
      <c r="AP85" s="2">
        <v>4.88506903E8</v>
      </c>
      <c r="AQ85" s="1" t="s">
        <v>195</v>
      </c>
      <c r="AR85" s="2">
        <v>45806.35741898148</v>
      </c>
      <c r="AU85" s="1" t="s">
        <v>64</v>
      </c>
      <c r="AW85" s="1" t="s">
        <v>191</v>
      </c>
      <c r="AY85" s="2">
        <v>79.0</v>
      </c>
    </row>
    <row r="86">
      <c r="A86" s="1" t="s">
        <v>51</v>
      </c>
      <c r="C86" s="1" t="s">
        <v>52</v>
      </c>
      <c r="E86" s="1" t="s">
        <v>53</v>
      </c>
      <c r="F86" s="1" t="s">
        <v>102</v>
      </c>
      <c r="G86" s="2">
        <v>40.0</v>
      </c>
      <c r="H86" s="1" t="s">
        <v>55</v>
      </c>
      <c r="I86" s="1" t="s">
        <v>67</v>
      </c>
      <c r="J86" s="1" t="s">
        <v>111</v>
      </c>
      <c r="M86" s="1" t="s">
        <v>58</v>
      </c>
      <c r="N86" s="1" t="s">
        <v>58</v>
      </c>
      <c r="O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103</v>
      </c>
      <c r="Y86" s="1" t="s">
        <v>60</v>
      </c>
      <c r="Z86" s="1" t="s">
        <v>89</v>
      </c>
      <c r="AA86" s="2">
        <v>100.0</v>
      </c>
      <c r="AB86" s="1" t="s">
        <v>62</v>
      </c>
      <c r="AC86" s="1" t="s">
        <v>72</v>
      </c>
      <c r="AF86" s="1" t="s">
        <v>51</v>
      </c>
      <c r="AG86" s="1" t="s">
        <v>72</v>
      </c>
      <c r="AI86" s="2">
        <v>1.0</v>
      </c>
      <c r="AJ86" s="2">
        <v>1.0</v>
      </c>
      <c r="AK86" s="2">
        <v>1.0</v>
      </c>
      <c r="AL86" s="2">
        <v>1.0</v>
      </c>
      <c r="AM86" s="1" t="s">
        <v>72</v>
      </c>
      <c r="AP86" s="2">
        <v>4.88569497E8</v>
      </c>
      <c r="AQ86" s="1" t="s">
        <v>196</v>
      </c>
      <c r="AR86" s="2">
        <v>45806.42548611111</v>
      </c>
      <c r="AU86" s="1" t="s">
        <v>64</v>
      </c>
      <c r="AW86" s="1" t="s">
        <v>191</v>
      </c>
      <c r="AY86" s="2">
        <v>80.0</v>
      </c>
    </row>
    <row r="87">
      <c r="A87" s="1" t="s">
        <v>51</v>
      </c>
      <c r="C87" s="1" t="s">
        <v>53</v>
      </c>
      <c r="E87" s="1" t="s">
        <v>53</v>
      </c>
      <c r="F87" s="1" t="s">
        <v>197</v>
      </c>
      <c r="G87" s="2">
        <v>39.0</v>
      </c>
      <c r="H87" s="1" t="s">
        <v>55</v>
      </c>
      <c r="I87" s="1" t="s">
        <v>121</v>
      </c>
      <c r="J87" s="1" t="s">
        <v>86</v>
      </c>
      <c r="K87" s="1" t="s">
        <v>87</v>
      </c>
      <c r="M87" s="1" t="s">
        <v>58</v>
      </c>
      <c r="N87" s="1" t="s">
        <v>58</v>
      </c>
      <c r="O87" s="1" t="s">
        <v>69</v>
      </c>
      <c r="Q87" s="1" t="s">
        <v>69</v>
      </c>
      <c r="R87" s="1" t="s">
        <v>58</v>
      </c>
      <c r="S87" s="1" t="s">
        <v>69</v>
      </c>
      <c r="T87" s="1" t="s">
        <v>69</v>
      </c>
      <c r="U87" s="1" t="s">
        <v>58</v>
      </c>
      <c r="V87" s="1" t="s">
        <v>58</v>
      </c>
      <c r="W87" s="1" t="s">
        <v>70</v>
      </c>
      <c r="X87" s="1" t="s">
        <v>59</v>
      </c>
      <c r="Y87" s="1" t="s">
        <v>95</v>
      </c>
      <c r="Z87" s="1" t="s">
        <v>108</v>
      </c>
      <c r="AA87" s="2">
        <v>100.0</v>
      </c>
      <c r="AB87" s="1" t="s">
        <v>79</v>
      </c>
      <c r="AC87" s="1" t="s">
        <v>71</v>
      </c>
      <c r="AF87" s="1" t="s">
        <v>51</v>
      </c>
      <c r="AG87" s="1" t="s">
        <v>51</v>
      </c>
      <c r="AH87" s="2">
        <v>100.0</v>
      </c>
      <c r="AI87" s="2">
        <v>1.0</v>
      </c>
      <c r="AJ87" s="2">
        <v>1.0</v>
      </c>
      <c r="AK87" s="2">
        <v>1.0</v>
      </c>
      <c r="AL87" s="2">
        <v>0.0</v>
      </c>
      <c r="AM87" s="1" t="s">
        <v>72</v>
      </c>
      <c r="AP87" s="2">
        <v>4.88676978E8</v>
      </c>
      <c r="AQ87" s="1" t="s">
        <v>198</v>
      </c>
      <c r="AR87" s="2">
        <v>45806.5278125</v>
      </c>
      <c r="AU87" s="1" t="s">
        <v>64</v>
      </c>
      <c r="AW87" s="1" t="s">
        <v>191</v>
      </c>
      <c r="AY87" s="2">
        <v>81.0</v>
      </c>
    </row>
    <row r="88">
      <c r="A88" s="1" t="s">
        <v>51</v>
      </c>
      <c r="C88" s="1" t="s">
        <v>52</v>
      </c>
      <c r="E88" s="1" t="s">
        <v>53</v>
      </c>
      <c r="F88" s="1" t="s">
        <v>102</v>
      </c>
      <c r="G88" s="2">
        <v>34.0</v>
      </c>
      <c r="H88" s="1" t="s">
        <v>66</v>
      </c>
      <c r="I88" s="1" t="s">
        <v>67</v>
      </c>
      <c r="J88" s="1" t="s">
        <v>111</v>
      </c>
      <c r="K88" s="1" t="s">
        <v>87</v>
      </c>
      <c r="M88" s="1" t="s">
        <v>58</v>
      </c>
      <c r="N88" s="1" t="s">
        <v>58</v>
      </c>
      <c r="O88" s="1" t="s">
        <v>58</v>
      </c>
      <c r="Q88" s="1" t="s">
        <v>70</v>
      </c>
      <c r="R88" s="1" t="s">
        <v>58</v>
      </c>
      <c r="S88" s="1" t="s">
        <v>69</v>
      </c>
      <c r="T88" s="1" t="s">
        <v>69</v>
      </c>
      <c r="U88" s="1" t="s">
        <v>58</v>
      </c>
      <c r="V88" s="1" t="s">
        <v>58</v>
      </c>
      <c r="W88" s="1" t="s">
        <v>58</v>
      </c>
      <c r="X88" s="1" t="s">
        <v>88</v>
      </c>
      <c r="Y88" s="1" t="s">
        <v>95</v>
      </c>
      <c r="Z88" s="1" t="s">
        <v>108</v>
      </c>
      <c r="AA88" s="2">
        <v>50.0</v>
      </c>
      <c r="AB88" s="1" t="s">
        <v>62</v>
      </c>
      <c r="AC88" s="1" t="s">
        <v>71</v>
      </c>
      <c r="AF88" s="1" t="s">
        <v>51</v>
      </c>
      <c r="AG88" s="1" t="s">
        <v>72</v>
      </c>
      <c r="AI88" s="2">
        <v>0.0</v>
      </c>
      <c r="AJ88" s="2">
        <v>0.0</v>
      </c>
      <c r="AK88" s="2">
        <v>1.0</v>
      </c>
      <c r="AL88" s="2">
        <v>0.0</v>
      </c>
      <c r="AM88" s="1" t="s">
        <v>72</v>
      </c>
      <c r="AP88" s="2">
        <v>4.88690503E8</v>
      </c>
      <c r="AQ88" s="1" t="s">
        <v>199</v>
      </c>
      <c r="AR88" s="2">
        <v>45806.5390625</v>
      </c>
      <c r="AU88" s="1" t="s">
        <v>64</v>
      </c>
      <c r="AW88" s="1" t="s">
        <v>191</v>
      </c>
      <c r="AY88" s="2">
        <v>82.0</v>
      </c>
    </row>
    <row r="89">
      <c r="A89" s="1" t="s">
        <v>51</v>
      </c>
      <c r="C89" s="1" t="s">
        <v>52</v>
      </c>
      <c r="E89" s="1" t="s">
        <v>53</v>
      </c>
      <c r="F89" s="1" t="s">
        <v>54</v>
      </c>
      <c r="G89" s="2">
        <v>22.0</v>
      </c>
      <c r="H89" s="1" t="s">
        <v>66</v>
      </c>
      <c r="I89" s="1" t="s">
        <v>67</v>
      </c>
      <c r="J89" s="1" t="s">
        <v>86</v>
      </c>
      <c r="K89" s="1" t="s">
        <v>87</v>
      </c>
      <c r="M89" s="1" t="s">
        <v>58</v>
      </c>
      <c r="N89" s="1" t="s">
        <v>58</v>
      </c>
      <c r="O89" s="1" t="s">
        <v>58</v>
      </c>
      <c r="Q89" s="1" t="s">
        <v>69</v>
      </c>
      <c r="R89" s="1" t="s">
        <v>58</v>
      </c>
      <c r="S89" s="1" t="s">
        <v>58</v>
      </c>
      <c r="T89" s="1" t="s">
        <v>69</v>
      </c>
      <c r="U89" s="1" t="s">
        <v>69</v>
      </c>
      <c r="V89" s="1" t="s">
        <v>58</v>
      </c>
      <c r="W89" s="1" t="s">
        <v>69</v>
      </c>
      <c r="X89" s="1" t="s">
        <v>59</v>
      </c>
      <c r="Y89" s="1" t="s">
        <v>60</v>
      </c>
      <c r="Z89" s="1" t="s">
        <v>89</v>
      </c>
      <c r="AA89" s="2">
        <v>100.0</v>
      </c>
      <c r="AB89" s="1" t="s">
        <v>28</v>
      </c>
      <c r="AC89" s="1" t="s">
        <v>71</v>
      </c>
      <c r="AF89" s="1" t="s">
        <v>72</v>
      </c>
      <c r="AG89" s="1" t="s">
        <v>72</v>
      </c>
      <c r="AI89" s="2">
        <v>0.0</v>
      </c>
      <c r="AJ89" s="2">
        <v>0.0</v>
      </c>
      <c r="AK89" s="2">
        <v>0.0</v>
      </c>
      <c r="AL89" s="2">
        <v>1.0</v>
      </c>
      <c r="AM89" s="1" t="s">
        <v>72</v>
      </c>
      <c r="AP89" s="2">
        <v>4.88720274E8</v>
      </c>
      <c r="AQ89" s="1" t="s">
        <v>200</v>
      </c>
      <c r="AR89" s="2">
        <v>45806.56145833333</v>
      </c>
      <c r="AU89" s="1" t="s">
        <v>64</v>
      </c>
      <c r="AW89" s="1" t="s">
        <v>191</v>
      </c>
      <c r="AY89" s="2">
        <v>83.0</v>
      </c>
    </row>
    <row r="90">
      <c r="A90" s="1" t="s">
        <v>51</v>
      </c>
      <c r="C90" s="1" t="s">
        <v>53</v>
      </c>
      <c r="E90" s="1" t="s">
        <v>53</v>
      </c>
      <c r="F90" s="1" t="s">
        <v>54</v>
      </c>
      <c r="G90" s="2">
        <v>41.0</v>
      </c>
      <c r="H90" s="1" t="s">
        <v>66</v>
      </c>
      <c r="I90" s="1" t="s">
        <v>121</v>
      </c>
      <c r="J90" s="1" t="s">
        <v>86</v>
      </c>
      <c r="K90" s="1" t="s">
        <v>87</v>
      </c>
      <c r="M90" s="1" t="s">
        <v>58</v>
      </c>
      <c r="N90" s="1" t="s">
        <v>58</v>
      </c>
      <c r="O90" s="1" t="s">
        <v>69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69</v>
      </c>
      <c r="V90" s="1" t="s">
        <v>58</v>
      </c>
      <c r="W90" s="1" t="s">
        <v>58</v>
      </c>
      <c r="X90" s="1" t="s">
        <v>88</v>
      </c>
      <c r="Y90" s="1" t="s">
        <v>60</v>
      </c>
      <c r="Z90" s="1" t="s">
        <v>89</v>
      </c>
      <c r="AA90" s="2">
        <v>100.0</v>
      </c>
      <c r="AB90" s="1" t="s">
        <v>62</v>
      </c>
      <c r="AC90" s="1" t="s">
        <v>71</v>
      </c>
      <c r="AF90" s="1" t="s">
        <v>51</v>
      </c>
      <c r="AG90" s="1" t="s">
        <v>51</v>
      </c>
      <c r="AH90" s="2">
        <v>50.0</v>
      </c>
      <c r="AI90" s="2">
        <v>0.0</v>
      </c>
      <c r="AJ90" s="2">
        <v>0.0</v>
      </c>
      <c r="AK90" s="2">
        <v>0.0</v>
      </c>
      <c r="AL90" s="2">
        <v>1.0</v>
      </c>
      <c r="AM90" s="1" t="s">
        <v>72</v>
      </c>
      <c r="AP90" s="2">
        <v>4.88730589E8</v>
      </c>
      <c r="AQ90" s="1" t="s">
        <v>201</v>
      </c>
      <c r="AR90" s="2">
        <v>45806.56793981481</v>
      </c>
      <c r="AU90" s="1" t="s">
        <v>64</v>
      </c>
      <c r="AW90" s="1" t="s">
        <v>84</v>
      </c>
      <c r="AY90" s="2">
        <v>84.0</v>
      </c>
    </row>
    <row r="91">
      <c r="A91" s="1" t="s">
        <v>51</v>
      </c>
      <c r="C91" s="1" t="s">
        <v>202</v>
      </c>
      <c r="E91" s="1" t="s">
        <v>202</v>
      </c>
      <c r="G91" s="2">
        <v>42.0</v>
      </c>
      <c r="H91" s="1" t="s">
        <v>66</v>
      </c>
      <c r="J91" s="1" t="s">
        <v>86</v>
      </c>
      <c r="K91" s="1" t="s">
        <v>87</v>
      </c>
      <c r="M91" s="1" t="s">
        <v>58</v>
      </c>
      <c r="N91" s="1" t="s">
        <v>58</v>
      </c>
      <c r="O91" s="1" t="s">
        <v>58</v>
      </c>
      <c r="Q91" s="1" t="s">
        <v>69</v>
      </c>
      <c r="R91" s="1" t="s">
        <v>58</v>
      </c>
      <c r="S91" s="1" t="s">
        <v>69</v>
      </c>
      <c r="T91" s="1" t="s">
        <v>58</v>
      </c>
      <c r="U91" s="1" t="s">
        <v>70</v>
      </c>
      <c r="V91" s="1" t="s">
        <v>58</v>
      </c>
      <c r="W91" s="1" t="s">
        <v>69</v>
      </c>
      <c r="X91" s="1" t="s">
        <v>81</v>
      </c>
      <c r="Y91" s="1" t="s">
        <v>95</v>
      </c>
      <c r="Z91" s="1" t="s">
        <v>96</v>
      </c>
      <c r="AA91" s="2">
        <v>100.0</v>
      </c>
      <c r="AB91" s="1" t="s">
        <v>62</v>
      </c>
      <c r="AC91" s="1" t="s">
        <v>71</v>
      </c>
      <c r="AF91" s="1" t="s">
        <v>51</v>
      </c>
      <c r="AG91" s="1" t="s">
        <v>72</v>
      </c>
      <c r="AI91" s="2">
        <v>0.0</v>
      </c>
      <c r="AJ91" s="2">
        <v>0.0</v>
      </c>
      <c r="AK91" s="2">
        <v>1.0</v>
      </c>
      <c r="AL91" s="2">
        <v>0.0</v>
      </c>
      <c r="AP91" s="2">
        <v>4.88786593E8</v>
      </c>
      <c r="AQ91" s="1" t="s">
        <v>203</v>
      </c>
      <c r="AR91" s="2">
        <v>45806.60795138889</v>
      </c>
      <c r="AU91" s="1" t="s">
        <v>64</v>
      </c>
      <c r="AW91" s="1" t="s">
        <v>191</v>
      </c>
      <c r="AY91" s="2">
        <v>85.0</v>
      </c>
    </row>
    <row r="92">
      <c r="A92" s="1" t="s">
        <v>51</v>
      </c>
      <c r="C92" s="1" t="s">
        <v>53</v>
      </c>
      <c r="E92" s="1" t="s">
        <v>53</v>
      </c>
      <c r="F92" s="1" t="s">
        <v>54</v>
      </c>
      <c r="G92" s="2">
        <v>46.0</v>
      </c>
      <c r="H92" s="1" t="s">
        <v>66</v>
      </c>
      <c r="I92" s="1" t="s">
        <v>121</v>
      </c>
      <c r="J92" s="1" t="s">
        <v>111</v>
      </c>
      <c r="K92" s="1" t="s">
        <v>87</v>
      </c>
      <c r="M92" s="1" t="s">
        <v>58</v>
      </c>
      <c r="N92" s="1" t="s">
        <v>58</v>
      </c>
      <c r="O92" s="1" t="s">
        <v>58</v>
      </c>
      <c r="Q92" s="1" t="s">
        <v>69</v>
      </c>
      <c r="R92" s="1" t="s">
        <v>58</v>
      </c>
      <c r="S92" s="1" t="s">
        <v>69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59</v>
      </c>
      <c r="Y92" s="1" t="s">
        <v>95</v>
      </c>
      <c r="Z92" s="1" t="s">
        <v>96</v>
      </c>
      <c r="AA92" s="2">
        <v>100.0</v>
      </c>
      <c r="AB92" s="1" t="s">
        <v>62</v>
      </c>
      <c r="AC92" s="1" t="s">
        <v>72</v>
      </c>
      <c r="AF92" s="1" t="s">
        <v>51</v>
      </c>
      <c r="AG92" s="1" t="s">
        <v>72</v>
      </c>
      <c r="AI92" s="2">
        <v>0.0</v>
      </c>
      <c r="AJ92" s="2">
        <v>0.0</v>
      </c>
      <c r="AK92" s="2">
        <v>0.0</v>
      </c>
      <c r="AL92" s="2">
        <v>1.0</v>
      </c>
      <c r="AM92" s="1" t="s">
        <v>51</v>
      </c>
      <c r="AN92" s="1" t="s">
        <v>204</v>
      </c>
      <c r="AP92" s="2">
        <v>4.8882061E8</v>
      </c>
      <c r="AQ92" s="1" t="s">
        <v>205</v>
      </c>
      <c r="AR92" s="2">
        <v>45806.62994212963</v>
      </c>
      <c r="AU92" s="1" t="s">
        <v>64</v>
      </c>
      <c r="AW92" s="1" t="s">
        <v>191</v>
      </c>
      <c r="AY92" s="2">
        <v>86.0</v>
      </c>
    </row>
    <row r="93">
      <c r="A93" s="1" t="s">
        <v>51</v>
      </c>
      <c r="C93" s="1" t="s">
        <v>53</v>
      </c>
      <c r="E93" s="1" t="s">
        <v>53</v>
      </c>
      <c r="F93" s="1" t="s">
        <v>54</v>
      </c>
      <c r="G93" s="2">
        <v>33.0</v>
      </c>
      <c r="H93" s="1" t="s">
        <v>66</v>
      </c>
      <c r="I93" s="1" t="s">
        <v>121</v>
      </c>
      <c r="J93" s="1" t="s">
        <v>86</v>
      </c>
      <c r="K93" s="1" t="s">
        <v>87</v>
      </c>
      <c r="M93" s="1" t="s">
        <v>58</v>
      </c>
      <c r="N93" s="1" t="s">
        <v>58</v>
      </c>
      <c r="O93" s="1" t="s">
        <v>69</v>
      </c>
      <c r="Q93" s="1" t="s">
        <v>69</v>
      </c>
      <c r="R93" s="1" t="s">
        <v>58</v>
      </c>
      <c r="S93" s="1" t="s">
        <v>58</v>
      </c>
      <c r="T93" s="1" t="s">
        <v>58</v>
      </c>
      <c r="U93" s="1" t="s">
        <v>70</v>
      </c>
      <c r="V93" s="1" t="s">
        <v>58</v>
      </c>
      <c r="W93" s="1" t="s">
        <v>69</v>
      </c>
      <c r="X93" s="1" t="s">
        <v>59</v>
      </c>
      <c r="Y93" s="1" t="s">
        <v>60</v>
      </c>
      <c r="Z93" s="1" t="s">
        <v>96</v>
      </c>
      <c r="AA93" s="2">
        <v>100.0</v>
      </c>
      <c r="AB93" s="1" t="s">
        <v>79</v>
      </c>
      <c r="AC93" s="1" t="s">
        <v>71</v>
      </c>
      <c r="AF93" s="1" t="s">
        <v>51</v>
      </c>
      <c r="AG93" s="1" t="s">
        <v>72</v>
      </c>
      <c r="AI93" s="2">
        <v>0.0</v>
      </c>
      <c r="AJ93" s="2">
        <v>0.0</v>
      </c>
      <c r="AK93" s="2">
        <v>1.0</v>
      </c>
      <c r="AL93" s="2">
        <v>0.0</v>
      </c>
      <c r="AM93" s="1" t="s">
        <v>51</v>
      </c>
      <c r="AN93" s="1" t="s">
        <v>206</v>
      </c>
      <c r="AP93" s="2">
        <v>4.88832371E8</v>
      </c>
      <c r="AQ93" s="1" t="s">
        <v>207</v>
      </c>
      <c r="AR93" s="2">
        <v>45806.637349537035</v>
      </c>
      <c r="AU93" s="1" t="s">
        <v>64</v>
      </c>
      <c r="AW93" s="1" t="s">
        <v>191</v>
      </c>
      <c r="AY93" s="2">
        <v>87.0</v>
      </c>
    </row>
    <row r="94">
      <c r="A94" s="1" t="s">
        <v>51</v>
      </c>
      <c r="C94" s="1" t="s">
        <v>52</v>
      </c>
      <c r="E94" s="1" t="s">
        <v>53</v>
      </c>
      <c r="F94" s="1" t="s">
        <v>94</v>
      </c>
      <c r="G94" s="2">
        <v>43.0</v>
      </c>
      <c r="H94" s="1" t="s">
        <v>66</v>
      </c>
      <c r="I94" s="1" t="s">
        <v>67</v>
      </c>
      <c r="J94" s="1" t="s">
        <v>86</v>
      </c>
      <c r="K94" s="1" t="s">
        <v>87</v>
      </c>
      <c r="M94" s="1" t="s">
        <v>58</v>
      </c>
      <c r="N94" s="1" t="s">
        <v>58</v>
      </c>
      <c r="O94" s="1" t="s">
        <v>70</v>
      </c>
      <c r="Q94" s="1" t="s">
        <v>69</v>
      </c>
      <c r="R94" s="1" t="s">
        <v>58</v>
      </c>
      <c r="S94" s="1" t="s">
        <v>69</v>
      </c>
      <c r="T94" s="1" t="s">
        <v>69</v>
      </c>
      <c r="U94" s="1" t="s">
        <v>69</v>
      </c>
      <c r="V94" s="1" t="s">
        <v>69</v>
      </c>
      <c r="W94" s="1" t="s">
        <v>58</v>
      </c>
      <c r="X94" s="1" t="s">
        <v>88</v>
      </c>
      <c r="Y94" s="1" t="s">
        <v>60</v>
      </c>
      <c r="Z94" s="1" t="s">
        <v>108</v>
      </c>
      <c r="AA94" s="2">
        <v>50.0</v>
      </c>
      <c r="AB94" s="1" t="s">
        <v>79</v>
      </c>
      <c r="AC94" s="1" t="s">
        <v>71</v>
      </c>
      <c r="AF94" s="1" t="s">
        <v>72</v>
      </c>
      <c r="AG94" s="1" t="s">
        <v>72</v>
      </c>
      <c r="AI94" s="2">
        <v>0.0</v>
      </c>
      <c r="AJ94" s="2">
        <v>0.0</v>
      </c>
      <c r="AK94" s="2">
        <v>0.0</v>
      </c>
      <c r="AL94" s="2">
        <v>1.0</v>
      </c>
      <c r="AM94" s="1" t="s">
        <v>72</v>
      </c>
      <c r="AP94" s="2">
        <v>4.88847644E8</v>
      </c>
      <c r="AQ94" s="1" t="s">
        <v>208</v>
      </c>
      <c r="AR94" s="2">
        <v>45806.64840277778</v>
      </c>
      <c r="AU94" s="1" t="s">
        <v>64</v>
      </c>
      <c r="AW94" s="1" t="s">
        <v>191</v>
      </c>
      <c r="AY94" s="2">
        <v>88.0</v>
      </c>
    </row>
    <row r="95">
      <c r="A95" s="1" t="s">
        <v>51</v>
      </c>
      <c r="C95" s="1" t="s">
        <v>52</v>
      </c>
      <c r="E95" s="1" t="s">
        <v>52</v>
      </c>
      <c r="G95" s="2">
        <v>35.0</v>
      </c>
      <c r="H95" s="1" t="s">
        <v>66</v>
      </c>
      <c r="J95" s="1" t="s">
        <v>56</v>
      </c>
      <c r="K95" s="1" t="s">
        <v>87</v>
      </c>
      <c r="M95" s="1" t="s">
        <v>58</v>
      </c>
      <c r="N95" s="1" t="s">
        <v>58</v>
      </c>
      <c r="O95" s="1" t="s">
        <v>69</v>
      </c>
      <c r="Q95" s="1" t="s">
        <v>69</v>
      </c>
      <c r="R95" s="1" t="s">
        <v>58</v>
      </c>
      <c r="S95" s="1" t="s">
        <v>69</v>
      </c>
      <c r="T95" s="1" t="s">
        <v>58</v>
      </c>
      <c r="U95" s="1" t="s">
        <v>58</v>
      </c>
      <c r="V95" s="1" t="s">
        <v>58</v>
      </c>
      <c r="W95" s="1" t="s">
        <v>69</v>
      </c>
      <c r="X95" s="1" t="s">
        <v>88</v>
      </c>
      <c r="Y95" s="1" t="s">
        <v>82</v>
      </c>
      <c r="Z95" s="1" t="s">
        <v>108</v>
      </c>
      <c r="AA95" s="2">
        <v>100.0</v>
      </c>
      <c r="AB95" s="1" t="s">
        <v>62</v>
      </c>
      <c r="AC95" s="1" t="s">
        <v>51</v>
      </c>
      <c r="AD95" s="1" t="s">
        <v>81</v>
      </c>
      <c r="AE95" s="1" t="s">
        <v>51</v>
      </c>
      <c r="AF95" s="1" t="s">
        <v>51</v>
      </c>
      <c r="AG95" s="1" t="s">
        <v>51</v>
      </c>
      <c r="AH95" s="2">
        <v>15.0</v>
      </c>
      <c r="AI95" s="2">
        <v>0.0</v>
      </c>
      <c r="AJ95" s="2">
        <v>0.0</v>
      </c>
      <c r="AK95" s="2">
        <v>0.0</v>
      </c>
      <c r="AL95" s="2">
        <v>1.0</v>
      </c>
      <c r="AP95" s="2">
        <v>4.88871967E8</v>
      </c>
      <c r="AQ95" s="1" t="s">
        <v>209</v>
      </c>
      <c r="AR95" s="2">
        <v>45806.665289351855</v>
      </c>
      <c r="AU95" s="1" t="s">
        <v>64</v>
      </c>
      <c r="AW95" s="1" t="s">
        <v>191</v>
      </c>
      <c r="AY95" s="2">
        <v>89.0</v>
      </c>
    </row>
    <row r="96">
      <c r="A96" s="1" t="s">
        <v>51</v>
      </c>
      <c r="C96" s="1" t="s">
        <v>52</v>
      </c>
      <c r="E96" s="1" t="s">
        <v>53</v>
      </c>
      <c r="F96" s="1" t="s">
        <v>54</v>
      </c>
      <c r="G96" s="2">
        <v>59.0</v>
      </c>
      <c r="H96" s="1" t="s">
        <v>55</v>
      </c>
      <c r="I96" s="1" t="s">
        <v>67</v>
      </c>
      <c r="J96" s="1" t="s">
        <v>111</v>
      </c>
      <c r="K96" s="1" t="s">
        <v>87</v>
      </c>
      <c r="M96" s="1" t="s">
        <v>58</v>
      </c>
      <c r="N96" s="1" t="s">
        <v>58</v>
      </c>
      <c r="O96" s="1" t="s">
        <v>58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58</v>
      </c>
      <c r="V96" s="1" t="s">
        <v>58</v>
      </c>
      <c r="W96" s="1" t="s">
        <v>69</v>
      </c>
      <c r="X96" s="1" t="s">
        <v>59</v>
      </c>
      <c r="Y96" s="1" t="s">
        <v>95</v>
      </c>
      <c r="Z96" s="1" t="s">
        <v>89</v>
      </c>
      <c r="AA96" s="2">
        <v>100.0</v>
      </c>
      <c r="AB96" s="1" t="s">
        <v>62</v>
      </c>
      <c r="AC96" s="1" t="s">
        <v>51</v>
      </c>
      <c r="AD96" s="1" t="s">
        <v>59</v>
      </c>
      <c r="AE96" s="1" t="s">
        <v>51</v>
      </c>
      <c r="AF96" s="1" t="s">
        <v>51</v>
      </c>
      <c r="AG96" s="1" t="s">
        <v>51</v>
      </c>
      <c r="AH96" s="2">
        <v>100.0</v>
      </c>
      <c r="AI96" s="2">
        <v>0.0</v>
      </c>
      <c r="AJ96" s="2">
        <v>0.0</v>
      </c>
      <c r="AK96" s="2">
        <v>0.0</v>
      </c>
      <c r="AL96" s="2">
        <v>1.0</v>
      </c>
      <c r="AM96" s="1" t="s">
        <v>51</v>
      </c>
      <c r="AN96" s="3">
        <v>27727644928</v>
      </c>
      <c r="AP96" s="2">
        <v>4.88885171E8</v>
      </c>
      <c r="AQ96" s="1" t="s">
        <v>210</v>
      </c>
      <c r="AR96" s="2">
        <v>45806.67402777778</v>
      </c>
      <c r="AU96" s="1" t="s">
        <v>64</v>
      </c>
      <c r="AW96" s="1" t="s">
        <v>191</v>
      </c>
      <c r="AY96" s="2">
        <v>90.0</v>
      </c>
    </row>
    <row r="97">
      <c r="A97" s="1" t="s">
        <v>51</v>
      </c>
      <c r="C97" s="1" t="s">
        <v>53</v>
      </c>
      <c r="E97" s="1" t="s">
        <v>53</v>
      </c>
      <c r="F97" s="1" t="s">
        <v>149</v>
      </c>
      <c r="G97" s="2">
        <v>34.0</v>
      </c>
      <c r="H97" s="1" t="s">
        <v>66</v>
      </c>
      <c r="I97" s="1" t="s">
        <v>121</v>
      </c>
      <c r="J97" s="1" t="s">
        <v>86</v>
      </c>
      <c r="K97" s="1" t="s">
        <v>87</v>
      </c>
      <c r="M97" s="1" t="s">
        <v>58</v>
      </c>
      <c r="O97" s="1" t="s">
        <v>58</v>
      </c>
      <c r="Q97" s="1" t="s">
        <v>58</v>
      </c>
      <c r="R97" s="1" t="s">
        <v>58</v>
      </c>
      <c r="S97" s="1" t="s">
        <v>69</v>
      </c>
      <c r="T97" s="1" t="s">
        <v>69</v>
      </c>
      <c r="U97" s="1" t="s">
        <v>58</v>
      </c>
      <c r="V97" s="1" t="s">
        <v>69</v>
      </c>
      <c r="W97" s="1" t="s">
        <v>69</v>
      </c>
      <c r="X97" s="1" t="s">
        <v>59</v>
      </c>
      <c r="Y97" s="1" t="s">
        <v>95</v>
      </c>
      <c r="Z97" s="1" t="s">
        <v>61</v>
      </c>
      <c r="AA97" s="2">
        <v>100.0</v>
      </c>
      <c r="AB97" s="1" t="s">
        <v>79</v>
      </c>
      <c r="AF97" s="1" t="s">
        <v>51</v>
      </c>
      <c r="AG97" s="1" t="s">
        <v>51</v>
      </c>
      <c r="AH97" s="2">
        <v>50.0</v>
      </c>
      <c r="AI97" s="2">
        <v>0.0</v>
      </c>
      <c r="AJ97" s="2">
        <v>0.0</v>
      </c>
      <c r="AK97" s="2">
        <v>0.0</v>
      </c>
      <c r="AL97" s="2">
        <v>1.0</v>
      </c>
      <c r="AM97" s="1" t="s">
        <v>51</v>
      </c>
      <c r="AN97" s="2">
        <v>7.31367408E8</v>
      </c>
      <c r="AP97" s="2">
        <v>4.88933913E8</v>
      </c>
      <c r="AQ97" s="1" t="s">
        <v>211</v>
      </c>
      <c r="AR97" s="2">
        <v>45806.70991898148</v>
      </c>
      <c r="AU97" s="1" t="s">
        <v>64</v>
      </c>
      <c r="AW97" s="1" t="s">
        <v>191</v>
      </c>
      <c r="AY97" s="2">
        <v>91.0</v>
      </c>
    </row>
    <row r="98">
      <c r="A98" s="1" t="s">
        <v>51</v>
      </c>
      <c r="C98" s="1" t="s">
        <v>212</v>
      </c>
      <c r="E98" s="1" t="s">
        <v>53</v>
      </c>
      <c r="F98" s="1" t="s">
        <v>102</v>
      </c>
      <c r="G98" s="2">
        <v>50.0</v>
      </c>
      <c r="H98" s="1" t="s">
        <v>55</v>
      </c>
      <c r="I98" s="1" t="s">
        <v>67</v>
      </c>
      <c r="J98" s="1" t="s">
        <v>86</v>
      </c>
      <c r="K98" s="1" t="s">
        <v>87</v>
      </c>
      <c r="M98" s="1" t="s">
        <v>58</v>
      </c>
      <c r="N98" s="1" t="s">
        <v>58</v>
      </c>
      <c r="O98" s="1" t="s">
        <v>58</v>
      </c>
      <c r="Q98" s="1" t="s">
        <v>69</v>
      </c>
      <c r="R98" s="1" t="s">
        <v>58</v>
      </c>
      <c r="S98" s="1" t="s">
        <v>69</v>
      </c>
      <c r="T98" s="1" t="s">
        <v>69</v>
      </c>
      <c r="U98" s="1" t="s">
        <v>69</v>
      </c>
      <c r="V98" s="1" t="s">
        <v>58</v>
      </c>
      <c r="W98" s="1" t="s">
        <v>69</v>
      </c>
      <c r="X98" s="1" t="s">
        <v>88</v>
      </c>
      <c r="Y98" s="1" t="s">
        <v>95</v>
      </c>
      <c r="Z98" s="1" t="s">
        <v>89</v>
      </c>
      <c r="AA98" s="2">
        <v>100.0</v>
      </c>
      <c r="AB98" s="1" t="s">
        <v>79</v>
      </c>
      <c r="AF98" s="1" t="s">
        <v>51</v>
      </c>
      <c r="AG98" s="1" t="s">
        <v>72</v>
      </c>
      <c r="AI98" s="2">
        <v>0.0</v>
      </c>
      <c r="AJ98" s="2">
        <v>0.0</v>
      </c>
      <c r="AK98" s="2">
        <v>0.0</v>
      </c>
      <c r="AL98" s="2">
        <v>1.0</v>
      </c>
      <c r="AM98" s="1" t="s">
        <v>72</v>
      </c>
      <c r="AP98" s="2">
        <v>4.88978682E8</v>
      </c>
      <c r="AQ98" s="1" t="s">
        <v>213</v>
      </c>
      <c r="AR98" s="2">
        <v>45806.750023148146</v>
      </c>
      <c r="AU98" s="1" t="s">
        <v>64</v>
      </c>
      <c r="AW98" s="1" t="s">
        <v>191</v>
      </c>
      <c r="AY98" s="2">
        <v>92.0</v>
      </c>
    </row>
    <row r="99">
      <c r="A99" s="1" t="s">
        <v>51</v>
      </c>
      <c r="C99" s="1" t="s">
        <v>53</v>
      </c>
      <c r="E99" s="1" t="s">
        <v>53</v>
      </c>
      <c r="F99" s="1" t="s">
        <v>214</v>
      </c>
      <c r="G99" s="2">
        <v>39.0</v>
      </c>
      <c r="H99" s="1" t="s">
        <v>66</v>
      </c>
      <c r="I99" s="1" t="s">
        <v>121</v>
      </c>
      <c r="J99" s="1" t="s">
        <v>86</v>
      </c>
      <c r="K99" s="1" t="s">
        <v>87</v>
      </c>
      <c r="M99" s="1" t="s">
        <v>58</v>
      </c>
      <c r="N99" s="1" t="s">
        <v>58</v>
      </c>
      <c r="O99" s="1" t="s">
        <v>58</v>
      </c>
      <c r="Q99" s="1" t="s">
        <v>69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88</v>
      </c>
      <c r="Y99" s="1" t="s">
        <v>95</v>
      </c>
      <c r="Z99" s="1" t="s">
        <v>89</v>
      </c>
      <c r="AA99" s="2">
        <v>100.0</v>
      </c>
      <c r="AB99" s="1" t="s">
        <v>62</v>
      </c>
      <c r="AC99" s="1" t="s">
        <v>51</v>
      </c>
      <c r="AD99" s="1" t="s">
        <v>81</v>
      </c>
      <c r="AE99" s="1" t="s">
        <v>51</v>
      </c>
      <c r="AG99" s="1" t="s">
        <v>51</v>
      </c>
      <c r="AH99" s="2">
        <v>100.0</v>
      </c>
      <c r="AI99" s="2">
        <v>0.0</v>
      </c>
      <c r="AJ99" s="2">
        <v>1.0</v>
      </c>
      <c r="AK99" s="2">
        <v>1.0</v>
      </c>
      <c r="AL99" s="2">
        <v>0.0</v>
      </c>
      <c r="AM99" s="1" t="s">
        <v>72</v>
      </c>
      <c r="AP99" s="2">
        <v>4.88978973E8</v>
      </c>
      <c r="AQ99" s="1" t="s">
        <v>215</v>
      </c>
      <c r="AR99" s="2">
        <v>45806.750439814816</v>
      </c>
      <c r="AU99" s="1" t="s">
        <v>64</v>
      </c>
      <c r="AW99" s="1" t="s">
        <v>191</v>
      </c>
      <c r="AY99" s="2">
        <v>93.0</v>
      </c>
    </row>
    <row r="100">
      <c r="A100" s="1" t="s">
        <v>51</v>
      </c>
      <c r="C100" s="1" t="s">
        <v>53</v>
      </c>
      <c r="E100" s="1" t="s">
        <v>53</v>
      </c>
      <c r="F100" s="1" t="s">
        <v>54</v>
      </c>
      <c r="G100" s="2">
        <v>45.0</v>
      </c>
      <c r="H100" s="1" t="s">
        <v>66</v>
      </c>
      <c r="I100" s="1" t="s">
        <v>121</v>
      </c>
      <c r="J100" s="1" t="s">
        <v>56</v>
      </c>
      <c r="K100" s="1" t="s">
        <v>87</v>
      </c>
      <c r="M100" s="1" t="s">
        <v>58</v>
      </c>
      <c r="N100" s="1" t="s">
        <v>58</v>
      </c>
      <c r="O100" s="1" t="s">
        <v>69</v>
      </c>
      <c r="Q100" s="1" t="s">
        <v>69</v>
      </c>
      <c r="R100" s="1" t="s">
        <v>58</v>
      </c>
      <c r="S100" s="1" t="s">
        <v>69</v>
      </c>
      <c r="T100" s="1" t="s">
        <v>69</v>
      </c>
      <c r="U100" s="1" t="s">
        <v>70</v>
      </c>
      <c r="V100" s="1" t="s">
        <v>58</v>
      </c>
      <c r="W100" s="1" t="s">
        <v>69</v>
      </c>
      <c r="X100" s="1" t="s">
        <v>88</v>
      </c>
      <c r="Y100" s="1" t="s">
        <v>95</v>
      </c>
      <c r="Z100" s="1" t="s">
        <v>96</v>
      </c>
      <c r="AA100" s="2">
        <v>100.0</v>
      </c>
      <c r="AB100" s="1" t="s">
        <v>62</v>
      </c>
      <c r="AC100" s="1" t="s">
        <v>51</v>
      </c>
      <c r="AD100" s="1" t="s">
        <v>59</v>
      </c>
      <c r="AF100" s="1" t="s">
        <v>51</v>
      </c>
      <c r="AG100" s="1" t="s">
        <v>51</v>
      </c>
      <c r="AH100" s="2">
        <v>50.0</v>
      </c>
      <c r="AI100" s="2">
        <v>1.0</v>
      </c>
      <c r="AJ100" s="2">
        <v>1.0</v>
      </c>
      <c r="AK100" s="2">
        <v>1.0</v>
      </c>
      <c r="AL100" s="2">
        <v>0.0</v>
      </c>
      <c r="AM100" s="1" t="s">
        <v>51</v>
      </c>
      <c r="AN100" s="2">
        <v>8.37723525E8</v>
      </c>
      <c r="AP100" s="2">
        <v>4.89006974E8</v>
      </c>
      <c r="AQ100" s="1" t="s">
        <v>216</v>
      </c>
      <c r="AR100" s="2">
        <v>45806.78528935185</v>
      </c>
      <c r="AU100" s="1" t="s">
        <v>64</v>
      </c>
      <c r="AW100" s="1" t="s">
        <v>191</v>
      </c>
      <c r="AY100" s="2">
        <v>94.0</v>
      </c>
    </row>
    <row r="101">
      <c r="A101" s="1" t="s">
        <v>51</v>
      </c>
      <c r="C101" s="1" t="s">
        <v>53</v>
      </c>
      <c r="E101" s="1" t="s">
        <v>53</v>
      </c>
      <c r="F101" s="1" t="s">
        <v>94</v>
      </c>
      <c r="G101" s="2">
        <v>43.0</v>
      </c>
      <c r="H101" s="1" t="s">
        <v>66</v>
      </c>
      <c r="I101" s="1" t="s">
        <v>121</v>
      </c>
      <c r="J101" s="1" t="s">
        <v>86</v>
      </c>
      <c r="K101" s="1" t="s">
        <v>87</v>
      </c>
      <c r="M101" s="1" t="s">
        <v>58</v>
      </c>
      <c r="N101" s="1" t="s">
        <v>58</v>
      </c>
      <c r="O101" s="1" t="s">
        <v>69</v>
      </c>
      <c r="Q101" s="1" t="s">
        <v>58</v>
      </c>
      <c r="R101" s="1" t="s">
        <v>58</v>
      </c>
      <c r="S101" s="1" t="s">
        <v>58</v>
      </c>
      <c r="T101" s="1" t="s">
        <v>69</v>
      </c>
      <c r="U101" s="1" t="s">
        <v>58</v>
      </c>
      <c r="V101" s="1" t="s">
        <v>58</v>
      </c>
      <c r="W101" s="1" t="s">
        <v>69</v>
      </c>
      <c r="X101" s="1" t="s">
        <v>59</v>
      </c>
      <c r="Y101" s="1" t="s">
        <v>95</v>
      </c>
      <c r="Z101" s="1" t="s">
        <v>89</v>
      </c>
      <c r="AA101" s="2">
        <v>30.0</v>
      </c>
      <c r="AB101" s="1" t="s">
        <v>28</v>
      </c>
      <c r="AC101" s="1" t="s">
        <v>71</v>
      </c>
      <c r="AF101" s="1" t="s">
        <v>72</v>
      </c>
      <c r="AG101" s="1" t="s">
        <v>72</v>
      </c>
      <c r="AI101" s="2">
        <v>0.0</v>
      </c>
      <c r="AJ101" s="2">
        <v>0.0</v>
      </c>
      <c r="AK101" s="2">
        <v>1.0</v>
      </c>
      <c r="AL101" s="2">
        <v>0.0</v>
      </c>
      <c r="AM101" s="1" t="s">
        <v>72</v>
      </c>
      <c r="AP101" s="2">
        <v>4.89015378E8</v>
      </c>
      <c r="AQ101" s="1" t="s">
        <v>217</v>
      </c>
      <c r="AR101" s="2">
        <v>45806.797951388886</v>
      </c>
      <c r="AU101" s="1" t="s">
        <v>64</v>
      </c>
      <c r="AW101" s="1" t="s">
        <v>191</v>
      </c>
      <c r="AY101" s="2">
        <v>95.0</v>
      </c>
    </row>
    <row r="102">
      <c r="A102" s="1" t="s">
        <v>51</v>
      </c>
      <c r="C102" s="1" t="s">
        <v>151</v>
      </c>
      <c r="E102" s="1" t="s">
        <v>53</v>
      </c>
      <c r="F102" s="1" t="s">
        <v>102</v>
      </c>
      <c r="G102" s="2">
        <v>38.0</v>
      </c>
      <c r="H102" s="1" t="s">
        <v>66</v>
      </c>
      <c r="I102" s="1" t="s">
        <v>67</v>
      </c>
      <c r="J102" s="1" t="s">
        <v>68</v>
      </c>
      <c r="K102" s="1" t="s">
        <v>74</v>
      </c>
      <c r="M102" s="1" t="s">
        <v>58</v>
      </c>
      <c r="N102" s="1" t="s">
        <v>58</v>
      </c>
      <c r="O102" s="1" t="s">
        <v>58</v>
      </c>
      <c r="Q102" s="1" t="s">
        <v>58</v>
      </c>
      <c r="R102" s="1" t="s">
        <v>58</v>
      </c>
      <c r="S102" s="1" t="s">
        <v>58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81</v>
      </c>
      <c r="Y102" s="1" t="s">
        <v>60</v>
      </c>
      <c r="Z102" s="1" t="s">
        <v>61</v>
      </c>
      <c r="AA102" s="2">
        <v>10.0</v>
      </c>
      <c r="AB102" s="1" t="s">
        <v>62</v>
      </c>
      <c r="AC102" s="1" t="s">
        <v>71</v>
      </c>
      <c r="AF102" s="1" t="s">
        <v>51</v>
      </c>
      <c r="AG102" s="1" t="s">
        <v>72</v>
      </c>
      <c r="AI102" s="2">
        <v>0.0</v>
      </c>
      <c r="AJ102" s="2">
        <v>0.0</v>
      </c>
      <c r="AK102" s="2">
        <v>0.0</v>
      </c>
      <c r="AL102" s="2">
        <v>1.0</v>
      </c>
      <c r="AM102" s="1" t="s">
        <v>72</v>
      </c>
      <c r="AP102" s="2">
        <v>4.89056347E8</v>
      </c>
      <c r="AQ102" s="1" t="s">
        <v>218</v>
      </c>
      <c r="AR102" s="2">
        <v>45806.863912037035</v>
      </c>
      <c r="AU102" s="1" t="s">
        <v>64</v>
      </c>
      <c r="AW102" s="1" t="s">
        <v>165</v>
      </c>
      <c r="AY102" s="2">
        <v>96.0</v>
      </c>
    </row>
    <row r="103">
      <c r="A103" s="1" t="s">
        <v>51</v>
      </c>
      <c r="C103" s="1" t="s">
        <v>53</v>
      </c>
      <c r="E103" s="1" t="s">
        <v>53</v>
      </c>
      <c r="F103" s="1" t="s">
        <v>102</v>
      </c>
      <c r="G103" s="2">
        <v>39.0</v>
      </c>
      <c r="H103" s="1" t="s">
        <v>55</v>
      </c>
      <c r="I103" s="1" t="s">
        <v>121</v>
      </c>
      <c r="J103" s="1" t="s">
        <v>86</v>
      </c>
      <c r="K103" s="1" t="s">
        <v>74</v>
      </c>
      <c r="M103" s="1" t="s">
        <v>58</v>
      </c>
      <c r="N103" s="1" t="s">
        <v>58</v>
      </c>
      <c r="O103" s="1" t="s">
        <v>58</v>
      </c>
      <c r="Q103" s="1" t="s">
        <v>69</v>
      </c>
      <c r="R103" s="1" t="s">
        <v>58</v>
      </c>
      <c r="S103" s="1" t="s">
        <v>69</v>
      </c>
      <c r="T103" s="1" t="s">
        <v>69</v>
      </c>
      <c r="U103" s="1" t="s">
        <v>69</v>
      </c>
      <c r="V103" s="1" t="s">
        <v>58</v>
      </c>
      <c r="W103" s="1" t="s">
        <v>69</v>
      </c>
      <c r="X103" s="1" t="s">
        <v>59</v>
      </c>
      <c r="Y103" s="1" t="s">
        <v>60</v>
      </c>
      <c r="Z103" s="1" t="s">
        <v>61</v>
      </c>
      <c r="AA103" s="2">
        <v>100.0</v>
      </c>
      <c r="AB103" s="1" t="s">
        <v>62</v>
      </c>
      <c r="AC103" s="1" t="s">
        <v>72</v>
      </c>
      <c r="AF103" s="1" t="s">
        <v>51</v>
      </c>
      <c r="AG103" s="1" t="s">
        <v>51</v>
      </c>
      <c r="AH103" s="2">
        <v>500.0</v>
      </c>
      <c r="AI103" s="2">
        <v>0.0</v>
      </c>
      <c r="AJ103" s="2">
        <v>1.0</v>
      </c>
      <c r="AK103" s="2">
        <v>0.0</v>
      </c>
      <c r="AL103" s="2">
        <v>0.0</v>
      </c>
      <c r="AM103" s="1" t="s">
        <v>51</v>
      </c>
      <c r="AN103" s="2">
        <v>6.94715148E8</v>
      </c>
      <c r="AP103" s="2">
        <v>4.89145506E8</v>
      </c>
      <c r="AQ103" s="1" t="s">
        <v>219</v>
      </c>
      <c r="AR103" s="2">
        <v>45807.1694212963</v>
      </c>
      <c r="AU103" s="1" t="s">
        <v>64</v>
      </c>
      <c r="AW103" s="1" t="s">
        <v>191</v>
      </c>
      <c r="AY103" s="2">
        <v>97.0</v>
      </c>
    </row>
    <row r="104">
      <c r="A104" s="1" t="s">
        <v>51</v>
      </c>
      <c r="C104" s="1" t="s">
        <v>53</v>
      </c>
      <c r="E104" s="1" t="s">
        <v>53</v>
      </c>
      <c r="F104" s="1" t="s">
        <v>102</v>
      </c>
      <c r="G104" s="2">
        <v>54.0</v>
      </c>
      <c r="H104" s="1" t="s">
        <v>66</v>
      </c>
      <c r="I104" s="1" t="s">
        <v>121</v>
      </c>
      <c r="J104" s="1" t="s">
        <v>86</v>
      </c>
      <c r="K104" s="1" t="s">
        <v>87</v>
      </c>
      <c r="M104" s="1" t="s">
        <v>58</v>
      </c>
      <c r="N104" s="1" t="s">
        <v>58</v>
      </c>
      <c r="O104" s="1" t="s">
        <v>58</v>
      </c>
      <c r="Q104" s="1" t="s">
        <v>69</v>
      </c>
      <c r="R104" s="1" t="s">
        <v>69</v>
      </c>
      <c r="S104" s="1" t="s">
        <v>58</v>
      </c>
      <c r="T104" s="1" t="s">
        <v>69</v>
      </c>
      <c r="U104" s="1" t="s">
        <v>58</v>
      </c>
      <c r="V104" s="1" t="s">
        <v>58</v>
      </c>
      <c r="W104" s="1" t="s">
        <v>69</v>
      </c>
      <c r="X104" s="1" t="s">
        <v>81</v>
      </c>
      <c r="Y104" s="1" t="s">
        <v>95</v>
      </c>
      <c r="Z104" s="1" t="s">
        <v>61</v>
      </c>
      <c r="AA104" s="2">
        <v>100.0</v>
      </c>
      <c r="AB104" s="1" t="s">
        <v>62</v>
      </c>
      <c r="AC104" s="1" t="s">
        <v>71</v>
      </c>
      <c r="AF104" s="1" t="s">
        <v>51</v>
      </c>
      <c r="AG104" s="1" t="s">
        <v>51</v>
      </c>
      <c r="AH104" s="2">
        <v>2000.0</v>
      </c>
      <c r="AI104" s="2">
        <v>0.0</v>
      </c>
      <c r="AJ104" s="2">
        <v>0.0</v>
      </c>
      <c r="AK104" s="2">
        <v>0.0</v>
      </c>
      <c r="AL104" s="2">
        <v>1.0</v>
      </c>
      <c r="AM104" s="1" t="s">
        <v>51</v>
      </c>
      <c r="AN104" s="2">
        <v>7.81400075E8</v>
      </c>
      <c r="AP104" s="2">
        <v>4.89150112E8</v>
      </c>
      <c r="AQ104" s="1" t="s">
        <v>220</v>
      </c>
      <c r="AR104" s="2">
        <v>45807.18351851852</v>
      </c>
      <c r="AU104" s="1" t="s">
        <v>64</v>
      </c>
      <c r="AW104" s="1" t="s">
        <v>191</v>
      </c>
      <c r="AY104" s="2">
        <v>98.0</v>
      </c>
    </row>
    <row r="105">
      <c r="A105" s="1" t="s">
        <v>51</v>
      </c>
      <c r="C105" s="1" t="s">
        <v>53</v>
      </c>
      <c r="E105" s="1" t="s">
        <v>53</v>
      </c>
      <c r="F105" s="1" t="s">
        <v>221</v>
      </c>
      <c r="G105" s="2">
        <v>41.0</v>
      </c>
      <c r="H105" s="1" t="s">
        <v>55</v>
      </c>
      <c r="I105" s="1" t="s">
        <v>121</v>
      </c>
      <c r="J105" s="1" t="s">
        <v>56</v>
      </c>
      <c r="K105" s="1" t="s">
        <v>87</v>
      </c>
      <c r="M105" s="1" t="s">
        <v>58</v>
      </c>
      <c r="N105" s="1" t="s">
        <v>58</v>
      </c>
      <c r="O105" s="1" t="s">
        <v>70</v>
      </c>
      <c r="Q105" s="1" t="s">
        <v>70</v>
      </c>
      <c r="R105" s="1" t="s">
        <v>58</v>
      </c>
      <c r="S105" s="1" t="s">
        <v>69</v>
      </c>
      <c r="T105" s="1" t="s">
        <v>69</v>
      </c>
      <c r="U105" s="1" t="s">
        <v>58</v>
      </c>
      <c r="V105" s="1" t="s">
        <v>58</v>
      </c>
      <c r="W105" s="1" t="s">
        <v>70</v>
      </c>
      <c r="X105" s="1" t="s">
        <v>59</v>
      </c>
      <c r="Z105" s="1" t="s">
        <v>89</v>
      </c>
      <c r="AA105" s="2">
        <v>50.0</v>
      </c>
      <c r="AB105" s="1" t="s">
        <v>62</v>
      </c>
      <c r="AC105" s="1" t="s">
        <v>51</v>
      </c>
      <c r="AD105" s="1" t="s">
        <v>59</v>
      </c>
      <c r="AE105" s="1" t="s">
        <v>51</v>
      </c>
      <c r="AF105" s="1" t="s">
        <v>51</v>
      </c>
      <c r="AG105" s="1" t="s">
        <v>51</v>
      </c>
      <c r="AH105" s="2">
        <v>50.0</v>
      </c>
      <c r="AI105" s="2">
        <v>0.0</v>
      </c>
      <c r="AJ105" s="2">
        <v>0.0</v>
      </c>
      <c r="AK105" s="2">
        <v>0.0</v>
      </c>
      <c r="AL105" s="2">
        <v>1.0</v>
      </c>
      <c r="AM105" s="1" t="s">
        <v>72</v>
      </c>
      <c r="AP105" s="2">
        <v>4.89158046E8</v>
      </c>
      <c r="AQ105" s="1" t="s">
        <v>222</v>
      </c>
      <c r="AR105" s="2">
        <v>45807.200844907406</v>
      </c>
      <c r="AU105" s="1" t="s">
        <v>64</v>
      </c>
      <c r="AW105" s="1" t="s">
        <v>191</v>
      </c>
      <c r="AY105" s="2">
        <v>99.0</v>
      </c>
    </row>
    <row r="106">
      <c r="A106" s="1" t="s">
        <v>51</v>
      </c>
      <c r="C106" s="1" t="s">
        <v>53</v>
      </c>
      <c r="E106" s="1" t="s">
        <v>53</v>
      </c>
      <c r="F106" s="1" t="s">
        <v>54</v>
      </c>
      <c r="G106" s="2">
        <v>30.0</v>
      </c>
      <c r="H106" s="1" t="s">
        <v>66</v>
      </c>
      <c r="I106" s="1" t="s">
        <v>121</v>
      </c>
      <c r="J106" s="1" t="s">
        <v>86</v>
      </c>
      <c r="K106" s="1" t="s">
        <v>87</v>
      </c>
      <c r="M106" s="1" t="s">
        <v>69</v>
      </c>
      <c r="N106" s="1" t="s">
        <v>58</v>
      </c>
      <c r="O106" s="1" t="s">
        <v>69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81</v>
      </c>
      <c r="Y106" s="1" t="s">
        <v>82</v>
      </c>
      <c r="Z106" s="1" t="s">
        <v>89</v>
      </c>
      <c r="AA106" s="2">
        <v>100.0</v>
      </c>
      <c r="AB106" s="1" t="s">
        <v>79</v>
      </c>
      <c r="AC106" s="1" t="s">
        <v>71</v>
      </c>
      <c r="AF106" s="1" t="s">
        <v>51</v>
      </c>
      <c r="AG106" s="1" t="s">
        <v>51</v>
      </c>
      <c r="AH106" s="2">
        <v>125.0</v>
      </c>
      <c r="AI106" s="2">
        <v>1.0</v>
      </c>
      <c r="AJ106" s="2">
        <v>1.0</v>
      </c>
      <c r="AK106" s="2">
        <v>1.0</v>
      </c>
      <c r="AL106" s="2">
        <v>0.0</v>
      </c>
      <c r="AM106" s="1" t="s">
        <v>51</v>
      </c>
      <c r="AN106" s="2">
        <v>7.22406196E8</v>
      </c>
      <c r="AP106" s="2">
        <v>4.8916466E8</v>
      </c>
      <c r="AQ106" s="1" t="s">
        <v>223</v>
      </c>
      <c r="AR106" s="2">
        <v>45807.217141203706</v>
      </c>
      <c r="AU106" s="1" t="s">
        <v>64</v>
      </c>
      <c r="AW106" s="1" t="s">
        <v>191</v>
      </c>
      <c r="AY106" s="2">
        <v>100.0</v>
      </c>
    </row>
    <row r="107">
      <c r="A107" s="1" t="s">
        <v>51</v>
      </c>
      <c r="C107" s="1" t="s">
        <v>52</v>
      </c>
      <c r="E107" s="1" t="s">
        <v>53</v>
      </c>
      <c r="F107" s="1" t="s">
        <v>54</v>
      </c>
      <c r="G107" s="2">
        <v>40.0</v>
      </c>
      <c r="H107" s="1" t="s">
        <v>55</v>
      </c>
      <c r="I107" s="1" t="s">
        <v>67</v>
      </c>
      <c r="J107" s="1" t="s">
        <v>86</v>
      </c>
      <c r="K107" s="1" t="s">
        <v>87</v>
      </c>
      <c r="M107" s="1" t="s">
        <v>58</v>
      </c>
      <c r="N107" s="1" t="s">
        <v>58</v>
      </c>
      <c r="O107" s="1" t="s">
        <v>69</v>
      </c>
      <c r="Q107" s="1" t="s">
        <v>69</v>
      </c>
      <c r="R107" s="1" t="s">
        <v>58</v>
      </c>
      <c r="S107" s="1" t="s">
        <v>69</v>
      </c>
      <c r="T107" s="1" t="s">
        <v>69</v>
      </c>
      <c r="U107" s="1" t="s">
        <v>58</v>
      </c>
      <c r="V107" s="1" t="s">
        <v>58</v>
      </c>
      <c r="W107" s="1" t="s">
        <v>69</v>
      </c>
      <c r="X107" s="1" t="s">
        <v>88</v>
      </c>
      <c r="Y107" s="1" t="s">
        <v>95</v>
      </c>
      <c r="Z107" s="1" t="s">
        <v>96</v>
      </c>
      <c r="AA107" s="2">
        <v>100.0</v>
      </c>
      <c r="AB107" s="1" t="s">
        <v>79</v>
      </c>
      <c r="AC107" s="1" t="s">
        <v>51</v>
      </c>
      <c r="AD107" s="1" t="s">
        <v>103</v>
      </c>
      <c r="AE107" s="1" t="s">
        <v>51</v>
      </c>
      <c r="AF107" s="1" t="s">
        <v>51</v>
      </c>
      <c r="AG107" s="1" t="s">
        <v>72</v>
      </c>
      <c r="AI107" s="2">
        <v>0.0</v>
      </c>
      <c r="AJ107" s="2">
        <v>1.0</v>
      </c>
      <c r="AK107" s="2">
        <v>0.0</v>
      </c>
      <c r="AL107" s="2">
        <v>0.0</v>
      </c>
      <c r="AM107" s="1" t="s">
        <v>51</v>
      </c>
      <c r="AN107" s="2">
        <v>7.49037713E8</v>
      </c>
      <c r="AP107" s="2">
        <v>4.89165434E8</v>
      </c>
      <c r="AQ107" s="1" t="s">
        <v>224</v>
      </c>
      <c r="AR107" s="2">
        <v>45807.21875</v>
      </c>
      <c r="AU107" s="1" t="s">
        <v>64</v>
      </c>
      <c r="AW107" s="1" t="s">
        <v>191</v>
      </c>
      <c r="AY107" s="2">
        <v>101.0</v>
      </c>
    </row>
    <row r="108">
      <c r="A108" s="1" t="s">
        <v>51</v>
      </c>
      <c r="C108" s="1" t="s">
        <v>53</v>
      </c>
      <c r="E108" s="1" t="s">
        <v>53</v>
      </c>
      <c r="F108" s="1" t="s">
        <v>225</v>
      </c>
      <c r="G108" s="2">
        <v>37.0</v>
      </c>
      <c r="H108" s="1" t="s">
        <v>66</v>
      </c>
      <c r="I108" s="1" t="s">
        <v>121</v>
      </c>
      <c r="J108" s="1" t="s">
        <v>56</v>
      </c>
      <c r="K108" s="1" t="s">
        <v>87</v>
      </c>
      <c r="M108" s="1" t="s">
        <v>58</v>
      </c>
      <c r="N108" s="1" t="s">
        <v>58</v>
      </c>
      <c r="O108" s="1" t="s">
        <v>58</v>
      </c>
      <c r="Q108" s="1" t="s">
        <v>69</v>
      </c>
      <c r="R108" s="1" t="s">
        <v>58</v>
      </c>
      <c r="S108" s="1" t="s">
        <v>58</v>
      </c>
      <c r="T108" s="1" t="s">
        <v>69</v>
      </c>
      <c r="U108" s="1" t="s">
        <v>58</v>
      </c>
      <c r="V108" s="1" t="s">
        <v>58</v>
      </c>
      <c r="W108" s="1" t="s">
        <v>69</v>
      </c>
      <c r="X108" s="1" t="s">
        <v>59</v>
      </c>
      <c r="Y108" s="1" t="s">
        <v>60</v>
      </c>
      <c r="Z108" s="1" t="s">
        <v>61</v>
      </c>
      <c r="AA108" s="2">
        <v>50.0</v>
      </c>
      <c r="AB108" s="1" t="s">
        <v>79</v>
      </c>
      <c r="AC108" s="1" t="s">
        <v>71</v>
      </c>
      <c r="AF108" s="1" t="s">
        <v>51</v>
      </c>
      <c r="AG108" s="1" t="s">
        <v>51</v>
      </c>
      <c r="AI108" s="2">
        <v>1.0</v>
      </c>
      <c r="AJ108" s="2">
        <v>1.0</v>
      </c>
      <c r="AK108" s="2">
        <v>1.0</v>
      </c>
      <c r="AL108" s="2">
        <v>0.0</v>
      </c>
      <c r="AM108" s="1" t="s">
        <v>51</v>
      </c>
      <c r="AN108" s="2">
        <v>7.63000151E8</v>
      </c>
      <c r="AP108" s="2">
        <v>4.89181341E8</v>
      </c>
      <c r="AQ108" s="1" t="s">
        <v>226</v>
      </c>
      <c r="AR108" s="2">
        <v>45807.250439814816</v>
      </c>
      <c r="AU108" s="1" t="s">
        <v>64</v>
      </c>
      <c r="AW108" s="1" t="s">
        <v>191</v>
      </c>
      <c r="AY108" s="2">
        <v>102.0</v>
      </c>
    </row>
    <row r="109">
      <c r="A109" s="1" t="s">
        <v>51</v>
      </c>
      <c r="C109" s="1" t="s">
        <v>151</v>
      </c>
      <c r="E109" s="1" t="s">
        <v>151</v>
      </c>
      <c r="G109" s="2">
        <v>39.0</v>
      </c>
      <c r="H109" s="1" t="s">
        <v>66</v>
      </c>
      <c r="J109" s="1" t="s">
        <v>86</v>
      </c>
      <c r="K109" s="1" t="s">
        <v>87</v>
      </c>
      <c r="M109" s="1" t="s">
        <v>58</v>
      </c>
      <c r="N109" s="1" t="s">
        <v>70</v>
      </c>
      <c r="O109" s="1" t="s">
        <v>69</v>
      </c>
      <c r="Q109" s="1" t="s">
        <v>69</v>
      </c>
      <c r="R109" s="1" t="s">
        <v>58</v>
      </c>
      <c r="S109" s="1" t="s">
        <v>69</v>
      </c>
      <c r="T109" s="1" t="s">
        <v>69</v>
      </c>
      <c r="U109" s="1" t="s">
        <v>58</v>
      </c>
      <c r="V109" s="1" t="s">
        <v>69</v>
      </c>
      <c r="W109" s="1" t="s">
        <v>69</v>
      </c>
      <c r="X109" s="1" t="s">
        <v>103</v>
      </c>
      <c r="Y109" s="1" t="s">
        <v>227</v>
      </c>
      <c r="Z109" s="1" t="s">
        <v>96</v>
      </c>
      <c r="AA109" s="2">
        <v>10.0</v>
      </c>
      <c r="AB109" s="1" t="s">
        <v>79</v>
      </c>
      <c r="AC109" s="1" t="s">
        <v>71</v>
      </c>
      <c r="AF109" s="1" t="s">
        <v>51</v>
      </c>
      <c r="AG109" s="1" t="s">
        <v>51</v>
      </c>
      <c r="AH109" s="2">
        <v>4000.0</v>
      </c>
      <c r="AI109" s="2">
        <v>1.0</v>
      </c>
      <c r="AJ109" s="2">
        <v>1.0</v>
      </c>
      <c r="AK109" s="2">
        <v>0.0</v>
      </c>
      <c r="AL109" s="2">
        <v>0.0</v>
      </c>
      <c r="AP109" s="2">
        <v>4.89189157E8</v>
      </c>
      <c r="AQ109" s="1" t="s">
        <v>228</v>
      </c>
      <c r="AR109" s="2">
        <v>45807.262337962966</v>
      </c>
      <c r="AU109" s="1" t="s">
        <v>64</v>
      </c>
      <c r="AW109" s="1" t="s">
        <v>191</v>
      </c>
      <c r="AY109" s="2">
        <v>103.0</v>
      </c>
    </row>
    <row r="110">
      <c r="A110" s="1" t="s">
        <v>51</v>
      </c>
      <c r="C110" s="1" t="s">
        <v>151</v>
      </c>
      <c r="E110" s="1" t="s">
        <v>151</v>
      </c>
      <c r="G110" s="2">
        <v>37.0</v>
      </c>
      <c r="H110" s="1" t="s">
        <v>55</v>
      </c>
      <c r="J110" s="1" t="s">
        <v>56</v>
      </c>
      <c r="K110" s="1" t="s">
        <v>92</v>
      </c>
      <c r="M110" s="1" t="s">
        <v>58</v>
      </c>
      <c r="N110" s="1" t="s">
        <v>58</v>
      </c>
      <c r="O110" s="1" t="s">
        <v>69</v>
      </c>
      <c r="Q110" s="1" t="s">
        <v>69</v>
      </c>
      <c r="R110" s="1" t="s">
        <v>58</v>
      </c>
      <c r="S110" s="1" t="s">
        <v>58</v>
      </c>
      <c r="T110" s="1" t="s">
        <v>58</v>
      </c>
      <c r="U110" s="1" t="s">
        <v>69</v>
      </c>
      <c r="V110" s="1" t="s">
        <v>58</v>
      </c>
      <c r="W110" s="1" t="s">
        <v>69</v>
      </c>
      <c r="X110" s="1" t="s">
        <v>81</v>
      </c>
      <c r="Y110" s="1" t="s">
        <v>60</v>
      </c>
      <c r="Z110" s="1" t="s">
        <v>89</v>
      </c>
      <c r="AA110" s="2">
        <v>100.0</v>
      </c>
      <c r="AB110" s="1" t="s">
        <v>62</v>
      </c>
      <c r="AC110" s="1" t="s">
        <v>71</v>
      </c>
      <c r="AF110" s="1" t="s">
        <v>51</v>
      </c>
      <c r="AG110" s="1" t="s">
        <v>72</v>
      </c>
      <c r="AI110" s="2">
        <v>0.0</v>
      </c>
      <c r="AJ110" s="2">
        <v>0.0</v>
      </c>
      <c r="AK110" s="2">
        <v>0.0</v>
      </c>
      <c r="AL110" s="2">
        <v>1.0</v>
      </c>
      <c r="AP110" s="2">
        <v>4.89193078E8</v>
      </c>
      <c r="AQ110" s="1" t="s">
        <v>229</v>
      </c>
      <c r="AR110" s="2">
        <v>45807.26929398148</v>
      </c>
      <c r="AU110" s="1" t="s">
        <v>64</v>
      </c>
      <c r="AW110" s="1" t="s">
        <v>191</v>
      </c>
      <c r="AY110" s="2">
        <v>104.0</v>
      </c>
    </row>
    <row r="111">
      <c r="A111" s="1" t="s">
        <v>51</v>
      </c>
      <c r="C111" s="1" t="s">
        <v>151</v>
      </c>
      <c r="E111" s="1" t="s">
        <v>53</v>
      </c>
      <c r="F111" s="1" t="s">
        <v>102</v>
      </c>
      <c r="G111" s="2">
        <v>39.0</v>
      </c>
      <c r="H111" s="1" t="s">
        <v>55</v>
      </c>
      <c r="I111" s="1" t="s">
        <v>67</v>
      </c>
      <c r="J111" s="1" t="s">
        <v>86</v>
      </c>
      <c r="K111" s="1" t="s">
        <v>87</v>
      </c>
      <c r="M111" s="1" t="s">
        <v>58</v>
      </c>
      <c r="N111" s="1" t="s">
        <v>58</v>
      </c>
      <c r="O111" s="1" t="s">
        <v>58</v>
      </c>
      <c r="Q111" s="1" t="s">
        <v>58</v>
      </c>
      <c r="R111" s="1" t="s">
        <v>58</v>
      </c>
      <c r="S111" s="1" t="s">
        <v>70</v>
      </c>
      <c r="T111" s="1" t="s">
        <v>70</v>
      </c>
      <c r="U111" s="1" t="s">
        <v>58</v>
      </c>
      <c r="V111" s="1" t="s">
        <v>58</v>
      </c>
      <c r="W111" s="1" t="s">
        <v>69</v>
      </c>
      <c r="X111" s="1" t="s">
        <v>59</v>
      </c>
      <c r="Y111" s="1" t="s">
        <v>95</v>
      </c>
      <c r="Z111" s="1" t="s">
        <v>89</v>
      </c>
      <c r="AA111" s="2">
        <v>100.0</v>
      </c>
      <c r="AB111" s="1" t="s">
        <v>79</v>
      </c>
      <c r="AC111" s="1" t="s">
        <v>71</v>
      </c>
      <c r="AF111" s="1" t="s">
        <v>51</v>
      </c>
      <c r="AG111" s="1" t="s">
        <v>72</v>
      </c>
      <c r="AI111" s="2">
        <v>0.0</v>
      </c>
      <c r="AJ111" s="2">
        <v>0.0</v>
      </c>
      <c r="AK111" s="2">
        <v>0.0</v>
      </c>
      <c r="AL111" s="2">
        <v>1.0</v>
      </c>
      <c r="AM111" s="1" t="s">
        <v>72</v>
      </c>
      <c r="AP111" s="2">
        <v>4.89233461E8</v>
      </c>
      <c r="AQ111" s="1" t="s">
        <v>230</v>
      </c>
      <c r="AR111" s="2">
        <v>45807.329305555555</v>
      </c>
      <c r="AU111" s="1" t="s">
        <v>64</v>
      </c>
      <c r="AW111" s="1" t="s">
        <v>191</v>
      </c>
      <c r="AY111" s="2">
        <v>105.0</v>
      </c>
    </row>
    <row r="112">
      <c r="A112" s="1" t="s">
        <v>51</v>
      </c>
      <c r="C112" s="1" t="s">
        <v>53</v>
      </c>
      <c r="E112" s="1" t="s">
        <v>53</v>
      </c>
      <c r="F112" s="1" t="s">
        <v>102</v>
      </c>
      <c r="G112" s="2">
        <v>20.0</v>
      </c>
      <c r="H112" s="1" t="s">
        <v>66</v>
      </c>
      <c r="I112" s="1" t="s">
        <v>121</v>
      </c>
      <c r="J112" s="1" t="s">
        <v>56</v>
      </c>
      <c r="K112" s="1" t="s">
        <v>74</v>
      </c>
      <c r="M112" s="1" t="s">
        <v>58</v>
      </c>
      <c r="N112" s="1" t="s">
        <v>58</v>
      </c>
      <c r="O112" s="1" t="s">
        <v>58</v>
      </c>
      <c r="Q112" s="1" t="s">
        <v>69</v>
      </c>
      <c r="R112" s="1" t="s">
        <v>70</v>
      </c>
      <c r="S112" s="1" t="s">
        <v>69</v>
      </c>
      <c r="T112" s="1" t="s">
        <v>69</v>
      </c>
      <c r="U112" s="1" t="s">
        <v>58</v>
      </c>
      <c r="V112" s="1" t="s">
        <v>58</v>
      </c>
      <c r="W112" s="1" t="s">
        <v>69</v>
      </c>
      <c r="X112" s="1" t="s">
        <v>81</v>
      </c>
      <c r="Y112" s="1" t="s">
        <v>82</v>
      </c>
      <c r="Z112" s="1" t="s">
        <v>89</v>
      </c>
      <c r="AA112" s="2">
        <v>50.0</v>
      </c>
      <c r="AB112" s="1" t="s">
        <v>79</v>
      </c>
      <c r="AC112" s="1" t="s">
        <v>51</v>
      </c>
      <c r="AD112" s="1" t="s">
        <v>81</v>
      </c>
      <c r="AE112" s="1" t="s">
        <v>72</v>
      </c>
      <c r="AF112" s="1" t="s">
        <v>51</v>
      </c>
      <c r="AG112" s="1" t="s">
        <v>51</v>
      </c>
      <c r="AH112" s="2">
        <v>15000.0</v>
      </c>
      <c r="AI112" s="2">
        <v>0.0</v>
      </c>
      <c r="AJ112" s="2">
        <v>1.0</v>
      </c>
      <c r="AK112" s="2">
        <v>0.0</v>
      </c>
      <c r="AL112" s="2">
        <v>0.0</v>
      </c>
      <c r="AM112" s="1" t="s">
        <v>51</v>
      </c>
      <c r="AN112" s="2">
        <v>7.9184213E7</v>
      </c>
      <c r="AP112" s="2">
        <v>4.89236468E8</v>
      </c>
      <c r="AQ112" s="1" t="s">
        <v>231</v>
      </c>
      <c r="AR112" s="2">
        <v>45807.3325462963</v>
      </c>
      <c r="AU112" s="1" t="s">
        <v>64</v>
      </c>
      <c r="AW112" s="1" t="s">
        <v>191</v>
      </c>
      <c r="AY112" s="2">
        <v>106.0</v>
      </c>
    </row>
    <row r="113">
      <c r="A113" s="1" t="s">
        <v>51</v>
      </c>
      <c r="C113" s="1" t="s">
        <v>151</v>
      </c>
      <c r="E113" s="1" t="s">
        <v>53</v>
      </c>
      <c r="F113" s="1" t="s">
        <v>232</v>
      </c>
      <c r="G113" s="2">
        <v>67.0</v>
      </c>
      <c r="H113" s="1" t="s">
        <v>233</v>
      </c>
      <c r="I113" s="1" t="s">
        <v>67</v>
      </c>
      <c r="J113" s="1" t="s">
        <v>68</v>
      </c>
      <c r="K113" s="1" t="s">
        <v>57</v>
      </c>
      <c r="M113" s="1" t="s">
        <v>58</v>
      </c>
      <c r="N113" s="1" t="s">
        <v>58</v>
      </c>
      <c r="O113" s="1" t="s">
        <v>69</v>
      </c>
      <c r="Q113" s="1" t="s">
        <v>70</v>
      </c>
      <c r="R113" s="1" t="s">
        <v>58</v>
      </c>
      <c r="S113" s="1" t="s">
        <v>70</v>
      </c>
      <c r="T113" s="1" t="s">
        <v>69</v>
      </c>
      <c r="U113" s="1" t="s">
        <v>70</v>
      </c>
      <c r="V113" s="1" t="s">
        <v>69</v>
      </c>
      <c r="W113" s="1" t="s">
        <v>58</v>
      </c>
      <c r="X113" s="1" t="s">
        <v>59</v>
      </c>
      <c r="Y113" s="1" t="s">
        <v>82</v>
      </c>
      <c r="Z113" s="1" t="s">
        <v>61</v>
      </c>
      <c r="AA113" s="2">
        <v>10.0</v>
      </c>
      <c r="AB113" s="1" t="s">
        <v>28</v>
      </c>
      <c r="AC113" s="1" t="s">
        <v>71</v>
      </c>
      <c r="AF113" s="1" t="s">
        <v>51</v>
      </c>
      <c r="AG113" s="1" t="s">
        <v>51</v>
      </c>
      <c r="AH113" s="2">
        <v>1000.0</v>
      </c>
      <c r="AI113" s="2">
        <v>0.0</v>
      </c>
      <c r="AJ113" s="2">
        <v>0.0</v>
      </c>
      <c r="AK113" s="2">
        <v>0.0</v>
      </c>
      <c r="AL113" s="2">
        <v>1.0</v>
      </c>
      <c r="AM113" s="1" t="s">
        <v>51</v>
      </c>
      <c r="AN113" s="2">
        <v>6.06449998E8</v>
      </c>
      <c r="AP113" s="2">
        <v>4.89241333E8</v>
      </c>
      <c r="AQ113" s="1" t="s">
        <v>234</v>
      </c>
      <c r="AR113" s="2">
        <v>45807.338796296295</v>
      </c>
      <c r="AU113" s="1" t="s">
        <v>64</v>
      </c>
      <c r="AW113" s="1" t="s">
        <v>191</v>
      </c>
      <c r="AY113" s="2">
        <v>107.0</v>
      </c>
    </row>
    <row r="114">
      <c r="A114" s="1" t="s">
        <v>51</v>
      </c>
      <c r="C114" s="1" t="s">
        <v>151</v>
      </c>
      <c r="E114" s="1" t="s">
        <v>151</v>
      </c>
      <c r="G114" s="2">
        <v>38.0</v>
      </c>
      <c r="H114" s="1" t="s">
        <v>66</v>
      </c>
      <c r="J114" s="1" t="s">
        <v>86</v>
      </c>
      <c r="K114" s="1" t="s">
        <v>87</v>
      </c>
      <c r="M114" s="1" t="s">
        <v>58</v>
      </c>
      <c r="N114" s="1" t="s">
        <v>58</v>
      </c>
      <c r="O114" s="1" t="s">
        <v>58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58</v>
      </c>
      <c r="V114" s="1" t="s">
        <v>69</v>
      </c>
      <c r="W114" s="1" t="s">
        <v>69</v>
      </c>
      <c r="X114" s="1" t="s">
        <v>81</v>
      </c>
      <c r="Y114" s="1" t="s">
        <v>82</v>
      </c>
      <c r="Z114" s="1" t="s">
        <v>89</v>
      </c>
      <c r="AA114" s="2">
        <v>100.0</v>
      </c>
      <c r="AB114" s="1" t="s">
        <v>28</v>
      </c>
      <c r="AC114" s="1" t="s">
        <v>51</v>
      </c>
      <c r="AD114" s="1" t="s">
        <v>81</v>
      </c>
      <c r="AE114" s="1" t="s">
        <v>51</v>
      </c>
      <c r="AF114" s="1" t="s">
        <v>51</v>
      </c>
      <c r="AG114" s="1" t="s">
        <v>51</v>
      </c>
      <c r="AH114" s="2">
        <v>2000.0</v>
      </c>
      <c r="AI114" s="2">
        <v>1.0</v>
      </c>
      <c r="AJ114" s="2">
        <v>1.0</v>
      </c>
      <c r="AK114" s="2">
        <v>0.0</v>
      </c>
      <c r="AL114" s="2">
        <v>0.0</v>
      </c>
      <c r="AP114" s="2">
        <v>4.89249492E8</v>
      </c>
      <c r="AQ114" s="1" t="s">
        <v>235</v>
      </c>
      <c r="AR114" s="2">
        <v>45807.348333333335</v>
      </c>
      <c r="AU114" s="1" t="s">
        <v>64</v>
      </c>
      <c r="AW114" s="1" t="s">
        <v>191</v>
      </c>
      <c r="AY114" s="2">
        <v>108.0</v>
      </c>
    </row>
    <row r="115">
      <c r="A115" s="1" t="s">
        <v>51</v>
      </c>
      <c r="C115" s="1" t="s">
        <v>170</v>
      </c>
      <c r="E115" s="1" t="s">
        <v>53</v>
      </c>
      <c r="F115" s="1" t="s">
        <v>102</v>
      </c>
      <c r="G115" s="2">
        <v>32.0</v>
      </c>
      <c r="I115" s="1" t="s">
        <v>67</v>
      </c>
      <c r="J115" s="1" t="s">
        <v>56</v>
      </c>
      <c r="K115" s="1" t="s">
        <v>74</v>
      </c>
      <c r="M115" s="1" t="s">
        <v>58</v>
      </c>
      <c r="N115" s="1" t="s">
        <v>58</v>
      </c>
      <c r="O115" s="1" t="s">
        <v>69</v>
      </c>
      <c r="Q115" s="1" t="s">
        <v>58</v>
      </c>
      <c r="R115" s="1" t="s">
        <v>58</v>
      </c>
      <c r="S115" s="1" t="s">
        <v>58</v>
      </c>
      <c r="T115" s="1" t="s">
        <v>70</v>
      </c>
      <c r="U115" s="1" t="s">
        <v>58</v>
      </c>
      <c r="V115" s="1" t="s">
        <v>70</v>
      </c>
      <c r="W115" s="1" t="s">
        <v>70</v>
      </c>
      <c r="X115" s="1" t="s">
        <v>81</v>
      </c>
      <c r="Y115" s="1" t="s">
        <v>82</v>
      </c>
      <c r="Z115" s="1" t="s">
        <v>89</v>
      </c>
      <c r="AA115" s="2">
        <v>10.0</v>
      </c>
      <c r="AB115" s="1" t="s">
        <v>79</v>
      </c>
      <c r="AC115" s="1" t="s">
        <v>51</v>
      </c>
      <c r="AD115" s="1" t="s">
        <v>81</v>
      </c>
      <c r="AE115" s="1" t="s">
        <v>51</v>
      </c>
      <c r="AF115" s="1" t="s">
        <v>51</v>
      </c>
      <c r="AG115" s="1" t="s">
        <v>51</v>
      </c>
      <c r="AH115" s="2">
        <v>500.0</v>
      </c>
      <c r="AI115" s="2">
        <v>0.0</v>
      </c>
      <c r="AJ115" s="2">
        <v>0.0</v>
      </c>
      <c r="AK115" s="2">
        <v>0.0</v>
      </c>
      <c r="AL115" s="2">
        <v>1.0</v>
      </c>
      <c r="AM115" s="1" t="s">
        <v>51</v>
      </c>
      <c r="AN115" s="2">
        <v>8.15520878E8</v>
      </c>
      <c r="AP115" s="2">
        <v>4.89250792E8</v>
      </c>
      <c r="AQ115" s="1" t="s">
        <v>236</v>
      </c>
      <c r="AR115" s="2">
        <v>45807.35</v>
      </c>
      <c r="AU115" s="1" t="s">
        <v>64</v>
      </c>
      <c r="AW115" s="1" t="s">
        <v>191</v>
      </c>
      <c r="AY115" s="2">
        <v>109.0</v>
      </c>
    </row>
    <row r="116">
      <c r="A116" s="1" t="s">
        <v>51</v>
      </c>
      <c r="C116" s="1" t="s">
        <v>53</v>
      </c>
      <c r="E116" s="1" t="s">
        <v>151</v>
      </c>
      <c r="G116" s="2">
        <v>28.0</v>
      </c>
      <c r="H116" s="1" t="s">
        <v>233</v>
      </c>
      <c r="J116" s="1" t="s">
        <v>56</v>
      </c>
      <c r="K116" s="1" t="s">
        <v>74</v>
      </c>
      <c r="M116" s="1" t="s">
        <v>58</v>
      </c>
      <c r="N116" s="1" t="s">
        <v>58</v>
      </c>
      <c r="O116" s="1" t="s">
        <v>58</v>
      </c>
      <c r="Q116" s="1" t="s">
        <v>58</v>
      </c>
      <c r="R116" s="1" t="s">
        <v>58</v>
      </c>
      <c r="S116" s="1" t="s">
        <v>70</v>
      </c>
      <c r="T116" s="1" t="s">
        <v>69</v>
      </c>
      <c r="U116" s="1" t="s">
        <v>58</v>
      </c>
      <c r="V116" s="1" t="s">
        <v>58</v>
      </c>
      <c r="W116" s="1" t="s">
        <v>69</v>
      </c>
      <c r="X116" s="1" t="s">
        <v>59</v>
      </c>
      <c r="Y116" s="1" t="s">
        <v>60</v>
      </c>
      <c r="Z116" s="1" t="s">
        <v>108</v>
      </c>
      <c r="AA116" s="2">
        <v>50.0</v>
      </c>
      <c r="AB116" s="1" t="s">
        <v>62</v>
      </c>
      <c r="AC116" s="1" t="s">
        <v>71</v>
      </c>
      <c r="AF116" s="1" t="s">
        <v>51</v>
      </c>
      <c r="AG116" s="1" t="s">
        <v>51</v>
      </c>
      <c r="AH116" s="2">
        <v>600.0</v>
      </c>
      <c r="AI116" s="2">
        <v>0.0</v>
      </c>
      <c r="AJ116" s="2">
        <v>1.0</v>
      </c>
      <c r="AK116" s="2">
        <v>1.0</v>
      </c>
      <c r="AL116" s="2">
        <v>0.0</v>
      </c>
      <c r="AP116" s="2">
        <v>4.89263708E8</v>
      </c>
      <c r="AQ116" s="1" t="s">
        <v>237</v>
      </c>
      <c r="AR116" s="2">
        <v>45807.36615740741</v>
      </c>
      <c r="AU116" s="1" t="s">
        <v>64</v>
      </c>
      <c r="AW116" s="1" t="s">
        <v>191</v>
      </c>
      <c r="AY116" s="2">
        <v>110.0</v>
      </c>
    </row>
    <row r="117">
      <c r="A117" s="1" t="s">
        <v>51</v>
      </c>
      <c r="C117" s="1" t="s">
        <v>151</v>
      </c>
      <c r="E117" s="1" t="s">
        <v>151</v>
      </c>
      <c r="G117" s="2">
        <v>25.0</v>
      </c>
      <c r="H117" s="1" t="s">
        <v>66</v>
      </c>
      <c r="J117" s="1" t="s">
        <v>111</v>
      </c>
      <c r="M117" s="1" t="s">
        <v>58</v>
      </c>
      <c r="N117" s="1" t="s">
        <v>58</v>
      </c>
      <c r="O117" s="1" t="s">
        <v>69</v>
      </c>
      <c r="Q117" s="1" t="s">
        <v>58</v>
      </c>
      <c r="R117" s="1" t="s">
        <v>58</v>
      </c>
      <c r="S117" s="1" t="s">
        <v>69</v>
      </c>
      <c r="T117" s="1" t="s">
        <v>69</v>
      </c>
      <c r="U117" s="1" t="s">
        <v>70</v>
      </c>
      <c r="V117" s="1" t="s">
        <v>58</v>
      </c>
      <c r="W117" s="1" t="s">
        <v>58</v>
      </c>
      <c r="X117" s="1" t="s">
        <v>81</v>
      </c>
      <c r="Y117" s="1" t="s">
        <v>60</v>
      </c>
      <c r="Z117" s="1" t="s">
        <v>61</v>
      </c>
      <c r="AA117" s="2">
        <v>10.0</v>
      </c>
      <c r="AB117" s="1" t="s">
        <v>62</v>
      </c>
      <c r="AC117" s="1" t="s">
        <v>51</v>
      </c>
      <c r="AD117" s="1" t="s">
        <v>81</v>
      </c>
      <c r="AE117" s="1" t="s">
        <v>51</v>
      </c>
      <c r="AF117" s="1" t="s">
        <v>51</v>
      </c>
      <c r="AG117" s="1" t="s">
        <v>51</v>
      </c>
      <c r="AH117" s="2">
        <v>200.0</v>
      </c>
      <c r="AI117" s="2">
        <v>1.0</v>
      </c>
      <c r="AJ117" s="2">
        <v>0.0</v>
      </c>
      <c r="AK117" s="2">
        <v>1.0</v>
      </c>
      <c r="AL117" s="2">
        <v>0.0</v>
      </c>
      <c r="AP117" s="2">
        <v>4.89268248E8</v>
      </c>
      <c r="AQ117" s="1" t="s">
        <v>238</v>
      </c>
      <c r="AR117" s="2">
        <v>45807.370717592596</v>
      </c>
      <c r="AU117" s="1" t="s">
        <v>64</v>
      </c>
      <c r="AW117" s="1" t="s">
        <v>191</v>
      </c>
      <c r="AY117" s="2">
        <v>111.0</v>
      </c>
    </row>
    <row r="118">
      <c r="A118" s="1" t="s">
        <v>51</v>
      </c>
      <c r="C118" s="1" t="s">
        <v>151</v>
      </c>
      <c r="E118" s="1" t="s">
        <v>53</v>
      </c>
      <c r="F118" s="1" t="s">
        <v>54</v>
      </c>
      <c r="G118" s="2">
        <v>26.0</v>
      </c>
      <c r="H118" s="1" t="s">
        <v>55</v>
      </c>
      <c r="I118" s="1" t="s">
        <v>67</v>
      </c>
      <c r="J118" s="1" t="s">
        <v>56</v>
      </c>
      <c r="K118" s="1" t="s">
        <v>87</v>
      </c>
      <c r="M118" s="1" t="s">
        <v>58</v>
      </c>
      <c r="N118" s="1" t="s">
        <v>58</v>
      </c>
      <c r="O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59</v>
      </c>
      <c r="Y118" s="1" t="s">
        <v>60</v>
      </c>
      <c r="Z118" s="1" t="s">
        <v>89</v>
      </c>
      <c r="AA118" s="2">
        <v>10.0</v>
      </c>
      <c r="AB118" s="1" t="s">
        <v>79</v>
      </c>
      <c r="AC118" s="1" t="s">
        <v>51</v>
      </c>
      <c r="AD118" s="1" t="s">
        <v>81</v>
      </c>
      <c r="AE118" s="1" t="s">
        <v>51</v>
      </c>
      <c r="AF118" s="1" t="s">
        <v>51</v>
      </c>
      <c r="AG118" s="1" t="s">
        <v>51</v>
      </c>
      <c r="AH118" s="2">
        <v>1000.0</v>
      </c>
      <c r="AI118" s="2">
        <v>0.0</v>
      </c>
      <c r="AJ118" s="2">
        <v>1.0</v>
      </c>
      <c r="AK118" s="2">
        <v>0.0</v>
      </c>
      <c r="AL118" s="2">
        <v>0.0</v>
      </c>
      <c r="AM118" s="1" t="s">
        <v>51</v>
      </c>
      <c r="AN118" s="2">
        <v>6.32773846E8</v>
      </c>
      <c r="AP118" s="2">
        <v>4.89280512E8</v>
      </c>
      <c r="AQ118" s="1" t="s">
        <v>239</v>
      </c>
      <c r="AR118" s="2">
        <v>45807.384930555556</v>
      </c>
      <c r="AU118" s="1" t="s">
        <v>64</v>
      </c>
      <c r="AW118" s="1" t="s">
        <v>191</v>
      </c>
      <c r="AY118" s="2">
        <v>112.0</v>
      </c>
    </row>
    <row r="119">
      <c r="A119" s="1" t="s">
        <v>51</v>
      </c>
      <c r="C119" s="1" t="s">
        <v>154</v>
      </c>
      <c r="E119" s="1" t="s">
        <v>154</v>
      </c>
      <c r="G119" s="2">
        <v>38.0</v>
      </c>
      <c r="H119" s="1" t="s">
        <v>66</v>
      </c>
      <c r="J119" s="1" t="s">
        <v>86</v>
      </c>
      <c r="K119" s="1" t="s">
        <v>87</v>
      </c>
      <c r="M119" s="1" t="s">
        <v>58</v>
      </c>
      <c r="N119" s="1" t="s">
        <v>58</v>
      </c>
      <c r="O119" s="1" t="s">
        <v>69</v>
      </c>
      <c r="Q119" s="1" t="s">
        <v>69</v>
      </c>
      <c r="R119" s="1" t="s">
        <v>69</v>
      </c>
      <c r="S119" s="1" t="s">
        <v>58</v>
      </c>
      <c r="T119" s="1" t="s">
        <v>58</v>
      </c>
      <c r="U119" s="1" t="s">
        <v>70</v>
      </c>
      <c r="V119" s="1" t="s">
        <v>58</v>
      </c>
      <c r="W119" s="1" t="s">
        <v>70</v>
      </c>
      <c r="X119" s="1" t="s">
        <v>81</v>
      </c>
      <c r="Y119" s="1" t="s">
        <v>60</v>
      </c>
      <c r="Z119" s="1" t="s">
        <v>96</v>
      </c>
      <c r="AA119" s="2">
        <v>50.0</v>
      </c>
      <c r="AB119" s="1" t="s">
        <v>62</v>
      </c>
      <c r="AC119" s="1" t="s">
        <v>71</v>
      </c>
      <c r="AF119" s="1" t="s">
        <v>51</v>
      </c>
      <c r="AG119" s="1" t="s">
        <v>51</v>
      </c>
      <c r="AH119" s="2">
        <v>5000.0</v>
      </c>
      <c r="AI119" s="2">
        <v>0.0</v>
      </c>
      <c r="AJ119" s="2">
        <v>0.0</v>
      </c>
      <c r="AK119" s="2">
        <v>0.0</v>
      </c>
      <c r="AL119" s="2">
        <v>1.0</v>
      </c>
      <c r="AP119" s="2">
        <v>4.89360254E8</v>
      </c>
      <c r="AQ119" s="1" t="s">
        <v>240</v>
      </c>
      <c r="AR119" s="2">
        <v>45807.47440972222</v>
      </c>
      <c r="AU119" s="1" t="s">
        <v>64</v>
      </c>
      <c r="AW119" s="1" t="s">
        <v>191</v>
      </c>
      <c r="AY119" s="2">
        <v>113.0</v>
      </c>
    </row>
    <row r="120">
      <c r="A120" s="1" t="s">
        <v>51</v>
      </c>
      <c r="C120" s="1" t="s">
        <v>154</v>
      </c>
      <c r="E120" s="1" t="s">
        <v>154</v>
      </c>
      <c r="G120" s="2">
        <v>32.0</v>
      </c>
      <c r="H120" s="1" t="s">
        <v>66</v>
      </c>
      <c r="J120" s="1" t="s">
        <v>86</v>
      </c>
      <c r="K120" s="1" t="s">
        <v>87</v>
      </c>
      <c r="M120" s="1" t="s">
        <v>58</v>
      </c>
      <c r="N120" s="1" t="s">
        <v>58</v>
      </c>
      <c r="O120" s="1" t="s">
        <v>58</v>
      </c>
      <c r="Q120" s="1" t="s">
        <v>69</v>
      </c>
      <c r="R120" s="1" t="s">
        <v>58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59</v>
      </c>
      <c r="Y120" s="1" t="s">
        <v>95</v>
      </c>
      <c r="Z120" s="1" t="s">
        <v>89</v>
      </c>
      <c r="AA120" s="2">
        <v>100.0</v>
      </c>
      <c r="AB120" s="1" t="s">
        <v>28</v>
      </c>
      <c r="AC120" s="1" t="s">
        <v>71</v>
      </c>
      <c r="AF120" s="1" t="s">
        <v>51</v>
      </c>
      <c r="AG120" s="1" t="s">
        <v>51</v>
      </c>
      <c r="AH120" s="2">
        <v>500.0</v>
      </c>
      <c r="AI120" s="2">
        <v>1.0</v>
      </c>
      <c r="AJ120" s="2">
        <v>0.0</v>
      </c>
      <c r="AK120" s="2">
        <v>0.0</v>
      </c>
      <c r="AL120" s="2">
        <v>0.0</v>
      </c>
      <c r="AP120" s="2">
        <v>4.89382361E8</v>
      </c>
      <c r="AQ120" s="1" t="s">
        <v>241</v>
      </c>
      <c r="AR120" s="2">
        <v>45807.495983796296</v>
      </c>
      <c r="AU120" s="1" t="s">
        <v>64</v>
      </c>
      <c r="AW120" s="1" t="s">
        <v>191</v>
      </c>
      <c r="AY120" s="2">
        <v>114.0</v>
      </c>
    </row>
    <row r="121">
      <c r="A121" s="1" t="s">
        <v>51</v>
      </c>
      <c r="C121" s="1" t="s">
        <v>154</v>
      </c>
      <c r="E121" s="1" t="s">
        <v>154</v>
      </c>
      <c r="G121" s="2">
        <v>51.0</v>
      </c>
      <c r="H121" s="1" t="s">
        <v>66</v>
      </c>
      <c r="J121" s="1" t="s">
        <v>86</v>
      </c>
      <c r="K121" s="1" t="s">
        <v>87</v>
      </c>
      <c r="M121" s="1" t="s">
        <v>58</v>
      </c>
      <c r="N121" s="1" t="s">
        <v>58</v>
      </c>
      <c r="O121" s="1" t="s">
        <v>58</v>
      </c>
      <c r="Q121" s="1" t="s">
        <v>58</v>
      </c>
      <c r="R121" s="1" t="s">
        <v>58</v>
      </c>
      <c r="S121" s="1" t="s">
        <v>69</v>
      </c>
      <c r="T121" s="1" t="s">
        <v>69</v>
      </c>
      <c r="U121" s="1" t="s">
        <v>58</v>
      </c>
      <c r="V121" s="1" t="s">
        <v>58</v>
      </c>
      <c r="W121" s="1" t="s">
        <v>69</v>
      </c>
      <c r="X121" s="1" t="s">
        <v>59</v>
      </c>
      <c r="Y121" s="1" t="s">
        <v>82</v>
      </c>
      <c r="Z121" s="1" t="s">
        <v>89</v>
      </c>
      <c r="AA121" s="2">
        <v>30.0</v>
      </c>
      <c r="AB121" s="1" t="s">
        <v>79</v>
      </c>
      <c r="AC121" s="1" t="s">
        <v>51</v>
      </c>
      <c r="AD121" s="1" t="s">
        <v>59</v>
      </c>
      <c r="AE121" s="1" t="s">
        <v>51</v>
      </c>
      <c r="AF121" s="1" t="s">
        <v>51</v>
      </c>
      <c r="AG121" s="1" t="s">
        <v>51</v>
      </c>
      <c r="AH121" s="2">
        <v>500.0</v>
      </c>
      <c r="AI121" s="2">
        <v>1.0</v>
      </c>
      <c r="AJ121" s="2">
        <v>0.0</v>
      </c>
      <c r="AK121" s="2">
        <v>1.0</v>
      </c>
      <c r="AL121" s="2">
        <v>0.0</v>
      </c>
      <c r="AP121" s="2">
        <v>4.89384259E8</v>
      </c>
      <c r="AQ121" s="1" t="s">
        <v>242</v>
      </c>
      <c r="AR121" s="2">
        <v>45807.49796296296</v>
      </c>
      <c r="AU121" s="1" t="s">
        <v>64</v>
      </c>
      <c r="AW121" s="1" t="s">
        <v>191</v>
      </c>
      <c r="AY121" s="2">
        <v>115.0</v>
      </c>
    </row>
    <row r="122">
      <c r="A122" s="1" t="s">
        <v>51</v>
      </c>
      <c r="C122" s="1" t="s">
        <v>52</v>
      </c>
      <c r="E122" s="1" t="s">
        <v>154</v>
      </c>
      <c r="G122" s="2">
        <v>38.0</v>
      </c>
      <c r="H122" s="1" t="s">
        <v>55</v>
      </c>
      <c r="J122" s="1" t="s">
        <v>56</v>
      </c>
      <c r="K122" s="1" t="s">
        <v>87</v>
      </c>
      <c r="M122" s="1" t="s">
        <v>58</v>
      </c>
      <c r="N122" s="1" t="s">
        <v>58</v>
      </c>
      <c r="O122" s="1" t="s">
        <v>69</v>
      </c>
      <c r="Q122" s="1" t="s">
        <v>58</v>
      </c>
      <c r="R122" s="1" t="s">
        <v>58</v>
      </c>
      <c r="S122" s="1" t="s">
        <v>69</v>
      </c>
      <c r="T122" s="1" t="s">
        <v>69</v>
      </c>
      <c r="U122" s="1" t="s">
        <v>69</v>
      </c>
      <c r="V122" s="1" t="s">
        <v>58</v>
      </c>
      <c r="W122" s="1" t="s">
        <v>70</v>
      </c>
      <c r="X122" s="1" t="s">
        <v>88</v>
      </c>
      <c r="Y122" s="1" t="s">
        <v>95</v>
      </c>
      <c r="Z122" s="1" t="s">
        <v>108</v>
      </c>
      <c r="AA122" s="2">
        <v>100.0</v>
      </c>
      <c r="AB122" s="1" t="s">
        <v>62</v>
      </c>
      <c r="AC122" s="1" t="s">
        <v>51</v>
      </c>
      <c r="AD122" s="1" t="s">
        <v>59</v>
      </c>
      <c r="AE122" s="1" t="s">
        <v>51</v>
      </c>
      <c r="AF122" s="1" t="s">
        <v>51</v>
      </c>
      <c r="AG122" s="1" t="s">
        <v>72</v>
      </c>
      <c r="AI122" s="2">
        <v>1.0</v>
      </c>
      <c r="AJ122" s="2">
        <v>0.0</v>
      </c>
      <c r="AK122" s="2">
        <v>1.0</v>
      </c>
      <c r="AL122" s="2">
        <v>0.0</v>
      </c>
      <c r="AP122" s="2">
        <v>4.89387431E8</v>
      </c>
      <c r="AQ122" s="1" t="s">
        <v>243</v>
      </c>
      <c r="AR122" s="2">
        <v>45807.501284722224</v>
      </c>
      <c r="AU122" s="1" t="s">
        <v>64</v>
      </c>
      <c r="AW122" s="1" t="s">
        <v>191</v>
      </c>
      <c r="AY122" s="2">
        <v>116.0</v>
      </c>
    </row>
    <row r="123">
      <c r="A123" s="1" t="s">
        <v>51</v>
      </c>
      <c r="C123" s="1" t="s">
        <v>52</v>
      </c>
      <c r="E123" s="1" t="s">
        <v>53</v>
      </c>
      <c r="F123" s="1" t="s">
        <v>54</v>
      </c>
      <c r="G123" s="2">
        <v>29.0</v>
      </c>
      <c r="H123" s="1" t="s">
        <v>66</v>
      </c>
      <c r="I123" s="1" t="s">
        <v>67</v>
      </c>
      <c r="J123" s="1" t="s">
        <v>111</v>
      </c>
      <c r="K123" s="1" t="s">
        <v>87</v>
      </c>
      <c r="M123" s="1" t="s">
        <v>58</v>
      </c>
      <c r="N123" s="1" t="s">
        <v>58</v>
      </c>
      <c r="O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59</v>
      </c>
      <c r="Y123" s="1" t="s">
        <v>95</v>
      </c>
      <c r="Z123" s="1" t="s">
        <v>89</v>
      </c>
      <c r="AA123" s="2">
        <v>100.0</v>
      </c>
      <c r="AB123" s="1" t="s">
        <v>79</v>
      </c>
      <c r="AC123" s="1" t="s">
        <v>51</v>
      </c>
      <c r="AD123" s="1" t="s">
        <v>59</v>
      </c>
      <c r="AE123" s="1" t="s">
        <v>51</v>
      </c>
      <c r="AF123" s="1" t="s">
        <v>51</v>
      </c>
      <c r="AG123" s="1" t="s">
        <v>51</v>
      </c>
      <c r="AH123" s="2">
        <v>1000.0</v>
      </c>
      <c r="AI123" s="2">
        <v>0.0</v>
      </c>
      <c r="AJ123" s="2">
        <v>1.0</v>
      </c>
      <c r="AK123" s="2">
        <v>0.0</v>
      </c>
      <c r="AL123" s="2">
        <v>0.0</v>
      </c>
      <c r="AM123" s="1" t="s">
        <v>51</v>
      </c>
      <c r="AP123" s="2">
        <v>4.89403673E8</v>
      </c>
      <c r="AQ123" s="1" t="s">
        <v>244</v>
      </c>
      <c r="AR123" s="2">
        <v>45807.516435185185</v>
      </c>
      <c r="AU123" s="1" t="s">
        <v>64</v>
      </c>
      <c r="AW123" s="1" t="s">
        <v>191</v>
      </c>
      <c r="AY123" s="2">
        <v>117.0</v>
      </c>
    </row>
    <row r="124">
      <c r="A124" s="1" t="s">
        <v>51</v>
      </c>
      <c r="C124" s="1" t="s">
        <v>151</v>
      </c>
      <c r="E124" s="1" t="s">
        <v>151</v>
      </c>
      <c r="G124" s="2">
        <v>53.0</v>
      </c>
      <c r="H124" s="1" t="s">
        <v>55</v>
      </c>
      <c r="J124" s="1" t="s">
        <v>56</v>
      </c>
      <c r="K124" s="1" t="s">
        <v>74</v>
      </c>
      <c r="M124" s="1" t="s">
        <v>58</v>
      </c>
      <c r="N124" s="1" t="s">
        <v>58</v>
      </c>
      <c r="O124" s="1" t="s">
        <v>58</v>
      </c>
      <c r="Q124" s="1" t="s">
        <v>69</v>
      </c>
      <c r="S124" s="1" t="s">
        <v>58</v>
      </c>
      <c r="T124" s="1" t="s">
        <v>69</v>
      </c>
      <c r="U124" s="1" t="s">
        <v>70</v>
      </c>
      <c r="V124" s="1" t="s">
        <v>58</v>
      </c>
      <c r="W124" s="1" t="s">
        <v>58</v>
      </c>
      <c r="X124" s="1" t="s">
        <v>81</v>
      </c>
      <c r="Y124" s="1" t="s">
        <v>82</v>
      </c>
      <c r="Z124" s="1" t="s">
        <v>61</v>
      </c>
      <c r="AA124" s="2">
        <v>10.0</v>
      </c>
      <c r="AB124" s="1" t="s">
        <v>79</v>
      </c>
      <c r="AC124" s="1" t="s">
        <v>71</v>
      </c>
      <c r="AF124" s="1" t="s">
        <v>51</v>
      </c>
      <c r="AG124" s="1" t="s">
        <v>72</v>
      </c>
      <c r="AI124" s="2">
        <v>0.0</v>
      </c>
      <c r="AJ124" s="2">
        <v>0.0</v>
      </c>
      <c r="AK124" s="2">
        <v>0.0</v>
      </c>
      <c r="AL124" s="2">
        <v>1.0</v>
      </c>
      <c r="AP124" s="2">
        <v>4.89426769E8</v>
      </c>
      <c r="AQ124" s="1" t="s">
        <v>245</v>
      </c>
      <c r="AR124" s="2">
        <v>45807.5375</v>
      </c>
      <c r="AU124" s="1" t="s">
        <v>64</v>
      </c>
      <c r="AW124" s="1" t="s">
        <v>191</v>
      </c>
      <c r="AY124" s="2">
        <v>118.0</v>
      </c>
    </row>
    <row r="125">
      <c r="A125" s="1" t="s">
        <v>51</v>
      </c>
      <c r="C125" s="1" t="s">
        <v>52</v>
      </c>
      <c r="G125" s="2">
        <v>56.0</v>
      </c>
      <c r="H125" s="1" t="s">
        <v>66</v>
      </c>
      <c r="J125" s="1" t="s">
        <v>86</v>
      </c>
      <c r="K125" s="1" t="s">
        <v>87</v>
      </c>
      <c r="M125" s="1" t="s">
        <v>58</v>
      </c>
      <c r="N125" s="1" t="s">
        <v>58</v>
      </c>
      <c r="O125" s="1" t="s">
        <v>58</v>
      </c>
      <c r="Q125" s="1" t="s">
        <v>69</v>
      </c>
      <c r="R125" s="1" t="s">
        <v>58</v>
      </c>
      <c r="S125" s="1" t="s">
        <v>69</v>
      </c>
      <c r="T125" s="1" t="s">
        <v>58</v>
      </c>
      <c r="U125" s="1" t="s">
        <v>58</v>
      </c>
      <c r="V125" s="1" t="s">
        <v>58</v>
      </c>
      <c r="W125" s="1" t="s">
        <v>69</v>
      </c>
      <c r="X125" s="1" t="s">
        <v>88</v>
      </c>
      <c r="Y125" s="1" t="s">
        <v>95</v>
      </c>
      <c r="Z125" s="1" t="s">
        <v>89</v>
      </c>
      <c r="AA125" s="2">
        <v>100.0</v>
      </c>
      <c r="AB125" s="1" t="s">
        <v>79</v>
      </c>
      <c r="AC125" s="1" t="s">
        <v>51</v>
      </c>
      <c r="AD125" s="1" t="s">
        <v>88</v>
      </c>
      <c r="AE125" s="1" t="s">
        <v>72</v>
      </c>
      <c r="AF125" s="1" t="s">
        <v>51</v>
      </c>
      <c r="AG125" s="1" t="s">
        <v>72</v>
      </c>
      <c r="AI125" s="2">
        <v>0.0</v>
      </c>
      <c r="AJ125" s="2">
        <v>0.0</v>
      </c>
      <c r="AK125" s="2">
        <v>1.0</v>
      </c>
      <c r="AL125" s="2">
        <v>0.0</v>
      </c>
      <c r="AP125" s="2">
        <v>4.89436305E8</v>
      </c>
      <c r="AQ125" s="1" t="s">
        <v>246</v>
      </c>
      <c r="AR125" s="2">
        <v>45807.54646990741</v>
      </c>
      <c r="AU125" s="1" t="s">
        <v>64</v>
      </c>
      <c r="AW125" s="1" t="s">
        <v>191</v>
      </c>
      <c r="AY125" s="2">
        <v>119.0</v>
      </c>
    </row>
    <row r="126">
      <c r="A126" s="1" t="s">
        <v>51</v>
      </c>
      <c r="C126" s="1" t="s">
        <v>52</v>
      </c>
      <c r="E126" s="1" t="s">
        <v>53</v>
      </c>
      <c r="F126" s="1" t="s">
        <v>54</v>
      </c>
      <c r="G126" s="2">
        <v>43.0</v>
      </c>
      <c r="H126" s="1" t="s">
        <v>66</v>
      </c>
      <c r="I126" s="1" t="s">
        <v>67</v>
      </c>
      <c r="J126" s="1" t="s">
        <v>86</v>
      </c>
      <c r="K126" s="1" t="s">
        <v>87</v>
      </c>
      <c r="M126" s="1" t="s">
        <v>58</v>
      </c>
      <c r="N126" s="1" t="s">
        <v>58</v>
      </c>
      <c r="O126" s="1" t="s">
        <v>69</v>
      </c>
      <c r="Q126" s="1" t="s">
        <v>58</v>
      </c>
      <c r="R126" s="1" t="s">
        <v>58</v>
      </c>
      <c r="S126" s="1" t="s">
        <v>58</v>
      </c>
      <c r="U126" s="1" t="s">
        <v>58</v>
      </c>
      <c r="W126" s="1" t="s">
        <v>58</v>
      </c>
      <c r="X126" s="1" t="s">
        <v>88</v>
      </c>
      <c r="Y126" s="1" t="s">
        <v>95</v>
      </c>
      <c r="Z126" s="1" t="s">
        <v>61</v>
      </c>
      <c r="AA126" s="2">
        <v>100.0</v>
      </c>
      <c r="AB126" s="1" t="s">
        <v>79</v>
      </c>
      <c r="AC126" s="1" t="s">
        <v>71</v>
      </c>
      <c r="AF126" s="1" t="s">
        <v>72</v>
      </c>
      <c r="AG126" s="1" t="s">
        <v>72</v>
      </c>
      <c r="AI126" s="2">
        <v>0.0</v>
      </c>
      <c r="AJ126" s="2">
        <v>0.0</v>
      </c>
      <c r="AK126" s="2">
        <v>0.0</v>
      </c>
      <c r="AL126" s="2">
        <v>1.0</v>
      </c>
      <c r="AM126" s="1" t="s">
        <v>72</v>
      </c>
      <c r="AP126" s="2">
        <v>4.89486245E8</v>
      </c>
      <c r="AQ126" s="1" t="s">
        <v>247</v>
      </c>
      <c r="AR126" s="2">
        <v>45807.592002314814</v>
      </c>
      <c r="AU126" s="1" t="s">
        <v>64</v>
      </c>
      <c r="AW126" s="1" t="s">
        <v>191</v>
      </c>
      <c r="AY126" s="2">
        <v>120.0</v>
      </c>
    </row>
    <row r="127">
      <c r="A127" s="1" t="s">
        <v>51</v>
      </c>
      <c r="C127" s="1" t="s">
        <v>151</v>
      </c>
      <c r="E127" s="1" t="s">
        <v>105</v>
      </c>
      <c r="G127" s="2">
        <v>23.0</v>
      </c>
      <c r="H127" s="1" t="s">
        <v>66</v>
      </c>
      <c r="J127" s="1" t="s">
        <v>56</v>
      </c>
      <c r="K127" s="1" t="s">
        <v>74</v>
      </c>
      <c r="M127" s="1" t="s">
        <v>70</v>
      </c>
      <c r="N127" s="1" t="s">
        <v>70</v>
      </c>
      <c r="O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1" t="s">
        <v>70</v>
      </c>
      <c r="W127" s="1" t="s">
        <v>70</v>
      </c>
      <c r="X127" s="1" t="s">
        <v>103</v>
      </c>
      <c r="Y127" s="1" t="s">
        <v>227</v>
      </c>
      <c r="Z127" s="1" t="s">
        <v>96</v>
      </c>
      <c r="AA127" s="2">
        <v>10.0</v>
      </c>
      <c r="AB127" s="1" t="s">
        <v>62</v>
      </c>
      <c r="AC127" s="1" t="s">
        <v>71</v>
      </c>
      <c r="AF127" s="1" t="s">
        <v>72</v>
      </c>
      <c r="AG127" s="1" t="s">
        <v>72</v>
      </c>
      <c r="AI127" s="2">
        <v>0.0</v>
      </c>
      <c r="AJ127" s="2">
        <v>0.0</v>
      </c>
      <c r="AK127" s="2">
        <v>0.0</v>
      </c>
      <c r="AL127" s="2">
        <v>1.0</v>
      </c>
      <c r="AP127" s="2">
        <v>4.89492113E8</v>
      </c>
      <c r="AQ127" s="1" t="s">
        <v>248</v>
      </c>
      <c r="AR127" s="2">
        <v>45807.59732638889</v>
      </c>
      <c r="AU127" s="1" t="s">
        <v>64</v>
      </c>
      <c r="AW127" s="1" t="s">
        <v>191</v>
      </c>
      <c r="AY127" s="2">
        <v>121.0</v>
      </c>
    </row>
    <row r="128">
      <c r="A128" s="1" t="s">
        <v>51</v>
      </c>
      <c r="C128" s="1" t="s">
        <v>53</v>
      </c>
      <c r="E128" s="1" t="s">
        <v>53</v>
      </c>
      <c r="F128" s="1" t="s">
        <v>115</v>
      </c>
      <c r="G128" s="2">
        <v>19.0</v>
      </c>
      <c r="H128" s="1" t="s">
        <v>66</v>
      </c>
      <c r="I128" s="1" t="s">
        <v>121</v>
      </c>
      <c r="J128" s="1" t="s">
        <v>56</v>
      </c>
      <c r="K128" s="1" t="s">
        <v>74</v>
      </c>
      <c r="M128" s="1" t="s">
        <v>58</v>
      </c>
      <c r="N128" s="1" t="s">
        <v>58</v>
      </c>
      <c r="O128" s="1" t="s">
        <v>69</v>
      </c>
      <c r="Q128" s="1" t="s">
        <v>70</v>
      </c>
      <c r="R128" s="1" t="s">
        <v>58</v>
      </c>
      <c r="S128" s="1" t="s">
        <v>58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81</v>
      </c>
      <c r="Y128" s="1" t="s">
        <v>60</v>
      </c>
      <c r="Z128" s="1" t="s">
        <v>96</v>
      </c>
      <c r="AA128" s="2">
        <v>10.0</v>
      </c>
      <c r="AB128" s="1" t="s">
        <v>62</v>
      </c>
      <c r="AC128" s="1" t="s">
        <v>71</v>
      </c>
      <c r="AF128" s="1" t="s">
        <v>51</v>
      </c>
      <c r="AG128" s="1" t="s">
        <v>51</v>
      </c>
      <c r="AH128" s="2">
        <v>1000.0</v>
      </c>
      <c r="AI128" s="2">
        <v>1.0</v>
      </c>
      <c r="AJ128" s="2">
        <v>1.0</v>
      </c>
      <c r="AK128" s="2">
        <v>1.0</v>
      </c>
      <c r="AL128" s="2">
        <v>1.0</v>
      </c>
      <c r="AM128" s="1" t="s">
        <v>51</v>
      </c>
      <c r="AN128" s="2">
        <v>7.69618784E8</v>
      </c>
      <c r="AP128" s="2">
        <v>4.89502223E8</v>
      </c>
      <c r="AQ128" s="1" t="s">
        <v>249</v>
      </c>
      <c r="AR128" s="2">
        <v>45807.605266203704</v>
      </c>
      <c r="AU128" s="1" t="s">
        <v>64</v>
      </c>
      <c r="AW128" s="1" t="s">
        <v>191</v>
      </c>
      <c r="AY128" s="2">
        <v>122.0</v>
      </c>
    </row>
    <row r="129">
      <c r="A129" s="1" t="s">
        <v>51</v>
      </c>
      <c r="C129" s="1" t="s">
        <v>151</v>
      </c>
      <c r="E129" s="1" t="s">
        <v>53</v>
      </c>
      <c r="F129" s="1" t="s">
        <v>183</v>
      </c>
      <c r="G129" s="2">
        <v>47.0</v>
      </c>
      <c r="H129" s="1" t="s">
        <v>66</v>
      </c>
      <c r="I129" s="1" t="s">
        <v>67</v>
      </c>
      <c r="J129" s="1" t="s">
        <v>86</v>
      </c>
      <c r="K129" s="1" t="s">
        <v>87</v>
      </c>
      <c r="M129" s="1" t="s">
        <v>58</v>
      </c>
      <c r="N129" s="1" t="s">
        <v>58</v>
      </c>
      <c r="O129" s="1" t="s">
        <v>69</v>
      </c>
      <c r="S129" s="1" t="s">
        <v>69</v>
      </c>
      <c r="U129" s="1" t="s">
        <v>70</v>
      </c>
      <c r="W129" s="1" t="s">
        <v>69</v>
      </c>
      <c r="X129" s="1" t="s">
        <v>88</v>
      </c>
      <c r="Y129" s="1" t="s">
        <v>95</v>
      </c>
      <c r="AB129" s="1" t="s">
        <v>62</v>
      </c>
      <c r="AC129" s="1" t="s">
        <v>71</v>
      </c>
      <c r="AF129" s="1" t="s">
        <v>72</v>
      </c>
      <c r="AG129" s="1" t="s">
        <v>72</v>
      </c>
      <c r="AI129" s="2">
        <v>0.0</v>
      </c>
      <c r="AJ129" s="2">
        <v>0.0</v>
      </c>
      <c r="AK129" s="2">
        <v>0.0</v>
      </c>
      <c r="AL129" s="2">
        <v>1.0</v>
      </c>
      <c r="AM129" s="1" t="s">
        <v>72</v>
      </c>
      <c r="AP129" s="2">
        <v>4.89520831E8</v>
      </c>
      <c r="AQ129" s="1" t="s">
        <v>250</v>
      </c>
      <c r="AR129" s="2">
        <v>45807.62122685185</v>
      </c>
      <c r="AU129" s="1" t="s">
        <v>64</v>
      </c>
      <c r="AW129" s="1" t="s">
        <v>191</v>
      </c>
      <c r="AY129" s="2">
        <v>123.0</v>
      </c>
    </row>
    <row r="130">
      <c r="A130" s="1" t="s">
        <v>51</v>
      </c>
      <c r="C130" s="1" t="s">
        <v>52</v>
      </c>
      <c r="E130" s="1" t="s">
        <v>52</v>
      </c>
      <c r="G130" s="2">
        <v>35.0</v>
      </c>
      <c r="H130" s="1" t="s">
        <v>66</v>
      </c>
      <c r="J130" s="1" t="s">
        <v>86</v>
      </c>
      <c r="K130" s="1" t="s">
        <v>87</v>
      </c>
      <c r="M130" s="1" t="s">
        <v>58</v>
      </c>
      <c r="N130" s="1" t="s">
        <v>58</v>
      </c>
      <c r="O130" s="1" t="s">
        <v>58</v>
      </c>
      <c r="Q130" s="1" t="s">
        <v>69</v>
      </c>
      <c r="R130" s="1" t="s">
        <v>58</v>
      </c>
      <c r="S130" s="1" t="s">
        <v>69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59</v>
      </c>
      <c r="Y130" s="1" t="s">
        <v>95</v>
      </c>
      <c r="Z130" s="1" t="s">
        <v>89</v>
      </c>
      <c r="AA130" s="2">
        <v>30.0</v>
      </c>
      <c r="AB130" s="1" t="s">
        <v>79</v>
      </c>
      <c r="AC130" s="1" t="s">
        <v>71</v>
      </c>
      <c r="AF130" s="1" t="s">
        <v>51</v>
      </c>
      <c r="AG130" s="1" t="s">
        <v>72</v>
      </c>
      <c r="AI130" s="2">
        <v>0.0</v>
      </c>
      <c r="AJ130" s="2">
        <v>0.0</v>
      </c>
      <c r="AK130" s="2">
        <v>1.0</v>
      </c>
      <c r="AL130" s="2">
        <v>0.0</v>
      </c>
      <c r="AP130" s="2">
        <v>4.89573455E8</v>
      </c>
      <c r="AQ130" s="1" t="s">
        <v>251</v>
      </c>
      <c r="AR130" s="2">
        <v>45807.666863425926</v>
      </c>
      <c r="AU130" s="1" t="s">
        <v>64</v>
      </c>
      <c r="AW130" s="1" t="s">
        <v>191</v>
      </c>
      <c r="AY130" s="2">
        <v>124.0</v>
      </c>
    </row>
    <row r="131">
      <c r="A131" s="1" t="s">
        <v>51</v>
      </c>
      <c r="G131" s="2">
        <v>35.0</v>
      </c>
      <c r="AP131" s="2">
        <v>4.89573911E8</v>
      </c>
      <c r="AQ131" s="1" t="s">
        <v>252</v>
      </c>
      <c r="AR131" s="2">
        <v>45807.66736111111</v>
      </c>
      <c r="AU131" s="1" t="s">
        <v>64</v>
      </c>
      <c r="AW131" s="1" t="s">
        <v>191</v>
      </c>
      <c r="AY131" s="2">
        <v>125.0</v>
      </c>
    </row>
    <row r="132">
      <c r="A132" s="1" t="s">
        <v>51</v>
      </c>
      <c r="C132" s="1" t="s">
        <v>151</v>
      </c>
      <c r="E132" s="1" t="s">
        <v>151</v>
      </c>
      <c r="G132" s="2">
        <v>43.0</v>
      </c>
      <c r="H132" s="1" t="s">
        <v>66</v>
      </c>
      <c r="J132" s="1" t="s">
        <v>68</v>
      </c>
      <c r="K132" s="1" t="s">
        <v>92</v>
      </c>
      <c r="M132" s="1" t="s">
        <v>58</v>
      </c>
      <c r="N132" s="1" t="s">
        <v>58</v>
      </c>
      <c r="O132" s="1" t="s">
        <v>58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70</v>
      </c>
      <c r="V132" s="1" t="s">
        <v>58</v>
      </c>
      <c r="W132" s="1" t="s">
        <v>58</v>
      </c>
      <c r="X132" s="1" t="s">
        <v>81</v>
      </c>
      <c r="Y132" s="1" t="s">
        <v>82</v>
      </c>
      <c r="Z132" s="1" t="s">
        <v>61</v>
      </c>
      <c r="AA132" s="2">
        <v>10.0</v>
      </c>
      <c r="AB132" s="1" t="s">
        <v>79</v>
      </c>
      <c r="AC132" s="1" t="s">
        <v>71</v>
      </c>
      <c r="AF132" s="1" t="s">
        <v>51</v>
      </c>
      <c r="AG132" s="1" t="s">
        <v>51</v>
      </c>
      <c r="AH132" s="2">
        <v>200.0</v>
      </c>
      <c r="AI132" s="2">
        <v>0.0</v>
      </c>
      <c r="AJ132" s="2">
        <v>0.0</v>
      </c>
      <c r="AK132" s="2">
        <v>1.0</v>
      </c>
      <c r="AL132" s="2">
        <v>0.0</v>
      </c>
      <c r="AP132" s="2">
        <v>4.89588789E8</v>
      </c>
      <c r="AQ132" s="1" t="s">
        <v>253</v>
      </c>
      <c r="AR132" s="2">
        <v>45807.679606481484</v>
      </c>
      <c r="AU132" s="1" t="s">
        <v>64</v>
      </c>
      <c r="AW132" s="1" t="s">
        <v>191</v>
      </c>
      <c r="AY132" s="2">
        <v>126.0</v>
      </c>
    </row>
    <row r="133">
      <c r="A133" s="1" t="s">
        <v>51</v>
      </c>
      <c r="C133" s="1" t="s">
        <v>151</v>
      </c>
      <c r="E133" s="1" t="s">
        <v>151</v>
      </c>
      <c r="G133" s="2">
        <v>33.0</v>
      </c>
      <c r="H133" s="1" t="s">
        <v>66</v>
      </c>
      <c r="J133" s="1" t="s">
        <v>56</v>
      </c>
      <c r="K133" s="1" t="s">
        <v>78</v>
      </c>
      <c r="M133" s="1" t="s">
        <v>58</v>
      </c>
      <c r="N133" s="1" t="s">
        <v>58</v>
      </c>
      <c r="O133" s="1" t="s">
        <v>58</v>
      </c>
      <c r="Q133" s="1" t="s">
        <v>58</v>
      </c>
      <c r="R133" s="1" t="s">
        <v>70</v>
      </c>
      <c r="S133" s="1" t="s">
        <v>58</v>
      </c>
      <c r="T133" s="1" t="s">
        <v>70</v>
      </c>
      <c r="U133" s="1" t="s">
        <v>70</v>
      </c>
      <c r="V133" s="1" t="s">
        <v>70</v>
      </c>
      <c r="W133" s="1" t="s">
        <v>58</v>
      </c>
      <c r="X133" s="1" t="s">
        <v>81</v>
      </c>
      <c r="Z133" s="1" t="s">
        <v>61</v>
      </c>
      <c r="AA133" s="2">
        <v>10.0</v>
      </c>
      <c r="AB133" s="1" t="s">
        <v>28</v>
      </c>
      <c r="AC133" s="1" t="s">
        <v>71</v>
      </c>
      <c r="AF133" s="1" t="s">
        <v>72</v>
      </c>
      <c r="AG133" s="1" t="s">
        <v>51</v>
      </c>
      <c r="AH133" s="2">
        <v>1000.0</v>
      </c>
      <c r="AI133" s="2">
        <v>0.0</v>
      </c>
      <c r="AJ133" s="2">
        <v>0.0</v>
      </c>
      <c r="AK133" s="2">
        <v>0.0</v>
      </c>
      <c r="AL133" s="2">
        <v>1.0</v>
      </c>
      <c r="AP133" s="2">
        <v>4.89629902E8</v>
      </c>
      <c r="AQ133" s="1" t="s">
        <v>254</v>
      </c>
      <c r="AR133" s="2">
        <v>45807.71865740741</v>
      </c>
      <c r="AU133" s="1" t="s">
        <v>64</v>
      </c>
      <c r="AW133" s="1" t="s">
        <v>255</v>
      </c>
      <c r="AY133" s="2">
        <v>127.0</v>
      </c>
    </row>
    <row r="134">
      <c r="A134" s="1" t="s">
        <v>51</v>
      </c>
      <c r="C134" s="1" t="s">
        <v>52</v>
      </c>
      <c r="E134" s="1" t="s">
        <v>105</v>
      </c>
      <c r="G134" s="2">
        <v>45.0</v>
      </c>
      <c r="H134" s="1" t="s">
        <v>55</v>
      </c>
      <c r="J134" s="1" t="s">
        <v>86</v>
      </c>
      <c r="M134" s="1" t="s">
        <v>58</v>
      </c>
      <c r="N134" s="1" t="s">
        <v>58</v>
      </c>
      <c r="O134" s="1" t="s">
        <v>58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1" t="s">
        <v>69</v>
      </c>
      <c r="X134" s="1" t="s">
        <v>88</v>
      </c>
      <c r="Y134" s="1" t="s">
        <v>95</v>
      </c>
      <c r="Z134" s="1" t="s">
        <v>108</v>
      </c>
      <c r="AA134" s="2">
        <v>100.0</v>
      </c>
      <c r="AB134" s="1" t="s">
        <v>79</v>
      </c>
      <c r="AC134" s="1" t="s">
        <v>51</v>
      </c>
      <c r="AD134" s="1" t="s">
        <v>88</v>
      </c>
      <c r="AE134" s="1" t="s">
        <v>51</v>
      </c>
      <c r="AF134" s="1" t="s">
        <v>51</v>
      </c>
      <c r="AG134" s="1" t="s">
        <v>51</v>
      </c>
      <c r="AH134" s="2">
        <v>10.0</v>
      </c>
      <c r="AI134" s="2">
        <v>1.0</v>
      </c>
      <c r="AJ134" s="2">
        <v>1.0</v>
      </c>
      <c r="AK134" s="2">
        <v>1.0</v>
      </c>
      <c r="AL134" s="2">
        <v>0.0</v>
      </c>
      <c r="AP134" s="2">
        <v>4.89787188E8</v>
      </c>
      <c r="AQ134" s="1" t="s">
        <v>256</v>
      </c>
      <c r="AR134" s="2">
        <v>45808.04665509259</v>
      </c>
      <c r="AU134" s="1" t="s">
        <v>64</v>
      </c>
      <c r="AW134" s="1" t="s">
        <v>255</v>
      </c>
      <c r="AY134" s="2">
        <v>128.0</v>
      </c>
    </row>
    <row r="135">
      <c r="A135" s="1" t="s">
        <v>51</v>
      </c>
      <c r="C135" s="1" t="s">
        <v>52</v>
      </c>
      <c r="E135" s="1" t="s">
        <v>105</v>
      </c>
      <c r="G135" s="2">
        <v>42.0</v>
      </c>
      <c r="H135" s="1" t="s">
        <v>66</v>
      </c>
      <c r="J135" s="1" t="s">
        <v>86</v>
      </c>
      <c r="K135" s="1" t="s">
        <v>87</v>
      </c>
      <c r="M135" s="1" t="s">
        <v>58</v>
      </c>
      <c r="N135" s="1" t="s">
        <v>58</v>
      </c>
      <c r="O135" s="1" t="s">
        <v>69</v>
      </c>
      <c r="Q135" s="1" t="s">
        <v>69</v>
      </c>
      <c r="R135" s="1" t="s">
        <v>69</v>
      </c>
      <c r="S135" s="1" t="s">
        <v>58</v>
      </c>
      <c r="T135" s="1" t="s">
        <v>69</v>
      </c>
      <c r="U135" s="1" t="s">
        <v>58</v>
      </c>
      <c r="V135" s="1" t="s">
        <v>58</v>
      </c>
      <c r="W135" s="1" t="s">
        <v>69</v>
      </c>
      <c r="X135" s="1" t="s">
        <v>81</v>
      </c>
      <c r="Y135" s="1" t="s">
        <v>95</v>
      </c>
      <c r="Z135" s="1" t="s">
        <v>89</v>
      </c>
      <c r="AA135" s="2">
        <v>100.0</v>
      </c>
      <c r="AB135" s="1" t="s">
        <v>79</v>
      </c>
      <c r="AC135" s="1" t="s">
        <v>51</v>
      </c>
      <c r="AD135" s="1" t="s">
        <v>81</v>
      </c>
      <c r="AE135" s="1" t="s">
        <v>51</v>
      </c>
      <c r="AF135" s="1" t="s">
        <v>51</v>
      </c>
      <c r="AG135" s="1" t="s">
        <v>72</v>
      </c>
      <c r="AI135" s="2">
        <v>0.0</v>
      </c>
      <c r="AJ135" s="2">
        <v>0.0</v>
      </c>
      <c r="AK135" s="2">
        <v>0.0</v>
      </c>
      <c r="AL135" s="2">
        <v>1.0</v>
      </c>
      <c r="AP135" s="2">
        <v>4.8982024E8</v>
      </c>
      <c r="AQ135" s="1" t="s">
        <v>257</v>
      </c>
      <c r="AR135" s="2">
        <v>45808.19664351852</v>
      </c>
      <c r="AU135" s="1" t="s">
        <v>64</v>
      </c>
      <c r="AW135" s="1" t="s">
        <v>255</v>
      </c>
      <c r="AY135" s="2">
        <v>129.0</v>
      </c>
    </row>
    <row r="136">
      <c r="A136" s="1" t="s">
        <v>51</v>
      </c>
      <c r="C136" s="1" t="s">
        <v>52</v>
      </c>
      <c r="E136" s="1" t="s">
        <v>53</v>
      </c>
      <c r="F136" s="1" t="s">
        <v>102</v>
      </c>
      <c r="G136" s="2">
        <v>45.0</v>
      </c>
      <c r="H136" s="1" t="s">
        <v>55</v>
      </c>
      <c r="I136" s="1" t="s">
        <v>67</v>
      </c>
      <c r="J136" s="1" t="s">
        <v>86</v>
      </c>
      <c r="K136" s="1" t="s">
        <v>87</v>
      </c>
      <c r="M136" s="1" t="s">
        <v>58</v>
      </c>
      <c r="N136" s="1" t="s">
        <v>58</v>
      </c>
      <c r="O136" s="1" t="s">
        <v>58</v>
      </c>
      <c r="Q136" s="1" t="s">
        <v>58</v>
      </c>
      <c r="R136" s="1" t="s">
        <v>58</v>
      </c>
      <c r="S136" s="1" t="s">
        <v>70</v>
      </c>
      <c r="T136" s="1" t="s">
        <v>70</v>
      </c>
      <c r="U136" s="1" t="s">
        <v>58</v>
      </c>
      <c r="V136" s="1" t="s">
        <v>58</v>
      </c>
      <c r="W136" s="1" t="s">
        <v>70</v>
      </c>
      <c r="X136" s="1" t="s">
        <v>88</v>
      </c>
      <c r="Y136" s="1" t="s">
        <v>60</v>
      </c>
      <c r="Z136" s="1" t="s">
        <v>108</v>
      </c>
      <c r="AA136" s="2">
        <v>100.0</v>
      </c>
      <c r="AB136" s="1" t="s">
        <v>62</v>
      </c>
      <c r="AC136" s="1" t="s">
        <v>71</v>
      </c>
      <c r="AF136" s="1" t="s">
        <v>51</v>
      </c>
      <c r="AG136" s="1" t="s">
        <v>72</v>
      </c>
      <c r="AI136" s="2">
        <v>0.0</v>
      </c>
      <c r="AJ136" s="2">
        <v>0.0</v>
      </c>
      <c r="AK136" s="2">
        <v>0.0</v>
      </c>
      <c r="AL136" s="2">
        <v>1.0</v>
      </c>
      <c r="AM136" s="1" t="s">
        <v>51</v>
      </c>
      <c r="AP136" s="2">
        <v>4.89842136E8</v>
      </c>
      <c r="AQ136" s="1" t="s">
        <v>258</v>
      </c>
      <c r="AR136" s="2">
        <v>45808.254583333335</v>
      </c>
      <c r="AU136" s="1" t="s">
        <v>64</v>
      </c>
      <c r="AW136" s="1" t="s">
        <v>255</v>
      </c>
      <c r="AY136" s="2">
        <v>130.0</v>
      </c>
    </row>
    <row r="137">
      <c r="A137" s="1" t="s">
        <v>51</v>
      </c>
      <c r="C137" s="1" t="s">
        <v>52</v>
      </c>
      <c r="E137" s="1" t="s">
        <v>53</v>
      </c>
      <c r="F137" s="1" t="s">
        <v>136</v>
      </c>
      <c r="G137" s="2">
        <v>46.0</v>
      </c>
      <c r="H137" s="1" t="s">
        <v>55</v>
      </c>
      <c r="I137" s="1" t="s">
        <v>67</v>
      </c>
      <c r="J137" s="1" t="s">
        <v>86</v>
      </c>
      <c r="K137" s="1" t="s">
        <v>87</v>
      </c>
      <c r="M137" s="1" t="s">
        <v>58</v>
      </c>
      <c r="N137" s="1" t="s">
        <v>58</v>
      </c>
      <c r="O137" s="1" t="s">
        <v>69</v>
      </c>
      <c r="Q137" s="1" t="s">
        <v>58</v>
      </c>
      <c r="R137" s="1" t="s">
        <v>58</v>
      </c>
      <c r="S137" s="1" t="s">
        <v>58</v>
      </c>
      <c r="T137" s="1" t="s">
        <v>69</v>
      </c>
      <c r="U137" s="1" t="s">
        <v>58</v>
      </c>
      <c r="V137" s="1" t="s">
        <v>58</v>
      </c>
      <c r="W137" s="1" t="s">
        <v>69</v>
      </c>
      <c r="X137" s="1" t="s">
        <v>88</v>
      </c>
      <c r="Y137" s="1" t="s">
        <v>95</v>
      </c>
      <c r="Z137" s="1" t="s">
        <v>89</v>
      </c>
      <c r="AA137" s="2">
        <v>50.0</v>
      </c>
      <c r="AB137" s="1" t="s">
        <v>62</v>
      </c>
      <c r="AC137" s="1" t="s">
        <v>71</v>
      </c>
      <c r="AF137" s="1" t="s">
        <v>51</v>
      </c>
      <c r="AG137" s="1" t="s">
        <v>72</v>
      </c>
      <c r="AI137" s="2">
        <v>0.0</v>
      </c>
      <c r="AJ137" s="2">
        <v>0.0</v>
      </c>
      <c r="AK137" s="2">
        <v>0.0</v>
      </c>
      <c r="AL137" s="2">
        <v>1.0</v>
      </c>
      <c r="AM137" s="1" t="s">
        <v>72</v>
      </c>
      <c r="AP137" s="2">
        <v>4.89848913E8</v>
      </c>
      <c r="AQ137" s="1" t="s">
        <v>259</v>
      </c>
      <c r="AR137" s="2">
        <v>45808.26868055556</v>
      </c>
      <c r="AU137" s="1" t="s">
        <v>64</v>
      </c>
      <c r="AW137" s="1" t="s">
        <v>255</v>
      </c>
      <c r="AY137" s="2">
        <v>131.0</v>
      </c>
    </row>
    <row r="138">
      <c r="A138" s="1" t="s">
        <v>51</v>
      </c>
      <c r="C138" s="1" t="s">
        <v>131</v>
      </c>
      <c r="E138" s="1" t="s">
        <v>53</v>
      </c>
      <c r="F138" s="1" t="s">
        <v>54</v>
      </c>
      <c r="G138" s="2">
        <v>30.0</v>
      </c>
      <c r="H138" s="1" t="s">
        <v>66</v>
      </c>
      <c r="I138" s="1" t="s">
        <v>67</v>
      </c>
      <c r="J138" s="1" t="s">
        <v>68</v>
      </c>
      <c r="K138" s="1" t="s">
        <v>74</v>
      </c>
      <c r="M138" s="1" t="s">
        <v>58</v>
      </c>
      <c r="N138" s="1" t="s">
        <v>58</v>
      </c>
      <c r="O138" s="1" t="s">
        <v>70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70</v>
      </c>
      <c r="V138" s="1" t="s">
        <v>69</v>
      </c>
      <c r="W138" s="1" t="s">
        <v>58</v>
      </c>
      <c r="X138" s="1" t="s">
        <v>81</v>
      </c>
      <c r="Y138" s="1" t="s">
        <v>82</v>
      </c>
      <c r="Z138" s="1" t="s">
        <v>96</v>
      </c>
      <c r="AA138" s="2">
        <v>10.0</v>
      </c>
      <c r="AB138" s="1" t="s">
        <v>79</v>
      </c>
      <c r="AC138" s="1" t="s">
        <v>72</v>
      </c>
      <c r="AF138" s="1" t="s">
        <v>51</v>
      </c>
      <c r="AG138" s="1" t="s">
        <v>72</v>
      </c>
      <c r="AI138" s="2">
        <v>1.0</v>
      </c>
      <c r="AJ138" s="2">
        <v>0.0</v>
      </c>
      <c r="AK138" s="2">
        <v>0.0</v>
      </c>
      <c r="AL138" s="2">
        <v>0.0</v>
      </c>
      <c r="AM138" s="1" t="s">
        <v>51</v>
      </c>
      <c r="AN138" s="2">
        <v>7.82860878E8</v>
      </c>
      <c r="AP138" s="2">
        <v>4.89854202E8</v>
      </c>
      <c r="AQ138" s="1" t="s">
        <v>260</v>
      </c>
      <c r="AR138" s="2">
        <v>45808.27946759259</v>
      </c>
      <c r="AU138" s="1" t="s">
        <v>64</v>
      </c>
      <c r="AW138" s="1" t="s">
        <v>255</v>
      </c>
      <c r="AY138" s="2">
        <v>132.0</v>
      </c>
    </row>
    <row r="139">
      <c r="A139" s="1" t="s">
        <v>51</v>
      </c>
      <c r="C139" s="1" t="s">
        <v>105</v>
      </c>
      <c r="D139" s="1" t="s">
        <v>261</v>
      </c>
      <c r="E139" s="1" t="s">
        <v>52</v>
      </c>
      <c r="G139" s="2">
        <v>45.0</v>
      </c>
      <c r="H139" s="1" t="s">
        <v>55</v>
      </c>
      <c r="J139" s="1" t="s">
        <v>111</v>
      </c>
      <c r="K139" s="1" t="s">
        <v>87</v>
      </c>
      <c r="M139" s="1" t="s">
        <v>58</v>
      </c>
      <c r="N139" s="1" t="s">
        <v>58</v>
      </c>
      <c r="O139" s="1" t="s">
        <v>58</v>
      </c>
      <c r="Q139" s="1" t="s">
        <v>58</v>
      </c>
      <c r="R139" s="1" t="s">
        <v>58</v>
      </c>
      <c r="S139" s="1" t="s">
        <v>58</v>
      </c>
      <c r="T139" s="1" t="s">
        <v>69</v>
      </c>
      <c r="U139" s="1" t="s">
        <v>58</v>
      </c>
      <c r="V139" s="1" t="s">
        <v>58</v>
      </c>
      <c r="W139" s="1" t="s">
        <v>69</v>
      </c>
      <c r="X139" s="1" t="s">
        <v>88</v>
      </c>
      <c r="Y139" s="1" t="s">
        <v>60</v>
      </c>
      <c r="Z139" s="1" t="s">
        <v>108</v>
      </c>
      <c r="AA139" s="2">
        <v>100.0</v>
      </c>
      <c r="AB139" s="1" t="s">
        <v>62</v>
      </c>
      <c r="AC139" s="1" t="s">
        <v>51</v>
      </c>
      <c r="AD139" s="1" t="s">
        <v>59</v>
      </c>
      <c r="AE139" s="1" t="s">
        <v>51</v>
      </c>
      <c r="AF139" s="1" t="s">
        <v>51</v>
      </c>
      <c r="AG139" s="1" t="s">
        <v>72</v>
      </c>
      <c r="AI139" s="2">
        <v>1.0</v>
      </c>
      <c r="AJ139" s="2">
        <v>1.0</v>
      </c>
      <c r="AK139" s="2">
        <v>1.0</v>
      </c>
      <c r="AL139" s="2">
        <v>0.0</v>
      </c>
      <c r="AP139" s="2">
        <v>4.89854452E8</v>
      </c>
      <c r="AQ139" s="1" t="s">
        <v>262</v>
      </c>
      <c r="AR139" s="2">
        <v>45808.27978009259</v>
      </c>
      <c r="AU139" s="1" t="s">
        <v>64</v>
      </c>
      <c r="AW139" s="1" t="s">
        <v>255</v>
      </c>
      <c r="AY139" s="2">
        <v>133.0</v>
      </c>
    </row>
    <row r="140">
      <c r="A140" s="1" t="s">
        <v>51</v>
      </c>
      <c r="C140" s="1" t="s">
        <v>118</v>
      </c>
      <c r="E140" s="1" t="s">
        <v>105</v>
      </c>
      <c r="G140" s="2">
        <v>25.0</v>
      </c>
      <c r="H140" s="1" t="s">
        <v>66</v>
      </c>
      <c r="J140" s="1" t="s">
        <v>68</v>
      </c>
      <c r="K140" s="1" t="s">
        <v>92</v>
      </c>
      <c r="M140" s="1" t="s">
        <v>58</v>
      </c>
      <c r="N140" s="1" t="s">
        <v>58</v>
      </c>
      <c r="O140" s="1" t="s">
        <v>58</v>
      </c>
      <c r="Q140" s="1" t="s">
        <v>58</v>
      </c>
      <c r="R140" s="1" t="s">
        <v>58</v>
      </c>
      <c r="S140" s="1" t="s">
        <v>58</v>
      </c>
      <c r="T140" s="1" t="s">
        <v>70</v>
      </c>
      <c r="U140" s="1" t="s">
        <v>58</v>
      </c>
      <c r="V140" s="1" t="s">
        <v>58</v>
      </c>
      <c r="W140" s="1" t="s">
        <v>69</v>
      </c>
      <c r="X140" s="1" t="s">
        <v>59</v>
      </c>
      <c r="Y140" s="1" t="s">
        <v>95</v>
      </c>
      <c r="Z140" s="1" t="s">
        <v>108</v>
      </c>
      <c r="AA140" s="2">
        <v>10.0</v>
      </c>
      <c r="AB140" s="1" t="s">
        <v>28</v>
      </c>
      <c r="AC140" s="1" t="s">
        <v>71</v>
      </c>
      <c r="AF140" s="1" t="s">
        <v>51</v>
      </c>
      <c r="AG140" s="1" t="s">
        <v>51</v>
      </c>
      <c r="AH140" s="2">
        <v>20.0</v>
      </c>
      <c r="AI140" s="2">
        <v>0.0</v>
      </c>
      <c r="AJ140" s="2">
        <v>0.0</v>
      </c>
      <c r="AK140" s="2">
        <v>0.0</v>
      </c>
      <c r="AL140" s="2">
        <v>1.0</v>
      </c>
      <c r="AP140" s="2">
        <v>4.89861321E8</v>
      </c>
      <c r="AQ140" s="1" t="s">
        <v>263</v>
      </c>
      <c r="AR140" s="2">
        <v>45808.29232638889</v>
      </c>
      <c r="AU140" s="1" t="s">
        <v>64</v>
      </c>
      <c r="AW140" s="1" t="s">
        <v>255</v>
      </c>
      <c r="AY140" s="2">
        <v>134.0</v>
      </c>
    </row>
    <row r="141">
      <c r="A141" s="1" t="s">
        <v>51</v>
      </c>
      <c r="C141" s="1" t="s">
        <v>53</v>
      </c>
      <c r="E141" s="1" t="s">
        <v>53</v>
      </c>
      <c r="F141" s="1" t="s">
        <v>102</v>
      </c>
      <c r="G141" s="2">
        <v>42.0</v>
      </c>
      <c r="H141" s="1" t="s">
        <v>66</v>
      </c>
      <c r="I141" s="1" t="s">
        <v>67</v>
      </c>
      <c r="J141" s="1" t="s">
        <v>86</v>
      </c>
      <c r="K141" s="1" t="s">
        <v>87</v>
      </c>
      <c r="M141" s="1" t="s">
        <v>58</v>
      </c>
      <c r="N141" s="1" t="s">
        <v>58</v>
      </c>
      <c r="O141" s="1" t="s">
        <v>58</v>
      </c>
      <c r="Q141" s="1" t="s">
        <v>69</v>
      </c>
      <c r="R141" s="1" t="s">
        <v>58</v>
      </c>
      <c r="S141" s="1" t="s">
        <v>58</v>
      </c>
      <c r="T141" s="1" t="s">
        <v>70</v>
      </c>
      <c r="U141" s="1" t="s">
        <v>58</v>
      </c>
      <c r="V141" s="1" t="s">
        <v>58</v>
      </c>
      <c r="W141" s="1" t="s">
        <v>69</v>
      </c>
      <c r="X141" s="1" t="s">
        <v>88</v>
      </c>
      <c r="Y141" s="1" t="s">
        <v>60</v>
      </c>
      <c r="Z141" s="1" t="s">
        <v>108</v>
      </c>
      <c r="AA141" s="2">
        <v>100.0</v>
      </c>
      <c r="AB141" s="1" t="s">
        <v>79</v>
      </c>
      <c r="AC141" s="1" t="s">
        <v>71</v>
      </c>
      <c r="AF141" s="1" t="s">
        <v>51</v>
      </c>
      <c r="AG141" s="1" t="s">
        <v>72</v>
      </c>
      <c r="AI141" s="2">
        <v>0.0</v>
      </c>
      <c r="AJ141" s="2">
        <v>1.0</v>
      </c>
      <c r="AK141" s="2">
        <v>1.0</v>
      </c>
      <c r="AL141" s="2">
        <v>0.0</v>
      </c>
      <c r="AM141" s="1" t="s">
        <v>72</v>
      </c>
      <c r="AP141" s="2">
        <v>4.89875662E8</v>
      </c>
      <c r="AQ141" s="1" t="s">
        <v>264</v>
      </c>
      <c r="AR141" s="2">
        <v>45808.31581018519</v>
      </c>
      <c r="AU141" s="1" t="s">
        <v>64</v>
      </c>
      <c r="AW141" s="1" t="s">
        <v>255</v>
      </c>
      <c r="AY141" s="2">
        <v>135.0</v>
      </c>
    </row>
    <row r="142">
      <c r="A142" s="1" t="s">
        <v>51</v>
      </c>
      <c r="C142" s="1" t="s">
        <v>118</v>
      </c>
      <c r="E142" s="1" t="s">
        <v>105</v>
      </c>
      <c r="G142" s="2">
        <v>43.0</v>
      </c>
      <c r="H142" s="1" t="s">
        <v>55</v>
      </c>
      <c r="K142" s="1" t="s">
        <v>87</v>
      </c>
      <c r="M142" s="1" t="s">
        <v>58</v>
      </c>
      <c r="N142" s="1" t="s">
        <v>58</v>
      </c>
      <c r="O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W142" s="1" t="s">
        <v>69</v>
      </c>
      <c r="X142" s="1" t="s">
        <v>81</v>
      </c>
      <c r="Y142" s="1" t="s">
        <v>95</v>
      </c>
      <c r="Z142" s="1" t="s">
        <v>96</v>
      </c>
      <c r="AA142" s="2">
        <v>100.0</v>
      </c>
      <c r="AB142" s="1" t="s">
        <v>28</v>
      </c>
      <c r="AC142" s="1" t="s">
        <v>71</v>
      </c>
      <c r="AF142" s="1" t="s">
        <v>51</v>
      </c>
      <c r="AI142" s="2">
        <v>1.0</v>
      </c>
      <c r="AJ142" s="2">
        <v>0.0</v>
      </c>
      <c r="AK142" s="2">
        <v>0.0</v>
      </c>
      <c r="AL142" s="2">
        <v>0.0</v>
      </c>
      <c r="AP142" s="2">
        <v>4.89879065E8</v>
      </c>
      <c r="AQ142" s="1" t="s">
        <v>265</v>
      </c>
      <c r="AR142" s="2">
        <v>45808.32135416667</v>
      </c>
      <c r="AU142" s="1" t="s">
        <v>64</v>
      </c>
      <c r="AW142" s="1" t="s">
        <v>255</v>
      </c>
      <c r="AY142" s="2">
        <v>136.0</v>
      </c>
    </row>
    <row r="143">
      <c r="A143" s="1" t="s">
        <v>51</v>
      </c>
      <c r="C143" s="1" t="s">
        <v>131</v>
      </c>
      <c r="E143" s="1" t="s">
        <v>53</v>
      </c>
      <c r="F143" s="1" t="s">
        <v>54</v>
      </c>
      <c r="G143" s="2">
        <v>23.0</v>
      </c>
      <c r="H143" s="1" t="s">
        <v>66</v>
      </c>
      <c r="I143" s="1" t="s">
        <v>100</v>
      </c>
      <c r="J143" s="1" t="s">
        <v>68</v>
      </c>
      <c r="K143" s="1" t="s">
        <v>74</v>
      </c>
      <c r="M143" s="1" t="s">
        <v>58</v>
      </c>
      <c r="N143" s="1" t="s">
        <v>58</v>
      </c>
      <c r="O143" s="1" t="s">
        <v>69</v>
      </c>
      <c r="Q143" s="1" t="s">
        <v>58</v>
      </c>
      <c r="R143" s="1" t="s">
        <v>58</v>
      </c>
      <c r="S143" s="1" t="s">
        <v>70</v>
      </c>
      <c r="T143" s="1" t="s">
        <v>58</v>
      </c>
      <c r="U143" s="1" t="s">
        <v>70</v>
      </c>
      <c r="V143" s="1" t="s">
        <v>58</v>
      </c>
      <c r="W143" s="1" t="s">
        <v>58</v>
      </c>
      <c r="X143" s="1" t="s">
        <v>81</v>
      </c>
      <c r="Y143" s="1" t="s">
        <v>172</v>
      </c>
      <c r="Z143" s="1" t="s">
        <v>96</v>
      </c>
      <c r="AA143" s="2">
        <v>50.0</v>
      </c>
      <c r="AB143" s="1" t="s">
        <v>79</v>
      </c>
      <c r="AC143" s="1" t="s">
        <v>72</v>
      </c>
      <c r="AG143" s="1" t="s">
        <v>51</v>
      </c>
      <c r="AI143" s="2">
        <v>0.0</v>
      </c>
      <c r="AJ143" s="2">
        <v>0.0</v>
      </c>
      <c r="AK143" s="2">
        <v>0.0</v>
      </c>
      <c r="AL143" s="2">
        <v>1.0</v>
      </c>
      <c r="AM143" s="1" t="s">
        <v>51</v>
      </c>
      <c r="AN143" s="2">
        <v>6.55789034E8</v>
      </c>
      <c r="AP143" s="2">
        <v>4.898922E8</v>
      </c>
      <c r="AQ143" s="1" t="s">
        <v>266</v>
      </c>
      <c r="AR143" s="2">
        <v>45808.342997685184</v>
      </c>
      <c r="AU143" s="1" t="s">
        <v>64</v>
      </c>
      <c r="AW143" s="1" t="s">
        <v>255</v>
      </c>
      <c r="AY143" s="2">
        <v>137.0</v>
      </c>
    </row>
    <row r="144">
      <c r="A144" s="1" t="s">
        <v>51</v>
      </c>
      <c r="C144" s="1" t="s">
        <v>131</v>
      </c>
      <c r="E144" s="1" t="s">
        <v>53</v>
      </c>
      <c r="F144" s="1" t="s">
        <v>54</v>
      </c>
      <c r="G144" s="2">
        <v>27.0</v>
      </c>
      <c r="H144" s="1" t="s">
        <v>55</v>
      </c>
      <c r="I144" s="1" t="s">
        <v>67</v>
      </c>
      <c r="J144" s="1" t="s">
        <v>68</v>
      </c>
      <c r="K144" s="1" t="s">
        <v>57</v>
      </c>
      <c r="M144" s="1" t="s">
        <v>58</v>
      </c>
      <c r="N144" s="1" t="s">
        <v>58</v>
      </c>
      <c r="O144" s="1" t="s">
        <v>69</v>
      </c>
      <c r="Q144" s="1" t="s">
        <v>58</v>
      </c>
      <c r="R144" s="1" t="s">
        <v>58</v>
      </c>
      <c r="S144" s="1" t="s">
        <v>58</v>
      </c>
      <c r="T144" s="1" t="s">
        <v>58</v>
      </c>
      <c r="V144" s="1" t="s">
        <v>58</v>
      </c>
      <c r="W144" s="1" t="s">
        <v>58</v>
      </c>
      <c r="X144" s="1" t="s">
        <v>81</v>
      </c>
      <c r="Y144" s="1" t="s">
        <v>172</v>
      </c>
      <c r="AA144" s="2">
        <v>100.0</v>
      </c>
      <c r="AB144" s="1" t="s">
        <v>79</v>
      </c>
      <c r="AC144" s="1" t="s">
        <v>72</v>
      </c>
      <c r="AF144" s="1" t="s">
        <v>51</v>
      </c>
      <c r="AG144" s="1" t="s">
        <v>51</v>
      </c>
      <c r="AH144" s="2">
        <v>20.0</v>
      </c>
      <c r="AI144" s="2">
        <v>0.0</v>
      </c>
      <c r="AJ144" s="2">
        <v>0.0</v>
      </c>
      <c r="AK144" s="2">
        <v>0.0</v>
      </c>
      <c r="AL144" s="2">
        <v>1.0</v>
      </c>
      <c r="AM144" s="1" t="s">
        <v>51</v>
      </c>
      <c r="AN144" s="2">
        <v>7.04538078E8</v>
      </c>
      <c r="AP144" s="2">
        <v>4.89895622E8</v>
      </c>
      <c r="AQ144" s="1" t="s">
        <v>267</v>
      </c>
      <c r="AR144" s="2">
        <v>45808.34820601852</v>
      </c>
      <c r="AU144" s="1" t="s">
        <v>64</v>
      </c>
      <c r="AW144" s="1" t="s">
        <v>255</v>
      </c>
      <c r="AY144" s="2">
        <v>138.0</v>
      </c>
    </row>
    <row r="145">
      <c r="A145" s="1" t="s">
        <v>51</v>
      </c>
      <c r="C145" s="1" t="s">
        <v>53</v>
      </c>
      <c r="E145" s="1" t="s">
        <v>105</v>
      </c>
      <c r="G145" s="2">
        <v>48.0</v>
      </c>
      <c r="H145" s="1" t="s">
        <v>66</v>
      </c>
      <c r="J145" s="1" t="s">
        <v>86</v>
      </c>
      <c r="K145" s="1" t="s">
        <v>87</v>
      </c>
      <c r="M145" s="1" t="s">
        <v>58</v>
      </c>
      <c r="N145" s="1" t="s">
        <v>69</v>
      </c>
      <c r="O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81</v>
      </c>
      <c r="Y145" s="1" t="s">
        <v>95</v>
      </c>
      <c r="Z145" s="1" t="s">
        <v>89</v>
      </c>
      <c r="AA145" s="2">
        <v>20.0</v>
      </c>
      <c r="AB145" s="1" t="s">
        <v>79</v>
      </c>
      <c r="AC145" s="1" t="s">
        <v>51</v>
      </c>
      <c r="AD145" s="1" t="s">
        <v>81</v>
      </c>
      <c r="AE145" s="1" t="s">
        <v>51</v>
      </c>
      <c r="AF145" s="1" t="s">
        <v>51</v>
      </c>
      <c r="AG145" s="1" t="s">
        <v>72</v>
      </c>
      <c r="AI145" s="2">
        <v>1.0</v>
      </c>
      <c r="AJ145" s="2">
        <v>0.0</v>
      </c>
      <c r="AK145" s="2">
        <v>0.0</v>
      </c>
      <c r="AL145" s="2">
        <v>0.0</v>
      </c>
      <c r="AP145" s="2">
        <v>4.89899236E8</v>
      </c>
      <c r="AQ145" s="1" t="s">
        <v>268</v>
      </c>
      <c r="AR145" s="2">
        <v>45808.35460648148</v>
      </c>
      <c r="AU145" s="1" t="s">
        <v>64</v>
      </c>
      <c r="AW145" s="1" t="s">
        <v>255</v>
      </c>
      <c r="AY145" s="2">
        <v>139.0</v>
      </c>
    </row>
    <row r="146">
      <c r="A146" s="1" t="s">
        <v>51</v>
      </c>
      <c r="C146" s="1" t="s">
        <v>269</v>
      </c>
      <c r="E146" s="1" t="s">
        <v>105</v>
      </c>
      <c r="G146" s="2">
        <v>37.0</v>
      </c>
      <c r="H146" s="1" t="s">
        <v>66</v>
      </c>
      <c r="J146" s="1" t="s">
        <v>86</v>
      </c>
      <c r="K146" s="1" t="s">
        <v>87</v>
      </c>
      <c r="M146" s="1" t="s">
        <v>58</v>
      </c>
      <c r="N146" s="1" t="s">
        <v>58</v>
      </c>
      <c r="O146" s="1" t="s">
        <v>58</v>
      </c>
      <c r="Q146" s="1" t="s">
        <v>69</v>
      </c>
      <c r="R146" s="1" t="s">
        <v>58</v>
      </c>
      <c r="S146" s="1" t="s">
        <v>58</v>
      </c>
      <c r="T146" s="1" t="s">
        <v>70</v>
      </c>
      <c r="U146" s="1" t="s">
        <v>70</v>
      </c>
      <c r="V146" s="1" t="s">
        <v>58</v>
      </c>
      <c r="W146" s="1" t="s">
        <v>69</v>
      </c>
      <c r="X146" s="1" t="s">
        <v>88</v>
      </c>
      <c r="Y146" s="1" t="s">
        <v>95</v>
      </c>
      <c r="Z146" s="1" t="s">
        <v>96</v>
      </c>
      <c r="AA146" s="2">
        <v>50.0</v>
      </c>
      <c r="AB146" s="1" t="s">
        <v>79</v>
      </c>
      <c r="AC146" s="1" t="s">
        <v>71</v>
      </c>
      <c r="AF146" s="1" t="s">
        <v>51</v>
      </c>
      <c r="AG146" s="1" t="s">
        <v>72</v>
      </c>
      <c r="AI146" s="2">
        <v>0.0</v>
      </c>
      <c r="AJ146" s="2">
        <v>0.0</v>
      </c>
      <c r="AK146" s="2">
        <v>0.0</v>
      </c>
      <c r="AL146" s="2">
        <v>1.0</v>
      </c>
      <c r="AP146" s="2">
        <v>4.89908744E8</v>
      </c>
      <c r="AQ146" s="1" t="s">
        <v>270</v>
      </c>
      <c r="AR146" s="2">
        <v>45808.36929398148</v>
      </c>
      <c r="AU146" s="1" t="s">
        <v>64</v>
      </c>
      <c r="AW146" s="1" t="s">
        <v>255</v>
      </c>
      <c r="AY146" s="2">
        <v>140.0</v>
      </c>
    </row>
    <row r="147">
      <c r="A147" s="1" t="s">
        <v>51</v>
      </c>
      <c r="C147" s="1" t="s">
        <v>151</v>
      </c>
      <c r="E147" s="1" t="s">
        <v>151</v>
      </c>
      <c r="G147" s="2">
        <v>19.0</v>
      </c>
      <c r="H147" s="1" t="s">
        <v>66</v>
      </c>
      <c r="J147" s="1" t="s">
        <v>56</v>
      </c>
      <c r="K147" s="1" t="s">
        <v>74</v>
      </c>
      <c r="M147" s="1" t="s">
        <v>58</v>
      </c>
      <c r="N147" s="1" t="s">
        <v>58</v>
      </c>
      <c r="O147" s="1" t="s">
        <v>58</v>
      </c>
      <c r="Q147" s="1" t="s">
        <v>70</v>
      </c>
      <c r="R147" s="1" t="s">
        <v>70</v>
      </c>
      <c r="S147" s="1" t="s">
        <v>69</v>
      </c>
      <c r="T147" s="1" t="s">
        <v>69</v>
      </c>
      <c r="U147" s="1" t="s">
        <v>58</v>
      </c>
      <c r="V147" s="1" t="s">
        <v>58</v>
      </c>
      <c r="W147" s="1" t="s">
        <v>69</v>
      </c>
      <c r="X147" s="1" t="s">
        <v>81</v>
      </c>
      <c r="Y147" s="1" t="s">
        <v>82</v>
      </c>
      <c r="Z147" s="1" t="s">
        <v>61</v>
      </c>
      <c r="AA147" s="2">
        <v>10.0</v>
      </c>
      <c r="AB147" s="1" t="s">
        <v>79</v>
      </c>
      <c r="AC147" s="1" t="s">
        <v>71</v>
      </c>
      <c r="AF147" s="1" t="s">
        <v>51</v>
      </c>
      <c r="AG147" s="1" t="s">
        <v>51</v>
      </c>
      <c r="AH147" s="2">
        <v>500.0</v>
      </c>
      <c r="AI147" s="2">
        <v>1.0</v>
      </c>
      <c r="AJ147" s="2">
        <v>1.0</v>
      </c>
      <c r="AK147" s="2">
        <v>1.0</v>
      </c>
      <c r="AL147" s="2">
        <v>1.0</v>
      </c>
      <c r="AP147" s="2">
        <v>4.89927291E8</v>
      </c>
      <c r="AQ147" s="1" t="s">
        <v>271</v>
      </c>
      <c r="AR147" s="2">
        <v>45808.39879629629</v>
      </c>
      <c r="AU147" s="1" t="s">
        <v>64</v>
      </c>
      <c r="AW147" s="1" t="s">
        <v>255</v>
      </c>
      <c r="AY147" s="2">
        <v>141.0</v>
      </c>
    </row>
    <row r="148">
      <c r="A148" s="1" t="s">
        <v>51</v>
      </c>
      <c r="C148" s="1" t="s">
        <v>131</v>
      </c>
      <c r="E148" s="1" t="s">
        <v>53</v>
      </c>
      <c r="F148" s="1" t="s">
        <v>85</v>
      </c>
      <c r="G148" s="2">
        <v>24.0</v>
      </c>
      <c r="H148" s="1" t="s">
        <v>66</v>
      </c>
      <c r="I148" s="1" t="s">
        <v>100</v>
      </c>
      <c r="J148" s="1" t="s">
        <v>56</v>
      </c>
      <c r="K148" s="1" t="s">
        <v>74</v>
      </c>
      <c r="M148" s="1" t="s">
        <v>58</v>
      </c>
      <c r="N148" s="1" t="s">
        <v>58</v>
      </c>
      <c r="O148" s="1" t="s">
        <v>58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81</v>
      </c>
      <c r="Y148" s="1" t="s">
        <v>60</v>
      </c>
      <c r="Z148" s="1" t="s">
        <v>96</v>
      </c>
      <c r="AA148" s="2">
        <v>20.0</v>
      </c>
      <c r="AB148" s="1" t="s">
        <v>79</v>
      </c>
      <c r="AC148" s="1" t="s">
        <v>51</v>
      </c>
      <c r="AD148" s="1" t="s">
        <v>81</v>
      </c>
      <c r="AE148" s="1" t="s">
        <v>51</v>
      </c>
      <c r="AF148" s="1" t="s">
        <v>51</v>
      </c>
      <c r="AG148" s="1" t="s">
        <v>51</v>
      </c>
      <c r="AH148" s="2">
        <v>200.0</v>
      </c>
      <c r="AI148" s="2">
        <v>1.0</v>
      </c>
      <c r="AJ148" s="2">
        <v>0.0</v>
      </c>
      <c r="AK148" s="2">
        <v>0.0</v>
      </c>
      <c r="AL148" s="2">
        <v>0.0</v>
      </c>
      <c r="AM148" s="1" t="s">
        <v>51</v>
      </c>
      <c r="AN148" s="2">
        <v>7.16325173E8</v>
      </c>
      <c r="AP148" s="2">
        <v>4.89931787E8</v>
      </c>
      <c r="AQ148" s="1" t="s">
        <v>272</v>
      </c>
      <c r="AR148" s="2">
        <v>45808.40630787037</v>
      </c>
      <c r="AU148" s="1" t="s">
        <v>64</v>
      </c>
      <c r="AW148" s="1" t="s">
        <v>255</v>
      </c>
      <c r="AY148" s="2">
        <v>142.0</v>
      </c>
    </row>
    <row r="149">
      <c r="A149" s="1" t="s">
        <v>51</v>
      </c>
      <c r="C149" s="1" t="s">
        <v>53</v>
      </c>
      <c r="E149" s="1" t="s">
        <v>131</v>
      </c>
      <c r="G149" s="2">
        <v>27.0</v>
      </c>
      <c r="H149" s="1" t="s">
        <v>66</v>
      </c>
      <c r="J149" s="1" t="s">
        <v>56</v>
      </c>
      <c r="K149" s="1" t="s">
        <v>57</v>
      </c>
      <c r="M149" s="1" t="s">
        <v>58</v>
      </c>
      <c r="N149" s="1" t="s">
        <v>58</v>
      </c>
      <c r="O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103</v>
      </c>
      <c r="Y149" s="1" t="s">
        <v>82</v>
      </c>
      <c r="Z149" s="1" t="s">
        <v>89</v>
      </c>
      <c r="AA149" s="2">
        <v>30.0</v>
      </c>
      <c r="AB149" s="1" t="s">
        <v>62</v>
      </c>
      <c r="AC149" s="1" t="s">
        <v>51</v>
      </c>
      <c r="AD149" s="1" t="s">
        <v>81</v>
      </c>
      <c r="AE149" s="1" t="s">
        <v>51</v>
      </c>
      <c r="AF149" s="1" t="s">
        <v>51</v>
      </c>
      <c r="AG149" s="1" t="s">
        <v>51</v>
      </c>
      <c r="AH149" s="2">
        <v>50.0</v>
      </c>
      <c r="AI149" s="2">
        <v>0.0</v>
      </c>
      <c r="AJ149" s="2">
        <v>1.0</v>
      </c>
      <c r="AK149" s="2">
        <v>0.0</v>
      </c>
      <c r="AL149" s="2">
        <v>1.0</v>
      </c>
      <c r="AP149" s="2">
        <v>4.89933658E8</v>
      </c>
      <c r="AQ149" s="1" t="s">
        <v>273</v>
      </c>
      <c r="AR149" s="2">
        <v>45808.40959490741</v>
      </c>
      <c r="AU149" s="1" t="s">
        <v>64</v>
      </c>
      <c r="AW149" s="1" t="s">
        <v>255</v>
      </c>
      <c r="AY149" s="2">
        <v>143.0</v>
      </c>
    </row>
    <row r="150">
      <c r="A150" s="1" t="s">
        <v>51</v>
      </c>
      <c r="C150" s="1" t="s">
        <v>53</v>
      </c>
      <c r="E150" s="1" t="s">
        <v>131</v>
      </c>
      <c r="G150" s="2">
        <v>27.0</v>
      </c>
      <c r="H150" s="1" t="s">
        <v>55</v>
      </c>
      <c r="J150" s="1" t="s">
        <v>86</v>
      </c>
      <c r="K150" s="1" t="s">
        <v>57</v>
      </c>
      <c r="M150" s="1" t="s">
        <v>58</v>
      </c>
      <c r="N150" s="1" t="s">
        <v>58</v>
      </c>
      <c r="O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81</v>
      </c>
      <c r="Y150" s="1" t="s">
        <v>60</v>
      </c>
      <c r="Z150" s="1" t="s">
        <v>89</v>
      </c>
      <c r="AA150" s="2">
        <v>30.0</v>
      </c>
      <c r="AB150" s="1" t="s">
        <v>62</v>
      </c>
      <c r="AC150" s="1" t="s">
        <v>51</v>
      </c>
      <c r="AD150" s="1" t="s">
        <v>81</v>
      </c>
      <c r="AE150" s="1" t="s">
        <v>51</v>
      </c>
      <c r="AF150" s="1" t="s">
        <v>51</v>
      </c>
      <c r="AG150" s="1" t="s">
        <v>51</v>
      </c>
      <c r="AH150" s="2">
        <v>50.0</v>
      </c>
      <c r="AI150" s="2">
        <v>0.0</v>
      </c>
      <c r="AJ150" s="2">
        <v>1.0</v>
      </c>
      <c r="AK150" s="2">
        <v>0.0</v>
      </c>
      <c r="AL150" s="2">
        <v>0.0</v>
      </c>
      <c r="AP150" s="2">
        <v>4.89935516E8</v>
      </c>
      <c r="AQ150" s="1" t="s">
        <v>274</v>
      </c>
      <c r="AR150" s="2">
        <v>45808.41211805555</v>
      </c>
      <c r="AU150" s="1" t="s">
        <v>64</v>
      </c>
      <c r="AW150" s="1" t="s">
        <v>255</v>
      </c>
      <c r="AY150" s="2">
        <v>144.0</v>
      </c>
    </row>
    <row r="151">
      <c r="A151" s="1" t="s">
        <v>51</v>
      </c>
      <c r="C151" s="1" t="s">
        <v>131</v>
      </c>
      <c r="E151" s="1" t="s">
        <v>131</v>
      </c>
      <c r="G151" s="2">
        <v>33.0</v>
      </c>
      <c r="H151" s="1" t="s">
        <v>55</v>
      </c>
      <c r="J151" s="1" t="s">
        <v>86</v>
      </c>
      <c r="K151" s="1" t="s">
        <v>57</v>
      </c>
      <c r="M151" s="1" t="s">
        <v>58</v>
      </c>
      <c r="N151" s="1" t="s">
        <v>58</v>
      </c>
      <c r="O151" s="1" t="s">
        <v>69</v>
      </c>
      <c r="Q151" s="1" t="s">
        <v>58</v>
      </c>
      <c r="R151" s="1" t="s">
        <v>58</v>
      </c>
      <c r="S151" s="1" t="s">
        <v>58</v>
      </c>
      <c r="T151" s="1" t="s">
        <v>70</v>
      </c>
      <c r="U151" s="1" t="s">
        <v>70</v>
      </c>
      <c r="V151" s="1" t="s">
        <v>69</v>
      </c>
      <c r="W151" s="1" t="s">
        <v>69</v>
      </c>
      <c r="X151" s="1" t="s">
        <v>59</v>
      </c>
      <c r="Y151" s="1" t="s">
        <v>172</v>
      </c>
      <c r="Z151" s="1" t="s">
        <v>108</v>
      </c>
      <c r="AA151" s="2">
        <v>100.0</v>
      </c>
      <c r="AB151" s="1" t="s">
        <v>79</v>
      </c>
      <c r="AC151" s="1" t="s">
        <v>72</v>
      </c>
      <c r="AF151" s="1" t="s">
        <v>51</v>
      </c>
      <c r="AG151" s="1" t="s">
        <v>51</v>
      </c>
      <c r="AH151" s="2">
        <v>10.0</v>
      </c>
      <c r="AI151" s="2">
        <v>0.0</v>
      </c>
      <c r="AJ151" s="2">
        <v>0.0</v>
      </c>
      <c r="AK151" s="2">
        <v>0.0</v>
      </c>
      <c r="AL151" s="2">
        <v>1.0</v>
      </c>
      <c r="AP151" s="2">
        <v>4.89936782E8</v>
      </c>
      <c r="AQ151" s="1" t="s">
        <v>275</v>
      </c>
      <c r="AR151" s="2">
        <v>45808.41376157408</v>
      </c>
      <c r="AU151" s="1" t="s">
        <v>64</v>
      </c>
      <c r="AW151" s="1" t="s">
        <v>255</v>
      </c>
      <c r="AY151" s="2">
        <v>145.0</v>
      </c>
    </row>
    <row r="152">
      <c r="A152" s="1" t="s">
        <v>51</v>
      </c>
      <c r="C152" s="1" t="s">
        <v>131</v>
      </c>
      <c r="E152" s="1" t="s">
        <v>53</v>
      </c>
      <c r="F152" s="1" t="s">
        <v>102</v>
      </c>
      <c r="G152" s="2">
        <v>31.0</v>
      </c>
      <c r="H152" s="1" t="s">
        <v>55</v>
      </c>
      <c r="I152" s="1" t="s">
        <v>67</v>
      </c>
      <c r="J152" s="1" t="s">
        <v>86</v>
      </c>
      <c r="K152" s="1" t="s">
        <v>57</v>
      </c>
      <c r="M152" s="1" t="s">
        <v>58</v>
      </c>
      <c r="N152" s="1" t="s">
        <v>58</v>
      </c>
      <c r="O152" s="1" t="s">
        <v>69</v>
      </c>
      <c r="Q152" s="1" t="s">
        <v>69</v>
      </c>
      <c r="R152" s="1" t="s">
        <v>69</v>
      </c>
      <c r="S152" s="1" t="s">
        <v>58</v>
      </c>
      <c r="T152" s="1" t="s">
        <v>69</v>
      </c>
      <c r="V152" s="1" t="s">
        <v>69</v>
      </c>
      <c r="W152" s="1" t="s">
        <v>69</v>
      </c>
      <c r="X152" s="1" t="s">
        <v>59</v>
      </c>
      <c r="Y152" s="1" t="s">
        <v>172</v>
      </c>
      <c r="Z152" s="1" t="s">
        <v>96</v>
      </c>
      <c r="AA152" s="2">
        <v>100.0</v>
      </c>
      <c r="AB152" s="1" t="s">
        <v>79</v>
      </c>
      <c r="AC152" s="1" t="s">
        <v>72</v>
      </c>
      <c r="AF152" s="1" t="s">
        <v>51</v>
      </c>
      <c r="AG152" s="1" t="s">
        <v>72</v>
      </c>
      <c r="AI152" s="2">
        <v>0.0</v>
      </c>
      <c r="AJ152" s="2">
        <v>0.0</v>
      </c>
      <c r="AK152" s="2">
        <v>0.0</v>
      </c>
      <c r="AL152" s="2">
        <v>1.0</v>
      </c>
      <c r="AM152" s="1" t="s">
        <v>51</v>
      </c>
      <c r="AN152" s="2">
        <v>6.03754007E8</v>
      </c>
      <c r="AP152" s="2">
        <v>4.89939487E8</v>
      </c>
      <c r="AQ152" s="1" t="s">
        <v>276</v>
      </c>
      <c r="AR152" s="2">
        <v>45808.41780092593</v>
      </c>
      <c r="AU152" s="1" t="s">
        <v>64</v>
      </c>
      <c r="AW152" s="1" t="s">
        <v>255</v>
      </c>
      <c r="AY152" s="2">
        <v>146.0</v>
      </c>
    </row>
    <row r="153">
      <c r="A153" s="1" t="s">
        <v>51</v>
      </c>
      <c r="C153" s="1" t="s">
        <v>52</v>
      </c>
      <c r="E153" s="1" t="s">
        <v>53</v>
      </c>
      <c r="F153" s="1" t="s">
        <v>102</v>
      </c>
      <c r="G153" s="2">
        <v>40.0</v>
      </c>
      <c r="H153" s="1" t="s">
        <v>66</v>
      </c>
      <c r="I153" s="1" t="s">
        <v>67</v>
      </c>
      <c r="J153" s="1" t="s">
        <v>86</v>
      </c>
      <c r="K153" s="1" t="s">
        <v>74</v>
      </c>
      <c r="M153" s="1" t="s">
        <v>58</v>
      </c>
      <c r="N153" s="1" t="s">
        <v>58</v>
      </c>
      <c r="O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70</v>
      </c>
      <c r="V153" s="1" t="s">
        <v>58</v>
      </c>
      <c r="W153" s="1" t="s">
        <v>69</v>
      </c>
      <c r="X153" s="1" t="s">
        <v>59</v>
      </c>
      <c r="Y153" s="1" t="s">
        <v>82</v>
      </c>
      <c r="Z153" s="1" t="s">
        <v>89</v>
      </c>
      <c r="AA153" s="2">
        <v>50.0</v>
      </c>
      <c r="AB153" s="1" t="s">
        <v>62</v>
      </c>
      <c r="AC153" s="1" t="s">
        <v>72</v>
      </c>
      <c r="AF153" s="1" t="s">
        <v>51</v>
      </c>
      <c r="AG153" s="1" t="s">
        <v>51</v>
      </c>
      <c r="AH153" s="2">
        <v>20.0</v>
      </c>
      <c r="AI153" s="2">
        <v>0.0</v>
      </c>
      <c r="AJ153" s="2">
        <v>0.0</v>
      </c>
      <c r="AK153" s="2">
        <v>0.0</v>
      </c>
      <c r="AL153" s="2">
        <v>1.0</v>
      </c>
      <c r="AM153" s="1" t="s">
        <v>51</v>
      </c>
      <c r="AN153" s="2">
        <v>8.46416597E8</v>
      </c>
      <c r="AP153" s="2">
        <v>4.89951561E8</v>
      </c>
      <c r="AQ153" s="1" t="s">
        <v>277</v>
      </c>
      <c r="AR153" s="2">
        <v>45808.433796296296</v>
      </c>
      <c r="AU153" s="1" t="s">
        <v>64</v>
      </c>
      <c r="AW153" s="1" t="s">
        <v>255</v>
      </c>
      <c r="AY153" s="2">
        <v>147.0</v>
      </c>
    </row>
    <row r="154">
      <c r="A154" s="1" t="s">
        <v>51</v>
      </c>
      <c r="C154" s="1" t="s">
        <v>52</v>
      </c>
      <c r="E154" s="1" t="s">
        <v>53</v>
      </c>
      <c r="F154" s="1" t="s">
        <v>85</v>
      </c>
      <c r="G154" s="2">
        <v>25.0</v>
      </c>
      <c r="H154" s="1" t="s">
        <v>66</v>
      </c>
      <c r="I154" s="1" t="s">
        <v>67</v>
      </c>
      <c r="J154" s="1" t="s">
        <v>56</v>
      </c>
      <c r="K154" s="1" t="s">
        <v>92</v>
      </c>
      <c r="M154" s="1" t="s">
        <v>58</v>
      </c>
      <c r="N154" s="1" t="s">
        <v>58</v>
      </c>
      <c r="O154" s="1" t="s">
        <v>58</v>
      </c>
      <c r="Q154" s="1" t="s">
        <v>70</v>
      </c>
      <c r="R154" s="1" t="s">
        <v>58</v>
      </c>
      <c r="S154" s="1" t="s">
        <v>69</v>
      </c>
      <c r="T154" s="1" t="s">
        <v>69</v>
      </c>
      <c r="U154" s="1" t="s">
        <v>58</v>
      </c>
      <c r="V154" s="1" t="s">
        <v>69</v>
      </c>
      <c r="W154" s="1" t="s">
        <v>69</v>
      </c>
      <c r="X154" s="1" t="s">
        <v>81</v>
      </c>
      <c r="Y154" s="1" t="s">
        <v>82</v>
      </c>
      <c r="Z154" s="1" t="s">
        <v>61</v>
      </c>
      <c r="AA154" s="2">
        <v>50.0</v>
      </c>
      <c r="AB154" s="1" t="s">
        <v>28</v>
      </c>
      <c r="AC154" s="1" t="s">
        <v>71</v>
      </c>
      <c r="AF154" s="1" t="s">
        <v>51</v>
      </c>
      <c r="AG154" s="1" t="s">
        <v>72</v>
      </c>
      <c r="AI154" s="2">
        <v>0.0</v>
      </c>
      <c r="AJ154" s="2">
        <v>0.0</v>
      </c>
      <c r="AK154" s="2">
        <v>0.0</v>
      </c>
      <c r="AL154" s="2">
        <v>1.0</v>
      </c>
      <c r="AM154" s="1" t="s">
        <v>72</v>
      </c>
      <c r="AP154" s="2">
        <v>4.899521E8</v>
      </c>
      <c r="AQ154" s="1" t="s">
        <v>278</v>
      </c>
      <c r="AR154" s="2">
        <v>45808.4346875</v>
      </c>
      <c r="AU154" s="1" t="s">
        <v>64</v>
      </c>
      <c r="AW154" s="1" t="s">
        <v>255</v>
      </c>
      <c r="AY154" s="2">
        <v>148.0</v>
      </c>
    </row>
    <row r="155">
      <c r="A155" s="1" t="s">
        <v>51</v>
      </c>
      <c r="C155" s="1" t="s">
        <v>151</v>
      </c>
      <c r="E155" s="1" t="s">
        <v>151</v>
      </c>
      <c r="G155" s="2">
        <v>21.0</v>
      </c>
      <c r="H155" s="1" t="s">
        <v>66</v>
      </c>
      <c r="J155" s="1" t="s">
        <v>56</v>
      </c>
      <c r="K155" s="1" t="s">
        <v>87</v>
      </c>
      <c r="M155" s="1" t="s">
        <v>58</v>
      </c>
      <c r="N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81</v>
      </c>
      <c r="Y155" s="1" t="s">
        <v>60</v>
      </c>
      <c r="Z155" s="1" t="s">
        <v>61</v>
      </c>
      <c r="AA155" s="2">
        <v>30.0</v>
      </c>
      <c r="AB155" s="1" t="s">
        <v>62</v>
      </c>
      <c r="AC155" s="1" t="s">
        <v>51</v>
      </c>
      <c r="AD155" s="1" t="s">
        <v>81</v>
      </c>
      <c r="AE155" s="1" t="s">
        <v>51</v>
      </c>
      <c r="AF155" s="1" t="s">
        <v>51</v>
      </c>
      <c r="AG155" s="1" t="s">
        <v>51</v>
      </c>
      <c r="AI155" s="2">
        <v>1.0</v>
      </c>
      <c r="AJ155" s="2">
        <v>0.0</v>
      </c>
      <c r="AK155" s="2">
        <v>0.0</v>
      </c>
      <c r="AL155" s="2">
        <v>0.0</v>
      </c>
      <c r="AP155" s="2">
        <v>4.89973054E8</v>
      </c>
      <c r="AQ155" s="1" t="s">
        <v>279</v>
      </c>
      <c r="AR155" s="2">
        <v>45808.46388888889</v>
      </c>
      <c r="AU155" s="1" t="s">
        <v>64</v>
      </c>
      <c r="AW155" s="1" t="s">
        <v>255</v>
      </c>
      <c r="AY155" s="2">
        <v>149.0</v>
      </c>
    </row>
    <row r="156">
      <c r="A156" s="1" t="s">
        <v>51</v>
      </c>
      <c r="C156" s="1" t="s">
        <v>170</v>
      </c>
      <c r="E156" s="1" t="s">
        <v>170</v>
      </c>
      <c r="G156" s="2">
        <v>42.0</v>
      </c>
      <c r="H156" s="1" t="s">
        <v>66</v>
      </c>
      <c r="J156" s="1" t="s">
        <v>68</v>
      </c>
      <c r="K156" s="1" t="s">
        <v>57</v>
      </c>
      <c r="M156" s="1" t="s">
        <v>70</v>
      </c>
      <c r="N156" s="1" t="s">
        <v>70</v>
      </c>
      <c r="O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1" t="s">
        <v>59</v>
      </c>
      <c r="Y156" s="1" t="s">
        <v>82</v>
      </c>
      <c r="Z156" s="1" t="s">
        <v>61</v>
      </c>
      <c r="AA156" s="2">
        <v>10.0</v>
      </c>
      <c r="AB156" s="1" t="s">
        <v>79</v>
      </c>
      <c r="AC156" s="1" t="s">
        <v>51</v>
      </c>
      <c r="AD156" s="1" t="s">
        <v>59</v>
      </c>
      <c r="AE156" s="1" t="s">
        <v>72</v>
      </c>
      <c r="AF156" s="1" t="s">
        <v>51</v>
      </c>
      <c r="AG156" s="1" t="s">
        <v>51</v>
      </c>
      <c r="AI156" s="2">
        <v>0.0</v>
      </c>
      <c r="AJ156" s="2">
        <v>0.0</v>
      </c>
      <c r="AK156" s="2">
        <v>1.0</v>
      </c>
      <c r="AL156" s="2">
        <v>0.0</v>
      </c>
      <c r="AP156" s="2">
        <v>4.8998635E8</v>
      </c>
      <c r="AQ156" s="1" t="s">
        <v>280</v>
      </c>
      <c r="AR156" s="2">
        <v>45808.481724537036</v>
      </c>
      <c r="AU156" s="1" t="s">
        <v>64</v>
      </c>
      <c r="AW156" s="1" t="s">
        <v>255</v>
      </c>
      <c r="AY156" s="2">
        <v>150.0</v>
      </c>
    </row>
    <row r="157">
      <c r="A157" s="1" t="s">
        <v>51</v>
      </c>
      <c r="C157" s="1" t="s">
        <v>151</v>
      </c>
      <c r="E157" s="1" t="s">
        <v>151</v>
      </c>
      <c r="G157" s="2">
        <v>30.0</v>
      </c>
      <c r="H157" s="1" t="s">
        <v>55</v>
      </c>
      <c r="J157" s="1" t="s">
        <v>86</v>
      </c>
      <c r="K157" s="1" t="s">
        <v>74</v>
      </c>
      <c r="M157" s="1" t="s">
        <v>58</v>
      </c>
      <c r="N157" s="1" t="s">
        <v>58</v>
      </c>
      <c r="O157" s="1" t="s">
        <v>69</v>
      </c>
      <c r="Q157" s="1" t="s">
        <v>58</v>
      </c>
      <c r="R157" s="1" t="s">
        <v>69</v>
      </c>
      <c r="S157" s="1" t="s">
        <v>69</v>
      </c>
      <c r="T157" s="1" t="s">
        <v>58</v>
      </c>
      <c r="U157" s="1" t="s">
        <v>58</v>
      </c>
      <c r="V157" s="1" t="s">
        <v>58</v>
      </c>
      <c r="W157" s="1" t="s">
        <v>69</v>
      </c>
      <c r="X157" s="1" t="s">
        <v>81</v>
      </c>
      <c r="Y157" s="1" t="s">
        <v>227</v>
      </c>
      <c r="Z157" s="1" t="s">
        <v>61</v>
      </c>
      <c r="AA157" s="2">
        <v>50.0</v>
      </c>
      <c r="AB157" s="1" t="s">
        <v>79</v>
      </c>
      <c r="AC157" s="1" t="s">
        <v>51</v>
      </c>
      <c r="AD157" s="1" t="s">
        <v>81</v>
      </c>
      <c r="AE157" s="1" t="s">
        <v>51</v>
      </c>
      <c r="AF157" s="1" t="s">
        <v>51</v>
      </c>
      <c r="AG157" s="1" t="s">
        <v>51</v>
      </c>
      <c r="AH157" s="2">
        <v>300.0</v>
      </c>
      <c r="AI157" s="2">
        <v>1.0</v>
      </c>
      <c r="AJ157" s="2">
        <v>0.0</v>
      </c>
      <c r="AK157" s="2">
        <v>0.0</v>
      </c>
      <c r="AL157" s="2">
        <v>0.0</v>
      </c>
      <c r="AP157" s="2">
        <v>4.89995757E8</v>
      </c>
      <c r="AQ157" s="1" t="s">
        <v>281</v>
      </c>
      <c r="AR157" s="2">
        <v>45808.49559027778</v>
      </c>
      <c r="AU157" s="1" t="s">
        <v>64</v>
      </c>
      <c r="AW157" s="1" t="s">
        <v>191</v>
      </c>
      <c r="AY157" s="2">
        <v>151.0</v>
      </c>
    </row>
    <row r="158">
      <c r="A158" s="1" t="s">
        <v>51</v>
      </c>
      <c r="C158" s="1" t="s">
        <v>53</v>
      </c>
      <c r="E158" s="1" t="s">
        <v>131</v>
      </c>
      <c r="G158" s="2">
        <v>27.0</v>
      </c>
      <c r="H158" s="1" t="s">
        <v>55</v>
      </c>
      <c r="J158" s="1" t="s">
        <v>86</v>
      </c>
      <c r="K158" s="1" t="s">
        <v>57</v>
      </c>
      <c r="M158" s="1" t="s">
        <v>58</v>
      </c>
      <c r="N158" s="1" t="s">
        <v>58</v>
      </c>
      <c r="O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81</v>
      </c>
      <c r="Y158" s="1" t="s">
        <v>60</v>
      </c>
      <c r="Z158" s="1" t="s">
        <v>89</v>
      </c>
      <c r="AA158" s="2">
        <v>20.0</v>
      </c>
      <c r="AB158" s="1" t="s">
        <v>62</v>
      </c>
      <c r="AC158" s="1" t="s">
        <v>51</v>
      </c>
      <c r="AD158" s="1" t="s">
        <v>81</v>
      </c>
      <c r="AE158" s="1" t="s">
        <v>51</v>
      </c>
      <c r="AF158" s="1" t="s">
        <v>51</v>
      </c>
      <c r="AG158" s="1" t="s">
        <v>51</v>
      </c>
      <c r="AH158" s="2">
        <v>50.0</v>
      </c>
      <c r="AI158" s="2">
        <v>0.0</v>
      </c>
      <c r="AJ158" s="2">
        <v>1.0</v>
      </c>
      <c r="AK158" s="2">
        <v>0.0</v>
      </c>
      <c r="AL158" s="2">
        <v>0.0</v>
      </c>
      <c r="AP158" s="2">
        <v>4.89995822E8</v>
      </c>
      <c r="AQ158" s="1" t="s">
        <v>282</v>
      </c>
      <c r="AR158" s="2">
        <v>45808.49568287037</v>
      </c>
      <c r="AU158" s="1" t="s">
        <v>64</v>
      </c>
      <c r="AW158" s="1" t="s">
        <v>255</v>
      </c>
      <c r="AY158" s="2">
        <v>152.0</v>
      </c>
    </row>
    <row r="159">
      <c r="A159" s="1" t="s">
        <v>51</v>
      </c>
      <c r="C159" s="1" t="s">
        <v>53</v>
      </c>
      <c r="E159" s="1" t="s">
        <v>131</v>
      </c>
      <c r="G159" s="2">
        <v>27.0</v>
      </c>
      <c r="H159" s="1" t="s">
        <v>55</v>
      </c>
      <c r="J159" s="1" t="s">
        <v>86</v>
      </c>
      <c r="K159" s="1" t="s">
        <v>57</v>
      </c>
      <c r="M159" s="1" t="s">
        <v>58</v>
      </c>
      <c r="N159" s="1" t="s">
        <v>58</v>
      </c>
      <c r="O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81</v>
      </c>
      <c r="Y159" s="1" t="s">
        <v>60</v>
      </c>
      <c r="Z159" s="1" t="s">
        <v>89</v>
      </c>
      <c r="AA159" s="2">
        <v>30.0</v>
      </c>
      <c r="AB159" s="1" t="s">
        <v>62</v>
      </c>
      <c r="AC159" s="1" t="s">
        <v>51</v>
      </c>
      <c r="AF159" s="1" t="s">
        <v>51</v>
      </c>
      <c r="AG159" s="1" t="s">
        <v>51</v>
      </c>
      <c r="AI159" s="2">
        <v>0.0</v>
      </c>
      <c r="AJ159" s="2">
        <v>1.0</v>
      </c>
      <c r="AK159" s="2">
        <v>0.0</v>
      </c>
      <c r="AL159" s="2">
        <v>0.0</v>
      </c>
      <c r="AP159" s="2">
        <v>4.89999395E8</v>
      </c>
      <c r="AQ159" s="1" t="s">
        <v>283</v>
      </c>
      <c r="AR159" s="2">
        <v>45808.50059027778</v>
      </c>
      <c r="AU159" s="1" t="s">
        <v>64</v>
      </c>
      <c r="AW159" s="1" t="s">
        <v>255</v>
      </c>
      <c r="AY159" s="2">
        <v>153.0</v>
      </c>
    </row>
    <row r="160">
      <c r="A160" s="1" t="s">
        <v>51</v>
      </c>
      <c r="C160" s="1" t="s">
        <v>53</v>
      </c>
      <c r="E160" s="1" t="s">
        <v>131</v>
      </c>
      <c r="G160" s="2">
        <v>28.0</v>
      </c>
      <c r="H160" s="1" t="s">
        <v>66</v>
      </c>
      <c r="J160" s="1" t="s">
        <v>86</v>
      </c>
      <c r="K160" s="1" t="s">
        <v>57</v>
      </c>
      <c r="M160" s="1" t="s">
        <v>58</v>
      </c>
      <c r="N160" s="1" t="s">
        <v>58</v>
      </c>
      <c r="O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X160" s="1" t="s">
        <v>81</v>
      </c>
      <c r="Y160" s="1" t="s">
        <v>82</v>
      </c>
      <c r="Z160" s="1" t="s">
        <v>89</v>
      </c>
      <c r="AA160" s="2">
        <v>40.0</v>
      </c>
      <c r="AB160" s="1" t="s">
        <v>79</v>
      </c>
      <c r="AC160" s="1" t="s">
        <v>51</v>
      </c>
      <c r="AD160" s="1" t="s">
        <v>81</v>
      </c>
      <c r="AE160" s="1" t="s">
        <v>51</v>
      </c>
      <c r="AF160" s="1" t="s">
        <v>51</v>
      </c>
      <c r="AG160" s="1" t="s">
        <v>51</v>
      </c>
      <c r="AH160" s="2">
        <v>50.0</v>
      </c>
      <c r="AI160" s="2">
        <v>0.0</v>
      </c>
      <c r="AJ160" s="2">
        <v>1.0</v>
      </c>
      <c r="AK160" s="2">
        <v>0.0</v>
      </c>
      <c r="AL160" s="2">
        <v>0.0</v>
      </c>
      <c r="AP160" s="2">
        <v>4.90001163E8</v>
      </c>
      <c r="AQ160" s="1" t="s">
        <v>284</v>
      </c>
      <c r="AR160" s="2">
        <v>45808.50234953704</v>
      </c>
      <c r="AU160" s="1" t="s">
        <v>64</v>
      </c>
      <c r="AW160" s="1" t="s">
        <v>255</v>
      </c>
      <c r="AY160" s="2">
        <v>154.0</v>
      </c>
    </row>
    <row r="161">
      <c r="A161" s="1" t="s">
        <v>51</v>
      </c>
      <c r="C161" s="1" t="s">
        <v>131</v>
      </c>
      <c r="E161" s="1" t="s">
        <v>53</v>
      </c>
      <c r="F161" s="1" t="s">
        <v>85</v>
      </c>
      <c r="G161" s="2">
        <v>28.0</v>
      </c>
      <c r="H161" s="1" t="s">
        <v>66</v>
      </c>
      <c r="I161" s="1" t="s">
        <v>100</v>
      </c>
      <c r="J161" s="1" t="s">
        <v>86</v>
      </c>
      <c r="K161" s="1" t="s">
        <v>57</v>
      </c>
      <c r="M161" s="1" t="s">
        <v>58</v>
      </c>
      <c r="N161" s="1" t="s">
        <v>58</v>
      </c>
      <c r="O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81</v>
      </c>
      <c r="Y161" s="1" t="s">
        <v>60</v>
      </c>
      <c r="Z161" s="1" t="s">
        <v>89</v>
      </c>
      <c r="AA161" s="2">
        <v>30.0</v>
      </c>
      <c r="AB161" s="1" t="s">
        <v>62</v>
      </c>
      <c r="AC161" s="1" t="s">
        <v>51</v>
      </c>
      <c r="AF161" s="1" t="s">
        <v>51</v>
      </c>
      <c r="AG161" s="1" t="s">
        <v>51</v>
      </c>
      <c r="AI161" s="2">
        <v>0.0</v>
      </c>
      <c r="AJ161" s="2">
        <v>1.0</v>
      </c>
      <c r="AK161" s="2">
        <v>0.0</v>
      </c>
      <c r="AL161" s="2">
        <v>0.0</v>
      </c>
      <c r="AM161" s="1" t="s">
        <v>51</v>
      </c>
      <c r="AN161" s="2">
        <v>7.3408723E8</v>
      </c>
      <c r="AP161" s="2">
        <v>4.90002951E8</v>
      </c>
      <c r="AQ161" s="1" t="s">
        <v>285</v>
      </c>
      <c r="AR161" s="2">
        <v>45808.50498842593</v>
      </c>
      <c r="AU161" s="1" t="s">
        <v>64</v>
      </c>
      <c r="AW161" s="1" t="s">
        <v>255</v>
      </c>
      <c r="AY161" s="2">
        <v>155.0</v>
      </c>
    </row>
    <row r="162">
      <c r="A162" s="1" t="s">
        <v>51</v>
      </c>
      <c r="C162" s="1" t="s">
        <v>286</v>
      </c>
      <c r="E162" s="1" t="s">
        <v>53</v>
      </c>
      <c r="F162" s="1" t="s">
        <v>102</v>
      </c>
      <c r="G162" s="2">
        <v>35.0</v>
      </c>
      <c r="H162" s="1" t="s">
        <v>66</v>
      </c>
      <c r="I162" s="1" t="s">
        <v>76</v>
      </c>
      <c r="J162" s="1" t="s">
        <v>68</v>
      </c>
      <c r="K162" s="1" t="s">
        <v>78</v>
      </c>
      <c r="M162" s="1" t="s">
        <v>58</v>
      </c>
      <c r="N162" s="1" t="s">
        <v>70</v>
      </c>
      <c r="O162" s="1" t="s">
        <v>69</v>
      </c>
      <c r="Q162" s="1" t="s">
        <v>58</v>
      </c>
      <c r="R162" s="1" t="s">
        <v>58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81</v>
      </c>
      <c r="Y162" s="1" t="s">
        <v>172</v>
      </c>
      <c r="Z162" s="1" t="s">
        <v>89</v>
      </c>
      <c r="AA162" s="2">
        <v>10.0</v>
      </c>
      <c r="AB162" s="1" t="s">
        <v>28</v>
      </c>
      <c r="AC162" s="1" t="s">
        <v>71</v>
      </c>
      <c r="AF162" s="1" t="s">
        <v>51</v>
      </c>
      <c r="AG162" s="1" t="s">
        <v>51</v>
      </c>
      <c r="AH162" s="2">
        <v>20.0</v>
      </c>
      <c r="AI162" s="2">
        <v>0.0</v>
      </c>
      <c r="AJ162" s="2">
        <v>0.0</v>
      </c>
      <c r="AK162" s="2">
        <v>0.0</v>
      </c>
      <c r="AL162" s="2">
        <v>1.0</v>
      </c>
      <c r="AM162" s="1" t="s">
        <v>72</v>
      </c>
      <c r="AP162" s="2">
        <v>4.90003314E8</v>
      </c>
      <c r="AQ162" s="1" t="s">
        <v>287</v>
      </c>
      <c r="AR162" s="2">
        <v>45808.50548611111</v>
      </c>
      <c r="AU162" s="1" t="s">
        <v>64</v>
      </c>
      <c r="AW162" s="1" t="s">
        <v>255</v>
      </c>
      <c r="AY162" s="2">
        <v>156.0</v>
      </c>
    </row>
    <row r="163">
      <c r="A163" s="1" t="s">
        <v>51</v>
      </c>
      <c r="C163" s="1" t="s">
        <v>53</v>
      </c>
      <c r="E163" s="1" t="s">
        <v>131</v>
      </c>
      <c r="G163" s="2">
        <v>29.0</v>
      </c>
      <c r="H163" s="1" t="s">
        <v>55</v>
      </c>
      <c r="J163" s="1" t="s">
        <v>86</v>
      </c>
      <c r="K163" s="1" t="s">
        <v>78</v>
      </c>
      <c r="M163" s="1" t="s">
        <v>58</v>
      </c>
      <c r="N163" s="1" t="s">
        <v>58</v>
      </c>
      <c r="O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81</v>
      </c>
      <c r="Y163" s="1" t="s">
        <v>60</v>
      </c>
      <c r="Z163" s="1" t="s">
        <v>89</v>
      </c>
      <c r="AA163" s="2">
        <v>50.0</v>
      </c>
      <c r="AB163" s="1" t="s">
        <v>79</v>
      </c>
      <c r="AC163" s="1" t="s">
        <v>51</v>
      </c>
      <c r="AD163" s="1" t="s">
        <v>81</v>
      </c>
      <c r="AE163" s="1" t="s">
        <v>51</v>
      </c>
      <c r="AF163" s="1" t="s">
        <v>51</v>
      </c>
      <c r="AG163" s="1" t="s">
        <v>51</v>
      </c>
      <c r="AI163" s="2">
        <v>0.0</v>
      </c>
      <c r="AJ163" s="2">
        <v>1.0</v>
      </c>
      <c r="AK163" s="2">
        <v>0.0</v>
      </c>
      <c r="AL163" s="2">
        <v>0.0</v>
      </c>
      <c r="AP163" s="2">
        <v>4.90004742E8</v>
      </c>
      <c r="AQ163" s="1" t="s">
        <v>288</v>
      </c>
      <c r="AR163" s="2">
        <v>45808.50743055555</v>
      </c>
      <c r="AU163" s="1" t="s">
        <v>64</v>
      </c>
      <c r="AW163" s="1" t="s">
        <v>255</v>
      </c>
      <c r="AY163" s="2">
        <v>157.0</v>
      </c>
    </row>
    <row r="164">
      <c r="A164" s="1" t="s">
        <v>51</v>
      </c>
      <c r="C164" s="1" t="s">
        <v>131</v>
      </c>
      <c r="E164" s="1" t="s">
        <v>53</v>
      </c>
      <c r="F164" s="1" t="s">
        <v>85</v>
      </c>
      <c r="G164" s="2">
        <v>28.0</v>
      </c>
      <c r="H164" s="1" t="s">
        <v>66</v>
      </c>
      <c r="I164" s="1" t="s">
        <v>100</v>
      </c>
      <c r="J164" s="1" t="s">
        <v>86</v>
      </c>
      <c r="K164" s="1" t="s">
        <v>74</v>
      </c>
      <c r="M164" s="1" t="s">
        <v>58</v>
      </c>
      <c r="N164" s="1" t="s">
        <v>58</v>
      </c>
      <c r="O164" s="1" t="s">
        <v>58</v>
      </c>
      <c r="Q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81</v>
      </c>
      <c r="Y164" s="1" t="s">
        <v>82</v>
      </c>
      <c r="Z164" s="1" t="s">
        <v>127</v>
      </c>
      <c r="AA164" s="2">
        <v>10.0</v>
      </c>
      <c r="AB164" s="1" t="s">
        <v>79</v>
      </c>
      <c r="AC164" s="1" t="s">
        <v>51</v>
      </c>
      <c r="AF164" s="1" t="s">
        <v>51</v>
      </c>
      <c r="AG164" s="1" t="s">
        <v>51</v>
      </c>
      <c r="AI164" s="2">
        <v>1.0</v>
      </c>
      <c r="AJ164" s="2">
        <v>0.0</v>
      </c>
      <c r="AK164" s="2">
        <v>0.0</v>
      </c>
      <c r="AL164" s="2">
        <v>0.0</v>
      </c>
      <c r="AM164" s="1" t="s">
        <v>51</v>
      </c>
      <c r="AN164" s="2">
        <v>6.40004045E8</v>
      </c>
      <c r="AP164" s="2">
        <v>4.90013637E8</v>
      </c>
      <c r="AQ164" s="1" t="s">
        <v>289</v>
      </c>
      <c r="AR164" s="2">
        <v>45808.51943287037</v>
      </c>
      <c r="AU164" s="1" t="s">
        <v>64</v>
      </c>
      <c r="AW164" s="1" t="s">
        <v>255</v>
      </c>
      <c r="AY164" s="2">
        <v>158.0</v>
      </c>
    </row>
    <row r="165">
      <c r="A165" s="1" t="s">
        <v>51</v>
      </c>
      <c r="C165" s="1" t="s">
        <v>131</v>
      </c>
      <c r="E165" s="1" t="s">
        <v>53</v>
      </c>
      <c r="F165" s="1" t="s">
        <v>85</v>
      </c>
      <c r="G165" s="2">
        <v>22.0</v>
      </c>
      <c r="H165" s="1" t="s">
        <v>55</v>
      </c>
      <c r="I165" s="1" t="s">
        <v>100</v>
      </c>
      <c r="J165" s="1" t="s">
        <v>86</v>
      </c>
      <c r="K165" s="1" t="s">
        <v>57</v>
      </c>
      <c r="M165" s="1" t="s">
        <v>58</v>
      </c>
      <c r="N165" s="1" t="s">
        <v>58</v>
      </c>
      <c r="O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81</v>
      </c>
      <c r="Y165" s="1" t="s">
        <v>82</v>
      </c>
      <c r="Z165" s="1" t="s">
        <v>127</v>
      </c>
      <c r="AA165" s="2">
        <v>30.0</v>
      </c>
      <c r="AB165" s="1" t="s">
        <v>79</v>
      </c>
      <c r="AC165" s="1" t="s">
        <v>51</v>
      </c>
      <c r="AD165" s="1" t="s">
        <v>81</v>
      </c>
      <c r="AE165" s="1" t="s">
        <v>51</v>
      </c>
      <c r="AF165" s="1" t="s">
        <v>51</v>
      </c>
      <c r="AG165" s="1" t="s">
        <v>51</v>
      </c>
      <c r="AH165" s="2">
        <v>50.0</v>
      </c>
      <c r="AI165" s="2">
        <v>0.0</v>
      </c>
      <c r="AJ165" s="2">
        <v>1.0</v>
      </c>
      <c r="AK165" s="2">
        <v>0.0</v>
      </c>
      <c r="AL165" s="2">
        <v>0.0</v>
      </c>
      <c r="AM165" s="1" t="s">
        <v>51</v>
      </c>
      <c r="AN165" s="2">
        <v>6.73748437E8</v>
      </c>
      <c r="AP165" s="2">
        <v>4.90015156E8</v>
      </c>
      <c r="AQ165" s="1" t="s">
        <v>290</v>
      </c>
      <c r="AR165" s="2">
        <v>45808.52165509259</v>
      </c>
      <c r="AU165" s="1" t="s">
        <v>64</v>
      </c>
      <c r="AW165" s="1" t="s">
        <v>255</v>
      </c>
      <c r="AY165" s="2">
        <v>159.0</v>
      </c>
    </row>
    <row r="166">
      <c r="A166" s="1" t="s">
        <v>51</v>
      </c>
      <c r="C166" s="1" t="s">
        <v>131</v>
      </c>
      <c r="E166" s="1" t="s">
        <v>53</v>
      </c>
      <c r="F166" s="1" t="s">
        <v>291</v>
      </c>
      <c r="G166" s="2">
        <v>24.0</v>
      </c>
      <c r="H166" s="1" t="s">
        <v>55</v>
      </c>
      <c r="I166" s="1" t="s">
        <v>100</v>
      </c>
      <c r="J166" s="1" t="s">
        <v>86</v>
      </c>
      <c r="K166" s="1" t="s">
        <v>57</v>
      </c>
      <c r="M166" s="1" t="s">
        <v>58</v>
      </c>
      <c r="N166" s="1" t="s">
        <v>58</v>
      </c>
      <c r="O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 t="s">
        <v>58</v>
      </c>
      <c r="X166" s="1" t="s">
        <v>81</v>
      </c>
      <c r="Y166" s="1" t="s">
        <v>60</v>
      </c>
      <c r="Z166" s="1" t="s">
        <v>108</v>
      </c>
      <c r="AA166" s="2">
        <v>20.0</v>
      </c>
      <c r="AB166" s="1" t="s">
        <v>62</v>
      </c>
      <c r="AC166" s="1" t="s">
        <v>51</v>
      </c>
      <c r="AD166" s="1" t="s">
        <v>81</v>
      </c>
      <c r="AE166" s="1" t="s">
        <v>51</v>
      </c>
      <c r="AF166" s="1" t="s">
        <v>51</v>
      </c>
      <c r="AG166" s="1" t="s">
        <v>51</v>
      </c>
      <c r="AH166" s="2">
        <v>2.0</v>
      </c>
      <c r="AI166" s="2">
        <v>0.0</v>
      </c>
      <c r="AJ166" s="2">
        <v>1.0</v>
      </c>
      <c r="AK166" s="2">
        <v>0.0</v>
      </c>
      <c r="AL166" s="2">
        <v>0.0</v>
      </c>
      <c r="AM166" s="1" t="s">
        <v>51</v>
      </c>
      <c r="AN166" s="2">
        <v>6.92541294E8</v>
      </c>
      <c r="AP166" s="2">
        <v>4.90021647E8</v>
      </c>
      <c r="AQ166" s="1" t="s">
        <v>292</v>
      </c>
      <c r="AR166" s="2">
        <v>45808.52943287037</v>
      </c>
      <c r="AU166" s="1" t="s">
        <v>64</v>
      </c>
      <c r="AW166" s="1" t="s">
        <v>255</v>
      </c>
      <c r="AY166" s="2">
        <v>160.0</v>
      </c>
    </row>
    <row r="167">
      <c r="A167" s="1" t="s">
        <v>51</v>
      </c>
      <c r="C167" s="1" t="s">
        <v>131</v>
      </c>
      <c r="E167" s="1" t="s">
        <v>53</v>
      </c>
      <c r="F167" s="1" t="s">
        <v>291</v>
      </c>
      <c r="G167" s="2">
        <v>23.0</v>
      </c>
      <c r="H167" s="1" t="s">
        <v>66</v>
      </c>
      <c r="I167" s="1" t="s">
        <v>100</v>
      </c>
      <c r="J167" s="1" t="s">
        <v>86</v>
      </c>
      <c r="K167" s="1" t="s">
        <v>57</v>
      </c>
      <c r="M167" s="1" t="s">
        <v>58</v>
      </c>
      <c r="N167" s="1" t="s">
        <v>58</v>
      </c>
      <c r="O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59</v>
      </c>
      <c r="Y167" s="1" t="s">
        <v>60</v>
      </c>
      <c r="Z167" s="1" t="s">
        <v>108</v>
      </c>
      <c r="AA167" s="2">
        <v>20.0</v>
      </c>
      <c r="AB167" s="1" t="s">
        <v>79</v>
      </c>
      <c r="AC167" s="1" t="s">
        <v>51</v>
      </c>
      <c r="AD167" s="1" t="s">
        <v>59</v>
      </c>
      <c r="AE167" s="1" t="s">
        <v>51</v>
      </c>
      <c r="AF167" s="1" t="s">
        <v>51</v>
      </c>
      <c r="AG167" s="1" t="s">
        <v>51</v>
      </c>
      <c r="AH167" s="2">
        <v>3.0</v>
      </c>
      <c r="AI167" s="2">
        <v>0.0</v>
      </c>
      <c r="AJ167" s="2">
        <v>1.0</v>
      </c>
      <c r="AK167" s="2">
        <v>0.0</v>
      </c>
      <c r="AL167" s="2">
        <v>0.0</v>
      </c>
      <c r="AM167" s="1" t="s">
        <v>51</v>
      </c>
      <c r="AN167" s="2">
        <v>7.32109955E8</v>
      </c>
      <c r="AP167" s="2">
        <v>4.90023205E8</v>
      </c>
      <c r="AQ167" s="1" t="s">
        <v>293</v>
      </c>
      <c r="AR167" s="2">
        <v>45808.531331018516</v>
      </c>
      <c r="AU167" s="1" t="s">
        <v>64</v>
      </c>
      <c r="AW167" s="1" t="s">
        <v>255</v>
      </c>
      <c r="AY167" s="2">
        <v>161.0</v>
      </c>
    </row>
    <row r="168">
      <c r="A168" s="1" t="s">
        <v>51</v>
      </c>
      <c r="C168" s="1" t="s">
        <v>131</v>
      </c>
      <c r="E168" s="1" t="s">
        <v>53</v>
      </c>
      <c r="F168" s="1" t="s">
        <v>291</v>
      </c>
      <c r="G168" s="2">
        <v>20.0</v>
      </c>
      <c r="H168" s="1" t="s">
        <v>66</v>
      </c>
      <c r="I168" s="1" t="s">
        <v>76</v>
      </c>
      <c r="J168" s="1" t="s">
        <v>86</v>
      </c>
      <c r="K168" s="1" t="s">
        <v>78</v>
      </c>
      <c r="M168" s="1" t="s">
        <v>58</v>
      </c>
      <c r="N168" s="1" t="s">
        <v>58</v>
      </c>
      <c r="O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88</v>
      </c>
      <c r="Y168" s="1" t="s">
        <v>82</v>
      </c>
      <c r="Z168" s="1" t="s">
        <v>89</v>
      </c>
      <c r="AA168" s="2">
        <v>30.0</v>
      </c>
      <c r="AB168" s="1" t="s">
        <v>62</v>
      </c>
      <c r="AC168" s="1" t="s">
        <v>51</v>
      </c>
      <c r="AD168" s="1" t="s">
        <v>88</v>
      </c>
      <c r="AE168" s="1" t="s">
        <v>51</v>
      </c>
      <c r="AF168" s="1" t="s">
        <v>51</v>
      </c>
      <c r="AG168" s="1" t="s">
        <v>51</v>
      </c>
      <c r="AH168" s="2">
        <v>2.0</v>
      </c>
      <c r="AI168" s="2">
        <v>0.0</v>
      </c>
      <c r="AJ168" s="2">
        <v>1.0</v>
      </c>
      <c r="AK168" s="2">
        <v>0.0</v>
      </c>
      <c r="AL168" s="2">
        <v>0.0</v>
      </c>
      <c r="AM168" s="1" t="s">
        <v>51</v>
      </c>
      <c r="AN168" s="2">
        <v>7.3293382E7</v>
      </c>
      <c r="AP168" s="2">
        <v>4.90024645E8</v>
      </c>
      <c r="AQ168" s="1" t="s">
        <v>294</v>
      </c>
      <c r="AR168" s="2">
        <v>45808.53369212963</v>
      </c>
      <c r="AU168" s="1" t="s">
        <v>64</v>
      </c>
      <c r="AW168" s="1" t="s">
        <v>255</v>
      </c>
      <c r="AY168" s="2">
        <v>162.0</v>
      </c>
    </row>
    <row r="169">
      <c r="A169" s="1" t="s">
        <v>51</v>
      </c>
      <c r="C169" s="1" t="s">
        <v>131</v>
      </c>
      <c r="E169" s="1" t="s">
        <v>53</v>
      </c>
      <c r="F169" s="1" t="s">
        <v>291</v>
      </c>
      <c r="G169" s="2">
        <v>21.0</v>
      </c>
      <c r="H169" s="1" t="s">
        <v>55</v>
      </c>
      <c r="I169" s="1" t="s">
        <v>67</v>
      </c>
      <c r="J169" s="1" t="s">
        <v>86</v>
      </c>
      <c r="K169" s="1" t="s">
        <v>74</v>
      </c>
      <c r="M169" s="1" t="s">
        <v>58</v>
      </c>
      <c r="N169" s="1" t="s">
        <v>58</v>
      </c>
      <c r="O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59</v>
      </c>
      <c r="Y169" s="1" t="s">
        <v>82</v>
      </c>
      <c r="Z169" s="1" t="s">
        <v>108</v>
      </c>
      <c r="AA169" s="2">
        <v>30.0</v>
      </c>
      <c r="AB169" s="1" t="s">
        <v>62</v>
      </c>
      <c r="AC169" s="1" t="s">
        <v>51</v>
      </c>
      <c r="AD169" s="1" t="s">
        <v>59</v>
      </c>
      <c r="AE169" s="1" t="s">
        <v>51</v>
      </c>
      <c r="AF169" s="1" t="s">
        <v>51</v>
      </c>
      <c r="AG169" s="1" t="s">
        <v>51</v>
      </c>
      <c r="AH169" s="2">
        <v>3.0</v>
      </c>
      <c r="AI169" s="2">
        <v>0.0</v>
      </c>
      <c r="AJ169" s="2">
        <v>1.0</v>
      </c>
      <c r="AK169" s="2">
        <v>0.0</v>
      </c>
      <c r="AL169" s="2">
        <v>0.0</v>
      </c>
      <c r="AM169" s="1" t="s">
        <v>51</v>
      </c>
      <c r="AN169" s="2">
        <v>8.37472508E8</v>
      </c>
      <c r="AP169" s="2">
        <v>4.90025968E8</v>
      </c>
      <c r="AQ169" s="1" t="s">
        <v>295</v>
      </c>
      <c r="AR169" s="2">
        <v>45808.53591435185</v>
      </c>
      <c r="AU169" s="1" t="s">
        <v>64</v>
      </c>
      <c r="AW169" s="1" t="s">
        <v>255</v>
      </c>
      <c r="AY169" s="2">
        <v>163.0</v>
      </c>
    </row>
    <row r="170">
      <c r="A170" s="1" t="s">
        <v>51</v>
      </c>
      <c r="C170" s="1" t="s">
        <v>131</v>
      </c>
      <c r="E170" s="1" t="s">
        <v>53</v>
      </c>
      <c r="F170" s="1" t="s">
        <v>291</v>
      </c>
      <c r="G170" s="2">
        <v>21.0</v>
      </c>
      <c r="H170" s="1" t="s">
        <v>55</v>
      </c>
      <c r="I170" s="1" t="s">
        <v>67</v>
      </c>
      <c r="J170" s="1" t="s">
        <v>86</v>
      </c>
      <c r="K170" s="1" t="s">
        <v>74</v>
      </c>
      <c r="M170" s="1" t="s">
        <v>58</v>
      </c>
      <c r="N170" s="1" t="s">
        <v>58</v>
      </c>
      <c r="O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59</v>
      </c>
      <c r="Y170" s="1" t="s">
        <v>82</v>
      </c>
      <c r="Z170" s="1" t="s">
        <v>108</v>
      </c>
      <c r="AA170" s="2">
        <v>40.0</v>
      </c>
      <c r="AB170" s="1" t="s">
        <v>62</v>
      </c>
      <c r="AC170" s="1" t="s">
        <v>51</v>
      </c>
      <c r="AD170" s="1" t="s">
        <v>59</v>
      </c>
      <c r="AE170" s="1" t="s">
        <v>51</v>
      </c>
      <c r="AF170" s="1" t="s">
        <v>51</v>
      </c>
      <c r="AG170" s="1" t="s">
        <v>51</v>
      </c>
      <c r="AH170" s="2">
        <v>2.0</v>
      </c>
      <c r="AI170" s="2">
        <v>1.0</v>
      </c>
      <c r="AJ170" s="2">
        <v>0.0</v>
      </c>
      <c r="AK170" s="2">
        <v>0.0</v>
      </c>
      <c r="AL170" s="2">
        <v>0.0</v>
      </c>
      <c r="AM170" s="1" t="s">
        <v>51</v>
      </c>
      <c r="AN170" s="2">
        <v>6.04141344E8</v>
      </c>
      <c r="AP170" s="2">
        <v>4.90028048E8</v>
      </c>
      <c r="AQ170" s="1" t="s">
        <v>296</v>
      </c>
      <c r="AR170" s="2">
        <v>45808.53858796296</v>
      </c>
      <c r="AU170" s="1" t="s">
        <v>64</v>
      </c>
      <c r="AW170" s="1" t="s">
        <v>255</v>
      </c>
      <c r="AY170" s="2">
        <v>164.0</v>
      </c>
    </row>
    <row r="171">
      <c r="A171" s="1" t="s">
        <v>51</v>
      </c>
      <c r="C171" s="1" t="s">
        <v>131</v>
      </c>
      <c r="E171" s="1" t="s">
        <v>53</v>
      </c>
      <c r="F171" s="1" t="s">
        <v>85</v>
      </c>
      <c r="G171" s="2">
        <v>22.0</v>
      </c>
      <c r="H171" s="1" t="s">
        <v>55</v>
      </c>
      <c r="I171" s="1" t="s">
        <v>76</v>
      </c>
      <c r="J171" s="1" t="s">
        <v>111</v>
      </c>
      <c r="K171" s="1" t="s">
        <v>57</v>
      </c>
      <c r="M171" s="1" t="s">
        <v>58</v>
      </c>
      <c r="N171" s="1" t="s">
        <v>58</v>
      </c>
      <c r="O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59</v>
      </c>
      <c r="Y171" s="1" t="s">
        <v>82</v>
      </c>
      <c r="Z171" s="1" t="s">
        <v>108</v>
      </c>
      <c r="AA171" s="2">
        <v>20.0</v>
      </c>
      <c r="AB171" s="1" t="s">
        <v>62</v>
      </c>
      <c r="AC171" s="1" t="s">
        <v>51</v>
      </c>
      <c r="AD171" s="1" t="s">
        <v>59</v>
      </c>
      <c r="AE171" s="1" t="s">
        <v>51</v>
      </c>
      <c r="AF171" s="1" t="s">
        <v>51</v>
      </c>
      <c r="AG171" s="1" t="s">
        <v>51</v>
      </c>
      <c r="AH171" s="2">
        <v>2.0</v>
      </c>
      <c r="AI171" s="2">
        <v>0.0</v>
      </c>
      <c r="AJ171" s="2">
        <v>1.0</v>
      </c>
      <c r="AK171" s="2">
        <v>0.0</v>
      </c>
      <c r="AL171" s="2">
        <v>0.0</v>
      </c>
      <c r="AM171" s="1" t="s">
        <v>51</v>
      </c>
      <c r="AN171" s="2">
        <v>7.86258839E8</v>
      </c>
      <c r="AP171" s="2">
        <v>4.90029902E8</v>
      </c>
      <c r="AQ171" s="1" t="s">
        <v>297</v>
      </c>
      <c r="AR171" s="2">
        <v>45808.54121527778</v>
      </c>
      <c r="AU171" s="1" t="s">
        <v>64</v>
      </c>
      <c r="AW171" s="1" t="s">
        <v>255</v>
      </c>
      <c r="AY171" s="2">
        <v>165.0</v>
      </c>
    </row>
    <row r="172">
      <c r="A172" s="1" t="s">
        <v>51</v>
      </c>
      <c r="C172" s="1" t="s">
        <v>52</v>
      </c>
      <c r="E172" s="1" t="s">
        <v>53</v>
      </c>
      <c r="F172" s="1" t="s">
        <v>102</v>
      </c>
      <c r="G172" s="2">
        <v>40.0</v>
      </c>
      <c r="H172" s="1" t="s">
        <v>66</v>
      </c>
      <c r="I172" s="1" t="s">
        <v>100</v>
      </c>
      <c r="J172" s="1" t="s">
        <v>111</v>
      </c>
      <c r="K172" s="1" t="s">
        <v>87</v>
      </c>
      <c r="M172" s="1" t="s">
        <v>58</v>
      </c>
      <c r="N172" s="1" t="s">
        <v>58</v>
      </c>
      <c r="O172" s="1" t="s">
        <v>70</v>
      </c>
      <c r="Q172" s="1" t="s">
        <v>58</v>
      </c>
      <c r="R172" s="1" t="s">
        <v>58</v>
      </c>
      <c r="S172" s="1" t="s">
        <v>70</v>
      </c>
      <c r="T172" s="1" t="s">
        <v>70</v>
      </c>
      <c r="U172" s="1" t="s">
        <v>58</v>
      </c>
      <c r="V172" s="1" t="s">
        <v>58</v>
      </c>
      <c r="W172" s="1" t="s">
        <v>58</v>
      </c>
      <c r="Y172" s="1" t="s">
        <v>95</v>
      </c>
      <c r="Z172" s="1" t="s">
        <v>89</v>
      </c>
      <c r="AA172" s="2">
        <v>100.0</v>
      </c>
      <c r="AB172" s="1" t="s">
        <v>79</v>
      </c>
      <c r="AC172" s="1" t="s">
        <v>71</v>
      </c>
      <c r="AF172" s="1" t="s">
        <v>51</v>
      </c>
      <c r="AG172" s="1" t="s">
        <v>72</v>
      </c>
      <c r="AI172" s="2">
        <v>0.0</v>
      </c>
      <c r="AJ172" s="2">
        <v>0.0</v>
      </c>
      <c r="AK172" s="2">
        <v>0.0</v>
      </c>
      <c r="AL172" s="2">
        <v>1.0</v>
      </c>
      <c r="AM172" s="1" t="s">
        <v>51</v>
      </c>
      <c r="AN172" s="2">
        <v>6.12535762E8</v>
      </c>
      <c r="AP172" s="2">
        <v>4.90034639E8</v>
      </c>
      <c r="AQ172" s="1" t="s">
        <v>298</v>
      </c>
      <c r="AR172" s="2">
        <v>45808.5465625</v>
      </c>
      <c r="AU172" s="1" t="s">
        <v>64</v>
      </c>
      <c r="AW172" s="1" t="s">
        <v>255</v>
      </c>
      <c r="AY172" s="2">
        <v>166.0</v>
      </c>
    </row>
    <row r="173">
      <c r="A173" s="1" t="s">
        <v>51</v>
      </c>
      <c r="C173" s="1" t="s">
        <v>52</v>
      </c>
      <c r="E173" s="1" t="s">
        <v>53</v>
      </c>
      <c r="F173" s="1" t="s">
        <v>102</v>
      </c>
      <c r="G173" s="2">
        <v>43.0</v>
      </c>
      <c r="H173" s="1" t="s">
        <v>66</v>
      </c>
      <c r="I173" s="1" t="s">
        <v>67</v>
      </c>
      <c r="J173" s="1" t="s">
        <v>86</v>
      </c>
      <c r="K173" s="1" t="s">
        <v>87</v>
      </c>
      <c r="M173" s="1" t="s">
        <v>58</v>
      </c>
      <c r="N173" s="1" t="s">
        <v>70</v>
      </c>
      <c r="O173" s="1" t="s">
        <v>58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70</v>
      </c>
      <c r="V173" s="1" t="s">
        <v>58</v>
      </c>
      <c r="W173" s="1" t="s">
        <v>70</v>
      </c>
      <c r="X173" s="1" t="s">
        <v>88</v>
      </c>
      <c r="Y173" s="1" t="s">
        <v>60</v>
      </c>
      <c r="Z173" s="1" t="s">
        <v>61</v>
      </c>
      <c r="AA173" s="2">
        <v>100.0</v>
      </c>
      <c r="AB173" s="1" t="s">
        <v>62</v>
      </c>
      <c r="AC173" s="1" t="s">
        <v>71</v>
      </c>
      <c r="AF173" s="1" t="s">
        <v>51</v>
      </c>
      <c r="AG173" s="1" t="s">
        <v>51</v>
      </c>
      <c r="AH173" s="2">
        <v>3000.0</v>
      </c>
      <c r="AI173" s="2">
        <v>0.0</v>
      </c>
      <c r="AJ173" s="2">
        <v>0.0</v>
      </c>
      <c r="AK173" s="2">
        <v>0.0</v>
      </c>
      <c r="AL173" s="2">
        <v>1.0</v>
      </c>
      <c r="AM173" s="1" t="s">
        <v>51</v>
      </c>
      <c r="AN173" s="2">
        <v>7.94237527E8</v>
      </c>
      <c r="AP173" s="2">
        <v>4.90035398E8</v>
      </c>
      <c r="AQ173" s="1" t="s">
        <v>299</v>
      </c>
      <c r="AR173" s="2">
        <v>45808.54729166667</v>
      </c>
      <c r="AU173" s="1" t="s">
        <v>64</v>
      </c>
      <c r="AW173" s="1" t="s">
        <v>255</v>
      </c>
      <c r="AY173" s="2">
        <v>167.0</v>
      </c>
    </row>
    <row r="174">
      <c r="A174" s="1" t="s">
        <v>51</v>
      </c>
      <c r="C174" s="1" t="s">
        <v>52</v>
      </c>
      <c r="E174" s="1" t="s">
        <v>53</v>
      </c>
      <c r="F174" s="1" t="s">
        <v>94</v>
      </c>
      <c r="G174" s="2">
        <v>51.0</v>
      </c>
      <c r="H174" s="1" t="s">
        <v>55</v>
      </c>
      <c r="I174" s="1" t="s">
        <v>67</v>
      </c>
      <c r="J174" s="1" t="s">
        <v>68</v>
      </c>
      <c r="K174" s="1" t="s">
        <v>92</v>
      </c>
      <c r="M174" s="1" t="s">
        <v>58</v>
      </c>
      <c r="N174" s="1" t="s">
        <v>58</v>
      </c>
      <c r="O174" s="1" t="s">
        <v>69</v>
      </c>
      <c r="Q174" s="1" t="s">
        <v>58</v>
      </c>
      <c r="R174" s="1" t="s">
        <v>58</v>
      </c>
      <c r="S174" s="1" t="s">
        <v>69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88</v>
      </c>
      <c r="Y174" s="1" t="s">
        <v>60</v>
      </c>
      <c r="Z174" s="1" t="s">
        <v>89</v>
      </c>
      <c r="AA174" s="2">
        <v>100.0</v>
      </c>
      <c r="AB174" s="1" t="s">
        <v>79</v>
      </c>
      <c r="AC174" s="1" t="s">
        <v>71</v>
      </c>
      <c r="AF174" s="1" t="s">
        <v>51</v>
      </c>
      <c r="AG174" s="1" t="s">
        <v>51</v>
      </c>
      <c r="AH174" s="2">
        <v>500.0</v>
      </c>
      <c r="AI174" s="2">
        <v>0.0</v>
      </c>
      <c r="AJ174" s="2">
        <v>1.0</v>
      </c>
      <c r="AK174" s="2">
        <v>1.0</v>
      </c>
      <c r="AL174" s="2">
        <v>1.0</v>
      </c>
      <c r="AM174" s="1" t="s">
        <v>51</v>
      </c>
      <c r="AN174" s="2">
        <v>7.61652799E8</v>
      </c>
      <c r="AP174" s="2">
        <v>4.90050303E8</v>
      </c>
      <c r="AQ174" s="1" t="s">
        <v>300</v>
      </c>
      <c r="AR174" s="2">
        <v>45808.5659375</v>
      </c>
      <c r="AU174" s="1" t="s">
        <v>64</v>
      </c>
      <c r="AW174" s="1" t="s">
        <v>255</v>
      </c>
      <c r="AY174" s="2">
        <v>168.0</v>
      </c>
    </row>
    <row r="175">
      <c r="A175" s="1" t="s">
        <v>51</v>
      </c>
      <c r="C175" s="1" t="s">
        <v>52</v>
      </c>
      <c r="E175" s="1" t="s">
        <v>53</v>
      </c>
      <c r="F175" s="1" t="s">
        <v>301</v>
      </c>
      <c r="G175" s="2">
        <v>26.0</v>
      </c>
      <c r="H175" s="1" t="s">
        <v>66</v>
      </c>
      <c r="I175" s="1" t="s">
        <v>100</v>
      </c>
      <c r="J175" s="1" t="s">
        <v>56</v>
      </c>
      <c r="K175" s="1" t="s">
        <v>87</v>
      </c>
      <c r="M175" s="1" t="s">
        <v>58</v>
      </c>
      <c r="N175" s="1" t="s">
        <v>58</v>
      </c>
      <c r="O175" s="1" t="s">
        <v>58</v>
      </c>
      <c r="Q175" s="1" t="s">
        <v>69</v>
      </c>
      <c r="R175" s="1" t="s">
        <v>58</v>
      </c>
      <c r="S175" s="1" t="s">
        <v>69</v>
      </c>
      <c r="T175" s="1" t="s">
        <v>58</v>
      </c>
      <c r="U175" s="1" t="s">
        <v>58</v>
      </c>
      <c r="V175" s="1" t="s">
        <v>58</v>
      </c>
      <c r="W175" s="1" t="s">
        <v>69</v>
      </c>
      <c r="X175" s="1" t="s">
        <v>88</v>
      </c>
      <c r="Y175" s="1" t="s">
        <v>95</v>
      </c>
      <c r="Z175" s="1" t="s">
        <v>96</v>
      </c>
      <c r="AA175" s="2">
        <v>100.0</v>
      </c>
      <c r="AB175" s="1" t="s">
        <v>62</v>
      </c>
      <c r="AC175" s="1" t="s">
        <v>71</v>
      </c>
      <c r="AF175" s="1" t="s">
        <v>51</v>
      </c>
      <c r="AG175" s="1" t="s">
        <v>72</v>
      </c>
      <c r="AI175" s="2">
        <v>0.0</v>
      </c>
      <c r="AJ175" s="2">
        <v>0.0</v>
      </c>
      <c r="AK175" s="2">
        <v>1.0</v>
      </c>
      <c r="AL175" s="2">
        <v>0.0</v>
      </c>
      <c r="AM175" s="1" t="s">
        <v>51</v>
      </c>
      <c r="AP175" s="2">
        <v>4.90054197E8</v>
      </c>
      <c r="AQ175" s="1" t="s">
        <v>302</v>
      </c>
      <c r="AR175" s="2">
        <v>45808.57083333333</v>
      </c>
      <c r="AU175" s="1" t="s">
        <v>64</v>
      </c>
      <c r="AW175" s="1" t="s">
        <v>255</v>
      </c>
      <c r="AY175" s="2">
        <v>169.0</v>
      </c>
    </row>
    <row r="176">
      <c r="A176" s="1" t="s">
        <v>51</v>
      </c>
      <c r="C176" s="1" t="s">
        <v>131</v>
      </c>
      <c r="E176" s="1" t="s">
        <v>53</v>
      </c>
      <c r="F176" s="1" t="s">
        <v>54</v>
      </c>
      <c r="G176" s="2">
        <v>34.0</v>
      </c>
      <c r="H176" s="1" t="s">
        <v>55</v>
      </c>
      <c r="I176" s="1" t="s">
        <v>100</v>
      </c>
      <c r="J176" s="1" t="s">
        <v>56</v>
      </c>
      <c r="K176" s="1" t="s">
        <v>74</v>
      </c>
      <c r="M176" s="1" t="s">
        <v>58</v>
      </c>
      <c r="N176" s="1" t="s">
        <v>58</v>
      </c>
      <c r="O176" s="1" t="s">
        <v>69</v>
      </c>
      <c r="Q176" s="1" t="s">
        <v>58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1" t="s">
        <v>58</v>
      </c>
      <c r="X176" s="1" t="s">
        <v>81</v>
      </c>
      <c r="Y176" s="1" t="s">
        <v>82</v>
      </c>
      <c r="Z176" s="1" t="s">
        <v>108</v>
      </c>
      <c r="AA176" s="2">
        <v>50.0</v>
      </c>
      <c r="AB176" s="1" t="s">
        <v>28</v>
      </c>
      <c r="AC176" s="1" t="s">
        <v>71</v>
      </c>
      <c r="AF176" s="1" t="s">
        <v>51</v>
      </c>
      <c r="AG176" s="1" t="s">
        <v>72</v>
      </c>
      <c r="AI176" s="2">
        <v>0.0</v>
      </c>
      <c r="AJ176" s="2">
        <v>0.0</v>
      </c>
      <c r="AK176" s="2">
        <v>0.0</v>
      </c>
      <c r="AL176" s="2">
        <v>1.0</v>
      </c>
      <c r="AM176" s="1" t="s">
        <v>51</v>
      </c>
      <c r="AN176" s="2">
        <v>7.30603166E8</v>
      </c>
      <c r="AP176" s="2">
        <v>4.90058033E8</v>
      </c>
      <c r="AQ176" s="1" t="s">
        <v>303</v>
      </c>
      <c r="AR176" s="2">
        <v>45808.575162037036</v>
      </c>
      <c r="AU176" s="1" t="s">
        <v>64</v>
      </c>
      <c r="AW176" s="1" t="s">
        <v>255</v>
      </c>
      <c r="AY176" s="2">
        <v>170.0</v>
      </c>
    </row>
    <row r="177">
      <c r="A177" s="1" t="s">
        <v>51</v>
      </c>
      <c r="C177" s="1" t="s">
        <v>131</v>
      </c>
      <c r="E177" s="1" t="s">
        <v>53</v>
      </c>
      <c r="F177" s="1" t="s">
        <v>54</v>
      </c>
      <c r="G177" s="2">
        <v>20.0</v>
      </c>
      <c r="H177" s="1" t="s">
        <v>55</v>
      </c>
      <c r="I177" s="1" t="s">
        <v>100</v>
      </c>
      <c r="J177" s="1" t="s">
        <v>111</v>
      </c>
      <c r="K177" s="1" t="s">
        <v>78</v>
      </c>
      <c r="M177" s="1" t="s">
        <v>58</v>
      </c>
      <c r="N177" s="1" t="s">
        <v>58</v>
      </c>
      <c r="O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 t="s">
        <v>70</v>
      </c>
      <c r="W177" s="1" t="s">
        <v>58</v>
      </c>
      <c r="X177" s="1" t="s">
        <v>81</v>
      </c>
      <c r="Y177" s="1" t="s">
        <v>60</v>
      </c>
      <c r="Z177" s="1" t="s">
        <v>96</v>
      </c>
      <c r="AA177" s="2">
        <v>100.0</v>
      </c>
      <c r="AB177" s="1" t="s">
        <v>62</v>
      </c>
      <c r="AC177" s="1" t="s">
        <v>51</v>
      </c>
      <c r="AD177" s="1" t="s">
        <v>81</v>
      </c>
      <c r="AE177" s="1" t="s">
        <v>72</v>
      </c>
      <c r="AF177" s="1" t="s">
        <v>51</v>
      </c>
      <c r="AG177" s="1" t="s">
        <v>72</v>
      </c>
      <c r="AI177" s="2">
        <v>0.0</v>
      </c>
      <c r="AJ177" s="2">
        <v>1.0</v>
      </c>
      <c r="AK177" s="2">
        <v>0.0</v>
      </c>
      <c r="AL177" s="2">
        <v>0.0</v>
      </c>
      <c r="AM177" s="1" t="s">
        <v>51</v>
      </c>
      <c r="AP177" s="2">
        <v>4.90060926E8</v>
      </c>
      <c r="AQ177" s="1" t="s">
        <v>304</v>
      </c>
      <c r="AR177" s="2">
        <v>45808.57849537037</v>
      </c>
      <c r="AU177" s="1" t="s">
        <v>64</v>
      </c>
      <c r="AW177" s="1" t="s">
        <v>255</v>
      </c>
      <c r="AY177" s="2">
        <v>171.0</v>
      </c>
    </row>
    <row r="178">
      <c r="A178" s="1" t="s">
        <v>51</v>
      </c>
      <c r="C178" s="1" t="s">
        <v>131</v>
      </c>
      <c r="E178" s="1" t="s">
        <v>53</v>
      </c>
      <c r="F178" s="1" t="s">
        <v>54</v>
      </c>
      <c r="G178" s="2">
        <v>27.0</v>
      </c>
      <c r="H178" s="1" t="s">
        <v>55</v>
      </c>
      <c r="I178" s="1" t="s">
        <v>67</v>
      </c>
      <c r="J178" s="1" t="s">
        <v>68</v>
      </c>
      <c r="K178" s="1" t="s">
        <v>78</v>
      </c>
      <c r="M178" s="1" t="s">
        <v>58</v>
      </c>
      <c r="N178" s="1" t="s">
        <v>58</v>
      </c>
      <c r="O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58</v>
      </c>
      <c r="W178" s="1" t="s">
        <v>58</v>
      </c>
      <c r="X178" s="1" t="s">
        <v>81</v>
      </c>
      <c r="Y178" s="1" t="s">
        <v>82</v>
      </c>
      <c r="Z178" s="1" t="s">
        <v>89</v>
      </c>
      <c r="AA178" s="2">
        <v>50.0</v>
      </c>
      <c r="AB178" s="1" t="s">
        <v>28</v>
      </c>
      <c r="AC178" s="1" t="s">
        <v>51</v>
      </c>
      <c r="AE178" s="1" t="s">
        <v>51</v>
      </c>
      <c r="AF178" s="1" t="s">
        <v>51</v>
      </c>
      <c r="AG178" s="1" t="s">
        <v>51</v>
      </c>
      <c r="AH178" s="2">
        <v>200.0</v>
      </c>
      <c r="AI178" s="2">
        <v>0.0</v>
      </c>
      <c r="AJ178" s="2">
        <v>1.0</v>
      </c>
      <c r="AK178" s="2">
        <v>0.0</v>
      </c>
      <c r="AL178" s="2">
        <v>0.0</v>
      </c>
      <c r="AM178" s="1" t="s">
        <v>51</v>
      </c>
      <c r="AN178" s="2">
        <v>8.20589777E8</v>
      </c>
      <c r="AP178" s="2">
        <v>4.90062455E8</v>
      </c>
      <c r="AQ178" s="1" t="s">
        <v>305</v>
      </c>
      <c r="AR178" s="2">
        <v>45808.58027777778</v>
      </c>
      <c r="AU178" s="1" t="s">
        <v>64</v>
      </c>
      <c r="AW178" s="1" t="s">
        <v>255</v>
      </c>
      <c r="AY178" s="2">
        <v>172.0</v>
      </c>
    </row>
    <row r="179">
      <c r="A179" s="1" t="s">
        <v>51</v>
      </c>
      <c r="C179" s="1" t="s">
        <v>131</v>
      </c>
      <c r="E179" s="1" t="s">
        <v>53</v>
      </c>
      <c r="F179" s="1" t="s">
        <v>102</v>
      </c>
      <c r="G179" s="2">
        <v>33.0</v>
      </c>
      <c r="H179" s="1" t="s">
        <v>55</v>
      </c>
      <c r="I179" s="1" t="s">
        <v>67</v>
      </c>
      <c r="J179" s="1" t="s">
        <v>68</v>
      </c>
      <c r="K179" s="1" t="s">
        <v>78</v>
      </c>
      <c r="M179" s="1" t="s">
        <v>58</v>
      </c>
      <c r="N179" s="1" t="s">
        <v>58</v>
      </c>
      <c r="O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81</v>
      </c>
      <c r="Y179" s="1" t="s">
        <v>227</v>
      </c>
      <c r="Z179" s="1" t="s">
        <v>96</v>
      </c>
      <c r="AA179" s="2">
        <v>100.0</v>
      </c>
      <c r="AB179" s="1" t="s">
        <v>62</v>
      </c>
      <c r="AC179" s="1" t="s">
        <v>51</v>
      </c>
      <c r="AD179" s="1" t="s">
        <v>81</v>
      </c>
      <c r="AE179" s="1" t="s">
        <v>51</v>
      </c>
      <c r="AF179" s="1" t="s">
        <v>51</v>
      </c>
      <c r="AG179" s="1" t="s">
        <v>51</v>
      </c>
      <c r="AH179" s="2">
        <v>100.0</v>
      </c>
      <c r="AI179" s="2">
        <v>0.0</v>
      </c>
      <c r="AJ179" s="2">
        <v>0.0</v>
      </c>
      <c r="AK179" s="2">
        <v>0.0</v>
      </c>
      <c r="AL179" s="2">
        <v>1.0</v>
      </c>
      <c r="AM179" s="1" t="s">
        <v>51</v>
      </c>
      <c r="AN179" s="1" t="s">
        <v>306</v>
      </c>
      <c r="AP179" s="2">
        <v>4.90063325E8</v>
      </c>
      <c r="AQ179" s="1" t="s">
        <v>307</v>
      </c>
      <c r="AR179" s="2">
        <v>45808.58094907407</v>
      </c>
      <c r="AU179" s="1" t="s">
        <v>64</v>
      </c>
      <c r="AW179" s="1" t="s">
        <v>255</v>
      </c>
      <c r="AY179" s="2">
        <v>173.0</v>
      </c>
    </row>
    <row r="180">
      <c r="A180" s="1" t="s">
        <v>51</v>
      </c>
      <c r="C180" s="1" t="s">
        <v>131</v>
      </c>
      <c r="E180" s="1" t="s">
        <v>53</v>
      </c>
      <c r="F180" s="1" t="s">
        <v>54</v>
      </c>
      <c r="G180" s="2">
        <v>27.0</v>
      </c>
      <c r="H180" s="1" t="s">
        <v>55</v>
      </c>
      <c r="I180" s="1" t="s">
        <v>100</v>
      </c>
      <c r="J180" s="1" t="s">
        <v>111</v>
      </c>
      <c r="K180" s="1" t="s">
        <v>57</v>
      </c>
      <c r="M180" s="1" t="s">
        <v>58</v>
      </c>
      <c r="N180" s="1" t="s">
        <v>58</v>
      </c>
      <c r="O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1" t="s">
        <v>58</v>
      </c>
      <c r="X180" s="1" t="s">
        <v>81</v>
      </c>
      <c r="Y180" s="1" t="s">
        <v>172</v>
      </c>
      <c r="Z180" s="1" t="s">
        <v>89</v>
      </c>
      <c r="AA180" s="2">
        <v>30.0</v>
      </c>
      <c r="AB180" s="1" t="s">
        <v>28</v>
      </c>
      <c r="AC180" s="1" t="s">
        <v>71</v>
      </c>
      <c r="AF180" s="1" t="s">
        <v>51</v>
      </c>
      <c r="AG180" s="1" t="s">
        <v>51</v>
      </c>
      <c r="AI180" s="2">
        <v>0.0</v>
      </c>
      <c r="AJ180" s="2">
        <v>0.0</v>
      </c>
      <c r="AK180" s="2">
        <v>0.0</v>
      </c>
      <c r="AL180" s="2">
        <v>1.0</v>
      </c>
      <c r="AM180" s="1" t="s">
        <v>51</v>
      </c>
      <c r="AN180" s="2">
        <v>8.33947976E8</v>
      </c>
      <c r="AP180" s="2">
        <v>4.90064388E8</v>
      </c>
      <c r="AQ180" s="1" t="s">
        <v>308</v>
      </c>
      <c r="AR180" s="2">
        <v>45808.582141203704</v>
      </c>
      <c r="AU180" s="1" t="s">
        <v>64</v>
      </c>
      <c r="AW180" s="1" t="s">
        <v>255</v>
      </c>
      <c r="AY180" s="2">
        <v>174.0</v>
      </c>
    </row>
    <row r="181">
      <c r="A181" s="1" t="s">
        <v>51</v>
      </c>
      <c r="E181" s="1" t="s">
        <v>53</v>
      </c>
      <c r="F181" s="1" t="s">
        <v>54</v>
      </c>
      <c r="G181" s="2">
        <v>29.0</v>
      </c>
      <c r="H181" s="1" t="s">
        <v>66</v>
      </c>
      <c r="I181" s="1" t="s">
        <v>67</v>
      </c>
      <c r="J181" s="1" t="s">
        <v>56</v>
      </c>
      <c r="K181" s="1" t="s">
        <v>57</v>
      </c>
      <c r="M181" s="1" t="s">
        <v>58</v>
      </c>
      <c r="N181" s="1" t="s">
        <v>58</v>
      </c>
      <c r="O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 t="s">
        <v>58</v>
      </c>
      <c r="X181" s="1" t="s">
        <v>81</v>
      </c>
      <c r="Y181" s="1" t="s">
        <v>172</v>
      </c>
      <c r="Z181" s="1" t="s">
        <v>96</v>
      </c>
      <c r="AA181" s="2">
        <v>50.0</v>
      </c>
      <c r="AB181" s="1" t="s">
        <v>28</v>
      </c>
      <c r="AC181" s="1" t="s">
        <v>71</v>
      </c>
      <c r="AF181" s="1" t="s">
        <v>51</v>
      </c>
      <c r="AG181" s="1" t="s">
        <v>51</v>
      </c>
      <c r="AI181" s="2">
        <v>1.0</v>
      </c>
      <c r="AJ181" s="2">
        <v>0.0</v>
      </c>
      <c r="AK181" s="2">
        <v>0.0</v>
      </c>
      <c r="AL181" s="2">
        <v>0.0</v>
      </c>
      <c r="AM181" s="1" t="s">
        <v>51</v>
      </c>
      <c r="AN181" s="2">
        <v>7.98581807E8</v>
      </c>
      <c r="AP181" s="2">
        <v>4.90065965E8</v>
      </c>
      <c r="AQ181" s="1" t="s">
        <v>309</v>
      </c>
      <c r="AR181" s="2">
        <v>45808.58390046296</v>
      </c>
      <c r="AU181" s="1" t="s">
        <v>64</v>
      </c>
      <c r="AW181" s="1" t="s">
        <v>255</v>
      </c>
      <c r="AY181" s="2">
        <v>175.0</v>
      </c>
    </row>
    <row r="182">
      <c r="A182" s="1" t="s">
        <v>51</v>
      </c>
      <c r="C182" s="1" t="s">
        <v>131</v>
      </c>
      <c r="E182" s="1" t="s">
        <v>53</v>
      </c>
      <c r="F182" s="1" t="s">
        <v>54</v>
      </c>
      <c r="G182" s="2">
        <v>30.0</v>
      </c>
      <c r="H182" s="1" t="s">
        <v>55</v>
      </c>
      <c r="I182" s="1" t="s">
        <v>100</v>
      </c>
      <c r="J182" s="1" t="s">
        <v>56</v>
      </c>
      <c r="K182" s="1" t="s">
        <v>57</v>
      </c>
      <c r="M182" s="1" t="s">
        <v>58</v>
      </c>
      <c r="N182" s="1" t="s">
        <v>58</v>
      </c>
      <c r="O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 t="s">
        <v>58</v>
      </c>
      <c r="X182" s="1" t="s">
        <v>81</v>
      </c>
      <c r="Y182" s="1" t="s">
        <v>82</v>
      </c>
      <c r="Z182" s="1" t="s">
        <v>89</v>
      </c>
      <c r="AA182" s="2">
        <v>20.0</v>
      </c>
      <c r="AB182" s="1" t="s">
        <v>28</v>
      </c>
      <c r="AC182" s="1" t="s">
        <v>71</v>
      </c>
      <c r="AF182" s="1" t="s">
        <v>51</v>
      </c>
      <c r="AG182" s="1" t="s">
        <v>51</v>
      </c>
      <c r="AI182" s="2">
        <v>1.0</v>
      </c>
      <c r="AJ182" s="2">
        <v>0.0</v>
      </c>
      <c r="AK182" s="2">
        <v>0.0</v>
      </c>
      <c r="AL182" s="2">
        <v>0.0</v>
      </c>
      <c r="AM182" s="1" t="s">
        <v>51</v>
      </c>
      <c r="AN182" s="2">
        <v>6.81216241E8</v>
      </c>
      <c r="AP182" s="2">
        <v>4.90067473E8</v>
      </c>
      <c r="AQ182" s="1" t="s">
        <v>310</v>
      </c>
      <c r="AR182" s="2">
        <v>45808.58574074074</v>
      </c>
      <c r="AU182" s="1" t="s">
        <v>64</v>
      </c>
      <c r="AW182" s="1" t="s">
        <v>255</v>
      </c>
      <c r="AY182" s="2">
        <v>176.0</v>
      </c>
    </row>
    <row r="183">
      <c r="A183" s="1" t="s">
        <v>51</v>
      </c>
      <c r="C183" s="1" t="s">
        <v>131</v>
      </c>
      <c r="E183" s="1" t="s">
        <v>53</v>
      </c>
      <c r="F183" s="1" t="s">
        <v>54</v>
      </c>
      <c r="G183" s="2">
        <v>32.0</v>
      </c>
      <c r="H183" s="1" t="s">
        <v>55</v>
      </c>
      <c r="J183" s="1" t="s">
        <v>111</v>
      </c>
      <c r="K183" s="1" t="s">
        <v>74</v>
      </c>
      <c r="M183" s="1" t="s">
        <v>58</v>
      </c>
      <c r="N183" s="1" t="s">
        <v>58</v>
      </c>
      <c r="O183" s="1" t="s">
        <v>58</v>
      </c>
      <c r="Q183" s="1" t="s">
        <v>58</v>
      </c>
      <c r="R183" s="1" t="s">
        <v>58</v>
      </c>
      <c r="S183" s="1" t="s">
        <v>58</v>
      </c>
      <c r="T183" s="1" t="s">
        <v>58</v>
      </c>
      <c r="U183" s="1" t="s">
        <v>58</v>
      </c>
      <c r="V183" s="1" t="s">
        <v>58</v>
      </c>
      <c r="W183" s="1" t="s">
        <v>58</v>
      </c>
      <c r="X183" s="1" t="s">
        <v>81</v>
      </c>
      <c r="Y183" s="1" t="s">
        <v>82</v>
      </c>
      <c r="Z183" s="1" t="s">
        <v>108</v>
      </c>
      <c r="AA183" s="2">
        <v>20.0</v>
      </c>
      <c r="AB183" s="1" t="s">
        <v>28</v>
      </c>
      <c r="AC183" s="1" t="s">
        <v>71</v>
      </c>
      <c r="AF183" s="1" t="s">
        <v>51</v>
      </c>
      <c r="AG183" s="1" t="s">
        <v>51</v>
      </c>
      <c r="AI183" s="2">
        <v>1.0</v>
      </c>
      <c r="AJ183" s="2">
        <v>0.0</v>
      </c>
      <c r="AK183" s="2">
        <v>0.0</v>
      </c>
      <c r="AL183" s="2">
        <v>0.0</v>
      </c>
      <c r="AM183" s="1" t="s">
        <v>51</v>
      </c>
      <c r="AN183" s="2">
        <v>7.84739697E8</v>
      </c>
      <c r="AP183" s="2">
        <v>4.9006882E8</v>
      </c>
      <c r="AQ183" s="1" t="s">
        <v>311</v>
      </c>
      <c r="AR183" s="2">
        <v>45808.587164351855</v>
      </c>
      <c r="AU183" s="1" t="s">
        <v>64</v>
      </c>
      <c r="AW183" s="1" t="s">
        <v>255</v>
      </c>
      <c r="AY183" s="2">
        <v>177.0</v>
      </c>
    </row>
    <row r="184">
      <c r="A184" s="1" t="s">
        <v>51</v>
      </c>
      <c r="C184" s="1" t="s">
        <v>131</v>
      </c>
      <c r="E184" s="1" t="s">
        <v>53</v>
      </c>
      <c r="F184" s="1" t="s">
        <v>54</v>
      </c>
      <c r="G184" s="2">
        <v>29.0</v>
      </c>
      <c r="H184" s="1" t="s">
        <v>66</v>
      </c>
      <c r="I184" s="1" t="s">
        <v>67</v>
      </c>
      <c r="J184" s="1" t="s">
        <v>68</v>
      </c>
      <c r="K184" s="1" t="s">
        <v>74</v>
      </c>
      <c r="M184" s="1" t="s">
        <v>58</v>
      </c>
      <c r="N184" s="1" t="s">
        <v>58</v>
      </c>
      <c r="O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1" t="s">
        <v>81</v>
      </c>
      <c r="Y184" s="1" t="s">
        <v>172</v>
      </c>
      <c r="Z184" s="1" t="s">
        <v>96</v>
      </c>
      <c r="AA184" s="2">
        <v>50.0</v>
      </c>
      <c r="AB184" s="1" t="s">
        <v>62</v>
      </c>
      <c r="AC184" s="1" t="s">
        <v>51</v>
      </c>
      <c r="AD184" s="1" t="s">
        <v>81</v>
      </c>
      <c r="AE184" s="1" t="s">
        <v>51</v>
      </c>
      <c r="AF184" s="1" t="s">
        <v>51</v>
      </c>
      <c r="AG184" s="1" t="s">
        <v>51</v>
      </c>
      <c r="AI184" s="2">
        <v>1.0</v>
      </c>
      <c r="AJ184" s="2">
        <v>0.0</v>
      </c>
      <c r="AK184" s="2">
        <v>0.0</v>
      </c>
      <c r="AL184" s="2">
        <v>0.0</v>
      </c>
      <c r="AM184" s="1" t="s">
        <v>51</v>
      </c>
      <c r="AN184" s="2">
        <v>8.12338828E8</v>
      </c>
      <c r="AP184" s="2">
        <v>4.90071211E8</v>
      </c>
      <c r="AQ184" s="1" t="s">
        <v>312</v>
      </c>
      <c r="AR184" s="2">
        <v>45808.58969907407</v>
      </c>
      <c r="AU184" s="1" t="s">
        <v>64</v>
      </c>
      <c r="AW184" s="1" t="s">
        <v>255</v>
      </c>
      <c r="AY184" s="2">
        <v>178.0</v>
      </c>
    </row>
    <row r="185">
      <c r="A185" s="1" t="s">
        <v>51</v>
      </c>
      <c r="C185" s="1" t="s">
        <v>131</v>
      </c>
      <c r="E185" s="1" t="s">
        <v>53</v>
      </c>
      <c r="F185" s="1" t="s">
        <v>54</v>
      </c>
      <c r="G185" s="2">
        <v>31.0</v>
      </c>
      <c r="H185" s="1" t="s">
        <v>55</v>
      </c>
      <c r="I185" s="1" t="s">
        <v>100</v>
      </c>
      <c r="J185" s="1" t="s">
        <v>68</v>
      </c>
      <c r="K185" s="1" t="s">
        <v>74</v>
      </c>
      <c r="M185" s="1" t="s">
        <v>58</v>
      </c>
      <c r="N185" s="1" t="s">
        <v>58</v>
      </c>
      <c r="O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1" t="s">
        <v>81</v>
      </c>
      <c r="Y185" s="1" t="s">
        <v>82</v>
      </c>
      <c r="Z185" s="1" t="s">
        <v>96</v>
      </c>
      <c r="AA185" s="2">
        <v>100.0</v>
      </c>
      <c r="AB185" s="1" t="s">
        <v>62</v>
      </c>
      <c r="AC185" s="1" t="s">
        <v>71</v>
      </c>
      <c r="AF185" s="1" t="s">
        <v>51</v>
      </c>
      <c r="AG185" s="1" t="s">
        <v>51</v>
      </c>
      <c r="AH185" s="2">
        <v>7.26534262E8</v>
      </c>
      <c r="AI185" s="2">
        <v>1.0</v>
      </c>
      <c r="AJ185" s="2">
        <v>0.0</v>
      </c>
      <c r="AK185" s="2">
        <v>0.0</v>
      </c>
      <c r="AL185" s="2">
        <v>0.0</v>
      </c>
      <c r="AM185" s="1" t="s">
        <v>51</v>
      </c>
      <c r="AN185" s="2">
        <v>6.82234632E8</v>
      </c>
      <c r="AP185" s="2">
        <v>4.9007346E8</v>
      </c>
      <c r="AQ185" s="1" t="s">
        <v>313</v>
      </c>
      <c r="AR185" s="2">
        <v>45808.59204861111</v>
      </c>
      <c r="AU185" s="1" t="s">
        <v>64</v>
      </c>
      <c r="AW185" s="1" t="s">
        <v>255</v>
      </c>
      <c r="AY185" s="2">
        <v>179.0</v>
      </c>
    </row>
    <row r="186">
      <c r="A186" s="1" t="s">
        <v>51</v>
      </c>
      <c r="C186" s="1" t="s">
        <v>131</v>
      </c>
      <c r="E186" s="1" t="s">
        <v>53</v>
      </c>
      <c r="F186" s="1" t="s">
        <v>54</v>
      </c>
      <c r="G186" s="2">
        <v>30.0</v>
      </c>
      <c r="H186" s="1" t="s">
        <v>55</v>
      </c>
      <c r="I186" s="1" t="s">
        <v>100</v>
      </c>
      <c r="K186" s="1" t="s">
        <v>74</v>
      </c>
      <c r="M186" s="1" t="s">
        <v>58</v>
      </c>
      <c r="N186" s="1" t="s">
        <v>58</v>
      </c>
      <c r="O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81</v>
      </c>
      <c r="Y186" s="1" t="s">
        <v>172</v>
      </c>
      <c r="Z186" s="1" t="s">
        <v>96</v>
      </c>
      <c r="AA186" s="2">
        <v>100.0</v>
      </c>
      <c r="AB186" s="1" t="s">
        <v>28</v>
      </c>
      <c r="AC186" s="1" t="s">
        <v>71</v>
      </c>
      <c r="AF186" s="1" t="s">
        <v>51</v>
      </c>
      <c r="AG186" s="1" t="s">
        <v>51</v>
      </c>
      <c r="AH186" s="2">
        <v>300.0</v>
      </c>
      <c r="AI186" s="2">
        <v>1.0</v>
      </c>
      <c r="AJ186" s="2">
        <v>0.0</v>
      </c>
      <c r="AK186" s="2">
        <v>0.0</v>
      </c>
      <c r="AL186" s="2">
        <v>0.0</v>
      </c>
      <c r="AM186" s="1" t="s">
        <v>51</v>
      </c>
      <c r="AN186" s="2">
        <v>6.71652514E8</v>
      </c>
      <c r="AP186" s="2">
        <v>4.90075045E8</v>
      </c>
      <c r="AQ186" s="1" t="s">
        <v>314</v>
      </c>
      <c r="AR186" s="2">
        <v>45808.593680555554</v>
      </c>
      <c r="AU186" s="1" t="s">
        <v>64</v>
      </c>
      <c r="AW186" s="1" t="s">
        <v>255</v>
      </c>
      <c r="AY186" s="2">
        <v>180.0</v>
      </c>
    </row>
    <row r="187">
      <c r="A187" s="1" t="s">
        <v>51</v>
      </c>
      <c r="C187" s="1" t="s">
        <v>53</v>
      </c>
      <c r="E187" s="1" t="s">
        <v>53</v>
      </c>
      <c r="F187" s="1" t="s">
        <v>54</v>
      </c>
      <c r="G187" s="2">
        <v>25.0</v>
      </c>
      <c r="H187" s="1" t="s">
        <v>55</v>
      </c>
      <c r="I187" s="1" t="s">
        <v>100</v>
      </c>
      <c r="J187" s="1" t="s">
        <v>68</v>
      </c>
      <c r="K187" s="1" t="s">
        <v>57</v>
      </c>
      <c r="M187" s="1" t="s">
        <v>58</v>
      </c>
      <c r="N187" s="1" t="s">
        <v>58</v>
      </c>
      <c r="O187" s="1" t="s">
        <v>70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81</v>
      </c>
      <c r="Y187" s="1" t="s">
        <v>172</v>
      </c>
      <c r="Z187" s="1" t="s">
        <v>89</v>
      </c>
      <c r="AA187" s="2">
        <v>30.0</v>
      </c>
      <c r="AB187" s="1" t="s">
        <v>62</v>
      </c>
      <c r="AC187" s="1" t="s">
        <v>71</v>
      </c>
      <c r="AM187" s="1" t="s">
        <v>51</v>
      </c>
      <c r="AN187" s="2">
        <v>6.58674749E8</v>
      </c>
      <c r="AP187" s="2">
        <v>4.90082004E8</v>
      </c>
      <c r="AQ187" s="1" t="s">
        <v>315</v>
      </c>
      <c r="AR187" s="2">
        <v>45808.60283564815</v>
      </c>
      <c r="AU187" s="1" t="s">
        <v>64</v>
      </c>
      <c r="AW187" s="1" t="s">
        <v>255</v>
      </c>
      <c r="AY187" s="2">
        <v>181.0</v>
      </c>
    </row>
    <row r="188">
      <c r="A188" s="1" t="s">
        <v>51</v>
      </c>
      <c r="C188" s="1" t="s">
        <v>131</v>
      </c>
      <c r="E188" s="1" t="s">
        <v>53</v>
      </c>
      <c r="F188" s="1" t="s">
        <v>54</v>
      </c>
      <c r="G188" s="2">
        <v>26.0</v>
      </c>
      <c r="H188" s="1" t="s">
        <v>55</v>
      </c>
      <c r="I188" s="1" t="s">
        <v>100</v>
      </c>
      <c r="J188" s="1" t="s">
        <v>111</v>
      </c>
      <c r="K188" s="1" t="s">
        <v>57</v>
      </c>
      <c r="M188" s="1" t="s">
        <v>58</v>
      </c>
      <c r="N188" s="1" t="s">
        <v>58</v>
      </c>
      <c r="O188" s="1" t="s">
        <v>58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  <c r="W188" s="1" t="s">
        <v>58</v>
      </c>
      <c r="X188" s="1" t="s">
        <v>81</v>
      </c>
      <c r="Y188" s="1" t="s">
        <v>172</v>
      </c>
      <c r="Z188" s="1" t="s">
        <v>108</v>
      </c>
      <c r="AA188" s="2">
        <v>40.0</v>
      </c>
      <c r="AB188" s="1" t="s">
        <v>62</v>
      </c>
      <c r="AC188" s="1" t="s">
        <v>72</v>
      </c>
      <c r="AF188" s="1" t="s">
        <v>51</v>
      </c>
      <c r="AG188" s="1" t="s">
        <v>51</v>
      </c>
      <c r="AH188" s="2">
        <v>350.0</v>
      </c>
      <c r="AI188" s="2">
        <v>1.0</v>
      </c>
      <c r="AJ188" s="2">
        <v>0.0</v>
      </c>
      <c r="AK188" s="2">
        <v>0.0</v>
      </c>
      <c r="AL188" s="2">
        <v>0.0</v>
      </c>
      <c r="AM188" s="1" t="s">
        <v>51</v>
      </c>
      <c r="AN188" s="2">
        <v>7.27923016E8</v>
      </c>
      <c r="AP188" s="2">
        <v>4.90091445E8</v>
      </c>
      <c r="AQ188" s="1" t="s">
        <v>316</v>
      </c>
      <c r="AR188" s="2">
        <v>45808.61429398148</v>
      </c>
      <c r="AU188" s="1" t="s">
        <v>64</v>
      </c>
      <c r="AW188" s="1" t="s">
        <v>255</v>
      </c>
      <c r="AY188" s="2">
        <v>182.0</v>
      </c>
    </row>
    <row r="189">
      <c r="A189" s="1" t="s">
        <v>51</v>
      </c>
      <c r="C189" s="1" t="s">
        <v>131</v>
      </c>
      <c r="E189" s="1" t="s">
        <v>53</v>
      </c>
      <c r="F189" s="1" t="s">
        <v>54</v>
      </c>
      <c r="G189" s="2">
        <v>36.0</v>
      </c>
      <c r="H189" s="1" t="s">
        <v>55</v>
      </c>
      <c r="I189" s="1" t="s">
        <v>100</v>
      </c>
      <c r="J189" s="1" t="s">
        <v>111</v>
      </c>
      <c r="K189" s="1" t="s">
        <v>57</v>
      </c>
      <c r="M189" s="1" t="s">
        <v>58</v>
      </c>
      <c r="N189" s="1" t="s">
        <v>58</v>
      </c>
      <c r="O189" s="1" t="s">
        <v>70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70</v>
      </c>
      <c r="W189" s="1" t="s">
        <v>58</v>
      </c>
      <c r="X189" s="1" t="s">
        <v>81</v>
      </c>
      <c r="Y189" s="1" t="s">
        <v>82</v>
      </c>
      <c r="Z189" s="1" t="s">
        <v>96</v>
      </c>
      <c r="AA189" s="2">
        <v>100.0</v>
      </c>
      <c r="AB189" s="1" t="s">
        <v>79</v>
      </c>
      <c r="AC189" s="1" t="s">
        <v>51</v>
      </c>
      <c r="AD189" s="1" t="s">
        <v>81</v>
      </c>
      <c r="AE189" s="1" t="s">
        <v>51</v>
      </c>
      <c r="AF189" s="1" t="s">
        <v>51</v>
      </c>
      <c r="AG189" s="1" t="s">
        <v>51</v>
      </c>
      <c r="AI189" s="2">
        <v>1.0</v>
      </c>
      <c r="AJ189" s="2">
        <v>0.0</v>
      </c>
      <c r="AK189" s="2">
        <v>0.0</v>
      </c>
      <c r="AL189" s="2">
        <v>0.0</v>
      </c>
      <c r="AM189" s="1" t="s">
        <v>51</v>
      </c>
      <c r="AN189" s="2">
        <v>6.99134499E8</v>
      </c>
      <c r="AP189" s="2">
        <v>4.90093111E8</v>
      </c>
      <c r="AQ189" s="1" t="s">
        <v>317</v>
      </c>
      <c r="AR189" s="2">
        <v>45808.616261574076</v>
      </c>
      <c r="AU189" s="1" t="s">
        <v>64</v>
      </c>
      <c r="AW189" s="1" t="s">
        <v>255</v>
      </c>
      <c r="AY189" s="2">
        <v>183.0</v>
      </c>
    </row>
    <row r="190">
      <c r="A190" s="1" t="s">
        <v>51</v>
      </c>
      <c r="C190" s="1" t="s">
        <v>131</v>
      </c>
      <c r="E190" s="1" t="s">
        <v>53</v>
      </c>
      <c r="F190" s="1" t="s">
        <v>54</v>
      </c>
      <c r="G190" s="2">
        <v>24.0</v>
      </c>
      <c r="H190" s="1" t="s">
        <v>55</v>
      </c>
      <c r="I190" s="1" t="s">
        <v>100</v>
      </c>
      <c r="J190" s="1" t="s">
        <v>68</v>
      </c>
      <c r="K190" s="1" t="s">
        <v>57</v>
      </c>
      <c r="M190" s="1" t="s">
        <v>58</v>
      </c>
      <c r="N190" s="1" t="s">
        <v>58</v>
      </c>
      <c r="O190" s="1" t="s">
        <v>58</v>
      </c>
      <c r="Q190" s="1" t="s">
        <v>58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81</v>
      </c>
      <c r="Y190" s="1" t="s">
        <v>60</v>
      </c>
      <c r="Z190" s="1" t="s">
        <v>96</v>
      </c>
      <c r="AA190" s="2">
        <v>50.0</v>
      </c>
      <c r="AB190" s="1" t="s">
        <v>62</v>
      </c>
      <c r="AC190" s="1" t="s">
        <v>71</v>
      </c>
      <c r="AF190" s="1" t="s">
        <v>51</v>
      </c>
      <c r="AG190" s="1" t="s">
        <v>51</v>
      </c>
      <c r="AH190" s="2">
        <v>400.0</v>
      </c>
      <c r="AI190" s="2">
        <v>1.0</v>
      </c>
      <c r="AJ190" s="2">
        <v>0.0</v>
      </c>
      <c r="AK190" s="2">
        <v>0.0</v>
      </c>
      <c r="AL190" s="2">
        <v>0.0</v>
      </c>
      <c r="AM190" s="1" t="s">
        <v>51</v>
      </c>
      <c r="AN190" s="2">
        <v>8.13580094E8</v>
      </c>
      <c r="AP190" s="2">
        <v>4.90094558E8</v>
      </c>
      <c r="AQ190" s="1" t="s">
        <v>318</v>
      </c>
      <c r="AR190" s="2">
        <v>45808.618101851855</v>
      </c>
      <c r="AU190" s="1" t="s">
        <v>64</v>
      </c>
      <c r="AW190" s="1" t="s">
        <v>255</v>
      </c>
      <c r="AY190" s="2">
        <v>184.0</v>
      </c>
    </row>
    <row r="191">
      <c r="A191" s="1" t="s">
        <v>51</v>
      </c>
      <c r="C191" s="1" t="s">
        <v>131</v>
      </c>
      <c r="E191" s="1" t="s">
        <v>53</v>
      </c>
      <c r="F191" s="1" t="s">
        <v>54</v>
      </c>
      <c r="G191" s="2">
        <v>23.0</v>
      </c>
      <c r="H191" s="1" t="s">
        <v>55</v>
      </c>
      <c r="I191" s="1" t="s">
        <v>100</v>
      </c>
      <c r="J191" s="1" t="s">
        <v>68</v>
      </c>
      <c r="K191" s="1" t="s">
        <v>74</v>
      </c>
      <c r="M191" s="1" t="s">
        <v>58</v>
      </c>
      <c r="N191" s="1" t="s">
        <v>58</v>
      </c>
      <c r="O191" s="1" t="s">
        <v>70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81</v>
      </c>
      <c r="Y191" s="1" t="s">
        <v>172</v>
      </c>
      <c r="Z191" s="1" t="s">
        <v>127</v>
      </c>
      <c r="AA191" s="2">
        <v>50.0</v>
      </c>
      <c r="AB191" s="1" t="s">
        <v>79</v>
      </c>
      <c r="AC191" s="1" t="s">
        <v>71</v>
      </c>
      <c r="AF191" s="1" t="s">
        <v>51</v>
      </c>
      <c r="AG191" s="1" t="s">
        <v>51</v>
      </c>
      <c r="AH191" s="2">
        <v>300.0</v>
      </c>
      <c r="AI191" s="2">
        <v>1.0</v>
      </c>
      <c r="AJ191" s="2">
        <v>0.0</v>
      </c>
      <c r="AK191" s="2">
        <v>0.0</v>
      </c>
      <c r="AL191" s="2">
        <v>0.0</v>
      </c>
      <c r="AM191" s="1" t="s">
        <v>51</v>
      </c>
      <c r="AN191" s="2">
        <v>8.10851251E8</v>
      </c>
      <c r="AP191" s="2">
        <v>4.90099662E8</v>
      </c>
      <c r="AQ191" s="1" t="s">
        <v>319</v>
      </c>
      <c r="AR191" s="2">
        <v>45808.624085648145</v>
      </c>
      <c r="AU191" s="1" t="s">
        <v>64</v>
      </c>
      <c r="AW191" s="1" t="s">
        <v>255</v>
      </c>
      <c r="AY191" s="2">
        <v>185.0</v>
      </c>
    </row>
    <row r="192">
      <c r="A192" s="1" t="s">
        <v>51</v>
      </c>
      <c r="C192" s="1" t="s">
        <v>131</v>
      </c>
      <c r="E192" s="1" t="s">
        <v>53</v>
      </c>
      <c r="F192" s="1" t="s">
        <v>54</v>
      </c>
      <c r="G192" s="2">
        <v>34.0</v>
      </c>
      <c r="H192" s="1" t="s">
        <v>55</v>
      </c>
      <c r="I192" s="1" t="s">
        <v>100</v>
      </c>
      <c r="J192" s="1" t="s">
        <v>68</v>
      </c>
      <c r="K192" s="1" t="s">
        <v>74</v>
      </c>
      <c r="M192" s="1" t="s">
        <v>58</v>
      </c>
      <c r="N192" s="1" t="s">
        <v>58</v>
      </c>
      <c r="O192" s="1" t="s">
        <v>58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58</v>
      </c>
      <c r="W192" s="1" t="s">
        <v>58</v>
      </c>
      <c r="X192" s="1" t="s">
        <v>81</v>
      </c>
      <c r="Y192" s="1" t="s">
        <v>172</v>
      </c>
      <c r="Z192" s="1" t="s">
        <v>127</v>
      </c>
      <c r="AA192" s="2">
        <v>50.0</v>
      </c>
      <c r="AB192" s="1" t="s">
        <v>79</v>
      </c>
      <c r="AC192" s="1" t="s">
        <v>71</v>
      </c>
      <c r="AF192" s="1" t="s">
        <v>51</v>
      </c>
      <c r="AG192" s="1" t="s">
        <v>51</v>
      </c>
      <c r="AH192" s="2">
        <v>200.0</v>
      </c>
      <c r="AI192" s="2">
        <v>1.0</v>
      </c>
      <c r="AJ192" s="2">
        <v>0.0</v>
      </c>
      <c r="AK192" s="2">
        <v>0.0</v>
      </c>
      <c r="AL192" s="2">
        <v>0.0</v>
      </c>
      <c r="AM192" s="1" t="s">
        <v>51</v>
      </c>
      <c r="AN192" s="2">
        <v>8.10851251E8</v>
      </c>
      <c r="AP192" s="2">
        <v>4.9010102E8</v>
      </c>
      <c r="AQ192" s="1" t="s">
        <v>320</v>
      </c>
      <c r="AR192" s="2">
        <v>45808.62568287037</v>
      </c>
      <c r="AU192" s="1" t="s">
        <v>64</v>
      </c>
      <c r="AW192" s="1" t="s">
        <v>255</v>
      </c>
      <c r="AY192" s="2">
        <v>186.0</v>
      </c>
    </row>
    <row r="193">
      <c r="A193" s="1" t="s">
        <v>51</v>
      </c>
      <c r="C193" s="1" t="s">
        <v>52</v>
      </c>
      <c r="E193" s="1" t="s">
        <v>53</v>
      </c>
      <c r="F193" s="1" t="s">
        <v>54</v>
      </c>
      <c r="G193" s="2">
        <v>43.0</v>
      </c>
      <c r="H193" s="1" t="s">
        <v>66</v>
      </c>
      <c r="I193" s="1" t="s">
        <v>67</v>
      </c>
      <c r="J193" s="1" t="s">
        <v>111</v>
      </c>
      <c r="K193" s="1" t="s">
        <v>74</v>
      </c>
      <c r="M193" s="1" t="s">
        <v>58</v>
      </c>
      <c r="N193" s="1" t="s">
        <v>58</v>
      </c>
      <c r="O193" s="1" t="s">
        <v>69</v>
      </c>
      <c r="Q193" s="1" t="s">
        <v>58</v>
      </c>
      <c r="R193" s="1" t="s">
        <v>58</v>
      </c>
      <c r="S193" s="1" t="s">
        <v>69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88</v>
      </c>
      <c r="Y193" s="1" t="s">
        <v>60</v>
      </c>
      <c r="Z193" s="1" t="s">
        <v>89</v>
      </c>
      <c r="AA193" s="2">
        <v>30.0</v>
      </c>
      <c r="AB193" s="1" t="s">
        <v>79</v>
      </c>
      <c r="AC193" s="1" t="s">
        <v>71</v>
      </c>
      <c r="AF193" s="1" t="s">
        <v>51</v>
      </c>
      <c r="AG193" s="1" t="s">
        <v>51</v>
      </c>
      <c r="AH193" s="2">
        <v>7000.0</v>
      </c>
      <c r="AI193" s="2">
        <v>1.0</v>
      </c>
      <c r="AJ193" s="2">
        <v>1.0</v>
      </c>
      <c r="AK193" s="2">
        <v>1.0</v>
      </c>
      <c r="AL193" s="2">
        <v>0.0</v>
      </c>
      <c r="AM193" s="1" t="s">
        <v>51</v>
      </c>
      <c r="AN193" s="2">
        <v>6.18065596E8</v>
      </c>
      <c r="AP193" s="2">
        <v>4.90101083E8</v>
      </c>
      <c r="AQ193" s="1" t="s">
        <v>321</v>
      </c>
      <c r="AR193" s="2">
        <v>45808.625763888886</v>
      </c>
      <c r="AU193" s="1" t="s">
        <v>64</v>
      </c>
      <c r="AW193" s="1" t="s">
        <v>255</v>
      </c>
      <c r="AY193" s="2">
        <v>187.0</v>
      </c>
    </row>
    <row r="194">
      <c r="A194" s="1" t="s">
        <v>51</v>
      </c>
      <c r="C194" s="1" t="s">
        <v>131</v>
      </c>
      <c r="E194" s="1" t="s">
        <v>53</v>
      </c>
      <c r="F194" s="1" t="s">
        <v>54</v>
      </c>
      <c r="G194" s="2">
        <v>23.0</v>
      </c>
      <c r="H194" s="1" t="s">
        <v>55</v>
      </c>
      <c r="I194" s="1" t="s">
        <v>100</v>
      </c>
      <c r="J194" s="1" t="s">
        <v>68</v>
      </c>
      <c r="K194" s="1" t="s">
        <v>57</v>
      </c>
      <c r="M194" s="1" t="s">
        <v>58</v>
      </c>
      <c r="N194" s="1" t="s">
        <v>58</v>
      </c>
      <c r="O194" s="1" t="s">
        <v>58</v>
      </c>
      <c r="Q194" s="1" t="s">
        <v>58</v>
      </c>
      <c r="R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81</v>
      </c>
      <c r="Y194" s="1" t="s">
        <v>172</v>
      </c>
      <c r="Z194" s="1" t="s">
        <v>96</v>
      </c>
      <c r="AA194" s="2">
        <v>50.0</v>
      </c>
      <c r="AB194" s="1" t="s">
        <v>62</v>
      </c>
      <c r="AC194" s="1" t="s">
        <v>71</v>
      </c>
      <c r="AF194" s="1" t="s">
        <v>51</v>
      </c>
      <c r="AG194" s="1" t="s">
        <v>72</v>
      </c>
      <c r="AI194" s="2">
        <v>0.0</v>
      </c>
      <c r="AJ194" s="2">
        <v>0.0</v>
      </c>
      <c r="AK194" s="2">
        <v>1.0</v>
      </c>
      <c r="AL194" s="2">
        <v>0.0</v>
      </c>
      <c r="AP194" s="2">
        <v>4.90102926E8</v>
      </c>
      <c r="AQ194" s="1" t="s">
        <v>322</v>
      </c>
      <c r="AR194" s="2">
        <v>45808.62768518519</v>
      </c>
      <c r="AU194" s="1" t="s">
        <v>64</v>
      </c>
      <c r="AW194" s="1" t="s">
        <v>255</v>
      </c>
      <c r="AY194" s="2">
        <v>188.0</v>
      </c>
    </row>
    <row r="195">
      <c r="A195" s="1" t="s">
        <v>51</v>
      </c>
      <c r="C195" s="1" t="s">
        <v>131</v>
      </c>
      <c r="E195" s="1" t="s">
        <v>53</v>
      </c>
      <c r="F195" s="1" t="s">
        <v>54</v>
      </c>
      <c r="G195" s="2">
        <v>34.0</v>
      </c>
      <c r="H195" s="1" t="s">
        <v>55</v>
      </c>
      <c r="I195" s="1" t="s">
        <v>100</v>
      </c>
      <c r="J195" s="1" t="s">
        <v>68</v>
      </c>
      <c r="K195" s="1" t="s">
        <v>57</v>
      </c>
      <c r="M195" s="1" t="s">
        <v>58</v>
      </c>
      <c r="N195" s="1" t="s">
        <v>58</v>
      </c>
      <c r="O195" s="1" t="s">
        <v>58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 t="s">
        <v>58</v>
      </c>
      <c r="X195" s="1" t="s">
        <v>81</v>
      </c>
      <c r="Y195" s="1" t="s">
        <v>172</v>
      </c>
      <c r="Z195" s="1" t="s">
        <v>96</v>
      </c>
      <c r="AA195" s="2">
        <v>100.0</v>
      </c>
      <c r="AB195" s="1" t="s">
        <v>62</v>
      </c>
      <c r="AC195" s="1" t="s">
        <v>71</v>
      </c>
      <c r="AF195" s="1" t="s">
        <v>51</v>
      </c>
      <c r="AG195" s="1" t="s">
        <v>51</v>
      </c>
      <c r="AH195" s="2">
        <v>300.0</v>
      </c>
      <c r="AI195" s="2">
        <v>1.0</v>
      </c>
      <c r="AJ195" s="2">
        <v>0.0</v>
      </c>
      <c r="AK195" s="2">
        <v>0.0</v>
      </c>
      <c r="AL195" s="2">
        <v>0.0</v>
      </c>
      <c r="AM195" s="1" t="s">
        <v>51</v>
      </c>
      <c r="AN195" s="2">
        <v>6.37907157E8</v>
      </c>
      <c r="AP195" s="2">
        <v>4.90106648E8</v>
      </c>
      <c r="AQ195" s="1" t="s">
        <v>323</v>
      </c>
      <c r="AR195" s="2">
        <v>45808.63197916667</v>
      </c>
      <c r="AU195" s="1" t="s">
        <v>64</v>
      </c>
      <c r="AW195" s="1" t="s">
        <v>255</v>
      </c>
      <c r="AY195" s="2">
        <v>189.0</v>
      </c>
    </row>
    <row r="196">
      <c r="A196" s="1" t="s">
        <v>51</v>
      </c>
      <c r="C196" s="1" t="s">
        <v>131</v>
      </c>
      <c r="E196" s="1" t="s">
        <v>53</v>
      </c>
      <c r="F196" s="1" t="s">
        <v>54</v>
      </c>
      <c r="G196" s="2">
        <v>34.0</v>
      </c>
      <c r="H196" s="1" t="s">
        <v>55</v>
      </c>
      <c r="I196" s="1" t="s">
        <v>67</v>
      </c>
      <c r="J196" s="1" t="s">
        <v>68</v>
      </c>
      <c r="K196" s="1" t="s">
        <v>57</v>
      </c>
      <c r="M196" s="1" t="s">
        <v>58</v>
      </c>
      <c r="N196" s="1" t="s">
        <v>58</v>
      </c>
      <c r="O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81</v>
      </c>
      <c r="Y196" s="1" t="s">
        <v>172</v>
      </c>
      <c r="Z196" s="1" t="s">
        <v>96</v>
      </c>
      <c r="AA196" s="2">
        <v>50.0</v>
      </c>
      <c r="AB196" s="1" t="s">
        <v>28</v>
      </c>
      <c r="AC196" s="1" t="s">
        <v>71</v>
      </c>
      <c r="AF196" s="1" t="s">
        <v>51</v>
      </c>
      <c r="AG196" s="1" t="s">
        <v>51</v>
      </c>
      <c r="AH196" s="2">
        <v>250.0</v>
      </c>
      <c r="AI196" s="2">
        <v>0.0</v>
      </c>
      <c r="AJ196" s="2">
        <v>0.0</v>
      </c>
      <c r="AK196" s="2">
        <v>0.0</v>
      </c>
      <c r="AL196" s="2">
        <v>1.0</v>
      </c>
      <c r="AM196" s="1" t="s">
        <v>51</v>
      </c>
      <c r="AN196" s="2">
        <v>6.83234535E8</v>
      </c>
      <c r="AP196" s="2">
        <v>4.90108381E8</v>
      </c>
      <c r="AQ196" s="1" t="s">
        <v>324</v>
      </c>
      <c r="AR196" s="2">
        <v>45808.63402777778</v>
      </c>
      <c r="AU196" s="1" t="s">
        <v>64</v>
      </c>
      <c r="AW196" s="1" t="s">
        <v>255</v>
      </c>
      <c r="AY196" s="2">
        <v>190.0</v>
      </c>
    </row>
    <row r="197">
      <c r="A197" s="1" t="s">
        <v>51</v>
      </c>
      <c r="C197" s="1" t="s">
        <v>131</v>
      </c>
      <c r="E197" s="1" t="s">
        <v>53</v>
      </c>
      <c r="F197" s="1" t="s">
        <v>54</v>
      </c>
      <c r="G197" s="2">
        <v>23.0</v>
      </c>
      <c r="H197" s="1" t="s">
        <v>66</v>
      </c>
      <c r="I197" s="1" t="s">
        <v>100</v>
      </c>
      <c r="J197" s="1" t="s">
        <v>111</v>
      </c>
      <c r="K197" s="1" t="s">
        <v>57</v>
      </c>
      <c r="M197" s="1" t="s">
        <v>58</v>
      </c>
      <c r="N197" s="1" t="s">
        <v>58</v>
      </c>
      <c r="O197" s="1" t="s">
        <v>58</v>
      </c>
      <c r="Q197" s="1" t="s">
        <v>58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81</v>
      </c>
      <c r="Y197" s="1" t="s">
        <v>60</v>
      </c>
      <c r="Z197" s="1" t="s">
        <v>96</v>
      </c>
      <c r="AA197" s="2">
        <v>100.0</v>
      </c>
      <c r="AB197" s="1" t="s">
        <v>79</v>
      </c>
      <c r="AC197" s="1" t="s">
        <v>51</v>
      </c>
      <c r="AD197" s="1" t="s">
        <v>81</v>
      </c>
      <c r="AE197" s="1" t="s">
        <v>51</v>
      </c>
      <c r="AF197" s="1" t="s">
        <v>51</v>
      </c>
      <c r="AG197" s="1" t="s">
        <v>51</v>
      </c>
      <c r="AH197" s="2">
        <v>350.0</v>
      </c>
      <c r="AI197" s="2">
        <v>1.0</v>
      </c>
      <c r="AJ197" s="2">
        <v>0.0</v>
      </c>
      <c r="AK197" s="2">
        <v>0.0</v>
      </c>
      <c r="AL197" s="2">
        <v>0.0</v>
      </c>
      <c r="AM197" s="1" t="s">
        <v>51</v>
      </c>
      <c r="AN197" s="2">
        <v>6.05896906E8</v>
      </c>
      <c r="AP197" s="2">
        <v>4.90110505E8</v>
      </c>
      <c r="AQ197" s="1" t="s">
        <v>325</v>
      </c>
      <c r="AR197" s="2">
        <v>45808.63599537037</v>
      </c>
      <c r="AU197" s="1" t="s">
        <v>64</v>
      </c>
      <c r="AW197" s="1" t="s">
        <v>255</v>
      </c>
      <c r="AY197" s="2">
        <v>191.0</v>
      </c>
    </row>
    <row r="198">
      <c r="A198" s="1" t="s">
        <v>51</v>
      </c>
      <c r="C198" s="1" t="s">
        <v>131</v>
      </c>
      <c r="E198" s="1" t="s">
        <v>53</v>
      </c>
      <c r="F198" s="1" t="s">
        <v>54</v>
      </c>
      <c r="G198" s="2">
        <v>37.0</v>
      </c>
      <c r="H198" s="1" t="s">
        <v>55</v>
      </c>
      <c r="I198" s="1" t="s">
        <v>100</v>
      </c>
      <c r="J198" s="1" t="s">
        <v>56</v>
      </c>
      <c r="K198" s="1" t="s">
        <v>74</v>
      </c>
      <c r="M198" s="1" t="s">
        <v>58</v>
      </c>
      <c r="N198" s="1" t="s">
        <v>58</v>
      </c>
      <c r="O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81</v>
      </c>
      <c r="Y198" s="1" t="s">
        <v>172</v>
      </c>
      <c r="Z198" s="1" t="s">
        <v>96</v>
      </c>
      <c r="AA198" s="2">
        <v>100.0</v>
      </c>
      <c r="AB198" s="1" t="s">
        <v>79</v>
      </c>
      <c r="AC198" s="1" t="s">
        <v>51</v>
      </c>
      <c r="AD198" s="1" t="s">
        <v>81</v>
      </c>
      <c r="AF198" s="1" t="s">
        <v>51</v>
      </c>
      <c r="AG198" s="1" t="s">
        <v>51</v>
      </c>
      <c r="AH198" s="2">
        <v>300.0</v>
      </c>
      <c r="AI198" s="2">
        <v>1.0</v>
      </c>
      <c r="AJ198" s="2">
        <v>0.0</v>
      </c>
      <c r="AK198" s="2">
        <v>0.0</v>
      </c>
      <c r="AL198" s="2">
        <v>0.0</v>
      </c>
      <c r="AM198" s="1" t="s">
        <v>51</v>
      </c>
      <c r="AN198" s="2">
        <v>7.47761012E8</v>
      </c>
      <c r="AP198" s="2">
        <v>4.90112113E8</v>
      </c>
      <c r="AQ198" s="1" t="s">
        <v>326</v>
      </c>
      <c r="AR198" s="2">
        <v>45808.63810185185</v>
      </c>
      <c r="AU198" s="1" t="s">
        <v>64</v>
      </c>
      <c r="AW198" s="1" t="s">
        <v>255</v>
      </c>
      <c r="AY198" s="2">
        <v>192.0</v>
      </c>
    </row>
    <row r="199">
      <c r="A199" s="1" t="s">
        <v>51</v>
      </c>
      <c r="C199" s="1" t="s">
        <v>131</v>
      </c>
      <c r="E199" s="1" t="s">
        <v>53</v>
      </c>
      <c r="F199" s="1" t="s">
        <v>54</v>
      </c>
      <c r="G199" s="2">
        <v>43.0</v>
      </c>
      <c r="H199" s="1" t="s">
        <v>55</v>
      </c>
      <c r="I199" s="1" t="s">
        <v>67</v>
      </c>
      <c r="J199" s="1" t="s">
        <v>68</v>
      </c>
      <c r="K199" s="1" t="s">
        <v>74</v>
      </c>
      <c r="M199" s="1" t="s">
        <v>58</v>
      </c>
      <c r="N199" s="1" t="s">
        <v>58</v>
      </c>
      <c r="O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81</v>
      </c>
      <c r="Y199" s="1" t="s">
        <v>60</v>
      </c>
      <c r="Z199" s="1" t="s">
        <v>96</v>
      </c>
      <c r="AA199" s="2">
        <v>100.0</v>
      </c>
      <c r="AB199" s="1" t="s">
        <v>28</v>
      </c>
      <c r="AC199" s="1" t="s">
        <v>51</v>
      </c>
      <c r="AD199" s="1" t="s">
        <v>81</v>
      </c>
      <c r="AE199" s="1" t="s">
        <v>51</v>
      </c>
      <c r="AF199" s="1" t="s">
        <v>51</v>
      </c>
      <c r="AG199" s="1" t="s">
        <v>51</v>
      </c>
      <c r="AI199" s="2">
        <v>0.0</v>
      </c>
      <c r="AJ199" s="2">
        <v>0.0</v>
      </c>
      <c r="AK199" s="2">
        <v>0.0</v>
      </c>
      <c r="AL199" s="2">
        <v>1.0</v>
      </c>
      <c r="AM199" s="1" t="s">
        <v>51</v>
      </c>
      <c r="AN199" s="2">
        <v>6.56652996E8</v>
      </c>
      <c r="AP199" s="2">
        <v>4.9011343E8</v>
      </c>
      <c r="AQ199" s="1" t="s">
        <v>327</v>
      </c>
      <c r="AR199" s="2">
        <v>45808.639398148145</v>
      </c>
      <c r="AU199" s="1" t="s">
        <v>64</v>
      </c>
      <c r="AW199" s="1" t="s">
        <v>255</v>
      </c>
      <c r="AY199" s="2">
        <v>193.0</v>
      </c>
    </row>
    <row r="200">
      <c r="A200" s="1" t="s">
        <v>51</v>
      </c>
      <c r="C200" s="1" t="s">
        <v>131</v>
      </c>
      <c r="E200" s="1" t="s">
        <v>53</v>
      </c>
      <c r="F200" s="1" t="s">
        <v>54</v>
      </c>
      <c r="G200" s="2">
        <v>32.0</v>
      </c>
      <c r="H200" s="1" t="s">
        <v>55</v>
      </c>
      <c r="I200" s="1" t="s">
        <v>100</v>
      </c>
      <c r="J200" s="1" t="s">
        <v>68</v>
      </c>
      <c r="K200" s="1" t="s">
        <v>57</v>
      </c>
      <c r="M200" s="1" t="s">
        <v>58</v>
      </c>
      <c r="N200" s="1" t="s">
        <v>58</v>
      </c>
      <c r="O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81</v>
      </c>
      <c r="Y200" s="1" t="s">
        <v>60</v>
      </c>
      <c r="Z200" s="1" t="s">
        <v>96</v>
      </c>
      <c r="AA200" s="2">
        <v>100.0</v>
      </c>
      <c r="AB200" s="1" t="s">
        <v>79</v>
      </c>
      <c r="AC200" s="1" t="s">
        <v>51</v>
      </c>
      <c r="AD200" s="1" t="s">
        <v>81</v>
      </c>
      <c r="AE200" s="1" t="s">
        <v>51</v>
      </c>
      <c r="AF200" s="1" t="s">
        <v>51</v>
      </c>
      <c r="AG200" s="1" t="s">
        <v>51</v>
      </c>
      <c r="AI200" s="2">
        <v>0.0</v>
      </c>
      <c r="AJ200" s="2">
        <v>1.0</v>
      </c>
      <c r="AK200" s="2">
        <v>0.0</v>
      </c>
      <c r="AL200" s="2">
        <v>0.0</v>
      </c>
      <c r="AM200" s="1" t="s">
        <v>51</v>
      </c>
      <c r="AN200" s="2">
        <v>8.37345408E8</v>
      </c>
      <c r="AP200" s="2">
        <v>4.90115535E8</v>
      </c>
      <c r="AQ200" s="1" t="s">
        <v>328</v>
      </c>
      <c r="AR200" s="2">
        <v>45808.64135416667</v>
      </c>
      <c r="AU200" s="1" t="s">
        <v>64</v>
      </c>
      <c r="AW200" s="1" t="s">
        <v>255</v>
      </c>
      <c r="AY200" s="2">
        <v>194.0</v>
      </c>
    </row>
    <row r="201">
      <c r="A201" s="1" t="s">
        <v>51</v>
      </c>
      <c r="C201" s="1" t="s">
        <v>131</v>
      </c>
      <c r="E201" s="1" t="s">
        <v>53</v>
      </c>
      <c r="F201" s="1" t="s">
        <v>54</v>
      </c>
      <c r="G201" s="2">
        <v>26.0</v>
      </c>
      <c r="H201" s="1" t="s">
        <v>66</v>
      </c>
      <c r="I201" s="1" t="s">
        <v>100</v>
      </c>
      <c r="J201" s="1" t="s">
        <v>56</v>
      </c>
      <c r="K201" s="1" t="s">
        <v>57</v>
      </c>
      <c r="M201" s="1" t="s">
        <v>58</v>
      </c>
      <c r="N201" s="1" t="s">
        <v>58</v>
      </c>
      <c r="O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81</v>
      </c>
      <c r="Y201" s="1" t="s">
        <v>82</v>
      </c>
      <c r="Z201" s="1" t="s">
        <v>127</v>
      </c>
      <c r="AA201" s="2">
        <v>50.0</v>
      </c>
      <c r="AB201" s="1" t="s">
        <v>79</v>
      </c>
      <c r="AC201" s="1" t="s">
        <v>71</v>
      </c>
      <c r="AF201" s="1" t="s">
        <v>51</v>
      </c>
      <c r="AG201" s="1" t="s">
        <v>51</v>
      </c>
      <c r="AI201" s="2">
        <v>1.0</v>
      </c>
      <c r="AJ201" s="2">
        <v>0.0</v>
      </c>
      <c r="AK201" s="2">
        <v>0.0</v>
      </c>
      <c r="AL201" s="2">
        <v>0.0</v>
      </c>
      <c r="AM201" s="1" t="s">
        <v>51</v>
      </c>
      <c r="AN201" s="2">
        <v>8.37345408E8</v>
      </c>
      <c r="AP201" s="2">
        <v>4.90116971E8</v>
      </c>
      <c r="AQ201" s="1" t="s">
        <v>329</v>
      </c>
      <c r="AR201" s="2">
        <v>45808.64273148148</v>
      </c>
      <c r="AU201" s="1" t="s">
        <v>64</v>
      </c>
      <c r="AW201" s="1" t="s">
        <v>255</v>
      </c>
      <c r="AY201" s="2">
        <v>195.0</v>
      </c>
    </row>
    <row r="202">
      <c r="A202" s="1" t="s">
        <v>51</v>
      </c>
      <c r="C202" s="1" t="s">
        <v>52</v>
      </c>
      <c r="E202" s="1" t="s">
        <v>53</v>
      </c>
      <c r="F202" s="1" t="s">
        <v>54</v>
      </c>
      <c r="G202" s="2">
        <v>31.0</v>
      </c>
      <c r="H202" s="1" t="s">
        <v>55</v>
      </c>
      <c r="I202" s="1" t="s">
        <v>67</v>
      </c>
      <c r="J202" s="1" t="s">
        <v>68</v>
      </c>
      <c r="K202" s="1" t="s">
        <v>74</v>
      </c>
      <c r="M202" s="1" t="s">
        <v>58</v>
      </c>
      <c r="N202" s="1" t="s">
        <v>58</v>
      </c>
      <c r="O202" s="1" t="s">
        <v>70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70</v>
      </c>
      <c r="W202" s="1" t="s">
        <v>70</v>
      </c>
      <c r="X202" s="1" t="s">
        <v>81</v>
      </c>
      <c r="Y202" s="1" t="s">
        <v>172</v>
      </c>
      <c r="Z202" s="1" t="s">
        <v>108</v>
      </c>
      <c r="AA202" s="2">
        <v>100.0</v>
      </c>
      <c r="AB202" s="1" t="s">
        <v>62</v>
      </c>
      <c r="AC202" s="1" t="s">
        <v>51</v>
      </c>
      <c r="AD202" s="1" t="s">
        <v>81</v>
      </c>
      <c r="AE202" s="1" t="s">
        <v>51</v>
      </c>
      <c r="AF202" s="1" t="s">
        <v>51</v>
      </c>
      <c r="AG202" s="1" t="s">
        <v>51</v>
      </c>
      <c r="AH202" s="2">
        <v>350.0</v>
      </c>
      <c r="AI202" s="2">
        <v>0.0</v>
      </c>
      <c r="AJ202" s="2">
        <v>0.0</v>
      </c>
      <c r="AK202" s="2">
        <v>0.0</v>
      </c>
      <c r="AL202" s="2">
        <v>1.0</v>
      </c>
      <c r="AM202" s="1" t="s">
        <v>51</v>
      </c>
      <c r="AN202" s="2">
        <v>6.97663225E8</v>
      </c>
      <c r="AP202" s="2">
        <v>4.90118314E8</v>
      </c>
      <c r="AQ202" s="1" t="s">
        <v>330</v>
      </c>
      <c r="AR202" s="2">
        <v>45808.644282407404</v>
      </c>
      <c r="AU202" s="1" t="s">
        <v>64</v>
      </c>
      <c r="AW202" s="1" t="s">
        <v>255</v>
      </c>
      <c r="AY202" s="2">
        <v>196.0</v>
      </c>
    </row>
    <row r="203">
      <c r="A203" s="1" t="s">
        <v>51</v>
      </c>
      <c r="C203" s="1" t="s">
        <v>53</v>
      </c>
      <c r="E203" s="1" t="s">
        <v>53</v>
      </c>
      <c r="F203" s="1" t="s">
        <v>54</v>
      </c>
      <c r="G203" s="2">
        <v>45.0</v>
      </c>
      <c r="H203" s="1" t="s">
        <v>66</v>
      </c>
      <c r="I203" s="1" t="s">
        <v>121</v>
      </c>
      <c r="J203" s="1" t="s">
        <v>86</v>
      </c>
      <c r="K203" s="1" t="s">
        <v>87</v>
      </c>
      <c r="M203" s="1" t="s">
        <v>58</v>
      </c>
      <c r="N203" s="1" t="s">
        <v>58</v>
      </c>
      <c r="O203" s="1" t="s">
        <v>58</v>
      </c>
      <c r="Q203" s="1" t="s">
        <v>69</v>
      </c>
      <c r="R203" s="1" t="s">
        <v>58</v>
      </c>
      <c r="S203" s="1" t="s">
        <v>69</v>
      </c>
      <c r="T203" s="1" t="s">
        <v>58</v>
      </c>
      <c r="U203" s="1" t="s">
        <v>58</v>
      </c>
      <c r="V203" s="1" t="s">
        <v>58</v>
      </c>
      <c r="W203" s="1" t="s">
        <v>69</v>
      </c>
      <c r="X203" s="1" t="s">
        <v>59</v>
      </c>
      <c r="Y203" s="1" t="s">
        <v>95</v>
      </c>
      <c r="Z203" s="1" t="s">
        <v>96</v>
      </c>
      <c r="AA203" s="2">
        <v>40.0</v>
      </c>
      <c r="AB203" s="1" t="s">
        <v>62</v>
      </c>
      <c r="AC203" s="1" t="s">
        <v>51</v>
      </c>
      <c r="AD203" s="1" t="s">
        <v>59</v>
      </c>
      <c r="AE203" s="1" t="s">
        <v>51</v>
      </c>
      <c r="AF203" s="1" t="s">
        <v>51</v>
      </c>
      <c r="AG203" s="1" t="s">
        <v>51</v>
      </c>
      <c r="AH203" s="2">
        <v>50.0</v>
      </c>
      <c r="AI203" s="2">
        <v>0.0</v>
      </c>
      <c r="AJ203" s="2">
        <v>0.0</v>
      </c>
      <c r="AK203" s="2">
        <v>0.0</v>
      </c>
      <c r="AL203" s="2">
        <v>1.0</v>
      </c>
      <c r="AM203" s="1" t="s">
        <v>51</v>
      </c>
      <c r="AN203" s="2">
        <v>7.63237797E8</v>
      </c>
      <c r="AP203" s="2">
        <v>4.9012673E8</v>
      </c>
      <c r="AQ203" s="1" t="s">
        <v>331</v>
      </c>
      <c r="AR203" s="2">
        <v>45808.65414351852</v>
      </c>
      <c r="AU203" s="1" t="s">
        <v>64</v>
      </c>
      <c r="AW203" s="1" t="s">
        <v>255</v>
      </c>
      <c r="AY203" s="2">
        <v>197.0</v>
      </c>
    </row>
    <row r="204">
      <c r="A204" s="1" t="s">
        <v>51</v>
      </c>
      <c r="C204" s="1" t="s">
        <v>53</v>
      </c>
      <c r="E204" s="1" t="s">
        <v>53</v>
      </c>
      <c r="F204" s="1" t="s">
        <v>54</v>
      </c>
      <c r="G204" s="2">
        <v>23.0</v>
      </c>
      <c r="H204" s="1" t="s">
        <v>66</v>
      </c>
      <c r="I204" s="1" t="s">
        <v>121</v>
      </c>
      <c r="J204" s="1" t="s">
        <v>56</v>
      </c>
      <c r="K204" s="1" t="s">
        <v>87</v>
      </c>
      <c r="M204" s="1" t="s">
        <v>58</v>
      </c>
      <c r="N204" s="1" t="s">
        <v>58</v>
      </c>
      <c r="O204" s="1" t="s">
        <v>69</v>
      </c>
      <c r="Q204" s="1" t="s">
        <v>58</v>
      </c>
      <c r="R204" s="1" t="s">
        <v>58</v>
      </c>
      <c r="S204" s="1" t="s">
        <v>58</v>
      </c>
      <c r="T204" s="1" t="s">
        <v>69</v>
      </c>
      <c r="U204" s="1" t="s">
        <v>58</v>
      </c>
      <c r="V204" s="1" t="s">
        <v>58</v>
      </c>
      <c r="W204" s="1" t="s">
        <v>58</v>
      </c>
      <c r="X204" s="1" t="s">
        <v>59</v>
      </c>
      <c r="Y204" s="1" t="s">
        <v>82</v>
      </c>
      <c r="Z204" s="1" t="s">
        <v>127</v>
      </c>
      <c r="AA204" s="2">
        <v>20.0</v>
      </c>
      <c r="AB204" s="1" t="s">
        <v>62</v>
      </c>
      <c r="AC204" s="1" t="s">
        <v>51</v>
      </c>
      <c r="AD204" s="1" t="s">
        <v>59</v>
      </c>
      <c r="AE204" s="1" t="s">
        <v>51</v>
      </c>
      <c r="AF204" s="1" t="s">
        <v>51</v>
      </c>
      <c r="AG204" s="1" t="s">
        <v>51</v>
      </c>
      <c r="AH204" s="2">
        <v>200.0</v>
      </c>
      <c r="AI204" s="2">
        <v>0.0</v>
      </c>
      <c r="AJ204" s="2">
        <v>0.0</v>
      </c>
      <c r="AK204" s="2">
        <v>0.0</v>
      </c>
      <c r="AL204" s="2">
        <v>1.0</v>
      </c>
      <c r="AM204" s="1" t="s">
        <v>51</v>
      </c>
      <c r="AN204" s="2">
        <v>7.90141579E8</v>
      </c>
      <c r="AP204" s="2">
        <v>4.9013096E8</v>
      </c>
      <c r="AQ204" s="1" t="s">
        <v>332</v>
      </c>
      <c r="AR204" s="2">
        <v>45808.65866898148</v>
      </c>
      <c r="AU204" s="1" t="s">
        <v>64</v>
      </c>
      <c r="AW204" s="1" t="s">
        <v>255</v>
      </c>
      <c r="AY204" s="2">
        <v>198.0</v>
      </c>
    </row>
    <row r="205">
      <c r="A205" s="1" t="s">
        <v>51</v>
      </c>
      <c r="C205" s="1" t="s">
        <v>52</v>
      </c>
      <c r="E205" s="1" t="s">
        <v>53</v>
      </c>
      <c r="F205" s="1" t="s">
        <v>102</v>
      </c>
      <c r="G205" s="2">
        <v>38.0</v>
      </c>
      <c r="H205" s="1" t="s">
        <v>66</v>
      </c>
      <c r="I205" s="1" t="s">
        <v>67</v>
      </c>
      <c r="J205" s="1" t="s">
        <v>111</v>
      </c>
      <c r="K205" s="1" t="s">
        <v>87</v>
      </c>
      <c r="M205" s="1" t="s">
        <v>58</v>
      </c>
      <c r="N205" s="1" t="s">
        <v>58</v>
      </c>
      <c r="O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58</v>
      </c>
      <c r="V205" s="1" t="s">
        <v>58</v>
      </c>
      <c r="W205" s="1" t="s">
        <v>58</v>
      </c>
      <c r="X205" s="1" t="s">
        <v>103</v>
      </c>
      <c r="Y205" s="1" t="s">
        <v>60</v>
      </c>
      <c r="Z205" s="1" t="s">
        <v>61</v>
      </c>
      <c r="AA205" s="2">
        <v>50.0</v>
      </c>
      <c r="AB205" s="1" t="s">
        <v>28</v>
      </c>
      <c r="AC205" s="1" t="s">
        <v>51</v>
      </c>
      <c r="AD205" s="1" t="s">
        <v>81</v>
      </c>
      <c r="AE205" s="1" t="s">
        <v>51</v>
      </c>
      <c r="AF205" s="1" t="s">
        <v>51</v>
      </c>
      <c r="AG205" s="1" t="s">
        <v>72</v>
      </c>
      <c r="AI205" s="2">
        <v>0.0</v>
      </c>
      <c r="AJ205" s="2">
        <v>1.0</v>
      </c>
      <c r="AK205" s="2">
        <v>0.0</v>
      </c>
      <c r="AL205" s="2">
        <v>0.0</v>
      </c>
      <c r="AM205" s="1" t="s">
        <v>72</v>
      </c>
      <c r="AP205" s="2">
        <v>4.90134861E8</v>
      </c>
      <c r="AQ205" s="1" t="s">
        <v>333</v>
      </c>
      <c r="AR205" s="2">
        <v>45808.66370370371</v>
      </c>
      <c r="AU205" s="1" t="s">
        <v>64</v>
      </c>
      <c r="AW205" s="1" t="s">
        <v>255</v>
      </c>
      <c r="AY205" s="2">
        <v>199.0</v>
      </c>
    </row>
    <row r="206">
      <c r="A206" s="1" t="s">
        <v>51</v>
      </c>
      <c r="C206" s="1" t="s">
        <v>52</v>
      </c>
      <c r="E206" s="1" t="s">
        <v>52</v>
      </c>
      <c r="G206" s="2">
        <v>53.0</v>
      </c>
      <c r="H206" s="1" t="s">
        <v>55</v>
      </c>
      <c r="J206" s="1" t="s">
        <v>68</v>
      </c>
      <c r="K206" s="1" t="s">
        <v>74</v>
      </c>
      <c r="M206" s="1" t="s">
        <v>58</v>
      </c>
      <c r="N206" s="1" t="s">
        <v>58</v>
      </c>
      <c r="O206" s="1" t="s">
        <v>58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88</v>
      </c>
      <c r="Y206" s="1" t="s">
        <v>82</v>
      </c>
      <c r="Z206" s="1" t="s">
        <v>89</v>
      </c>
      <c r="AA206" s="2">
        <v>40.0</v>
      </c>
      <c r="AB206" s="1" t="s">
        <v>79</v>
      </c>
      <c r="AC206" s="1" t="s">
        <v>72</v>
      </c>
      <c r="AF206" s="1" t="s">
        <v>51</v>
      </c>
      <c r="AG206" s="1" t="s">
        <v>51</v>
      </c>
      <c r="AH206" s="2">
        <v>4000.0</v>
      </c>
      <c r="AI206" s="2">
        <v>0.0</v>
      </c>
      <c r="AJ206" s="2">
        <v>0.0</v>
      </c>
      <c r="AK206" s="2">
        <v>0.0</v>
      </c>
      <c r="AL206" s="2">
        <v>1.0</v>
      </c>
      <c r="AP206" s="2">
        <v>4.90144601E8</v>
      </c>
      <c r="AQ206" s="1" t="s">
        <v>334</v>
      </c>
      <c r="AR206" s="2">
        <v>45808.67371527778</v>
      </c>
      <c r="AU206" s="1" t="s">
        <v>64</v>
      </c>
      <c r="AW206" s="1" t="s">
        <v>255</v>
      </c>
      <c r="AY206" s="2">
        <v>200.0</v>
      </c>
    </row>
    <row r="207">
      <c r="A207" s="1" t="s">
        <v>51</v>
      </c>
      <c r="C207" s="1" t="s">
        <v>53</v>
      </c>
      <c r="E207" s="1" t="s">
        <v>53</v>
      </c>
      <c r="G207" s="2">
        <v>40.0</v>
      </c>
      <c r="H207" s="1" t="s">
        <v>55</v>
      </c>
      <c r="I207" s="1" t="s">
        <v>121</v>
      </c>
      <c r="J207" s="1" t="s">
        <v>86</v>
      </c>
      <c r="K207" s="1" t="s">
        <v>87</v>
      </c>
      <c r="M207" s="1" t="s">
        <v>58</v>
      </c>
      <c r="N207" s="1" t="s">
        <v>58</v>
      </c>
      <c r="O207" s="1" t="s">
        <v>69</v>
      </c>
      <c r="Q207" s="1" t="s">
        <v>69</v>
      </c>
      <c r="R207" s="1" t="s">
        <v>58</v>
      </c>
      <c r="S207" s="1" t="s">
        <v>69</v>
      </c>
      <c r="T207" s="1" t="s">
        <v>69</v>
      </c>
      <c r="U207" s="1" t="s">
        <v>58</v>
      </c>
      <c r="V207" s="1" t="s">
        <v>70</v>
      </c>
      <c r="W207" s="1" t="s">
        <v>69</v>
      </c>
      <c r="X207" s="1" t="s">
        <v>81</v>
      </c>
      <c r="Y207" s="1" t="s">
        <v>95</v>
      </c>
      <c r="Z207" s="1" t="s">
        <v>89</v>
      </c>
      <c r="AA207" s="2">
        <v>10.0</v>
      </c>
      <c r="AB207" s="1" t="s">
        <v>28</v>
      </c>
      <c r="AC207" s="1" t="s">
        <v>71</v>
      </c>
      <c r="AF207" s="1" t="s">
        <v>72</v>
      </c>
      <c r="AG207" s="1" t="s">
        <v>72</v>
      </c>
      <c r="AI207" s="2">
        <v>0.0</v>
      </c>
      <c r="AJ207" s="2">
        <v>0.0</v>
      </c>
      <c r="AK207" s="2">
        <v>0.0</v>
      </c>
      <c r="AL207" s="2">
        <v>1.0</v>
      </c>
      <c r="AM207" s="1" t="s">
        <v>72</v>
      </c>
      <c r="AP207" s="2">
        <v>4.90148133E8</v>
      </c>
      <c r="AQ207" s="1" t="s">
        <v>335</v>
      </c>
      <c r="AR207" s="2">
        <v>45808.67863425926</v>
      </c>
      <c r="AU207" s="1" t="s">
        <v>64</v>
      </c>
      <c r="AW207" s="1" t="s">
        <v>255</v>
      </c>
      <c r="AY207" s="2">
        <v>201.0</v>
      </c>
    </row>
    <row r="208">
      <c r="A208" s="1" t="s">
        <v>51</v>
      </c>
      <c r="C208" s="1" t="s">
        <v>52</v>
      </c>
      <c r="E208" s="1" t="s">
        <v>53</v>
      </c>
      <c r="F208" s="1" t="s">
        <v>149</v>
      </c>
      <c r="G208" s="2">
        <v>47.0</v>
      </c>
      <c r="H208" s="1" t="s">
        <v>66</v>
      </c>
      <c r="I208" s="1" t="s">
        <v>67</v>
      </c>
      <c r="J208" s="1" t="s">
        <v>56</v>
      </c>
      <c r="K208" s="1" t="s">
        <v>87</v>
      </c>
      <c r="M208" s="1" t="s">
        <v>58</v>
      </c>
      <c r="N208" s="1" t="s">
        <v>58</v>
      </c>
      <c r="O208" s="1" t="s">
        <v>69</v>
      </c>
      <c r="Q208" s="1" t="s">
        <v>58</v>
      </c>
      <c r="R208" s="1" t="s">
        <v>58</v>
      </c>
      <c r="S208" s="1" t="s">
        <v>58</v>
      </c>
      <c r="T208" s="1" t="s">
        <v>69</v>
      </c>
      <c r="U208" s="1" t="s">
        <v>70</v>
      </c>
      <c r="V208" s="1" t="s">
        <v>69</v>
      </c>
      <c r="W208" s="1" t="s">
        <v>69</v>
      </c>
      <c r="X208" s="1" t="s">
        <v>81</v>
      </c>
      <c r="Y208" s="1" t="s">
        <v>60</v>
      </c>
      <c r="Z208" s="1" t="s">
        <v>127</v>
      </c>
      <c r="AA208" s="2">
        <v>100.0</v>
      </c>
      <c r="AB208" s="1" t="s">
        <v>79</v>
      </c>
      <c r="AC208" s="1" t="s">
        <v>71</v>
      </c>
      <c r="AF208" s="1" t="s">
        <v>51</v>
      </c>
      <c r="AG208" s="1" t="s">
        <v>72</v>
      </c>
      <c r="AI208" s="2">
        <v>0.0</v>
      </c>
      <c r="AJ208" s="2">
        <v>0.0</v>
      </c>
      <c r="AK208" s="2">
        <v>0.0</v>
      </c>
      <c r="AL208" s="2">
        <v>1.0</v>
      </c>
      <c r="AM208" s="1" t="s">
        <v>72</v>
      </c>
      <c r="AP208" s="2">
        <v>4.90165111E8</v>
      </c>
      <c r="AQ208" s="1" t="s">
        <v>336</v>
      </c>
      <c r="AR208" s="2">
        <v>45808.69988425926</v>
      </c>
      <c r="AU208" s="1" t="s">
        <v>64</v>
      </c>
      <c r="AW208" s="1" t="s">
        <v>255</v>
      </c>
      <c r="AY208" s="2">
        <v>202.0</v>
      </c>
    </row>
    <row r="209">
      <c r="A209" s="1" t="s">
        <v>51</v>
      </c>
      <c r="C209" s="1" t="s">
        <v>131</v>
      </c>
      <c r="E209" s="1" t="s">
        <v>53</v>
      </c>
      <c r="F209" s="1" t="s">
        <v>291</v>
      </c>
      <c r="G209" s="2">
        <v>25.0</v>
      </c>
      <c r="H209" s="1" t="s">
        <v>55</v>
      </c>
      <c r="I209" s="1" t="s">
        <v>100</v>
      </c>
      <c r="J209" s="1" t="s">
        <v>86</v>
      </c>
      <c r="K209" s="1" t="s">
        <v>57</v>
      </c>
      <c r="M209" s="1" t="s">
        <v>58</v>
      </c>
      <c r="N209" s="1" t="s">
        <v>58</v>
      </c>
      <c r="O209" s="1" t="s">
        <v>58</v>
      </c>
      <c r="Q209" s="1" t="s">
        <v>58</v>
      </c>
      <c r="R209" s="1" t="s">
        <v>58</v>
      </c>
      <c r="S209" s="1" t="s">
        <v>58</v>
      </c>
      <c r="T209" s="1" t="s">
        <v>58</v>
      </c>
      <c r="U209" s="1" t="s">
        <v>58</v>
      </c>
      <c r="V209" s="1" t="s">
        <v>58</v>
      </c>
      <c r="W209" s="1" t="s">
        <v>58</v>
      </c>
      <c r="X209" s="1" t="s">
        <v>59</v>
      </c>
      <c r="Y209" s="1" t="s">
        <v>82</v>
      </c>
      <c r="Z209" s="1" t="s">
        <v>89</v>
      </c>
      <c r="AA209" s="2">
        <v>20.0</v>
      </c>
      <c r="AB209" s="1" t="s">
        <v>62</v>
      </c>
      <c r="AC209" s="1" t="s">
        <v>51</v>
      </c>
      <c r="AD209" s="1" t="s">
        <v>81</v>
      </c>
      <c r="AE209" s="1" t="s">
        <v>51</v>
      </c>
      <c r="AF209" s="1" t="s">
        <v>51</v>
      </c>
      <c r="AG209" s="1" t="s">
        <v>51</v>
      </c>
      <c r="AH209" s="2">
        <v>3.0</v>
      </c>
      <c r="AI209" s="2">
        <v>1.0</v>
      </c>
      <c r="AJ209" s="2">
        <v>1.0</v>
      </c>
      <c r="AK209" s="2">
        <v>0.0</v>
      </c>
      <c r="AL209" s="2">
        <v>0.0</v>
      </c>
      <c r="AM209" s="1" t="s">
        <v>51</v>
      </c>
      <c r="AN209" s="2">
        <v>8.24731825E8</v>
      </c>
      <c r="AP209" s="2">
        <v>4.90188824E8</v>
      </c>
      <c r="AQ209" s="1" t="s">
        <v>337</v>
      </c>
      <c r="AR209" s="2">
        <v>45808.72751157408</v>
      </c>
      <c r="AU209" s="1" t="s">
        <v>64</v>
      </c>
      <c r="AW209" s="1" t="s">
        <v>255</v>
      </c>
      <c r="AY209" s="2">
        <v>203.0</v>
      </c>
    </row>
    <row r="210">
      <c r="A210" s="1" t="s">
        <v>51</v>
      </c>
      <c r="C210" s="1" t="s">
        <v>131</v>
      </c>
      <c r="E210" s="1" t="s">
        <v>53</v>
      </c>
      <c r="F210" s="1" t="s">
        <v>85</v>
      </c>
      <c r="G210" s="2">
        <v>20.0</v>
      </c>
      <c r="H210" s="1" t="s">
        <v>55</v>
      </c>
      <c r="I210" s="1" t="s">
        <v>67</v>
      </c>
      <c r="J210" s="1" t="s">
        <v>68</v>
      </c>
      <c r="K210" s="1" t="s">
        <v>57</v>
      </c>
      <c r="M210" s="1" t="s">
        <v>58</v>
      </c>
      <c r="N210" s="1" t="s">
        <v>58</v>
      </c>
      <c r="O210" s="1" t="s">
        <v>58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  <c r="W210" s="1" t="s">
        <v>58</v>
      </c>
      <c r="X210" s="1" t="s">
        <v>59</v>
      </c>
      <c r="Y210" s="1" t="s">
        <v>82</v>
      </c>
      <c r="Z210" s="1" t="s">
        <v>89</v>
      </c>
      <c r="AA210" s="2">
        <v>40.0</v>
      </c>
      <c r="AB210" s="1" t="s">
        <v>79</v>
      </c>
      <c r="AC210" s="1" t="s">
        <v>51</v>
      </c>
      <c r="AD210" s="1" t="s">
        <v>59</v>
      </c>
      <c r="AE210" s="1" t="s">
        <v>51</v>
      </c>
      <c r="AF210" s="1" t="s">
        <v>51</v>
      </c>
      <c r="AG210" s="1" t="s">
        <v>51</v>
      </c>
      <c r="AH210" s="2">
        <v>2.0</v>
      </c>
      <c r="AI210" s="2">
        <v>1.0</v>
      </c>
      <c r="AJ210" s="2">
        <v>0.0</v>
      </c>
      <c r="AK210" s="2">
        <v>0.0</v>
      </c>
      <c r="AL210" s="2">
        <v>0.0</v>
      </c>
      <c r="AM210" s="1" t="s">
        <v>51</v>
      </c>
      <c r="AN210" s="2">
        <v>7.82201442E8</v>
      </c>
      <c r="AP210" s="2">
        <v>4.90190123E8</v>
      </c>
      <c r="AQ210" s="1" t="s">
        <v>338</v>
      </c>
      <c r="AR210" s="2">
        <v>45808.729097222225</v>
      </c>
      <c r="AU210" s="1" t="s">
        <v>64</v>
      </c>
      <c r="AW210" s="1" t="s">
        <v>255</v>
      </c>
      <c r="AY210" s="2">
        <v>204.0</v>
      </c>
    </row>
    <row r="211">
      <c r="A211" s="1" t="s">
        <v>51</v>
      </c>
      <c r="C211" s="1" t="s">
        <v>131</v>
      </c>
      <c r="E211" s="1" t="s">
        <v>53</v>
      </c>
      <c r="F211" s="1" t="s">
        <v>85</v>
      </c>
      <c r="G211" s="2">
        <v>24.0</v>
      </c>
      <c r="H211" s="1" t="s">
        <v>66</v>
      </c>
      <c r="I211" s="1" t="s">
        <v>67</v>
      </c>
      <c r="J211" s="1" t="s">
        <v>68</v>
      </c>
      <c r="K211" s="1" t="s">
        <v>74</v>
      </c>
      <c r="M211" s="1" t="s">
        <v>58</v>
      </c>
      <c r="N211" s="1" t="s">
        <v>58</v>
      </c>
      <c r="O211" s="1" t="s">
        <v>58</v>
      </c>
      <c r="Q211" s="1" t="s">
        <v>58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  <c r="W211" s="1" t="s">
        <v>58</v>
      </c>
      <c r="X211" s="1" t="s">
        <v>59</v>
      </c>
      <c r="Y211" s="1" t="s">
        <v>82</v>
      </c>
      <c r="Z211" s="1" t="s">
        <v>89</v>
      </c>
      <c r="AA211" s="2">
        <v>50.0</v>
      </c>
      <c r="AB211" s="1" t="s">
        <v>79</v>
      </c>
      <c r="AC211" s="1" t="s">
        <v>51</v>
      </c>
      <c r="AD211" s="1" t="s">
        <v>59</v>
      </c>
      <c r="AE211" s="1" t="s">
        <v>51</v>
      </c>
      <c r="AF211" s="1" t="s">
        <v>51</v>
      </c>
      <c r="AG211" s="1" t="s">
        <v>51</v>
      </c>
      <c r="AH211" s="2">
        <v>6.0</v>
      </c>
      <c r="AI211" s="2">
        <v>0.0</v>
      </c>
      <c r="AJ211" s="2">
        <v>1.0</v>
      </c>
      <c r="AK211" s="2">
        <v>0.0</v>
      </c>
      <c r="AL211" s="2">
        <v>0.0</v>
      </c>
      <c r="AM211" s="1" t="s">
        <v>51</v>
      </c>
      <c r="AN211" s="2">
        <v>8.351742E8</v>
      </c>
      <c r="AP211" s="2">
        <v>4.90191795E8</v>
      </c>
      <c r="AQ211" s="1" t="s">
        <v>339</v>
      </c>
      <c r="AR211" s="2">
        <v>45808.73111111111</v>
      </c>
      <c r="AU211" s="1" t="s">
        <v>64</v>
      </c>
      <c r="AW211" s="1" t="s">
        <v>255</v>
      </c>
      <c r="AY211" s="2">
        <v>205.0</v>
      </c>
    </row>
    <row r="212">
      <c r="A212" s="1" t="s">
        <v>51</v>
      </c>
      <c r="C212" s="1" t="s">
        <v>131</v>
      </c>
      <c r="E212" s="1" t="s">
        <v>53</v>
      </c>
      <c r="F212" s="1" t="s">
        <v>291</v>
      </c>
      <c r="G212" s="2">
        <v>19.0</v>
      </c>
      <c r="H212" s="1" t="s">
        <v>66</v>
      </c>
      <c r="I212" s="1" t="s">
        <v>76</v>
      </c>
      <c r="J212" s="1" t="s">
        <v>111</v>
      </c>
      <c r="K212" s="1" t="s">
        <v>74</v>
      </c>
      <c r="M212" s="1" t="s">
        <v>58</v>
      </c>
      <c r="N212" s="1" t="s">
        <v>58</v>
      </c>
      <c r="O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59</v>
      </c>
      <c r="Y212" s="1" t="s">
        <v>60</v>
      </c>
      <c r="Z212" s="1" t="s">
        <v>89</v>
      </c>
      <c r="AA212" s="2">
        <v>50.0</v>
      </c>
      <c r="AB212" s="1" t="s">
        <v>62</v>
      </c>
      <c r="AC212" s="1" t="s">
        <v>51</v>
      </c>
      <c r="AD212" s="1" t="s">
        <v>59</v>
      </c>
      <c r="AE212" s="1" t="s">
        <v>51</v>
      </c>
      <c r="AF212" s="1" t="s">
        <v>51</v>
      </c>
      <c r="AG212" s="1" t="s">
        <v>51</v>
      </c>
      <c r="AH212" s="2">
        <v>2.0</v>
      </c>
      <c r="AI212" s="2">
        <v>1.0</v>
      </c>
      <c r="AJ212" s="2">
        <v>0.0</v>
      </c>
      <c r="AK212" s="2">
        <v>0.0</v>
      </c>
      <c r="AL212" s="2">
        <v>0.0</v>
      </c>
      <c r="AM212" s="1" t="s">
        <v>51</v>
      </c>
      <c r="AN212" s="2">
        <v>7.16325173E8</v>
      </c>
      <c r="AP212" s="2">
        <v>4.90193602E8</v>
      </c>
      <c r="AQ212" s="1" t="s">
        <v>340</v>
      </c>
      <c r="AR212" s="2">
        <v>45808.73310185185</v>
      </c>
      <c r="AU212" s="1" t="s">
        <v>64</v>
      </c>
      <c r="AW212" s="1" t="s">
        <v>255</v>
      </c>
      <c r="AY212" s="2">
        <v>206.0</v>
      </c>
    </row>
    <row r="213">
      <c r="A213" s="1" t="s">
        <v>51</v>
      </c>
      <c r="C213" s="1" t="s">
        <v>131</v>
      </c>
      <c r="E213" s="1" t="s">
        <v>53</v>
      </c>
      <c r="F213" s="1" t="s">
        <v>291</v>
      </c>
      <c r="G213" s="2">
        <v>24.0</v>
      </c>
      <c r="H213" s="1" t="s">
        <v>55</v>
      </c>
      <c r="I213" s="1" t="s">
        <v>100</v>
      </c>
      <c r="J213" s="1" t="s">
        <v>111</v>
      </c>
      <c r="K213" s="1" t="s">
        <v>57</v>
      </c>
      <c r="M213" s="1" t="s">
        <v>58</v>
      </c>
      <c r="N213" s="1" t="s">
        <v>58</v>
      </c>
      <c r="O213" s="1" t="s">
        <v>58</v>
      </c>
      <c r="Q213" s="1" t="s">
        <v>58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  <c r="W213" s="1" t="s">
        <v>58</v>
      </c>
      <c r="X213" s="1" t="s">
        <v>59</v>
      </c>
      <c r="Y213" s="1" t="s">
        <v>60</v>
      </c>
      <c r="Z213" s="1" t="s">
        <v>127</v>
      </c>
      <c r="AA213" s="2">
        <v>20.0</v>
      </c>
      <c r="AB213" s="1" t="s">
        <v>79</v>
      </c>
      <c r="AC213" s="1" t="s">
        <v>51</v>
      </c>
      <c r="AD213" s="1" t="s">
        <v>59</v>
      </c>
      <c r="AE213" s="1" t="s">
        <v>51</v>
      </c>
      <c r="AF213" s="1" t="s">
        <v>51</v>
      </c>
      <c r="AG213" s="1" t="s">
        <v>51</v>
      </c>
      <c r="AH213" s="2">
        <v>3.0</v>
      </c>
      <c r="AI213" s="2">
        <v>1.0</v>
      </c>
      <c r="AJ213" s="2">
        <v>0.0</v>
      </c>
      <c r="AK213" s="2">
        <v>0.0</v>
      </c>
      <c r="AL213" s="2">
        <v>0.0</v>
      </c>
      <c r="AM213" s="1" t="s">
        <v>51</v>
      </c>
      <c r="AN213" s="2">
        <v>8.44112654E8</v>
      </c>
      <c r="AP213" s="2">
        <v>4.90194764E8</v>
      </c>
      <c r="AQ213" s="1" t="s">
        <v>341</v>
      </c>
      <c r="AR213" s="2">
        <v>45808.73469907408</v>
      </c>
      <c r="AU213" s="1" t="s">
        <v>64</v>
      </c>
      <c r="AW213" s="1" t="s">
        <v>255</v>
      </c>
      <c r="AY213" s="2">
        <v>207.0</v>
      </c>
    </row>
    <row r="214">
      <c r="A214" s="1" t="s">
        <v>51</v>
      </c>
      <c r="C214" s="1" t="s">
        <v>131</v>
      </c>
      <c r="E214" s="1" t="s">
        <v>53</v>
      </c>
      <c r="F214" s="1" t="s">
        <v>85</v>
      </c>
      <c r="G214" s="2">
        <v>22.0</v>
      </c>
      <c r="H214" s="1" t="s">
        <v>55</v>
      </c>
      <c r="I214" s="1" t="s">
        <v>67</v>
      </c>
      <c r="J214" s="1" t="s">
        <v>86</v>
      </c>
      <c r="K214" s="1" t="s">
        <v>74</v>
      </c>
      <c r="M214" s="1" t="s">
        <v>58</v>
      </c>
      <c r="N214" s="1" t="s">
        <v>58</v>
      </c>
      <c r="O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59</v>
      </c>
      <c r="Y214" s="1" t="s">
        <v>82</v>
      </c>
      <c r="Z214" s="1" t="s">
        <v>108</v>
      </c>
      <c r="AA214" s="2">
        <v>20.0</v>
      </c>
      <c r="AB214" s="1" t="s">
        <v>79</v>
      </c>
      <c r="AC214" s="1" t="s">
        <v>51</v>
      </c>
      <c r="AD214" s="1" t="s">
        <v>59</v>
      </c>
      <c r="AE214" s="1" t="s">
        <v>51</v>
      </c>
      <c r="AF214" s="1" t="s">
        <v>51</v>
      </c>
      <c r="AG214" s="1" t="s">
        <v>51</v>
      </c>
      <c r="AH214" s="2">
        <v>4.0</v>
      </c>
      <c r="AI214" s="2">
        <v>1.0</v>
      </c>
      <c r="AJ214" s="2">
        <v>0.0</v>
      </c>
      <c r="AK214" s="2">
        <v>0.0</v>
      </c>
      <c r="AL214" s="2">
        <v>0.0</v>
      </c>
      <c r="AM214" s="1" t="s">
        <v>51</v>
      </c>
      <c r="AN214" s="2">
        <v>8.3324428E7</v>
      </c>
      <c r="AP214" s="2">
        <v>4.90195712E8</v>
      </c>
      <c r="AQ214" s="1" t="s">
        <v>342</v>
      </c>
      <c r="AR214" s="2">
        <v>45808.73625</v>
      </c>
      <c r="AU214" s="1" t="s">
        <v>64</v>
      </c>
      <c r="AW214" s="1" t="s">
        <v>255</v>
      </c>
      <c r="AY214" s="2">
        <v>208.0</v>
      </c>
    </row>
    <row r="215">
      <c r="A215" s="1" t="s">
        <v>51</v>
      </c>
      <c r="C215" s="1" t="s">
        <v>131</v>
      </c>
      <c r="E215" s="1" t="s">
        <v>53</v>
      </c>
      <c r="F215" s="1" t="s">
        <v>85</v>
      </c>
      <c r="G215" s="2">
        <v>23.0</v>
      </c>
      <c r="H215" s="1" t="s">
        <v>55</v>
      </c>
      <c r="I215" s="1" t="s">
        <v>76</v>
      </c>
      <c r="J215" s="1" t="s">
        <v>111</v>
      </c>
      <c r="K215" s="1" t="s">
        <v>78</v>
      </c>
      <c r="M215" s="1" t="s">
        <v>58</v>
      </c>
      <c r="N215" s="1" t="s">
        <v>58</v>
      </c>
      <c r="O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88</v>
      </c>
      <c r="Y215" s="1" t="s">
        <v>82</v>
      </c>
      <c r="Z215" s="1" t="s">
        <v>127</v>
      </c>
      <c r="AA215" s="2">
        <v>20.0</v>
      </c>
      <c r="AB215" s="1" t="s">
        <v>79</v>
      </c>
      <c r="AC215" s="1" t="s">
        <v>51</v>
      </c>
      <c r="AD215" s="1" t="s">
        <v>88</v>
      </c>
      <c r="AE215" s="1" t="s">
        <v>51</v>
      </c>
      <c r="AF215" s="1" t="s">
        <v>51</v>
      </c>
      <c r="AG215" s="1" t="s">
        <v>51</v>
      </c>
      <c r="AH215" s="2">
        <v>6.0</v>
      </c>
      <c r="AI215" s="2">
        <v>1.0</v>
      </c>
      <c r="AJ215" s="2">
        <v>0.0</v>
      </c>
      <c r="AK215" s="2">
        <v>0.0</v>
      </c>
      <c r="AL215" s="2">
        <v>0.0</v>
      </c>
      <c r="AM215" s="1" t="s">
        <v>51</v>
      </c>
      <c r="AN215" s="2">
        <v>6.39293953E8</v>
      </c>
      <c r="AP215" s="2">
        <v>4.90196718E8</v>
      </c>
      <c r="AQ215" s="1" t="s">
        <v>343</v>
      </c>
      <c r="AR215" s="2">
        <v>45808.73804398148</v>
      </c>
      <c r="AU215" s="1" t="s">
        <v>64</v>
      </c>
      <c r="AW215" s="1" t="s">
        <v>255</v>
      </c>
      <c r="AY215" s="2">
        <v>209.0</v>
      </c>
    </row>
    <row r="216">
      <c r="A216" s="1" t="s">
        <v>51</v>
      </c>
      <c r="C216" s="1" t="s">
        <v>52</v>
      </c>
      <c r="E216" s="1" t="s">
        <v>52</v>
      </c>
      <c r="G216" s="2">
        <v>44.0</v>
      </c>
      <c r="K216" s="1" t="s">
        <v>87</v>
      </c>
      <c r="N216" s="1" t="s">
        <v>58</v>
      </c>
      <c r="O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70</v>
      </c>
      <c r="V216" s="1" t="s">
        <v>58</v>
      </c>
      <c r="W216" s="1" t="s">
        <v>58</v>
      </c>
      <c r="X216" s="1" t="s">
        <v>81</v>
      </c>
      <c r="Y216" s="1" t="s">
        <v>60</v>
      </c>
      <c r="Z216" s="1" t="s">
        <v>89</v>
      </c>
      <c r="AA216" s="2">
        <v>100.0</v>
      </c>
      <c r="AB216" s="1" t="s">
        <v>62</v>
      </c>
      <c r="AC216" s="1" t="s">
        <v>71</v>
      </c>
      <c r="AF216" s="1" t="s">
        <v>51</v>
      </c>
      <c r="AG216" s="1" t="s">
        <v>72</v>
      </c>
      <c r="AI216" s="2">
        <v>1.0</v>
      </c>
      <c r="AJ216" s="2">
        <v>1.0</v>
      </c>
      <c r="AK216" s="2">
        <v>1.0</v>
      </c>
      <c r="AL216" s="2">
        <v>0.0</v>
      </c>
      <c r="AP216" s="2">
        <v>4.90197763E8</v>
      </c>
      <c r="AQ216" s="1" t="s">
        <v>344</v>
      </c>
      <c r="AR216" s="2">
        <v>45808.739583333336</v>
      </c>
      <c r="AU216" s="1" t="s">
        <v>64</v>
      </c>
      <c r="AW216" s="1" t="s">
        <v>255</v>
      </c>
      <c r="AY216" s="2">
        <v>210.0</v>
      </c>
    </row>
    <row r="217">
      <c r="A217" s="1" t="s">
        <v>51</v>
      </c>
      <c r="C217" s="1" t="s">
        <v>131</v>
      </c>
      <c r="E217" s="1" t="s">
        <v>53</v>
      </c>
      <c r="F217" s="1" t="s">
        <v>345</v>
      </c>
      <c r="G217" s="2">
        <v>25.0</v>
      </c>
      <c r="H217" s="1" t="s">
        <v>66</v>
      </c>
      <c r="I217" s="1" t="s">
        <v>100</v>
      </c>
      <c r="J217" s="1" t="s">
        <v>111</v>
      </c>
      <c r="K217" s="1" t="s">
        <v>78</v>
      </c>
      <c r="M217" s="1" t="s">
        <v>58</v>
      </c>
      <c r="N217" s="1" t="s">
        <v>58</v>
      </c>
      <c r="O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88</v>
      </c>
      <c r="Y217" s="1" t="s">
        <v>95</v>
      </c>
      <c r="Z217" s="1" t="s">
        <v>89</v>
      </c>
      <c r="AA217" s="2">
        <v>10.0</v>
      </c>
      <c r="AB217" s="1" t="s">
        <v>62</v>
      </c>
      <c r="AC217" s="1" t="s">
        <v>51</v>
      </c>
      <c r="AD217" s="1" t="s">
        <v>59</v>
      </c>
      <c r="AE217" s="1" t="s">
        <v>51</v>
      </c>
      <c r="AF217" s="1" t="s">
        <v>51</v>
      </c>
      <c r="AG217" s="1" t="s">
        <v>51</v>
      </c>
      <c r="AH217" s="2">
        <v>2.0</v>
      </c>
      <c r="AI217" s="2">
        <v>1.0</v>
      </c>
      <c r="AJ217" s="2">
        <v>0.0</v>
      </c>
      <c r="AK217" s="2">
        <v>0.0</v>
      </c>
      <c r="AL217" s="2">
        <v>0.0</v>
      </c>
      <c r="AM217" s="1" t="s">
        <v>51</v>
      </c>
      <c r="AN217" s="2">
        <v>7.35090851E8</v>
      </c>
      <c r="AP217" s="2">
        <v>4.90197869E8</v>
      </c>
      <c r="AQ217" s="1" t="s">
        <v>346</v>
      </c>
      <c r="AR217" s="2">
        <v>45808.73974537037</v>
      </c>
      <c r="AU217" s="1" t="s">
        <v>64</v>
      </c>
      <c r="AW217" s="1" t="s">
        <v>255</v>
      </c>
      <c r="AY217" s="2">
        <v>211.0</v>
      </c>
    </row>
    <row r="218">
      <c r="A218" s="1" t="s">
        <v>51</v>
      </c>
      <c r="C218" s="1" t="s">
        <v>347</v>
      </c>
      <c r="E218" s="1" t="s">
        <v>154</v>
      </c>
      <c r="G218" s="2">
        <v>38.0</v>
      </c>
      <c r="H218" s="1" t="s">
        <v>55</v>
      </c>
      <c r="J218" s="1" t="s">
        <v>86</v>
      </c>
      <c r="K218" s="1" t="s">
        <v>87</v>
      </c>
      <c r="M218" s="1" t="s">
        <v>58</v>
      </c>
      <c r="N218" s="1" t="s">
        <v>58</v>
      </c>
      <c r="O218" s="1" t="s">
        <v>58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59</v>
      </c>
      <c r="Y218" s="1" t="s">
        <v>227</v>
      </c>
      <c r="Z218" s="1" t="s">
        <v>89</v>
      </c>
      <c r="AA218" s="2">
        <v>100.0</v>
      </c>
      <c r="AB218" s="1" t="s">
        <v>62</v>
      </c>
      <c r="AC218" s="1" t="s">
        <v>51</v>
      </c>
      <c r="AD218" s="1" t="s">
        <v>81</v>
      </c>
      <c r="AE218" s="1" t="s">
        <v>51</v>
      </c>
      <c r="AF218" s="1" t="s">
        <v>51</v>
      </c>
      <c r="AG218" s="1" t="s">
        <v>51</v>
      </c>
      <c r="AH218" s="2">
        <v>100.0</v>
      </c>
      <c r="AI218" s="2">
        <v>0.0</v>
      </c>
      <c r="AJ218" s="2">
        <v>0.0</v>
      </c>
      <c r="AK218" s="2">
        <v>0.0</v>
      </c>
      <c r="AL218" s="2">
        <v>1.0</v>
      </c>
      <c r="AP218" s="2">
        <v>4.90198157E8</v>
      </c>
      <c r="AQ218" s="1" t="s">
        <v>348</v>
      </c>
      <c r="AR218" s="2">
        <v>45808.74019675926</v>
      </c>
      <c r="AU218" s="1" t="s">
        <v>64</v>
      </c>
      <c r="AW218" s="1" t="s">
        <v>255</v>
      </c>
      <c r="AY218" s="2">
        <v>212.0</v>
      </c>
    </row>
    <row r="219">
      <c r="A219" s="1" t="s">
        <v>51</v>
      </c>
      <c r="C219" s="1" t="s">
        <v>131</v>
      </c>
      <c r="E219" s="1" t="s">
        <v>53</v>
      </c>
      <c r="F219" s="1" t="s">
        <v>291</v>
      </c>
      <c r="G219" s="2">
        <v>27.0</v>
      </c>
      <c r="H219" s="1" t="s">
        <v>55</v>
      </c>
      <c r="I219" s="1" t="s">
        <v>67</v>
      </c>
      <c r="J219" s="1" t="s">
        <v>111</v>
      </c>
      <c r="K219" s="1" t="s">
        <v>78</v>
      </c>
      <c r="M219" s="1" t="s">
        <v>58</v>
      </c>
      <c r="N219" s="1" t="s">
        <v>58</v>
      </c>
      <c r="O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59</v>
      </c>
      <c r="Y219" s="1" t="s">
        <v>172</v>
      </c>
      <c r="Z219" s="1" t="s">
        <v>127</v>
      </c>
      <c r="AA219" s="2">
        <v>30.0</v>
      </c>
      <c r="AB219" s="1" t="s">
        <v>62</v>
      </c>
      <c r="AC219" s="1" t="s">
        <v>51</v>
      </c>
      <c r="AD219" s="1" t="s">
        <v>59</v>
      </c>
      <c r="AE219" s="1" t="s">
        <v>51</v>
      </c>
      <c r="AF219" s="1" t="s">
        <v>51</v>
      </c>
      <c r="AI219" s="2">
        <v>1.0</v>
      </c>
      <c r="AJ219" s="2">
        <v>0.0</v>
      </c>
      <c r="AK219" s="2">
        <v>0.0</v>
      </c>
      <c r="AL219" s="2">
        <v>0.0</v>
      </c>
      <c r="AM219" s="1" t="s">
        <v>51</v>
      </c>
      <c r="AN219" s="2">
        <v>6.9329315E8</v>
      </c>
      <c r="AP219" s="2">
        <v>4.90199022E8</v>
      </c>
      <c r="AQ219" s="1" t="s">
        <v>349</v>
      </c>
      <c r="AR219" s="2">
        <v>45808.741527777776</v>
      </c>
      <c r="AU219" s="1" t="s">
        <v>64</v>
      </c>
      <c r="AW219" s="1" t="s">
        <v>255</v>
      </c>
      <c r="AY219" s="2">
        <v>213.0</v>
      </c>
    </row>
    <row r="220">
      <c r="A220" s="1" t="s">
        <v>51</v>
      </c>
      <c r="C220" s="1" t="s">
        <v>131</v>
      </c>
      <c r="E220" s="1" t="s">
        <v>53</v>
      </c>
      <c r="F220" s="1" t="s">
        <v>350</v>
      </c>
      <c r="G220" s="2">
        <v>29.0</v>
      </c>
      <c r="H220" s="1" t="s">
        <v>66</v>
      </c>
      <c r="I220" s="1" t="s">
        <v>67</v>
      </c>
      <c r="J220" s="1" t="s">
        <v>111</v>
      </c>
      <c r="K220" s="1" t="s">
        <v>57</v>
      </c>
      <c r="M220" s="1" t="s">
        <v>58</v>
      </c>
      <c r="N220" s="1" t="s">
        <v>70</v>
      </c>
      <c r="O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88</v>
      </c>
      <c r="Y220" s="1" t="s">
        <v>82</v>
      </c>
      <c r="Z220" s="1" t="s">
        <v>89</v>
      </c>
      <c r="AA220" s="2">
        <v>10.0</v>
      </c>
      <c r="AB220" s="1" t="s">
        <v>79</v>
      </c>
      <c r="AC220" s="1" t="s">
        <v>51</v>
      </c>
      <c r="AD220" s="1" t="s">
        <v>88</v>
      </c>
      <c r="AF220" s="1" t="s">
        <v>51</v>
      </c>
      <c r="AG220" s="1" t="s">
        <v>51</v>
      </c>
      <c r="AI220" s="2">
        <v>1.0</v>
      </c>
      <c r="AJ220" s="2">
        <v>0.0</v>
      </c>
      <c r="AK220" s="2">
        <v>0.0</v>
      </c>
      <c r="AL220" s="2">
        <v>0.0</v>
      </c>
      <c r="AM220" s="1" t="s">
        <v>51</v>
      </c>
      <c r="AN220" s="2">
        <v>7.69616023E8</v>
      </c>
      <c r="AP220" s="2">
        <v>4.90201666E8</v>
      </c>
      <c r="AQ220" s="1" t="s">
        <v>351</v>
      </c>
      <c r="AR220" s="2">
        <v>45808.74564814815</v>
      </c>
      <c r="AU220" s="1" t="s">
        <v>64</v>
      </c>
      <c r="AW220" s="1" t="s">
        <v>255</v>
      </c>
      <c r="AY220" s="2">
        <v>214.0</v>
      </c>
    </row>
    <row r="221">
      <c r="A221" s="1" t="s">
        <v>51</v>
      </c>
      <c r="C221" s="1" t="s">
        <v>131</v>
      </c>
      <c r="E221" s="1" t="s">
        <v>53</v>
      </c>
      <c r="F221" s="1" t="s">
        <v>85</v>
      </c>
      <c r="G221" s="2">
        <v>21.0</v>
      </c>
      <c r="H221" s="1" t="s">
        <v>55</v>
      </c>
      <c r="I221" s="1" t="s">
        <v>100</v>
      </c>
      <c r="K221" s="1" t="s">
        <v>57</v>
      </c>
      <c r="M221" s="1" t="s">
        <v>70</v>
      </c>
      <c r="N221" s="1" t="s">
        <v>58</v>
      </c>
      <c r="O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70</v>
      </c>
      <c r="V221" s="1" t="s">
        <v>58</v>
      </c>
      <c r="X221" s="1" t="s">
        <v>88</v>
      </c>
      <c r="Y221" s="1" t="s">
        <v>82</v>
      </c>
      <c r="Z221" s="1" t="s">
        <v>89</v>
      </c>
      <c r="AA221" s="2">
        <v>20.0</v>
      </c>
      <c r="AB221" s="1" t="s">
        <v>62</v>
      </c>
      <c r="AC221" s="1" t="s">
        <v>51</v>
      </c>
      <c r="AD221" s="1" t="s">
        <v>59</v>
      </c>
      <c r="AE221" s="1" t="s">
        <v>51</v>
      </c>
      <c r="AF221" s="1" t="s">
        <v>51</v>
      </c>
      <c r="AG221" s="1" t="s">
        <v>51</v>
      </c>
      <c r="AH221" s="2">
        <v>4.0</v>
      </c>
      <c r="AI221" s="2">
        <v>1.0</v>
      </c>
      <c r="AJ221" s="2">
        <v>0.0</v>
      </c>
      <c r="AK221" s="2">
        <v>0.0</v>
      </c>
      <c r="AL221" s="2">
        <v>0.0</v>
      </c>
      <c r="AM221" s="1" t="s">
        <v>51</v>
      </c>
      <c r="AN221" s="2">
        <v>6.58208359E8</v>
      </c>
      <c r="AP221" s="2">
        <v>4.90202815E8</v>
      </c>
      <c r="AQ221" s="1" t="s">
        <v>352</v>
      </c>
      <c r="AR221" s="2">
        <v>45808.747453703705</v>
      </c>
      <c r="AU221" s="1" t="s">
        <v>64</v>
      </c>
      <c r="AW221" s="1" t="s">
        <v>255</v>
      </c>
      <c r="AY221" s="2">
        <v>215.0</v>
      </c>
    </row>
    <row r="222">
      <c r="A222" s="1" t="s">
        <v>51</v>
      </c>
      <c r="C222" s="1" t="s">
        <v>131</v>
      </c>
      <c r="E222" s="1" t="s">
        <v>53</v>
      </c>
      <c r="F222" s="1" t="s">
        <v>85</v>
      </c>
      <c r="G222" s="2">
        <v>26.0</v>
      </c>
      <c r="H222" s="1" t="s">
        <v>55</v>
      </c>
      <c r="I222" s="1" t="s">
        <v>100</v>
      </c>
      <c r="J222" s="1" t="s">
        <v>68</v>
      </c>
      <c r="K222" s="1" t="s">
        <v>57</v>
      </c>
      <c r="M222" s="1" t="s">
        <v>58</v>
      </c>
      <c r="N222" s="1" t="s">
        <v>58</v>
      </c>
      <c r="O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81</v>
      </c>
      <c r="Y222" s="1" t="s">
        <v>82</v>
      </c>
      <c r="Z222" s="1" t="s">
        <v>89</v>
      </c>
      <c r="AA222" s="2">
        <v>40.0</v>
      </c>
      <c r="AB222" s="1" t="s">
        <v>62</v>
      </c>
      <c r="AC222" s="1" t="s">
        <v>51</v>
      </c>
      <c r="AD222" s="1" t="s">
        <v>81</v>
      </c>
      <c r="AE222" s="1" t="s">
        <v>51</v>
      </c>
      <c r="AF222" s="1" t="s">
        <v>51</v>
      </c>
      <c r="AG222" s="1" t="s">
        <v>51</v>
      </c>
      <c r="AH222" s="2">
        <v>3.0</v>
      </c>
      <c r="AI222" s="2">
        <v>1.0</v>
      </c>
      <c r="AJ222" s="2">
        <v>0.0</v>
      </c>
      <c r="AK222" s="2">
        <v>0.0</v>
      </c>
      <c r="AL222" s="2">
        <v>0.0</v>
      </c>
      <c r="AM222" s="1" t="s">
        <v>51</v>
      </c>
      <c r="AN222" s="2">
        <v>7.33428072E8</v>
      </c>
      <c r="AP222" s="2">
        <v>4.9020474E8</v>
      </c>
      <c r="AQ222" s="1" t="s">
        <v>353</v>
      </c>
      <c r="AR222" s="2">
        <v>45808.75047453704</v>
      </c>
      <c r="AU222" s="1" t="s">
        <v>64</v>
      </c>
      <c r="AW222" s="1" t="s">
        <v>255</v>
      </c>
      <c r="AY222" s="2">
        <v>216.0</v>
      </c>
    </row>
    <row r="223">
      <c r="A223" s="1" t="s">
        <v>51</v>
      </c>
      <c r="C223" s="1" t="s">
        <v>131</v>
      </c>
      <c r="E223" s="1" t="s">
        <v>53</v>
      </c>
      <c r="F223" s="1" t="s">
        <v>85</v>
      </c>
      <c r="G223" s="2">
        <v>25.0</v>
      </c>
      <c r="H223" s="1" t="s">
        <v>55</v>
      </c>
      <c r="I223" s="1" t="s">
        <v>67</v>
      </c>
      <c r="J223" s="1" t="s">
        <v>111</v>
      </c>
      <c r="K223" s="1" t="s">
        <v>57</v>
      </c>
      <c r="M223" s="1" t="s">
        <v>58</v>
      </c>
      <c r="N223" s="1" t="s">
        <v>58</v>
      </c>
      <c r="O223" s="1" t="s">
        <v>58</v>
      </c>
      <c r="Q223" s="1" t="s">
        <v>58</v>
      </c>
      <c r="R223" s="1" t="s">
        <v>70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88</v>
      </c>
      <c r="Y223" s="1" t="s">
        <v>82</v>
      </c>
      <c r="Z223" s="1" t="s">
        <v>89</v>
      </c>
      <c r="AA223" s="2">
        <v>20.0</v>
      </c>
      <c r="AB223" s="1" t="s">
        <v>79</v>
      </c>
      <c r="AC223" s="1" t="s">
        <v>51</v>
      </c>
      <c r="AD223" s="1" t="s">
        <v>59</v>
      </c>
      <c r="AE223" s="1" t="s">
        <v>51</v>
      </c>
      <c r="AF223" s="1" t="s">
        <v>51</v>
      </c>
      <c r="AG223" s="1" t="s">
        <v>51</v>
      </c>
      <c r="AH223" s="2">
        <v>20.0</v>
      </c>
      <c r="AI223" s="2">
        <v>1.0</v>
      </c>
      <c r="AJ223" s="2">
        <v>0.0</v>
      </c>
      <c r="AK223" s="2">
        <v>0.0</v>
      </c>
      <c r="AL223" s="2">
        <v>0.0</v>
      </c>
      <c r="AM223" s="1" t="s">
        <v>51</v>
      </c>
      <c r="AN223" s="2">
        <v>7.10434171E8</v>
      </c>
      <c r="AP223" s="2">
        <v>4.90206995E8</v>
      </c>
      <c r="AQ223" s="1" t="s">
        <v>354</v>
      </c>
      <c r="AR223" s="2">
        <v>45808.75423611111</v>
      </c>
      <c r="AU223" s="1" t="s">
        <v>64</v>
      </c>
      <c r="AW223" s="1" t="s">
        <v>255</v>
      </c>
      <c r="AY223" s="2">
        <v>217.0</v>
      </c>
    </row>
    <row r="224">
      <c r="A224" s="1" t="s">
        <v>51</v>
      </c>
      <c r="C224" s="1" t="s">
        <v>131</v>
      </c>
      <c r="E224" s="1" t="s">
        <v>53</v>
      </c>
      <c r="F224" s="1" t="s">
        <v>85</v>
      </c>
      <c r="G224" s="2">
        <v>21.0</v>
      </c>
      <c r="H224" s="1" t="s">
        <v>66</v>
      </c>
      <c r="I224" s="1" t="s">
        <v>100</v>
      </c>
      <c r="J224" s="1" t="s">
        <v>111</v>
      </c>
      <c r="K224" s="1" t="s">
        <v>57</v>
      </c>
      <c r="M224" s="1" t="s">
        <v>58</v>
      </c>
      <c r="N224" s="1" t="s">
        <v>58</v>
      </c>
      <c r="O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59</v>
      </c>
      <c r="Y224" s="1" t="s">
        <v>60</v>
      </c>
      <c r="AA224" s="2">
        <v>20.0</v>
      </c>
      <c r="AB224" s="1" t="s">
        <v>62</v>
      </c>
      <c r="AC224" s="1" t="s">
        <v>51</v>
      </c>
      <c r="AD224" s="1" t="s">
        <v>88</v>
      </c>
      <c r="AE224" s="1" t="s">
        <v>51</v>
      </c>
      <c r="AF224" s="1" t="s">
        <v>51</v>
      </c>
      <c r="AG224" s="1" t="s">
        <v>51</v>
      </c>
      <c r="AH224" s="2">
        <v>20.0</v>
      </c>
      <c r="AI224" s="2">
        <v>1.0</v>
      </c>
      <c r="AJ224" s="2">
        <v>0.0</v>
      </c>
      <c r="AK224" s="2">
        <v>0.0</v>
      </c>
      <c r="AL224" s="2">
        <v>0.0</v>
      </c>
      <c r="AM224" s="1" t="s">
        <v>51</v>
      </c>
      <c r="AN224" s="2">
        <v>6.311026E8</v>
      </c>
      <c r="AP224" s="2">
        <v>4.90208705E8</v>
      </c>
      <c r="AQ224" s="1" t="s">
        <v>355</v>
      </c>
      <c r="AR224" s="2">
        <v>45808.75724537037</v>
      </c>
      <c r="AU224" s="1" t="s">
        <v>64</v>
      </c>
      <c r="AW224" s="1" t="s">
        <v>255</v>
      </c>
      <c r="AY224" s="2">
        <v>218.0</v>
      </c>
    </row>
    <row r="225">
      <c r="A225" s="1" t="s">
        <v>51</v>
      </c>
      <c r="C225" s="1" t="s">
        <v>52</v>
      </c>
      <c r="E225" s="1" t="s">
        <v>52</v>
      </c>
      <c r="G225" s="2">
        <v>29.0</v>
      </c>
      <c r="H225" s="1" t="s">
        <v>66</v>
      </c>
      <c r="J225" s="1" t="s">
        <v>56</v>
      </c>
      <c r="K225" s="1" t="s">
        <v>87</v>
      </c>
      <c r="M225" s="1" t="s">
        <v>58</v>
      </c>
      <c r="N225" s="1" t="s">
        <v>58</v>
      </c>
      <c r="O225" s="1" t="s">
        <v>58</v>
      </c>
      <c r="Q225" s="1" t="s">
        <v>58</v>
      </c>
      <c r="R225" s="1" t="s">
        <v>58</v>
      </c>
      <c r="S225" s="1" t="s">
        <v>69</v>
      </c>
      <c r="T225" s="1" t="s">
        <v>69</v>
      </c>
      <c r="U225" s="1" t="s">
        <v>58</v>
      </c>
      <c r="V225" s="1" t="s">
        <v>69</v>
      </c>
      <c r="W225" s="1" t="s">
        <v>69</v>
      </c>
      <c r="X225" s="1" t="s">
        <v>88</v>
      </c>
      <c r="Y225" s="1" t="s">
        <v>95</v>
      </c>
      <c r="Z225" s="1" t="s">
        <v>89</v>
      </c>
      <c r="AA225" s="2">
        <v>30.0</v>
      </c>
      <c r="AB225" s="1" t="s">
        <v>62</v>
      </c>
      <c r="AC225" s="1" t="s">
        <v>51</v>
      </c>
      <c r="AD225" s="1" t="s">
        <v>81</v>
      </c>
      <c r="AE225" s="1" t="s">
        <v>72</v>
      </c>
      <c r="AF225" s="1" t="s">
        <v>51</v>
      </c>
      <c r="AG225" s="1" t="s">
        <v>51</v>
      </c>
      <c r="AH225" s="2">
        <v>5000.0</v>
      </c>
      <c r="AI225" s="2">
        <v>0.0</v>
      </c>
      <c r="AJ225" s="2">
        <v>0.0</v>
      </c>
      <c r="AK225" s="2">
        <v>1.0</v>
      </c>
      <c r="AL225" s="2">
        <v>0.0</v>
      </c>
      <c r="AP225" s="2">
        <v>4.9022804E8</v>
      </c>
      <c r="AQ225" s="1" t="s">
        <v>356</v>
      </c>
      <c r="AR225" s="2">
        <v>45808.79471064815</v>
      </c>
      <c r="AU225" s="1" t="s">
        <v>64</v>
      </c>
      <c r="AW225" s="1" t="s">
        <v>255</v>
      </c>
      <c r="AY225" s="2">
        <v>219.0</v>
      </c>
    </row>
    <row r="226">
      <c r="A226" s="1" t="s">
        <v>51</v>
      </c>
      <c r="C226" s="1" t="s">
        <v>53</v>
      </c>
      <c r="E226" s="1" t="s">
        <v>53</v>
      </c>
      <c r="F226" s="1" t="s">
        <v>54</v>
      </c>
      <c r="G226" s="2">
        <v>29.0</v>
      </c>
      <c r="H226" s="1" t="s">
        <v>55</v>
      </c>
      <c r="I226" s="1" t="s">
        <v>121</v>
      </c>
      <c r="J226" s="1" t="s">
        <v>86</v>
      </c>
      <c r="K226" s="1" t="s">
        <v>87</v>
      </c>
      <c r="M226" s="1" t="s">
        <v>58</v>
      </c>
      <c r="N226" s="1" t="s">
        <v>58</v>
      </c>
      <c r="O226" s="1" t="s">
        <v>58</v>
      </c>
      <c r="Q226" s="1" t="s">
        <v>58</v>
      </c>
      <c r="R226" s="1" t="s">
        <v>58</v>
      </c>
      <c r="S226" s="1" t="s">
        <v>69</v>
      </c>
      <c r="T226" s="1" t="s">
        <v>58</v>
      </c>
      <c r="U226" s="1" t="s">
        <v>58</v>
      </c>
      <c r="V226" s="1" t="s">
        <v>58</v>
      </c>
      <c r="W226" s="1" t="s">
        <v>69</v>
      </c>
      <c r="X226" s="1" t="s">
        <v>81</v>
      </c>
      <c r="Y226" s="1" t="s">
        <v>227</v>
      </c>
      <c r="Z226" s="1" t="s">
        <v>89</v>
      </c>
      <c r="AA226" s="2">
        <v>100.0</v>
      </c>
      <c r="AB226" s="1" t="s">
        <v>79</v>
      </c>
      <c r="AC226" s="1" t="s">
        <v>71</v>
      </c>
      <c r="AF226" s="1" t="s">
        <v>51</v>
      </c>
      <c r="AG226" s="1" t="s">
        <v>51</v>
      </c>
      <c r="AH226" s="2">
        <v>2000.0</v>
      </c>
      <c r="AI226" s="2">
        <v>1.0</v>
      </c>
      <c r="AJ226" s="2">
        <v>1.0</v>
      </c>
      <c r="AK226" s="2">
        <v>1.0</v>
      </c>
      <c r="AL226" s="2">
        <v>1.0</v>
      </c>
      <c r="AM226" s="1" t="s">
        <v>51</v>
      </c>
      <c r="AN226" s="2">
        <v>7.11949267E8</v>
      </c>
      <c r="AP226" s="2">
        <v>4.90254059E8</v>
      </c>
      <c r="AQ226" s="1" t="s">
        <v>357</v>
      </c>
      <c r="AR226" s="2">
        <v>45808.8659375</v>
      </c>
      <c r="AU226" s="1" t="s">
        <v>64</v>
      </c>
      <c r="AW226" s="1" t="s">
        <v>255</v>
      </c>
      <c r="AY226" s="2">
        <v>220.0</v>
      </c>
    </row>
    <row r="227">
      <c r="A227" s="1" t="s">
        <v>51</v>
      </c>
      <c r="C227" s="1" t="s">
        <v>52</v>
      </c>
      <c r="E227" s="1" t="s">
        <v>53</v>
      </c>
      <c r="F227" s="1" t="s">
        <v>54</v>
      </c>
      <c r="G227" s="2">
        <v>48.0</v>
      </c>
      <c r="H227" s="1" t="s">
        <v>66</v>
      </c>
      <c r="I227" s="1" t="s">
        <v>67</v>
      </c>
      <c r="J227" s="1" t="s">
        <v>86</v>
      </c>
      <c r="K227" s="1" t="s">
        <v>87</v>
      </c>
      <c r="M227" s="1" t="s">
        <v>58</v>
      </c>
      <c r="N227" s="1" t="s">
        <v>58</v>
      </c>
      <c r="O227" s="1" t="s">
        <v>58</v>
      </c>
      <c r="Q227" s="1" t="s">
        <v>69</v>
      </c>
      <c r="R227" s="1" t="s">
        <v>58</v>
      </c>
      <c r="S227" s="1" t="s">
        <v>69</v>
      </c>
      <c r="T227" s="1" t="s">
        <v>58</v>
      </c>
      <c r="U227" s="1" t="s">
        <v>69</v>
      </c>
      <c r="V227" s="1" t="s">
        <v>58</v>
      </c>
      <c r="W227" s="1" t="s">
        <v>69</v>
      </c>
      <c r="X227" s="1" t="s">
        <v>88</v>
      </c>
      <c r="Y227" s="1" t="s">
        <v>95</v>
      </c>
      <c r="AC227" s="1" t="s">
        <v>71</v>
      </c>
      <c r="AF227" s="1" t="s">
        <v>51</v>
      </c>
      <c r="AI227" s="2">
        <v>0.0</v>
      </c>
      <c r="AJ227" s="2">
        <v>0.0</v>
      </c>
      <c r="AK227" s="2">
        <v>0.0</v>
      </c>
      <c r="AL227" s="2">
        <v>1.0</v>
      </c>
      <c r="AM227" s="1" t="s">
        <v>51</v>
      </c>
      <c r="AN227" s="2">
        <v>7.35260674E8</v>
      </c>
      <c r="AP227" s="2">
        <v>4.90347458E8</v>
      </c>
      <c r="AQ227" s="1" t="s">
        <v>358</v>
      </c>
      <c r="AR227" s="2">
        <v>45809.29672453704</v>
      </c>
      <c r="AU227" s="1" t="s">
        <v>64</v>
      </c>
      <c r="AW227" s="1" t="s">
        <v>255</v>
      </c>
      <c r="AY227" s="2">
        <v>221.0</v>
      </c>
    </row>
    <row r="228">
      <c r="A228" s="1" t="s">
        <v>51</v>
      </c>
      <c r="C228" s="1" t="s">
        <v>52</v>
      </c>
      <c r="E228" s="1" t="s">
        <v>53</v>
      </c>
      <c r="F228" s="1" t="s">
        <v>94</v>
      </c>
      <c r="G228" s="2">
        <v>32.0</v>
      </c>
      <c r="H228" s="1" t="s">
        <v>55</v>
      </c>
      <c r="I228" s="1" t="s">
        <v>67</v>
      </c>
      <c r="J228" s="1" t="s">
        <v>111</v>
      </c>
      <c r="K228" s="1" t="s">
        <v>87</v>
      </c>
      <c r="M228" s="1" t="s">
        <v>58</v>
      </c>
      <c r="N228" s="1" t="s">
        <v>58</v>
      </c>
      <c r="O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103</v>
      </c>
      <c r="Y228" s="1" t="s">
        <v>60</v>
      </c>
      <c r="Z228" s="1" t="s">
        <v>61</v>
      </c>
      <c r="AA228" s="2">
        <v>100.0</v>
      </c>
      <c r="AB228" s="1" t="s">
        <v>79</v>
      </c>
      <c r="AC228" s="1" t="s">
        <v>72</v>
      </c>
      <c r="AF228" s="1" t="s">
        <v>51</v>
      </c>
      <c r="AG228" s="1" t="s">
        <v>72</v>
      </c>
      <c r="AI228" s="2">
        <v>0.0</v>
      </c>
      <c r="AJ228" s="2">
        <v>0.0</v>
      </c>
      <c r="AK228" s="2">
        <v>0.0</v>
      </c>
      <c r="AL228" s="2">
        <v>1.0</v>
      </c>
      <c r="AM228" s="1" t="s">
        <v>51</v>
      </c>
      <c r="AN228" s="1" t="s">
        <v>359</v>
      </c>
      <c r="AP228" s="2">
        <v>4.90355534E8</v>
      </c>
      <c r="AQ228" s="1" t="s">
        <v>360</v>
      </c>
      <c r="AR228" s="2">
        <v>45809.317928240744</v>
      </c>
      <c r="AU228" s="1" t="s">
        <v>64</v>
      </c>
      <c r="AW228" s="1" t="s">
        <v>255</v>
      </c>
      <c r="AY228" s="2">
        <v>222.0</v>
      </c>
    </row>
    <row r="229">
      <c r="A229" s="1" t="s">
        <v>51</v>
      </c>
      <c r="C229" s="1" t="s">
        <v>151</v>
      </c>
      <c r="E229" s="1" t="s">
        <v>151</v>
      </c>
      <c r="G229" s="2">
        <v>36.0</v>
      </c>
      <c r="H229" s="1" t="s">
        <v>66</v>
      </c>
      <c r="J229" s="1" t="s">
        <v>86</v>
      </c>
      <c r="K229" s="1" t="s">
        <v>87</v>
      </c>
      <c r="M229" s="1" t="s">
        <v>58</v>
      </c>
      <c r="N229" s="1" t="s">
        <v>58</v>
      </c>
      <c r="O229" s="1" t="s">
        <v>58</v>
      </c>
      <c r="Q229" s="1" t="s">
        <v>58</v>
      </c>
      <c r="R229" s="1" t="s">
        <v>58</v>
      </c>
      <c r="S229" s="1" t="s">
        <v>69</v>
      </c>
      <c r="T229" s="1" t="s">
        <v>69</v>
      </c>
      <c r="U229" s="1" t="s">
        <v>58</v>
      </c>
      <c r="V229" s="1" t="s">
        <v>58</v>
      </c>
      <c r="W229" s="1" t="s">
        <v>69</v>
      </c>
      <c r="X229" s="1" t="s">
        <v>81</v>
      </c>
      <c r="Y229" s="1" t="s">
        <v>60</v>
      </c>
      <c r="Z229" s="1" t="s">
        <v>89</v>
      </c>
      <c r="AA229" s="2">
        <v>50.0</v>
      </c>
      <c r="AB229" s="1" t="s">
        <v>79</v>
      </c>
      <c r="AC229" s="1" t="s">
        <v>71</v>
      </c>
      <c r="AF229" s="1" t="s">
        <v>51</v>
      </c>
      <c r="AG229" s="1" t="s">
        <v>72</v>
      </c>
      <c r="AI229" s="2">
        <v>1.0</v>
      </c>
      <c r="AJ229" s="2">
        <v>0.0</v>
      </c>
      <c r="AK229" s="2">
        <v>0.0</v>
      </c>
      <c r="AL229" s="2">
        <v>0.0</v>
      </c>
      <c r="AP229" s="2">
        <v>4.90371203E8</v>
      </c>
      <c r="AQ229" s="1" t="s">
        <v>361</v>
      </c>
      <c r="AR229" s="2">
        <v>45809.35847222222</v>
      </c>
      <c r="AU229" s="1" t="s">
        <v>64</v>
      </c>
      <c r="AW229" s="1" t="s">
        <v>255</v>
      </c>
      <c r="AY229" s="2">
        <v>223.0</v>
      </c>
    </row>
    <row r="230">
      <c r="A230" s="1" t="s">
        <v>51</v>
      </c>
      <c r="C230" s="1" t="s">
        <v>151</v>
      </c>
      <c r="E230" s="1" t="s">
        <v>53</v>
      </c>
      <c r="F230" s="1" t="s">
        <v>232</v>
      </c>
      <c r="G230" s="2">
        <v>37.0</v>
      </c>
      <c r="H230" s="1" t="s">
        <v>55</v>
      </c>
      <c r="I230" s="1" t="s">
        <v>67</v>
      </c>
      <c r="J230" s="1" t="s">
        <v>111</v>
      </c>
      <c r="K230" s="1" t="s">
        <v>74</v>
      </c>
      <c r="M230" s="1" t="s">
        <v>58</v>
      </c>
      <c r="N230" s="1" t="s">
        <v>58</v>
      </c>
      <c r="O230" s="1" t="s">
        <v>69</v>
      </c>
      <c r="Q230" s="1" t="s">
        <v>69</v>
      </c>
      <c r="R230" s="1" t="s">
        <v>58</v>
      </c>
      <c r="S230" s="1" t="s">
        <v>58</v>
      </c>
      <c r="T230" s="1" t="s">
        <v>69</v>
      </c>
      <c r="U230" s="1" t="s">
        <v>70</v>
      </c>
      <c r="V230" s="1" t="s">
        <v>58</v>
      </c>
      <c r="W230" s="1" t="s">
        <v>69</v>
      </c>
      <c r="X230" s="1" t="s">
        <v>81</v>
      </c>
      <c r="Y230" s="1" t="s">
        <v>82</v>
      </c>
      <c r="Z230" s="1" t="s">
        <v>89</v>
      </c>
      <c r="AA230" s="2">
        <v>100.0</v>
      </c>
      <c r="AB230" s="1" t="s">
        <v>62</v>
      </c>
      <c r="AC230" s="1" t="s">
        <v>51</v>
      </c>
      <c r="AD230" s="1" t="s">
        <v>81</v>
      </c>
      <c r="AE230" s="1" t="s">
        <v>51</v>
      </c>
      <c r="AF230" s="1" t="s">
        <v>51</v>
      </c>
      <c r="AG230" s="1" t="s">
        <v>72</v>
      </c>
      <c r="AI230" s="2">
        <v>1.0</v>
      </c>
      <c r="AJ230" s="2">
        <v>1.0</v>
      </c>
      <c r="AK230" s="2">
        <v>1.0</v>
      </c>
      <c r="AL230" s="2">
        <v>0.0</v>
      </c>
      <c r="AM230" s="1" t="s">
        <v>51</v>
      </c>
      <c r="AN230" s="2">
        <v>7.83579949E8</v>
      </c>
      <c r="AP230" s="2">
        <v>4.90398613E8</v>
      </c>
      <c r="AQ230" s="1" t="s">
        <v>362</v>
      </c>
      <c r="AR230" s="2">
        <v>45809.41784722222</v>
      </c>
      <c r="AU230" s="1" t="s">
        <v>64</v>
      </c>
      <c r="AW230" s="1" t="s">
        <v>191</v>
      </c>
      <c r="AY230" s="2">
        <v>224.0</v>
      </c>
    </row>
    <row r="231">
      <c r="A231" s="1" t="s">
        <v>51</v>
      </c>
      <c r="C231" s="1" t="s">
        <v>131</v>
      </c>
      <c r="E231" s="1" t="s">
        <v>53</v>
      </c>
      <c r="F231" s="1" t="s">
        <v>54</v>
      </c>
      <c r="G231" s="2">
        <v>34.0</v>
      </c>
      <c r="H231" s="1" t="s">
        <v>66</v>
      </c>
      <c r="I231" s="1" t="s">
        <v>67</v>
      </c>
      <c r="J231" s="1" t="s">
        <v>56</v>
      </c>
      <c r="K231" s="1" t="s">
        <v>74</v>
      </c>
      <c r="M231" s="1" t="s">
        <v>58</v>
      </c>
      <c r="N231" s="1" t="s">
        <v>58</v>
      </c>
      <c r="O231" s="1" t="s">
        <v>69</v>
      </c>
      <c r="Q231" s="1" t="s">
        <v>58</v>
      </c>
      <c r="R231" s="1" t="s">
        <v>58</v>
      </c>
      <c r="S231" s="1" t="s">
        <v>70</v>
      </c>
      <c r="T231" s="1" t="s">
        <v>70</v>
      </c>
      <c r="U231" s="1" t="s">
        <v>58</v>
      </c>
      <c r="V231" s="1" t="s">
        <v>58</v>
      </c>
      <c r="W231" s="1" t="s">
        <v>69</v>
      </c>
      <c r="X231" s="1" t="s">
        <v>81</v>
      </c>
      <c r="Y231" s="1" t="s">
        <v>172</v>
      </c>
      <c r="Z231" s="1" t="s">
        <v>108</v>
      </c>
      <c r="AA231" s="2">
        <v>50.0</v>
      </c>
      <c r="AB231" s="1" t="s">
        <v>79</v>
      </c>
      <c r="AC231" s="1" t="s">
        <v>71</v>
      </c>
      <c r="AF231" s="1" t="s">
        <v>51</v>
      </c>
      <c r="AG231" s="1" t="s">
        <v>51</v>
      </c>
      <c r="AH231" s="2">
        <v>300.0</v>
      </c>
      <c r="AI231" s="2">
        <v>0.0</v>
      </c>
      <c r="AJ231" s="2">
        <v>0.0</v>
      </c>
      <c r="AK231" s="2">
        <v>1.0</v>
      </c>
      <c r="AL231" s="2">
        <v>0.0</v>
      </c>
      <c r="AM231" s="1" t="s">
        <v>51</v>
      </c>
      <c r="AN231" s="2">
        <v>7.87607612E8</v>
      </c>
      <c r="AP231" s="2">
        <v>4.90400697E8</v>
      </c>
      <c r="AQ231" s="1" t="s">
        <v>363</v>
      </c>
      <c r="AR231" s="2">
        <v>45809.421006944445</v>
      </c>
      <c r="AU231" s="1" t="s">
        <v>64</v>
      </c>
      <c r="AW231" s="1" t="s">
        <v>255</v>
      </c>
      <c r="AY231" s="2">
        <v>225.0</v>
      </c>
    </row>
    <row r="232">
      <c r="A232" s="1" t="s">
        <v>51</v>
      </c>
      <c r="C232" s="1" t="s">
        <v>151</v>
      </c>
      <c r="E232" s="1" t="s">
        <v>53</v>
      </c>
      <c r="F232" s="1" t="s">
        <v>102</v>
      </c>
      <c r="G232" s="2">
        <v>24.0</v>
      </c>
      <c r="H232" s="1" t="s">
        <v>66</v>
      </c>
      <c r="I232" s="1" t="s">
        <v>100</v>
      </c>
      <c r="J232" s="1" t="s">
        <v>68</v>
      </c>
      <c r="K232" s="1" t="s">
        <v>74</v>
      </c>
      <c r="M232" s="1" t="s">
        <v>58</v>
      </c>
      <c r="N232" s="1" t="s">
        <v>58</v>
      </c>
      <c r="O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70</v>
      </c>
      <c r="V232" s="1" t="s">
        <v>58</v>
      </c>
      <c r="W232" s="1" t="s">
        <v>69</v>
      </c>
      <c r="X232" s="1" t="s">
        <v>81</v>
      </c>
      <c r="Y232" s="1" t="s">
        <v>60</v>
      </c>
      <c r="Z232" s="1" t="s">
        <v>61</v>
      </c>
      <c r="AA232" s="2">
        <v>10.0</v>
      </c>
      <c r="AB232" s="1" t="s">
        <v>79</v>
      </c>
      <c r="AC232" s="1" t="s">
        <v>71</v>
      </c>
      <c r="AF232" s="1" t="s">
        <v>51</v>
      </c>
      <c r="AG232" s="1" t="s">
        <v>51</v>
      </c>
      <c r="AH232" s="2">
        <v>1000.0</v>
      </c>
      <c r="AI232" s="2">
        <v>0.0</v>
      </c>
      <c r="AJ232" s="2">
        <v>0.0</v>
      </c>
      <c r="AK232" s="2">
        <v>0.0</v>
      </c>
      <c r="AL232" s="2">
        <v>1.0</v>
      </c>
      <c r="AM232" s="1" t="s">
        <v>51</v>
      </c>
      <c r="AN232" s="2">
        <v>6.05632909E8</v>
      </c>
      <c r="AP232" s="2">
        <v>4.9040118E8</v>
      </c>
      <c r="AQ232" s="1" t="s">
        <v>364</v>
      </c>
      <c r="AR232" s="2">
        <v>45809.42184027778</v>
      </c>
      <c r="AU232" s="1" t="s">
        <v>64</v>
      </c>
      <c r="AW232" s="1" t="s">
        <v>255</v>
      </c>
      <c r="AY232" s="2">
        <v>226.0</v>
      </c>
    </row>
    <row r="233">
      <c r="A233" s="1" t="s">
        <v>51</v>
      </c>
      <c r="C233" s="1" t="s">
        <v>131</v>
      </c>
      <c r="E233" s="1" t="s">
        <v>53</v>
      </c>
      <c r="F233" s="1" t="s">
        <v>54</v>
      </c>
      <c r="G233" s="2">
        <v>25.0</v>
      </c>
      <c r="H233" s="1" t="s">
        <v>55</v>
      </c>
      <c r="I233" s="1" t="s">
        <v>100</v>
      </c>
      <c r="J233" s="1" t="s">
        <v>56</v>
      </c>
      <c r="K233" s="1" t="s">
        <v>74</v>
      </c>
      <c r="M233" s="1" t="s">
        <v>58</v>
      </c>
      <c r="N233" s="1" t="s">
        <v>58</v>
      </c>
      <c r="O233" s="1" t="s">
        <v>58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58</v>
      </c>
      <c r="X233" s="1" t="s">
        <v>81</v>
      </c>
      <c r="Y233" s="1" t="s">
        <v>60</v>
      </c>
      <c r="Z233" s="1" t="s">
        <v>108</v>
      </c>
      <c r="AA233" s="2">
        <v>50.0</v>
      </c>
      <c r="AB233" s="1" t="s">
        <v>28</v>
      </c>
      <c r="AC233" s="1" t="s">
        <v>71</v>
      </c>
      <c r="AF233" s="1" t="s">
        <v>51</v>
      </c>
      <c r="AG233" s="1" t="s">
        <v>51</v>
      </c>
      <c r="AH233" s="2">
        <v>250.0</v>
      </c>
      <c r="AI233" s="2">
        <v>0.0</v>
      </c>
      <c r="AJ233" s="2">
        <v>0.0</v>
      </c>
      <c r="AK233" s="2">
        <v>0.0</v>
      </c>
      <c r="AL233" s="2">
        <v>1.0</v>
      </c>
      <c r="AM233" s="1" t="s">
        <v>51</v>
      </c>
      <c r="AN233" s="2">
        <v>6.74566012E8</v>
      </c>
      <c r="AP233" s="2">
        <v>4.90402922E8</v>
      </c>
      <c r="AQ233" s="1" t="s">
        <v>365</v>
      </c>
      <c r="AR233" s="2">
        <v>45809.4252662037</v>
      </c>
      <c r="AU233" s="1" t="s">
        <v>64</v>
      </c>
      <c r="AW233" s="1" t="s">
        <v>255</v>
      </c>
      <c r="AY233" s="2">
        <v>227.0</v>
      </c>
    </row>
    <row r="234">
      <c r="A234" s="1" t="s">
        <v>51</v>
      </c>
      <c r="C234" s="1" t="s">
        <v>131</v>
      </c>
      <c r="E234" s="1" t="s">
        <v>53</v>
      </c>
      <c r="F234" s="1" t="s">
        <v>54</v>
      </c>
      <c r="G234" s="2">
        <v>39.0</v>
      </c>
      <c r="H234" s="1" t="s">
        <v>55</v>
      </c>
      <c r="I234" s="1" t="s">
        <v>67</v>
      </c>
      <c r="J234" s="1" t="s">
        <v>68</v>
      </c>
      <c r="K234" s="1" t="s">
        <v>74</v>
      </c>
      <c r="M234" s="1" t="s">
        <v>58</v>
      </c>
      <c r="N234" s="1" t="s">
        <v>58</v>
      </c>
      <c r="O234" s="1" t="s">
        <v>69</v>
      </c>
      <c r="Q234" s="1" t="s">
        <v>58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81</v>
      </c>
      <c r="Y234" s="1" t="s">
        <v>172</v>
      </c>
      <c r="Z234" s="1" t="s">
        <v>127</v>
      </c>
      <c r="AA234" s="2">
        <v>100.0</v>
      </c>
      <c r="AB234" s="1" t="s">
        <v>79</v>
      </c>
      <c r="AC234" s="1" t="s">
        <v>71</v>
      </c>
      <c r="AF234" s="1" t="s">
        <v>51</v>
      </c>
      <c r="AG234" s="1" t="s">
        <v>51</v>
      </c>
      <c r="AH234" s="2">
        <v>200.0</v>
      </c>
      <c r="AI234" s="2">
        <v>0.0</v>
      </c>
      <c r="AJ234" s="2">
        <v>0.0</v>
      </c>
      <c r="AK234" s="2">
        <v>0.0</v>
      </c>
      <c r="AL234" s="2">
        <v>1.0</v>
      </c>
      <c r="AM234" s="1" t="s">
        <v>51</v>
      </c>
      <c r="AN234" s="2">
        <v>7.86258839E8</v>
      </c>
      <c r="AP234" s="2">
        <v>4.90403501E8</v>
      </c>
      <c r="AQ234" s="1" t="s">
        <v>366</v>
      </c>
      <c r="AR234" s="2">
        <v>45809.42668981481</v>
      </c>
      <c r="AU234" s="1" t="s">
        <v>64</v>
      </c>
      <c r="AW234" s="1" t="s">
        <v>255</v>
      </c>
      <c r="AY234" s="2">
        <v>228.0</v>
      </c>
    </row>
    <row r="235">
      <c r="A235" s="1" t="s">
        <v>51</v>
      </c>
      <c r="C235" s="1" t="s">
        <v>151</v>
      </c>
      <c r="E235" s="1" t="s">
        <v>53</v>
      </c>
      <c r="F235" s="1" t="s">
        <v>102</v>
      </c>
      <c r="G235" s="2">
        <v>27.0</v>
      </c>
      <c r="H235" s="1" t="s">
        <v>55</v>
      </c>
      <c r="I235" s="1" t="s">
        <v>100</v>
      </c>
      <c r="J235" s="1" t="s">
        <v>56</v>
      </c>
      <c r="M235" s="1" t="s">
        <v>58</v>
      </c>
      <c r="N235" s="1" t="s">
        <v>58</v>
      </c>
      <c r="O235" s="1" t="s">
        <v>69</v>
      </c>
      <c r="Q235" s="1" t="s">
        <v>69</v>
      </c>
      <c r="R235" s="1" t="s">
        <v>69</v>
      </c>
      <c r="S235" s="1" t="s">
        <v>69</v>
      </c>
      <c r="T235" s="1" t="s">
        <v>69</v>
      </c>
      <c r="U235" s="1" t="s">
        <v>70</v>
      </c>
      <c r="V235" s="1" t="s">
        <v>58</v>
      </c>
      <c r="W235" s="1" t="s">
        <v>69</v>
      </c>
      <c r="X235" s="1" t="s">
        <v>81</v>
      </c>
      <c r="Y235" s="1" t="s">
        <v>82</v>
      </c>
      <c r="Z235" s="1" t="s">
        <v>61</v>
      </c>
      <c r="AA235" s="2">
        <v>50.0</v>
      </c>
      <c r="AB235" s="1" t="s">
        <v>79</v>
      </c>
      <c r="AC235" s="1" t="s">
        <v>71</v>
      </c>
      <c r="AF235" s="1" t="s">
        <v>51</v>
      </c>
      <c r="AG235" s="1" t="s">
        <v>51</v>
      </c>
      <c r="AH235" s="2">
        <v>500.0</v>
      </c>
      <c r="AI235" s="2">
        <v>1.0</v>
      </c>
      <c r="AJ235" s="2">
        <v>1.0</v>
      </c>
      <c r="AK235" s="2">
        <v>1.0</v>
      </c>
      <c r="AL235" s="2">
        <v>1.0</v>
      </c>
      <c r="AM235" s="1" t="s">
        <v>51</v>
      </c>
      <c r="AN235" s="2">
        <v>7.52289743E8</v>
      </c>
      <c r="AP235" s="2">
        <v>4.9040369E8</v>
      </c>
      <c r="AQ235" s="1" t="s">
        <v>367</v>
      </c>
      <c r="AR235" s="2">
        <v>45809.42711805556</v>
      </c>
      <c r="AU235" s="1" t="s">
        <v>64</v>
      </c>
      <c r="AW235" s="1" t="s">
        <v>255</v>
      </c>
      <c r="AY235" s="2">
        <v>229.0</v>
      </c>
    </row>
    <row r="236">
      <c r="A236" s="1" t="s">
        <v>51</v>
      </c>
      <c r="C236" s="1" t="s">
        <v>131</v>
      </c>
      <c r="E236" s="1" t="s">
        <v>53</v>
      </c>
      <c r="F236" s="1" t="s">
        <v>54</v>
      </c>
      <c r="G236" s="2">
        <v>31.0</v>
      </c>
      <c r="H236" s="1" t="s">
        <v>55</v>
      </c>
      <c r="I236" s="1" t="s">
        <v>100</v>
      </c>
      <c r="J236" s="1" t="s">
        <v>111</v>
      </c>
      <c r="K236" s="1" t="s">
        <v>74</v>
      </c>
      <c r="M236" s="1" t="s">
        <v>58</v>
      </c>
      <c r="N236" s="1" t="s">
        <v>58</v>
      </c>
      <c r="O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81</v>
      </c>
      <c r="Y236" s="1" t="s">
        <v>172</v>
      </c>
      <c r="Z236" s="1" t="s">
        <v>89</v>
      </c>
      <c r="AA236" s="2">
        <v>30.0</v>
      </c>
      <c r="AB236" s="1" t="s">
        <v>79</v>
      </c>
      <c r="AC236" s="1" t="s">
        <v>71</v>
      </c>
      <c r="AF236" s="1" t="s">
        <v>51</v>
      </c>
      <c r="AG236" s="1" t="s">
        <v>51</v>
      </c>
      <c r="AH236" s="2">
        <v>300.0</v>
      </c>
      <c r="AI236" s="2">
        <v>0.0</v>
      </c>
      <c r="AJ236" s="2">
        <v>0.0</v>
      </c>
      <c r="AK236" s="2">
        <v>0.0</v>
      </c>
      <c r="AL236" s="2">
        <v>1.0</v>
      </c>
      <c r="AM236" s="1" t="s">
        <v>51</v>
      </c>
      <c r="AN236" s="2">
        <v>6.99109406E8</v>
      </c>
      <c r="AP236" s="2">
        <v>4.90404323E8</v>
      </c>
      <c r="AQ236" s="1" t="s">
        <v>368</v>
      </c>
      <c r="AR236" s="2">
        <v>45809.42836805555</v>
      </c>
      <c r="AU236" s="1" t="s">
        <v>64</v>
      </c>
      <c r="AW236" s="1" t="s">
        <v>255</v>
      </c>
      <c r="AY236" s="2">
        <v>230.0</v>
      </c>
    </row>
    <row r="237">
      <c r="A237" s="1" t="s">
        <v>51</v>
      </c>
      <c r="C237" s="1" t="s">
        <v>131</v>
      </c>
      <c r="E237" s="1" t="s">
        <v>53</v>
      </c>
      <c r="F237" s="1" t="s">
        <v>54</v>
      </c>
      <c r="G237" s="2">
        <v>29.0</v>
      </c>
      <c r="H237" s="1" t="s">
        <v>66</v>
      </c>
      <c r="I237" s="1" t="s">
        <v>100</v>
      </c>
      <c r="J237" s="1" t="s">
        <v>111</v>
      </c>
      <c r="K237" s="1" t="s">
        <v>74</v>
      </c>
      <c r="M237" s="1" t="s">
        <v>58</v>
      </c>
      <c r="N237" s="1" t="s">
        <v>58</v>
      </c>
      <c r="O237" s="1" t="s">
        <v>58</v>
      </c>
      <c r="Q237" s="1" t="s">
        <v>58</v>
      </c>
      <c r="R237" s="1" t="s">
        <v>58</v>
      </c>
      <c r="S237" s="1" t="s">
        <v>58</v>
      </c>
      <c r="T237" s="1" t="s">
        <v>58</v>
      </c>
      <c r="U237" s="1" t="s">
        <v>58</v>
      </c>
      <c r="V237" s="1" t="s">
        <v>58</v>
      </c>
      <c r="W237" s="1" t="s">
        <v>58</v>
      </c>
      <c r="X237" s="1" t="s">
        <v>81</v>
      </c>
      <c r="Y237" s="1" t="s">
        <v>172</v>
      </c>
      <c r="Z237" s="1" t="s">
        <v>108</v>
      </c>
      <c r="AA237" s="2">
        <v>50.0</v>
      </c>
      <c r="AB237" s="1" t="s">
        <v>79</v>
      </c>
      <c r="AC237" s="1" t="s">
        <v>71</v>
      </c>
      <c r="AF237" s="1" t="s">
        <v>51</v>
      </c>
      <c r="AG237" s="1" t="s">
        <v>51</v>
      </c>
      <c r="AH237" s="2">
        <v>400.0</v>
      </c>
      <c r="AI237" s="2">
        <v>0.0</v>
      </c>
      <c r="AJ237" s="2">
        <v>1.0</v>
      </c>
      <c r="AK237" s="2">
        <v>0.0</v>
      </c>
      <c r="AL237" s="2">
        <v>0.0</v>
      </c>
      <c r="AM237" s="1" t="s">
        <v>51</v>
      </c>
      <c r="AN237" s="2">
        <v>7.16268779E8</v>
      </c>
      <c r="AP237" s="2">
        <v>4.90404925E8</v>
      </c>
      <c r="AQ237" s="1" t="s">
        <v>369</v>
      </c>
      <c r="AR237" s="2">
        <v>45809.429618055554</v>
      </c>
      <c r="AU237" s="1" t="s">
        <v>64</v>
      </c>
      <c r="AW237" s="1" t="s">
        <v>255</v>
      </c>
      <c r="AY237" s="2">
        <v>231.0</v>
      </c>
    </row>
    <row r="238">
      <c r="A238" s="1" t="s">
        <v>51</v>
      </c>
      <c r="C238" s="1" t="s">
        <v>131</v>
      </c>
      <c r="E238" s="1" t="s">
        <v>53</v>
      </c>
      <c r="F238" s="1" t="s">
        <v>54</v>
      </c>
      <c r="G238" s="2">
        <v>36.0</v>
      </c>
      <c r="H238" s="1" t="s">
        <v>55</v>
      </c>
      <c r="I238" s="1" t="s">
        <v>100</v>
      </c>
      <c r="J238" s="1" t="s">
        <v>111</v>
      </c>
      <c r="K238" s="1" t="s">
        <v>74</v>
      </c>
      <c r="M238" s="1" t="s">
        <v>58</v>
      </c>
      <c r="N238" s="1" t="s">
        <v>58</v>
      </c>
      <c r="O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81</v>
      </c>
      <c r="Y238" s="1" t="s">
        <v>60</v>
      </c>
      <c r="Z238" s="1" t="s">
        <v>89</v>
      </c>
      <c r="AA238" s="2">
        <v>50.0</v>
      </c>
      <c r="AB238" s="1" t="s">
        <v>79</v>
      </c>
      <c r="AC238" s="1" t="s">
        <v>51</v>
      </c>
      <c r="AD238" s="1" t="s">
        <v>81</v>
      </c>
      <c r="AE238" s="1" t="s">
        <v>51</v>
      </c>
      <c r="AF238" s="1" t="s">
        <v>51</v>
      </c>
      <c r="AG238" s="1" t="s">
        <v>51</v>
      </c>
      <c r="AH238" s="2">
        <v>500.0</v>
      </c>
      <c r="AI238" s="2">
        <v>1.0</v>
      </c>
      <c r="AJ238" s="2">
        <v>0.0</v>
      </c>
      <c r="AK238" s="2">
        <v>0.0</v>
      </c>
      <c r="AL238" s="2">
        <v>0.0</v>
      </c>
      <c r="AM238" s="1" t="s">
        <v>51</v>
      </c>
      <c r="AN238" s="2">
        <v>6.93327725E8</v>
      </c>
      <c r="AP238" s="2">
        <v>4.90405777E8</v>
      </c>
      <c r="AQ238" s="1" t="s">
        <v>370</v>
      </c>
      <c r="AR238" s="2">
        <v>45809.43125</v>
      </c>
      <c r="AU238" s="1" t="s">
        <v>64</v>
      </c>
      <c r="AW238" s="1" t="s">
        <v>255</v>
      </c>
      <c r="AY238" s="2">
        <v>232.0</v>
      </c>
    </row>
    <row r="239">
      <c r="A239" s="1" t="s">
        <v>51</v>
      </c>
      <c r="C239" s="1" t="s">
        <v>131</v>
      </c>
      <c r="E239" s="1" t="s">
        <v>53</v>
      </c>
      <c r="F239" s="1" t="s">
        <v>54</v>
      </c>
      <c r="G239" s="2">
        <v>23.0</v>
      </c>
      <c r="H239" s="1" t="s">
        <v>55</v>
      </c>
      <c r="I239" s="1" t="s">
        <v>100</v>
      </c>
      <c r="J239" s="1" t="s">
        <v>68</v>
      </c>
      <c r="K239" s="1" t="s">
        <v>57</v>
      </c>
      <c r="M239" s="1" t="s">
        <v>58</v>
      </c>
      <c r="N239" s="1" t="s">
        <v>58</v>
      </c>
      <c r="O239" s="1" t="s">
        <v>70</v>
      </c>
      <c r="Q239" s="1" t="s">
        <v>58</v>
      </c>
      <c r="R239" s="1" t="s">
        <v>58</v>
      </c>
      <c r="S239" s="1" t="s">
        <v>70</v>
      </c>
      <c r="T239" s="1" t="s">
        <v>70</v>
      </c>
      <c r="U239" s="1" t="s">
        <v>58</v>
      </c>
      <c r="V239" s="1" t="s">
        <v>58</v>
      </c>
      <c r="W239" s="1" t="s">
        <v>58</v>
      </c>
      <c r="X239" s="1" t="s">
        <v>81</v>
      </c>
      <c r="Y239" s="1" t="s">
        <v>60</v>
      </c>
      <c r="Z239" s="1" t="s">
        <v>96</v>
      </c>
      <c r="AA239" s="2">
        <v>100.0</v>
      </c>
      <c r="AB239" s="1" t="s">
        <v>79</v>
      </c>
      <c r="AC239" s="1" t="s">
        <v>71</v>
      </c>
      <c r="AF239" s="1" t="s">
        <v>51</v>
      </c>
      <c r="AG239" s="1" t="s">
        <v>51</v>
      </c>
      <c r="AH239" s="2">
        <v>400.0</v>
      </c>
      <c r="AI239" s="2">
        <v>0.0</v>
      </c>
      <c r="AJ239" s="2">
        <v>0.0</v>
      </c>
      <c r="AK239" s="2">
        <v>0.0</v>
      </c>
      <c r="AL239" s="2">
        <v>1.0</v>
      </c>
      <c r="AM239" s="1" t="s">
        <v>51</v>
      </c>
      <c r="AN239" s="2">
        <v>8.33399373E8</v>
      </c>
      <c r="AP239" s="2">
        <v>4.90406456E8</v>
      </c>
      <c r="AQ239" s="1" t="s">
        <v>371</v>
      </c>
      <c r="AR239" s="2">
        <v>45809.432604166665</v>
      </c>
      <c r="AU239" s="1" t="s">
        <v>64</v>
      </c>
      <c r="AW239" s="1" t="s">
        <v>255</v>
      </c>
      <c r="AY239" s="2">
        <v>233.0</v>
      </c>
    </row>
    <row r="240">
      <c r="A240" s="1" t="s">
        <v>51</v>
      </c>
      <c r="C240" s="1" t="s">
        <v>131</v>
      </c>
      <c r="E240" s="1" t="s">
        <v>53</v>
      </c>
      <c r="F240" s="1" t="s">
        <v>54</v>
      </c>
      <c r="G240" s="2">
        <v>32.0</v>
      </c>
      <c r="H240" s="1" t="s">
        <v>55</v>
      </c>
      <c r="I240" s="1" t="s">
        <v>100</v>
      </c>
      <c r="J240" s="1" t="s">
        <v>68</v>
      </c>
      <c r="K240" s="1" t="s">
        <v>74</v>
      </c>
      <c r="M240" s="1" t="s">
        <v>58</v>
      </c>
      <c r="N240" s="1" t="s">
        <v>58</v>
      </c>
      <c r="O240" s="1" t="s">
        <v>69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  <c r="W240" s="1" t="s">
        <v>58</v>
      </c>
      <c r="X240" s="1" t="s">
        <v>81</v>
      </c>
      <c r="Y240" s="1" t="s">
        <v>172</v>
      </c>
      <c r="Z240" s="1" t="s">
        <v>96</v>
      </c>
      <c r="AA240" s="2">
        <v>50.0</v>
      </c>
      <c r="AB240" s="1" t="s">
        <v>79</v>
      </c>
      <c r="AC240" s="1" t="s">
        <v>71</v>
      </c>
      <c r="AF240" s="1" t="s">
        <v>51</v>
      </c>
      <c r="AG240" s="1" t="s">
        <v>51</v>
      </c>
      <c r="AH240" s="2">
        <v>300.0</v>
      </c>
      <c r="AI240" s="2">
        <v>1.0</v>
      </c>
      <c r="AJ240" s="2">
        <v>0.0</v>
      </c>
      <c r="AK240" s="2">
        <v>0.0</v>
      </c>
      <c r="AL240" s="2">
        <v>0.0</v>
      </c>
      <c r="AM240" s="1" t="s">
        <v>51</v>
      </c>
      <c r="AN240" s="2">
        <v>6.65478753E8</v>
      </c>
      <c r="AP240" s="2">
        <v>4.90407148E8</v>
      </c>
      <c r="AQ240" s="1" t="s">
        <v>372</v>
      </c>
      <c r="AR240" s="2">
        <v>45809.43402777778</v>
      </c>
      <c r="AU240" s="1" t="s">
        <v>64</v>
      </c>
      <c r="AW240" s="1" t="s">
        <v>255</v>
      </c>
      <c r="AY240" s="2">
        <v>234.0</v>
      </c>
    </row>
    <row r="241">
      <c r="A241" s="1" t="s">
        <v>51</v>
      </c>
      <c r="C241" s="1" t="s">
        <v>131</v>
      </c>
      <c r="E241" s="1" t="s">
        <v>53</v>
      </c>
      <c r="F241" s="1" t="s">
        <v>54</v>
      </c>
      <c r="G241" s="2">
        <v>33.0</v>
      </c>
      <c r="H241" s="1" t="s">
        <v>66</v>
      </c>
      <c r="I241" s="1" t="s">
        <v>100</v>
      </c>
      <c r="J241" s="1" t="s">
        <v>111</v>
      </c>
      <c r="K241" s="1" t="s">
        <v>74</v>
      </c>
      <c r="M241" s="1" t="s">
        <v>58</v>
      </c>
      <c r="N241" s="1" t="s">
        <v>58</v>
      </c>
      <c r="O241" s="1" t="s">
        <v>70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81</v>
      </c>
      <c r="Y241" s="1" t="s">
        <v>172</v>
      </c>
      <c r="Z241" s="1" t="s">
        <v>108</v>
      </c>
      <c r="AA241" s="2">
        <v>50.0</v>
      </c>
      <c r="AB241" s="1" t="s">
        <v>28</v>
      </c>
      <c r="AC241" s="1" t="s">
        <v>71</v>
      </c>
      <c r="AF241" s="1" t="s">
        <v>51</v>
      </c>
      <c r="AG241" s="1" t="s">
        <v>72</v>
      </c>
      <c r="AI241" s="2">
        <v>0.0</v>
      </c>
      <c r="AJ241" s="2">
        <v>0.0</v>
      </c>
      <c r="AK241" s="2">
        <v>0.0</v>
      </c>
      <c r="AL241" s="2">
        <v>1.0</v>
      </c>
      <c r="AM241" s="1" t="s">
        <v>51</v>
      </c>
      <c r="AN241" s="2">
        <v>7.96732437E8</v>
      </c>
      <c r="AP241" s="2">
        <v>4.90407718E8</v>
      </c>
      <c r="AQ241" s="1" t="s">
        <v>373</v>
      </c>
      <c r="AR241" s="2">
        <v>45809.435219907406</v>
      </c>
      <c r="AU241" s="1" t="s">
        <v>64</v>
      </c>
      <c r="AW241" s="1" t="s">
        <v>255</v>
      </c>
      <c r="AY241" s="2">
        <v>235.0</v>
      </c>
    </row>
    <row r="242">
      <c r="A242" s="1" t="s">
        <v>51</v>
      </c>
      <c r="C242" s="1" t="s">
        <v>131</v>
      </c>
      <c r="E242" s="1" t="s">
        <v>53</v>
      </c>
      <c r="F242" s="1" t="s">
        <v>54</v>
      </c>
      <c r="G242" s="2">
        <v>32.0</v>
      </c>
      <c r="H242" s="1" t="s">
        <v>55</v>
      </c>
      <c r="I242" s="1" t="s">
        <v>100</v>
      </c>
      <c r="J242" s="1" t="s">
        <v>68</v>
      </c>
      <c r="K242" s="1" t="s">
        <v>57</v>
      </c>
      <c r="M242" s="1" t="s">
        <v>58</v>
      </c>
      <c r="N242" s="1" t="s">
        <v>58</v>
      </c>
      <c r="O242" s="1" t="s">
        <v>70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81</v>
      </c>
      <c r="Y242" s="1" t="s">
        <v>172</v>
      </c>
      <c r="Z242" s="1" t="s">
        <v>108</v>
      </c>
      <c r="AA242" s="2">
        <v>30.0</v>
      </c>
      <c r="AB242" s="1" t="s">
        <v>28</v>
      </c>
      <c r="AC242" s="1" t="s">
        <v>71</v>
      </c>
      <c r="AF242" s="1" t="s">
        <v>51</v>
      </c>
      <c r="AG242" s="1" t="s">
        <v>72</v>
      </c>
      <c r="AI242" s="2">
        <v>0.0</v>
      </c>
      <c r="AJ242" s="2">
        <v>0.0</v>
      </c>
      <c r="AK242" s="2">
        <v>0.0</v>
      </c>
      <c r="AL242" s="2">
        <v>1.0</v>
      </c>
      <c r="AM242" s="1" t="s">
        <v>51</v>
      </c>
      <c r="AN242" s="2">
        <v>7.12023238E8</v>
      </c>
      <c r="AP242" s="2">
        <v>4.90409053E8</v>
      </c>
      <c r="AQ242" s="1" t="s">
        <v>374</v>
      </c>
      <c r="AR242" s="2">
        <v>45809.43813657408</v>
      </c>
      <c r="AU242" s="1" t="s">
        <v>64</v>
      </c>
      <c r="AW242" s="1" t="s">
        <v>255</v>
      </c>
      <c r="AY242" s="2">
        <v>236.0</v>
      </c>
    </row>
    <row r="243">
      <c r="A243" s="1" t="s">
        <v>51</v>
      </c>
      <c r="C243" s="1" t="s">
        <v>131</v>
      </c>
      <c r="E243" s="1" t="s">
        <v>53</v>
      </c>
      <c r="F243" s="1" t="s">
        <v>54</v>
      </c>
      <c r="G243" s="2">
        <v>29.0</v>
      </c>
      <c r="H243" s="1" t="s">
        <v>55</v>
      </c>
      <c r="I243" s="1" t="s">
        <v>100</v>
      </c>
      <c r="J243" s="1" t="s">
        <v>68</v>
      </c>
      <c r="K243" s="1" t="s">
        <v>74</v>
      </c>
      <c r="M243" s="1" t="s">
        <v>58</v>
      </c>
      <c r="N243" s="1" t="s">
        <v>58</v>
      </c>
      <c r="O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81</v>
      </c>
      <c r="Y243" s="1" t="s">
        <v>172</v>
      </c>
      <c r="Z243" s="1" t="s">
        <v>108</v>
      </c>
      <c r="AA243" s="2">
        <v>100.0</v>
      </c>
      <c r="AB243" s="1" t="s">
        <v>28</v>
      </c>
      <c r="AC243" s="1" t="s">
        <v>71</v>
      </c>
      <c r="AF243" s="1" t="s">
        <v>51</v>
      </c>
      <c r="AG243" s="1" t="s">
        <v>51</v>
      </c>
      <c r="AI243" s="2">
        <v>0.0</v>
      </c>
      <c r="AJ243" s="2">
        <v>0.0</v>
      </c>
      <c r="AK243" s="2">
        <v>0.0</v>
      </c>
      <c r="AL243" s="2">
        <v>1.0</v>
      </c>
      <c r="AM243" s="1" t="s">
        <v>51</v>
      </c>
      <c r="AN243" s="2">
        <v>6.55254617E8</v>
      </c>
      <c r="AP243" s="2">
        <v>4.90409857E8</v>
      </c>
      <c r="AQ243" s="1" t="s">
        <v>375</v>
      </c>
      <c r="AR243" s="2">
        <v>45809.43989583333</v>
      </c>
      <c r="AU243" s="1" t="s">
        <v>64</v>
      </c>
      <c r="AW243" s="1" t="s">
        <v>255</v>
      </c>
      <c r="AY243" s="2">
        <v>237.0</v>
      </c>
    </row>
    <row r="244">
      <c r="A244" s="1" t="s">
        <v>51</v>
      </c>
      <c r="C244" s="1" t="s">
        <v>131</v>
      </c>
      <c r="E244" s="1" t="s">
        <v>53</v>
      </c>
      <c r="F244" s="1" t="s">
        <v>54</v>
      </c>
      <c r="G244" s="2">
        <v>32.0</v>
      </c>
      <c r="H244" s="1" t="s">
        <v>55</v>
      </c>
      <c r="I244" s="1" t="s">
        <v>67</v>
      </c>
      <c r="J244" s="1" t="s">
        <v>68</v>
      </c>
      <c r="K244" s="1" t="s">
        <v>74</v>
      </c>
      <c r="M244" s="1" t="s">
        <v>58</v>
      </c>
      <c r="N244" s="1" t="s">
        <v>58</v>
      </c>
      <c r="O244" s="1" t="s">
        <v>58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58</v>
      </c>
      <c r="V244" s="1" t="s">
        <v>58</v>
      </c>
      <c r="W244" s="1" t="s">
        <v>58</v>
      </c>
      <c r="X244" s="1" t="s">
        <v>81</v>
      </c>
      <c r="Y244" s="1" t="s">
        <v>60</v>
      </c>
      <c r="Z244" s="1" t="s">
        <v>89</v>
      </c>
      <c r="AA244" s="2">
        <v>50.0</v>
      </c>
      <c r="AB244" s="1" t="s">
        <v>28</v>
      </c>
      <c r="AC244" s="1" t="s">
        <v>71</v>
      </c>
      <c r="AF244" s="1" t="s">
        <v>51</v>
      </c>
      <c r="AG244" s="1" t="s">
        <v>51</v>
      </c>
      <c r="AI244" s="2">
        <v>0.0</v>
      </c>
      <c r="AJ244" s="2">
        <v>0.0</v>
      </c>
      <c r="AK244" s="2">
        <v>0.0</v>
      </c>
      <c r="AL244" s="2">
        <v>1.0</v>
      </c>
      <c r="AM244" s="1" t="s">
        <v>51</v>
      </c>
      <c r="AN244" s="2">
        <v>6.01406742E8</v>
      </c>
      <c r="AP244" s="2">
        <v>4.90410637E8</v>
      </c>
      <c r="AQ244" s="1" t="s">
        <v>376</v>
      </c>
      <c r="AR244" s="2">
        <v>45809.441666666666</v>
      </c>
      <c r="AU244" s="1" t="s">
        <v>64</v>
      </c>
      <c r="AW244" s="1" t="s">
        <v>255</v>
      </c>
      <c r="AY244" s="2">
        <v>238.0</v>
      </c>
    </row>
    <row r="245">
      <c r="A245" s="1" t="s">
        <v>51</v>
      </c>
      <c r="C245" s="1" t="s">
        <v>131</v>
      </c>
      <c r="E245" s="1" t="s">
        <v>53</v>
      </c>
      <c r="F245" s="1" t="s">
        <v>54</v>
      </c>
      <c r="G245" s="2">
        <v>43.0</v>
      </c>
      <c r="H245" s="1" t="s">
        <v>55</v>
      </c>
      <c r="J245" s="1" t="s">
        <v>111</v>
      </c>
      <c r="K245" s="1" t="s">
        <v>57</v>
      </c>
      <c r="M245" s="1" t="s">
        <v>58</v>
      </c>
      <c r="N245" s="1" t="s">
        <v>58</v>
      </c>
      <c r="O245" s="1" t="s">
        <v>70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81</v>
      </c>
      <c r="Y245" s="1" t="s">
        <v>172</v>
      </c>
      <c r="Z245" s="1" t="s">
        <v>96</v>
      </c>
      <c r="AA245" s="2">
        <v>50.0</v>
      </c>
      <c r="AB245" s="1" t="s">
        <v>28</v>
      </c>
      <c r="AC245" s="1" t="s">
        <v>71</v>
      </c>
      <c r="AF245" s="1" t="s">
        <v>51</v>
      </c>
      <c r="AG245" s="1" t="s">
        <v>51</v>
      </c>
      <c r="AH245" s="2">
        <v>400.0</v>
      </c>
      <c r="AI245" s="2">
        <v>0.0</v>
      </c>
      <c r="AJ245" s="2">
        <v>0.0</v>
      </c>
      <c r="AK245" s="2">
        <v>0.0</v>
      </c>
      <c r="AL245" s="2">
        <v>1.0</v>
      </c>
      <c r="AP245" s="2">
        <v>4.9041142E8</v>
      </c>
      <c r="AQ245" s="1" t="s">
        <v>377</v>
      </c>
      <c r="AR245" s="2">
        <v>45809.443032407406</v>
      </c>
      <c r="AU245" s="1" t="s">
        <v>64</v>
      </c>
      <c r="AW245" s="1" t="s">
        <v>255</v>
      </c>
      <c r="AY245" s="2">
        <v>239.0</v>
      </c>
    </row>
    <row r="246">
      <c r="A246" s="1" t="s">
        <v>51</v>
      </c>
      <c r="C246" s="1" t="s">
        <v>131</v>
      </c>
      <c r="E246" s="1" t="s">
        <v>53</v>
      </c>
      <c r="F246" s="1" t="s">
        <v>54</v>
      </c>
      <c r="G246" s="2">
        <v>26.0</v>
      </c>
      <c r="H246" s="1" t="s">
        <v>55</v>
      </c>
      <c r="I246" s="1" t="s">
        <v>100</v>
      </c>
      <c r="J246" s="1" t="s">
        <v>111</v>
      </c>
      <c r="K246" s="1" t="s">
        <v>74</v>
      </c>
      <c r="M246" s="1" t="s">
        <v>58</v>
      </c>
      <c r="N246" s="1" t="s">
        <v>58</v>
      </c>
      <c r="O246" s="1" t="s">
        <v>69</v>
      </c>
      <c r="Q246" s="1" t="s">
        <v>58</v>
      </c>
      <c r="R246" s="1" t="s">
        <v>58</v>
      </c>
      <c r="S246" s="1" t="s">
        <v>58</v>
      </c>
      <c r="T246" s="1" t="s">
        <v>58</v>
      </c>
      <c r="U246" s="1" t="s">
        <v>58</v>
      </c>
      <c r="V246" s="1" t="s">
        <v>58</v>
      </c>
      <c r="W246" s="1" t="s">
        <v>58</v>
      </c>
      <c r="X246" s="1" t="s">
        <v>81</v>
      </c>
      <c r="Y246" s="1" t="s">
        <v>60</v>
      </c>
      <c r="Z246" s="1" t="s">
        <v>108</v>
      </c>
      <c r="AA246" s="2">
        <v>100.0</v>
      </c>
      <c r="AB246" s="1" t="s">
        <v>28</v>
      </c>
      <c r="AC246" s="1" t="s">
        <v>71</v>
      </c>
      <c r="AG246" s="1" t="s">
        <v>51</v>
      </c>
      <c r="AH246" s="2">
        <v>500.0</v>
      </c>
      <c r="AI246" s="2">
        <v>0.0</v>
      </c>
      <c r="AJ246" s="2">
        <v>0.0</v>
      </c>
      <c r="AK246" s="2">
        <v>0.0</v>
      </c>
      <c r="AL246" s="2">
        <v>1.0</v>
      </c>
      <c r="AM246" s="1" t="s">
        <v>51</v>
      </c>
      <c r="AN246" s="2">
        <v>6.99134499E8</v>
      </c>
      <c r="AP246" s="2">
        <v>4.90412359E8</v>
      </c>
      <c r="AQ246" s="1" t="s">
        <v>378</v>
      </c>
      <c r="AR246" s="2">
        <v>45809.445335648146</v>
      </c>
      <c r="AU246" s="1" t="s">
        <v>64</v>
      </c>
      <c r="AW246" s="1" t="s">
        <v>255</v>
      </c>
      <c r="AY246" s="2">
        <v>240.0</v>
      </c>
    </row>
    <row r="247">
      <c r="A247" s="1" t="s">
        <v>51</v>
      </c>
      <c r="C247" s="1" t="s">
        <v>53</v>
      </c>
      <c r="E247" s="1" t="s">
        <v>53</v>
      </c>
      <c r="F247" s="1" t="s">
        <v>54</v>
      </c>
      <c r="G247" s="2">
        <v>41.0</v>
      </c>
      <c r="H247" s="1" t="s">
        <v>55</v>
      </c>
      <c r="I247" s="1" t="s">
        <v>121</v>
      </c>
      <c r="J247" s="1" t="s">
        <v>56</v>
      </c>
      <c r="K247" s="1" t="s">
        <v>87</v>
      </c>
      <c r="M247" s="1" t="s">
        <v>58</v>
      </c>
      <c r="N247" s="1" t="s">
        <v>58</v>
      </c>
      <c r="O247" s="1" t="s">
        <v>58</v>
      </c>
      <c r="Q247" s="1" t="s">
        <v>69</v>
      </c>
      <c r="R247" s="1" t="s">
        <v>69</v>
      </c>
      <c r="S247" s="1" t="s">
        <v>69</v>
      </c>
      <c r="T247" s="1" t="s">
        <v>69</v>
      </c>
      <c r="U247" s="1" t="s">
        <v>58</v>
      </c>
      <c r="V247" s="1" t="s">
        <v>58</v>
      </c>
      <c r="W247" s="1" t="s">
        <v>69</v>
      </c>
      <c r="X247" s="1" t="s">
        <v>81</v>
      </c>
      <c r="Y247" s="1" t="s">
        <v>227</v>
      </c>
      <c r="Z247" s="1" t="s">
        <v>89</v>
      </c>
      <c r="AA247" s="2">
        <v>100.0</v>
      </c>
      <c r="AB247" s="1" t="s">
        <v>62</v>
      </c>
      <c r="AC247" s="1" t="s">
        <v>71</v>
      </c>
      <c r="AF247" s="1" t="s">
        <v>51</v>
      </c>
      <c r="AG247" s="1" t="s">
        <v>51</v>
      </c>
      <c r="AH247" s="2">
        <v>50.0</v>
      </c>
      <c r="AI247" s="2">
        <v>0.0</v>
      </c>
      <c r="AJ247" s="2">
        <v>0.0</v>
      </c>
      <c r="AK247" s="2">
        <v>0.0</v>
      </c>
      <c r="AL247" s="2">
        <v>1.0</v>
      </c>
      <c r="AM247" s="1" t="s">
        <v>51</v>
      </c>
      <c r="AP247" s="2">
        <v>4.90413733E8</v>
      </c>
      <c r="AQ247" s="1" t="s">
        <v>379</v>
      </c>
      <c r="AR247" s="2">
        <v>45809.44829861111</v>
      </c>
      <c r="AU247" s="1" t="s">
        <v>64</v>
      </c>
      <c r="AW247" s="1" t="s">
        <v>255</v>
      </c>
      <c r="AY247" s="2">
        <v>241.0</v>
      </c>
    </row>
    <row r="248">
      <c r="A248" s="1" t="s">
        <v>51</v>
      </c>
      <c r="C248" s="1" t="s">
        <v>151</v>
      </c>
      <c r="E248" s="1" t="s">
        <v>53</v>
      </c>
      <c r="F248" s="1" t="s">
        <v>232</v>
      </c>
      <c r="G248" s="2">
        <v>31.0</v>
      </c>
      <c r="H248" s="1" t="s">
        <v>66</v>
      </c>
      <c r="I248" s="1" t="s">
        <v>100</v>
      </c>
      <c r="J248" s="1" t="s">
        <v>68</v>
      </c>
      <c r="K248" s="1" t="s">
        <v>74</v>
      </c>
      <c r="M248" s="1" t="s">
        <v>58</v>
      </c>
      <c r="N248" s="1" t="s">
        <v>58</v>
      </c>
      <c r="O248" s="1" t="s">
        <v>69</v>
      </c>
      <c r="Q248" s="1" t="s">
        <v>69</v>
      </c>
      <c r="R248" s="1" t="s">
        <v>69</v>
      </c>
      <c r="S248" s="1" t="s">
        <v>58</v>
      </c>
      <c r="T248" s="1" t="s">
        <v>58</v>
      </c>
      <c r="U248" s="1" t="s">
        <v>70</v>
      </c>
      <c r="V248" s="1" t="s">
        <v>58</v>
      </c>
      <c r="W248" s="1" t="s">
        <v>69</v>
      </c>
      <c r="X248" s="1" t="s">
        <v>81</v>
      </c>
      <c r="Y248" s="1" t="s">
        <v>82</v>
      </c>
      <c r="Z248" s="1" t="s">
        <v>61</v>
      </c>
      <c r="AA248" s="2">
        <v>10.0</v>
      </c>
      <c r="AB248" s="1" t="s">
        <v>79</v>
      </c>
      <c r="AC248" s="1" t="s">
        <v>71</v>
      </c>
      <c r="AF248" s="1" t="s">
        <v>51</v>
      </c>
      <c r="AG248" s="1" t="s">
        <v>72</v>
      </c>
      <c r="AI248" s="2">
        <v>1.0</v>
      </c>
      <c r="AJ248" s="2">
        <v>1.0</v>
      </c>
      <c r="AK248" s="2">
        <v>1.0</v>
      </c>
      <c r="AL248" s="2">
        <v>1.0</v>
      </c>
      <c r="AM248" s="1" t="s">
        <v>72</v>
      </c>
      <c r="AP248" s="2">
        <v>4.90413758E8</v>
      </c>
      <c r="AQ248" s="1" t="s">
        <v>380</v>
      </c>
      <c r="AR248" s="2">
        <v>45809.448379629626</v>
      </c>
      <c r="AU248" s="1" t="s">
        <v>64</v>
      </c>
      <c r="AW248" s="1" t="s">
        <v>255</v>
      </c>
      <c r="AY248" s="2">
        <v>242.0</v>
      </c>
    </row>
    <row r="249">
      <c r="A249" s="1" t="s">
        <v>51</v>
      </c>
      <c r="C249" s="1" t="s">
        <v>131</v>
      </c>
      <c r="E249" s="1" t="s">
        <v>53</v>
      </c>
      <c r="F249" s="1" t="s">
        <v>54</v>
      </c>
      <c r="G249" s="2">
        <v>33.0</v>
      </c>
      <c r="H249" s="1" t="s">
        <v>66</v>
      </c>
      <c r="I249" s="1" t="s">
        <v>67</v>
      </c>
      <c r="J249" s="1" t="s">
        <v>111</v>
      </c>
      <c r="K249" s="1" t="s">
        <v>74</v>
      </c>
      <c r="M249" s="1" t="s">
        <v>58</v>
      </c>
      <c r="N249" s="1" t="s">
        <v>58</v>
      </c>
      <c r="O249" s="1" t="s">
        <v>69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81</v>
      </c>
      <c r="Y249" s="1" t="s">
        <v>172</v>
      </c>
      <c r="Z249" s="1" t="s">
        <v>96</v>
      </c>
      <c r="AA249" s="2">
        <v>100.0</v>
      </c>
      <c r="AB249" s="1" t="s">
        <v>79</v>
      </c>
      <c r="AC249" s="1" t="s">
        <v>71</v>
      </c>
      <c r="AF249" s="1" t="s">
        <v>51</v>
      </c>
      <c r="AG249" s="1" t="s">
        <v>51</v>
      </c>
      <c r="AH249" s="2">
        <v>500.0</v>
      </c>
      <c r="AI249" s="2">
        <v>0.0</v>
      </c>
      <c r="AJ249" s="2">
        <v>0.0</v>
      </c>
      <c r="AK249" s="2">
        <v>0.0</v>
      </c>
      <c r="AL249" s="2">
        <v>1.0</v>
      </c>
      <c r="AM249" s="1" t="s">
        <v>51</v>
      </c>
      <c r="AN249" s="2">
        <v>7.27923016E8</v>
      </c>
      <c r="AP249" s="2">
        <v>4.90414212E8</v>
      </c>
      <c r="AQ249" s="1" t="s">
        <v>381</v>
      </c>
      <c r="AR249" s="2">
        <v>45809.44950231481</v>
      </c>
      <c r="AU249" s="1" t="s">
        <v>64</v>
      </c>
      <c r="AW249" s="1" t="s">
        <v>255</v>
      </c>
      <c r="AY249" s="2">
        <v>243.0</v>
      </c>
    </row>
    <row r="250">
      <c r="A250" s="1" t="s">
        <v>51</v>
      </c>
      <c r="C250" s="1" t="s">
        <v>131</v>
      </c>
      <c r="E250" s="1" t="s">
        <v>53</v>
      </c>
      <c r="F250" s="1" t="s">
        <v>54</v>
      </c>
      <c r="G250" s="2">
        <v>29.0</v>
      </c>
      <c r="H250" s="1" t="s">
        <v>55</v>
      </c>
      <c r="I250" s="1" t="s">
        <v>100</v>
      </c>
      <c r="J250" s="1" t="s">
        <v>68</v>
      </c>
      <c r="K250" s="1" t="s">
        <v>57</v>
      </c>
      <c r="M250" s="1" t="s">
        <v>58</v>
      </c>
      <c r="N250" s="1" t="s">
        <v>58</v>
      </c>
      <c r="O250" s="1" t="s">
        <v>70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81</v>
      </c>
      <c r="Y250" s="1" t="s">
        <v>172</v>
      </c>
      <c r="Z250" s="1" t="s">
        <v>127</v>
      </c>
      <c r="AA250" s="2">
        <v>50.0</v>
      </c>
      <c r="AB250" s="1" t="s">
        <v>28</v>
      </c>
      <c r="AF250" s="1" t="s">
        <v>51</v>
      </c>
      <c r="AG250" s="1" t="s">
        <v>72</v>
      </c>
      <c r="AI250" s="2">
        <v>0.0</v>
      </c>
      <c r="AJ250" s="2">
        <v>0.0</v>
      </c>
      <c r="AK250" s="2">
        <v>0.0</v>
      </c>
      <c r="AL250" s="2">
        <v>1.0</v>
      </c>
      <c r="AM250" s="1" t="s">
        <v>51</v>
      </c>
      <c r="AN250" s="2">
        <v>7.38978684E8</v>
      </c>
      <c r="AP250" s="2">
        <v>4.9041502E8</v>
      </c>
      <c r="AQ250" s="1" t="s">
        <v>382</v>
      </c>
      <c r="AR250" s="2">
        <v>45809.45144675926</v>
      </c>
      <c r="AU250" s="1" t="s">
        <v>64</v>
      </c>
      <c r="AW250" s="1" t="s">
        <v>255</v>
      </c>
      <c r="AY250" s="2">
        <v>244.0</v>
      </c>
    </row>
    <row r="251">
      <c r="A251" s="1" t="s">
        <v>51</v>
      </c>
      <c r="C251" s="1" t="s">
        <v>131</v>
      </c>
      <c r="E251" s="1" t="s">
        <v>53</v>
      </c>
      <c r="F251" s="1" t="s">
        <v>54</v>
      </c>
      <c r="G251" s="2">
        <v>38.0</v>
      </c>
      <c r="H251" s="1" t="s">
        <v>55</v>
      </c>
      <c r="I251" s="1" t="s">
        <v>67</v>
      </c>
      <c r="J251" s="1" t="s">
        <v>111</v>
      </c>
      <c r="K251" s="1" t="s">
        <v>74</v>
      </c>
      <c r="M251" s="1" t="s">
        <v>58</v>
      </c>
      <c r="N251" s="1" t="s">
        <v>58</v>
      </c>
      <c r="O251" s="1" t="s">
        <v>69</v>
      </c>
      <c r="Q251" s="1" t="s">
        <v>69</v>
      </c>
      <c r="R251" s="1" t="s">
        <v>69</v>
      </c>
      <c r="S251" s="1" t="s">
        <v>58</v>
      </c>
      <c r="T251" s="1" t="s">
        <v>69</v>
      </c>
      <c r="U251" s="1" t="s">
        <v>69</v>
      </c>
      <c r="V251" s="1" t="s">
        <v>69</v>
      </c>
      <c r="W251" s="1" t="s">
        <v>69</v>
      </c>
      <c r="X251" s="1" t="s">
        <v>59</v>
      </c>
      <c r="Y251" s="1" t="s">
        <v>82</v>
      </c>
      <c r="Z251" s="1" t="s">
        <v>96</v>
      </c>
      <c r="AA251" s="2">
        <v>100.0</v>
      </c>
      <c r="AB251" s="1" t="s">
        <v>62</v>
      </c>
      <c r="AC251" s="1" t="s">
        <v>51</v>
      </c>
      <c r="AD251" s="1" t="s">
        <v>81</v>
      </c>
      <c r="AE251" s="1" t="s">
        <v>51</v>
      </c>
      <c r="AF251" s="1" t="s">
        <v>51</v>
      </c>
      <c r="AG251" s="1" t="s">
        <v>51</v>
      </c>
      <c r="AH251" s="2">
        <v>10.0</v>
      </c>
      <c r="AI251" s="2">
        <v>1.0</v>
      </c>
      <c r="AJ251" s="2">
        <v>0.0</v>
      </c>
      <c r="AK251" s="2">
        <v>0.0</v>
      </c>
      <c r="AL251" s="2">
        <v>0.0</v>
      </c>
      <c r="AM251" s="1" t="s">
        <v>51</v>
      </c>
      <c r="AN251" s="2">
        <v>6.04436785E8</v>
      </c>
      <c r="AP251" s="2">
        <v>4.90415423E8</v>
      </c>
      <c r="AQ251" s="1" t="s">
        <v>383</v>
      </c>
      <c r="AR251" s="2">
        <v>45809.452048611114</v>
      </c>
      <c r="AU251" s="1" t="s">
        <v>64</v>
      </c>
      <c r="AW251" s="1" t="s">
        <v>255</v>
      </c>
      <c r="AY251" s="2">
        <v>245.0</v>
      </c>
    </row>
    <row r="252">
      <c r="A252" s="1" t="s">
        <v>51</v>
      </c>
      <c r="C252" s="1" t="s">
        <v>52</v>
      </c>
      <c r="E252" s="1" t="s">
        <v>53</v>
      </c>
      <c r="F252" s="1" t="s">
        <v>54</v>
      </c>
      <c r="G252" s="2">
        <v>43.0</v>
      </c>
      <c r="H252" s="1" t="s">
        <v>55</v>
      </c>
      <c r="I252" s="1" t="s">
        <v>67</v>
      </c>
      <c r="J252" s="1" t="s">
        <v>56</v>
      </c>
      <c r="K252" s="1" t="s">
        <v>57</v>
      </c>
      <c r="M252" s="1" t="s">
        <v>58</v>
      </c>
      <c r="N252" s="1" t="s">
        <v>58</v>
      </c>
      <c r="O252" s="1" t="s">
        <v>69</v>
      </c>
      <c r="Q252" s="1" t="s">
        <v>58</v>
      </c>
      <c r="R252" s="1" t="s">
        <v>58</v>
      </c>
      <c r="S252" s="1" t="s">
        <v>70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81</v>
      </c>
      <c r="Y252" s="1" t="s">
        <v>172</v>
      </c>
      <c r="Z252" s="1" t="s">
        <v>96</v>
      </c>
      <c r="AA252" s="2">
        <v>50.0</v>
      </c>
      <c r="AB252" s="1" t="s">
        <v>28</v>
      </c>
      <c r="AC252" s="1" t="s">
        <v>71</v>
      </c>
      <c r="AF252" s="1" t="s">
        <v>51</v>
      </c>
      <c r="AG252" s="1" t="s">
        <v>51</v>
      </c>
      <c r="AH252" s="2">
        <v>500.0</v>
      </c>
      <c r="AI252" s="2">
        <v>0.0</v>
      </c>
      <c r="AJ252" s="2">
        <v>0.0</v>
      </c>
      <c r="AK252" s="2">
        <v>0.0</v>
      </c>
      <c r="AL252" s="2">
        <v>1.0</v>
      </c>
      <c r="AM252" s="1" t="s">
        <v>51</v>
      </c>
      <c r="AN252" s="2">
        <v>7.12667257E8</v>
      </c>
      <c r="AP252" s="2">
        <v>4.90415882E8</v>
      </c>
      <c r="AQ252" s="1" t="s">
        <v>384</v>
      </c>
      <c r="AR252" s="2">
        <v>45809.45297453704</v>
      </c>
      <c r="AU252" s="1" t="s">
        <v>64</v>
      </c>
      <c r="AW252" s="1" t="s">
        <v>255</v>
      </c>
      <c r="AY252" s="2">
        <v>246.0</v>
      </c>
    </row>
    <row r="253">
      <c r="A253" s="1" t="s">
        <v>51</v>
      </c>
      <c r="C253" s="1" t="s">
        <v>52</v>
      </c>
      <c r="E253" s="1" t="s">
        <v>53</v>
      </c>
      <c r="F253" s="1" t="s">
        <v>54</v>
      </c>
      <c r="G253" s="2">
        <v>36.0</v>
      </c>
      <c r="H253" s="1" t="s">
        <v>66</v>
      </c>
      <c r="I253" s="1" t="s">
        <v>67</v>
      </c>
      <c r="J253" s="1" t="s">
        <v>111</v>
      </c>
      <c r="K253" s="1" t="s">
        <v>57</v>
      </c>
      <c r="M253" s="1" t="s">
        <v>58</v>
      </c>
      <c r="N253" s="1" t="s">
        <v>58</v>
      </c>
      <c r="O253" s="1" t="s">
        <v>69</v>
      </c>
      <c r="Q253" s="1" t="s">
        <v>58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81</v>
      </c>
      <c r="Y253" s="1" t="s">
        <v>82</v>
      </c>
      <c r="Z253" s="1" t="s">
        <v>127</v>
      </c>
      <c r="AA253" s="2">
        <v>100.0</v>
      </c>
      <c r="AB253" s="1" t="s">
        <v>28</v>
      </c>
      <c r="AC253" s="1" t="s">
        <v>71</v>
      </c>
      <c r="AF253" s="1" t="s">
        <v>51</v>
      </c>
      <c r="AG253" s="1" t="s">
        <v>72</v>
      </c>
      <c r="AI253" s="2">
        <v>1.0</v>
      </c>
      <c r="AJ253" s="2">
        <v>0.0</v>
      </c>
      <c r="AK253" s="2">
        <v>0.0</v>
      </c>
      <c r="AL253" s="2">
        <v>0.0</v>
      </c>
      <c r="AM253" s="1" t="s">
        <v>51</v>
      </c>
      <c r="AN253" s="2">
        <v>8.37472508E8</v>
      </c>
      <c r="AP253" s="2">
        <v>4.90416674E8</v>
      </c>
      <c r="AQ253" s="1" t="s">
        <v>385</v>
      </c>
      <c r="AR253" s="2">
        <v>45809.45445601852</v>
      </c>
      <c r="AU253" s="1" t="s">
        <v>64</v>
      </c>
      <c r="AW253" s="1" t="s">
        <v>255</v>
      </c>
      <c r="AY253" s="2">
        <v>247.0</v>
      </c>
    </row>
    <row r="254">
      <c r="A254" s="1" t="s">
        <v>51</v>
      </c>
      <c r="C254" s="1" t="s">
        <v>52</v>
      </c>
      <c r="E254" s="1" t="s">
        <v>53</v>
      </c>
      <c r="F254" s="1" t="s">
        <v>54</v>
      </c>
      <c r="G254" s="2">
        <v>33.0</v>
      </c>
      <c r="H254" s="1" t="s">
        <v>55</v>
      </c>
      <c r="I254" s="1" t="s">
        <v>100</v>
      </c>
      <c r="J254" s="1" t="s">
        <v>111</v>
      </c>
      <c r="K254" s="1" t="s">
        <v>57</v>
      </c>
      <c r="M254" s="1" t="s">
        <v>58</v>
      </c>
      <c r="N254" s="1" t="s">
        <v>58</v>
      </c>
      <c r="O254" s="1" t="s">
        <v>70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81</v>
      </c>
      <c r="Y254" s="1" t="s">
        <v>172</v>
      </c>
      <c r="AA254" s="2">
        <v>50.0</v>
      </c>
      <c r="AB254" s="1" t="s">
        <v>28</v>
      </c>
      <c r="AC254" s="1" t="s">
        <v>71</v>
      </c>
      <c r="AF254" s="1" t="s">
        <v>51</v>
      </c>
      <c r="AG254" s="1" t="s">
        <v>72</v>
      </c>
      <c r="AI254" s="2">
        <v>0.0</v>
      </c>
      <c r="AJ254" s="2">
        <v>0.0</v>
      </c>
      <c r="AK254" s="2">
        <v>0.0</v>
      </c>
      <c r="AL254" s="2">
        <v>1.0</v>
      </c>
      <c r="AM254" s="1" t="s">
        <v>51</v>
      </c>
      <c r="AN254" s="2">
        <v>7.87472508E8</v>
      </c>
      <c r="AP254" s="2">
        <v>4.90417179E8</v>
      </c>
      <c r="AQ254" s="1" t="s">
        <v>386</v>
      </c>
      <c r="AR254" s="2">
        <v>45809.455555555556</v>
      </c>
      <c r="AU254" s="1" t="s">
        <v>64</v>
      </c>
      <c r="AW254" s="1" t="s">
        <v>255</v>
      </c>
      <c r="AY254" s="2">
        <v>248.0</v>
      </c>
    </row>
    <row r="255">
      <c r="A255" s="1" t="s">
        <v>51</v>
      </c>
      <c r="C255" s="1" t="s">
        <v>52</v>
      </c>
      <c r="E255" s="1" t="s">
        <v>53</v>
      </c>
      <c r="F255" s="1" t="s">
        <v>54</v>
      </c>
      <c r="G255" s="2">
        <v>45.0</v>
      </c>
      <c r="H255" s="1" t="s">
        <v>66</v>
      </c>
      <c r="I255" s="1" t="s">
        <v>100</v>
      </c>
      <c r="J255" s="1" t="s">
        <v>111</v>
      </c>
      <c r="K255" s="1" t="s">
        <v>74</v>
      </c>
      <c r="M255" s="1" t="s">
        <v>58</v>
      </c>
      <c r="N255" s="1" t="s">
        <v>58</v>
      </c>
      <c r="O255" s="1" t="s">
        <v>69</v>
      </c>
      <c r="Q255" s="1" t="s">
        <v>58</v>
      </c>
      <c r="R255" s="1" t="s">
        <v>58</v>
      </c>
      <c r="S255" s="1" t="s">
        <v>58</v>
      </c>
      <c r="T255" s="1" t="s">
        <v>58</v>
      </c>
      <c r="U255" s="1" t="s">
        <v>58</v>
      </c>
      <c r="V255" s="1" t="s">
        <v>58</v>
      </c>
      <c r="W255" s="1" t="s">
        <v>58</v>
      </c>
      <c r="X255" s="1" t="s">
        <v>81</v>
      </c>
      <c r="Y255" s="1" t="s">
        <v>60</v>
      </c>
      <c r="Z255" s="1" t="s">
        <v>96</v>
      </c>
      <c r="AA255" s="2">
        <v>100.0</v>
      </c>
      <c r="AB255" s="1" t="s">
        <v>79</v>
      </c>
      <c r="AC255" s="1" t="s">
        <v>71</v>
      </c>
      <c r="AF255" s="1" t="s">
        <v>51</v>
      </c>
      <c r="AG255" s="1" t="s">
        <v>72</v>
      </c>
      <c r="AI255" s="2">
        <v>0.0</v>
      </c>
      <c r="AJ255" s="2">
        <v>0.0</v>
      </c>
      <c r="AK255" s="2">
        <v>0.0</v>
      </c>
      <c r="AL255" s="2">
        <v>1.0</v>
      </c>
      <c r="AM255" s="1" t="s">
        <v>51</v>
      </c>
      <c r="AN255" s="2">
        <v>7.19438817E8</v>
      </c>
      <c r="AP255" s="2">
        <v>4.90417778E8</v>
      </c>
      <c r="AQ255" s="1" t="s">
        <v>387</v>
      </c>
      <c r="AR255" s="2">
        <v>45809.457094907404</v>
      </c>
      <c r="AU255" s="1" t="s">
        <v>64</v>
      </c>
      <c r="AW255" s="1" t="s">
        <v>255</v>
      </c>
      <c r="AY255" s="2">
        <v>249.0</v>
      </c>
    </row>
    <row r="256">
      <c r="A256" s="1" t="s">
        <v>51</v>
      </c>
      <c r="C256" s="1" t="s">
        <v>52</v>
      </c>
      <c r="E256" s="1" t="s">
        <v>53</v>
      </c>
      <c r="F256" s="1" t="s">
        <v>54</v>
      </c>
      <c r="G256" s="2">
        <v>44.0</v>
      </c>
      <c r="H256" s="1" t="s">
        <v>66</v>
      </c>
      <c r="I256" s="1" t="s">
        <v>67</v>
      </c>
      <c r="J256" s="1" t="s">
        <v>68</v>
      </c>
      <c r="K256" s="1" t="s">
        <v>74</v>
      </c>
      <c r="M256" s="1" t="s">
        <v>58</v>
      </c>
      <c r="N256" s="1" t="s">
        <v>58</v>
      </c>
      <c r="O256" s="1" t="s">
        <v>69</v>
      </c>
      <c r="Q256" s="1" t="s">
        <v>58</v>
      </c>
      <c r="R256" s="1" t="s">
        <v>58</v>
      </c>
      <c r="S256" s="1" t="s">
        <v>69</v>
      </c>
      <c r="T256" s="1" t="s">
        <v>69</v>
      </c>
      <c r="U256" s="1" t="s">
        <v>58</v>
      </c>
      <c r="V256" s="1" t="s">
        <v>58</v>
      </c>
      <c r="W256" s="1" t="s">
        <v>69</v>
      </c>
      <c r="Y256" s="1" t="s">
        <v>82</v>
      </c>
      <c r="Z256" s="1" t="s">
        <v>96</v>
      </c>
      <c r="AA256" s="2">
        <v>100.0</v>
      </c>
      <c r="AB256" s="1" t="s">
        <v>28</v>
      </c>
      <c r="AC256" s="1" t="s">
        <v>71</v>
      </c>
      <c r="AF256" s="1" t="s">
        <v>51</v>
      </c>
      <c r="AG256" s="1" t="s">
        <v>72</v>
      </c>
      <c r="AI256" s="2">
        <v>0.0</v>
      </c>
      <c r="AJ256" s="2">
        <v>0.0</v>
      </c>
      <c r="AK256" s="2">
        <v>0.0</v>
      </c>
      <c r="AL256" s="2">
        <v>1.0</v>
      </c>
      <c r="AM256" s="1" t="s">
        <v>51</v>
      </c>
      <c r="AN256" s="2">
        <v>6.56267166E8</v>
      </c>
      <c r="AP256" s="2">
        <v>4.90418598E8</v>
      </c>
      <c r="AQ256" s="1" t="s">
        <v>388</v>
      </c>
      <c r="AR256" s="2">
        <v>45809.45890046296</v>
      </c>
      <c r="AU256" s="1" t="s">
        <v>64</v>
      </c>
      <c r="AW256" s="1" t="s">
        <v>255</v>
      </c>
      <c r="AY256" s="2">
        <v>250.0</v>
      </c>
    </row>
    <row r="257">
      <c r="A257" s="1" t="s">
        <v>51</v>
      </c>
      <c r="C257" s="1" t="s">
        <v>52</v>
      </c>
      <c r="E257" s="1" t="s">
        <v>53</v>
      </c>
      <c r="F257" s="1" t="s">
        <v>54</v>
      </c>
      <c r="G257" s="2">
        <v>29.0</v>
      </c>
      <c r="H257" s="1" t="s">
        <v>66</v>
      </c>
      <c r="I257" s="1" t="s">
        <v>67</v>
      </c>
      <c r="J257" s="1" t="s">
        <v>111</v>
      </c>
      <c r="K257" s="1" t="s">
        <v>74</v>
      </c>
      <c r="M257" s="1" t="s">
        <v>58</v>
      </c>
      <c r="N257" s="1" t="s">
        <v>58</v>
      </c>
      <c r="O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81</v>
      </c>
      <c r="Y257" s="1" t="s">
        <v>172</v>
      </c>
      <c r="Z257" s="1" t="s">
        <v>127</v>
      </c>
      <c r="AA257" s="2">
        <v>100.0</v>
      </c>
      <c r="AB257" s="1" t="s">
        <v>28</v>
      </c>
      <c r="AC257" s="1" t="s">
        <v>71</v>
      </c>
      <c r="AF257" s="1" t="s">
        <v>51</v>
      </c>
      <c r="AI257" s="2">
        <v>0.0</v>
      </c>
      <c r="AJ257" s="2">
        <v>0.0</v>
      </c>
      <c r="AK257" s="2">
        <v>0.0</v>
      </c>
      <c r="AL257" s="2">
        <v>1.0</v>
      </c>
      <c r="AM257" s="1" t="s">
        <v>51</v>
      </c>
      <c r="AN257" s="2">
        <v>7.38839923E8</v>
      </c>
      <c r="AP257" s="2">
        <v>4.904193E8</v>
      </c>
      <c r="AQ257" s="1" t="s">
        <v>389</v>
      </c>
      <c r="AR257" s="2">
        <v>45809.46008101852</v>
      </c>
      <c r="AU257" s="1" t="s">
        <v>64</v>
      </c>
      <c r="AW257" s="1" t="s">
        <v>255</v>
      </c>
      <c r="AY257" s="2">
        <v>251.0</v>
      </c>
    </row>
    <row r="258">
      <c r="A258" s="1" t="s">
        <v>51</v>
      </c>
      <c r="C258" s="1" t="s">
        <v>52</v>
      </c>
      <c r="E258" s="1" t="s">
        <v>53</v>
      </c>
      <c r="F258" s="1" t="s">
        <v>54</v>
      </c>
      <c r="G258" s="2">
        <v>40.0</v>
      </c>
      <c r="H258" s="1" t="s">
        <v>55</v>
      </c>
      <c r="I258" s="1" t="s">
        <v>67</v>
      </c>
      <c r="J258" s="1" t="s">
        <v>111</v>
      </c>
      <c r="K258" s="1" t="s">
        <v>74</v>
      </c>
      <c r="M258" s="1" t="s">
        <v>58</v>
      </c>
      <c r="N258" s="1" t="s">
        <v>58</v>
      </c>
      <c r="O258" s="1" t="s">
        <v>69</v>
      </c>
      <c r="Q258" s="1" t="s">
        <v>58</v>
      </c>
      <c r="R258" s="1" t="s">
        <v>58</v>
      </c>
      <c r="S258" s="1" t="s">
        <v>69</v>
      </c>
      <c r="T258" s="1" t="s">
        <v>58</v>
      </c>
      <c r="U258" s="1" t="s">
        <v>70</v>
      </c>
      <c r="V258" s="1" t="s">
        <v>58</v>
      </c>
      <c r="W258" s="1" t="s">
        <v>69</v>
      </c>
      <c r="X258" s="1" t="s">
        <v>59</v>
      </c>
      <c r="Z258" s="1" t="s">
        <v>89</v>
      </c>
      <c r="AA258" s="2">
        <v>50.0</v>
      </c>
      <c r="AB258" s="1" t="s">
        <v>62</v>
      </c>
      <c r="AC258" s="1" t="s">
        <v>51</v>
      </c>
      <c r="AD258" s="1" t="s">
        <v>81</v>
      </c>
      <c r="AE258" s="1" t="s">
        <v>51</v>
      </c>
      <c r="AF258" s="1" t="s">
        <v>51</v>
      </c>
      <c r="AG258" s="1" t="s">
        <v>51</v>
      </c>
      <c r="AH258" s="2">
        <v>20.0</v>
      </c>
      <c r="AI258" s="2">
        <v>1.0</v>
      </c>
      <c r="AJ258" s="2">
        <v>0.0</v>
      </c>
      <c r="AK258" s="2">
        <v>0.0</v>
      </c>
      <c r="AL258" s="2">
        <v>0.0</v>
      </c>
      <c r="AM258" s="1" t="s">
        <v>51</v>
      </c>
      <c r="AN258" s="2">
        <v>6.2639941E8</v>
      </c>
      <c r="AP258" s="2">
        <v>4.90422919E8</v>
      </c>
      <c r="AQ258" s="1" t="s">
        <v>390</v>
      </c>
      <c r="AR258" s="2">
        <v>45809.46800925926</v>
      </c>
      <c r="AU258" s="1" t="s">
        <v>64</v>
      </c>
      <c r="AW258" s="1" t="s">
        <v>255</v>
      </c>
      <c r="AY258" s="2">
        <v>252.0</v>
      </c>
    </row>
    <row r="259">
      <c r="A259" s="1" t="s">
        <v>51</v>
      </c>
      <c r="C259" s="1" t="s">
        <v>52</v>
      </c>
      <c r="E259" s="1" t="s">
        <v>53</v>
      </c>
      <c r="F259" s="1" t="s">
        <v>54</v>
      </c>
      <c r="G259" s="2">
        <v>29.0</v>
      </c>
      <c r="H259" s="1" t="s">
        <v>55</v>
      </c>
      <c r="I259" s="1" t="s">
        <v>100</v>
      </c>
      <c r="J259" s="1" t="s">
        <v>68</v>
      </c>
      <c r="K259" s="1" t="s">
        <v>57</v>
      </c>
      <c r="M259" s="1" t="s">
        <v>58</v>
      </c>
      <c r="N259" s="1" t="s">
        <v>58</v>
      </c>
      <c r="O259" s="1" t="s">
        <v>69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81</v>
      </c>
      <c r="Y259" s="1" t="s">
        <v>172</v>
      </c>
      <c r="Z259" s="1" t="s">
        <v>96</v>
      </c>
      <c r="AA259" s="2">
        <v>100.0</v>
      </c>
      <c r="AB259" s="1" t="s">
        <v>28</v>
      </c>
      <c r="AC259" s="1" t="s">
        <v>71</v>
      </c>
      <c r="AF259" s="1" t="s">
        <v>51</v>
      </c>
      <c r="AG259" s="1" t="s">
        <v>72</v>
      </c>
      <c r="AI259" s="2">
        <v>0.0</v>
      </c>
      <c r="AJ259" s="2">
        <v>0.0</v>
      </c>
      <c r="AK259" s="2">
        <v>0.0</v>
      </c>
      <c r="AL259" s="2">
        <v>1.0</v>
      </c>
      <c r="AM259" s="1" t="s">
        <v>51</v>
      </c>
      <c r="AN259" s="2">
        <v>6.7069764E8</v>
      </c>
      <c r="AP259" s="2">
        <v>4.90424099E8</v>
      </c>
      <c r="AQ259" s="1" t="s">
        <v>391</v>
      </c>
      <c r="AR259" s="2">
        <v>45809.47068287037</v>
      </c>
      <c r="AU259" s="1" t="s">
        <v>64</v>
      </c>
      <c r="AW259" s="1" t="s">
        <v>255</v>
      </c>
      <c r="AY259" s="2">
        <v>253.0</v>
      </c>
    </row>
    <row r="260">
      <c r="A260" s="1" t="s">
        <v>51</v>
      </c>
      <c r="C260" s="1" t="s">
        <v>52</v>
      </c>
      <c r="E260" s="1" t="s">
        <v>53</v>
      </c>
      <c r="F260" s="1" t="s">
        <v>54</v>
      </c>
      <c r="G260" s="2">
        <v>30.0</v>
      </c>
      <c r="H260" s="1" t="s">
        <v>55</v>
      </c>
      <c r="I260" s="1" t="s">
        <v>100</v>
      </c>
      <c r="J260" s="1" t="s">
        <v>68</v>
      </c>
      <c r="K260" s="1" t="s">
        <v>74</v>
      </c>
      <c r="M260" s="1" t="s">
        <v>58</v>
      </c>
      <c r="N260" s="1" t="s">
        <v>58</v>
      </c>
      <c r="O260" s="1" t="s">
        <v>69</v>
      </c>
      <c r="Q260" s="1" t="s">
        <v>69</v>
      </c>
      <c r="R260" s="1" t="s">
        <v>58</v>
      </c>
      <c r="S260" s="1" t="s">
        <v>58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81</v>
      </c>
      <c r="Y260" s="1" t="s">
        <v>172</v>
      </c>
      <c r="Z260" s="1" t="s">
        <v>96</v>
      </c>
      <c r="AA260" s="2">
        <v>100.0</v>
      </c>
      <c r="AB260" s="1" t="s">
        <v>79</v>
      </c>
      <c r="AC260" s="1" t="s">
        <v>71</v>
      </c>
      <c r="AF260" s="1" t="s">
        <v>51</v>
      </c>
      <c r="AI260" s="2">
        <v>0.0</v>
      </c>
      <c r="AJ260" s="2">
        <v>0.0</v>
      </c>
      <c r="AK260" s="2">
        <v>0.0</v>
      </c>
      <c r="AL260" s="2">
        <v>1.0</v>
      </c>
      <c r="AM260" s="1" t="s">
        <v>51</v>
      </c>
      <c r="AN260" s="2">
        <v>8.18158267E8</v>
      </c>
      <c r="AP260" s="2">
        <v>4.90424695E8</v>
      </c>
      <c r="AQ260" s="1" t="s">
        <v>392</v>
      </c>
      <c r="AR260" s="2">
        <v>45809.47248842593</v>
      </c>
      <c r="AU260" s="1" t="s">
        <v>64</v>
      </c>
      <c r="AW260" s="1" t="s">
        <v>255</v>
      </c>
      <c r="AY260" s="2">
        <v>254.0</v>
      </c>
    </row>
    <row r="261">
      <c r="A261" s="1" t="s">
        <v>51</v>
      </c>
      <c r="C261" s="1" t="s">
        <v>52</v>
      </c>
      <c r="E261" s="1" t="s">
        <v>53</v>
      </c>
      <c r="F261" s="1" t="s">
        <v>54</v>
      </c>
      <c r="G261" s="2">
        <v>27.0</v>
      </c>
      <c r="H261" s="1" t="s">
        <v>55</v>
      </c>
      <c r="I261" s="1" t="s">
        <v>100</v>
      </c>
      <c r="J261" s="1" t="s">
        <v>68</v>
      </c>
      <c r="K261" s="1" t="s">
        <v>74</v>
      </c>
      <c r="M261" s="1" t="s">
        <v>58</v>
      </c>
      <c r="N261" s="1" t="s">
        <v>58</v>
      </c>
      <c r="O261" s="1" t="s">
        <v>69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81</v>
      </c>
      <c r="Y261" s="1" t="s">
        <v>172</v>
      </c>
      <c r="Z261" s="1" t="s">
        <v>96</v>
      </c>
      <c r="AA261" s="2">
        <v>50.0</v>
      </c>
      <c r="AB261" s="1" t="s">
        <v>79</v>
      </c>
      <c r="AC261" s="1" t="s">
        <v>71</v>
      </c>
      <c r="AF261" s="1" t="s">
        <v>51</v>
      </c>
      <c r="AG261" s="1" t="s">
        <v>51</v>
      </c>
      <c r="AH261" s="2">
        <v>300.0</v>
      </c>
      <c r="AI261" s="2">
        <v>0.0</v>
      </c>
      <c r="AJ261" s="2">
        <v>0.0</v>
      </c>
      <c r="AK261" s="2">
        <v>0.0</v>
      </c>
      <c r="AL261" s="2">
        <v>1.0</v>
      </c>
      <c r="AM261" s="1" t="s">
        <v>51</v>
      </c>
      <c r="AN261" s="2">
        <v>7.29861635E8</v>
      </c>
      <c r="AP261" s="2">
        <v>4.90425587E8</v>
      </c>
      <c r="AQ261" s="1" t="s">
        <v>393</v>
      </c>
      <c r="AR261" s="2">
        <v>45809.474270833336</v>
      </c>
      <c r="AU261" s="1" t="s">
        <v>64</v>
      </c>
      <c r="AW261" s="1" t="s">
        <v>255</v>
      </c>
      <c r="AY261" s="2">
        <v>255.0</v>
      </c>
    </row>
    <row r="262">
      <c r="A262" s="1" t="s">
        <v>51</v>
      </c>
      <c r="C262" s="1" t="s">
        <v>170</v>
      </c>
      <c r="E262" s="1" t="s">
        <v>53</v>
      </c>
      <c r="F262" s="1" t="s">
        <v>102</v>
      </c>
      <c r="G262" s="2">
        <v>37.0</v>
      </c>
      <c r="H262" s="1" t="s">
        <v>55</v>
      </c>
      <c r="I262" s="1" t="s">
        <v>100</v>
      </c>
      <c r="J262" s="1" t="s">
        <v>68</v>
      </c>
      <c r="K262" s="1" t="s">
        <v>78</v>
      </c>
      <c r="M262" s="1" t="s">
        <v>70</v>
      </c>
      <c r="N262" s="1" t="s">
        <v>70</v>
      </c>
      <c r="O262" s="1" t="s">
        <v>69</v>
      </c>
      <c r="Q262" s="1" t="s">
        <v>58</v>
      </c>
      <c r="R262" s="1" t="s">
        <v>58</v>
      </c>
      <c r="S262" s="1" t="s">
        <v>58</v>
      </c>
      <c r="T262" s="1" t="s">
        <v>69</v>
      </c>
      <c r="U262" s="1" t="s">
        <v>69</v>
      </c>
      <c r="V262" s="1" t="s">
        <v>69</v>
      </c>
      <c r="W262" s="1" t="s">
        <v>69</v>
      </c>
      <c r="X262" s="1" t="s">
        <v>81</v>
      </c>
      <c r="Y262" s="1" t="s">
        <v>60</v>
      </c>
      <c r="Z262" s="1" t="s">
        <v>61</v>
      </c>
      <c r="AA262" s="2">
        <v>10.0</v>
      </c>
      <c r="AB262" s="1" t="s">
        <v>79</v>
      </c>
      <c r="AC262" s="1" t="s">
        <v>71</v>
      </c>
      <c r="AF262" s="1" t="s">
        <v>51</v>
      </c>
      <c r="AG262" s="1" t="s">
        <v>72</v>
      </c>
      <c r="AI262" s="2">
        <v>0.0</v>
      </c>
      <c r="AJ262" s="2">
        <v>0.0</v>
      </c>
      <c r="AK262" s="2">
        <v>0.0</v>
      </c>
      <c r="AL262" s="2">
        <v>1.0</v>
      </c>
      <c r="AM262" s="1" t="s">
        <v>72</v>
      </c>
      <c r="AP262" s="2">
        <v>4.90425591E8</v>
      </c>
      <c r="AQ262" s="1" t="s">
        <v>394</v>
      </c>
      <c r="AR262" s="2">
        <v>45809.474270833336</v>
      </c>
      <c r="AU262" s="1" t="s">
        <v>64</v>
      </c>
      <c r="AW262" s="1" t="s">
        <v>255</v>
      </c>
      <c r="AY262" s="2">
        <v>256.0</v>
      </c>
    </row>
    <row r="263">
      <c r="A263" s="1" t="s">
        <v>51</v>
      </c>
      <c r="C263" s="1" t="s">
        <v>52</v>
      </c>
      <c r="E263" s="1" t="s">
        <v>53</v>
      </c>
      <c r="F263" s="1" t="s">
        <v>54</v>
      </c>
      <c r="G263" s="2">
        <v>36.0</v>
      </c>
      <c r="H263" s="1" t="s">
        <v>55</v>
      </c>
      <c r="I263" s="1" t="s">
        <v>100</v>
      </c>
      <c r="J263" s="1" t="s">
        <v>111</v>
      </c>
      <c r="K263" s="1" t="s">
        <v>74</v>
      </c>
      <c r="M263" s="1" t="s">
        <v>58</v>
      </c>
      <c r="N263" s="1" t="s">
        <v>58</v>
      </c>
      <c r="O263" s="1" t="s">
        <v>69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69</v>
      </c>
      <c r="V263" s="1" t="s">
        <v>69</v>
      </c>
      <c r="W263" s="1" t="s">
        <v>69</v>
      </c>
      <c r="X263" s="1" t="s">
        <v>59</v>
      </c>
      <c r="Y263" s="1" t="s">
        <v>172</v>
      </c>
      <c r="Z263" s="1" t="s">
        <v>96</v>
      </c>
      <c r="AA263" s="2">
        <v>50.0</v>
      </c>
      <c r="AB263" s="1" t="s">
        <v>28</v>
      </c>
      <c r="AC263" s="1" t="s">
        <v>71</v>
      </c>
      <c r="AF263" s="1" t="s">
        <v>51</v>
      </c>
      <c r="AG263" s="1" t="s">
        <v>51</v>
      </c>
      <c r="AH263" s="2">
        <v>400.0</v>
      </c>
      <c r="AI263" s="2">
        <v>0.0</v>
      </c>
      <c r="AJ263" s="2">
        <v>0.0</v>
      </c>
      <c r="AK263" s="2">
        <v>0.0</v>
      </c>
      <c r="AL263" s="2">
        <v>1.0</v>
      </c>
      <c r="AM263" s="1" t="s">
        <v>51</v>
      </c>
      <c r="AN263" s="2">
        <v>8.43748237E8</v>
      </c>
      <c r="AP263" s="2">
        <v>4.9042629E8</v>
      </c>
      <c r="AQ263" s="1" t="s">
        <v>395</v>
      </c>
      <c r="AR263" s="2">
        <v>45809.47556712963</v>
      </c>
      <c r="AU263" s="1" t="s">
        <v>64</v>
      </c>
      <c r="AW263" s="1" t="s">
        <v>255</v>
      </c>
      <c r="AY263" s="2">
        <v>257.0</v>
      </c>
    </row>
    <row r="264">
      <c r="A264" s="1" t="s">
        <v>51</v>
      </c>
      <c r="C264" s="1" t="s">
        <v>52</v>
      </c>
      <c r="E264" s="1" t="s">
        <v>53</v>
      </c>
      <c r="F264" s="1" t="s">
        <v>54</v>
      </c>
      <c r="G264" s="2">
        <v>33.0</v>
      </c>
      <c r="H264" s="1" t="s">
        <v>55</v>
      </c>
      <c r="I264" s="1" t="s">
        <v>67</v>
      </c>
      <c r="J264" s="1" t="s">
        <v>56</v>
      </c>
      <c r="K264" s="1" t="s">
        <v>74</v>
      </c>
      <c r="M264" s="1" t="s">
        <v>58</v>
      </c>
      <c r="N264" s="1" t="s">
        <v>58</v>
      </c>
      <c r="O264" s="1" t="s">
        <v>58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81</v>
      </c>
      <c r="Y264" s="1" t="s">
        <v>82</v>
      </c>
      <c r="Z264" s="1" t="s">
        <v>96</v>
      </c>
      <c r="AA264" s="2">
        <v>50.0</v>
      </c>
      <c r="AB264" s="1" t="s">
        <v>79</v>
      </c>
      <c r="AC264" s="1" t="s">
        <v>71</v>
      </c>
      <c r="AF264" s="1" t="s">
        <v>51</v>
      </c>
      <c r="AI264" s="2">
        <v>0.0</v>
      </c>
      <c r="AJ264" s="2">
        <v>1.0</v>
      </c>
      <c r="AK264" s="2">
        <v>0.0</v>
      </c>
      <c r="AL264" s="2">
        <v>0.0</v>
      </c>
      <c r="AM264" s="1" t="s">
        <v>51</v>
      </c>
      <c r="AN264" s="2">
        <v>7.42414746E8</v>
      </c>
      <c r="AP264" s="2">
        <v>4.90426878E8</v>
      </c>
      <c r="AQ264" s="1" t="s">
        <v>396</v>
      </c>
      <c r="AR264" s="2">
        <v>45809.476689814815</v>
      </c>
      <c r="AU264" s="1" t="s">
        <v>64</v>
      </c>
      <c r="AW264" s="1" t="s">
        <v>255</v>
      </c>
      <c r="AY264" s="2">
        <v>258.0</v>
      </c>
    </row>
    <row r="265">
      <c r="A265" s="1" t="s">
        <v>51</v>
      </c>
      <c r="C265" s="1" t="s">
        <v>52</v>
      </c>
      <c r="E265" s="1" t="s">
        <v>53</v>
      </c>
      <c r="G265" s="2">
        <v>26.0</v>
      </c>
      <c r="H265" s="1" t="s">
        <v>66</v>
      </c>
      <c r="I265" s="1" t="s">
        <v>67</v>
      </c>
      <c r="J265" s="1" t="s">
        <v>56</v>
      </c>
      <c r="K265" s="1" t="s">
        <v>74</v>
      </c>
      <c r="M265" s="1" t="s">
        <v>58</v>
      </c>
      <c r="N265" s="1" t="s">
        <v>58</v>
      </c>
      <c r="O265" s="1" t="s">
        <v>58</v>
      </c>
      <c r="Q265" s="1" t="s">
        <v>58</v>
      </c>
      <c r="R265" s="1" t="s">
        <v>58</v>
      </c>
      <c r="S265" s="1" t="s">
        <v>58</v>
      </c>
      <c r="T265" s="1" t="s">
        <v>58</v>
      </c>
      <c r="U265" s="1" t="s">
        <v>58</v>
      </c>
      <c r="V265" s="1" t="s">
        <v>58</v>
      </c>
      <c r="W265" s="1" t="s">
        <v>58</v>
      </c>
      <c r="X265" s="1" t="s">
        <v>81</v>
      </c>
      <c r="Y265" s="1" t="s">
        <v>172</v>
      </c>
      <c r="Z265" s="1" t="s">
        <v>96</v>
      </c>
      <c r="AA265" s="2">
        <v>50.0</v>
      </c>
      <c r="AB265" s="1" t="s">
        <v>79</v>
      </c>
      <c r="AC265" s="1" t="s">
        <v>71</v>
      </c>
      <c r="AF265" s="1" t="s">
        <v>51</v>
      </c>
      <c r="AI265" s="2">
        <v>0.0</v>
      </c>
      <c r="AJ265" s="2">
        <v>0.0</v>
      </c>
      <c r="AK265" s="2">
        <v>0.0</v>
      </c>
      <c r="AL265" s="2">
        <v>1.0</v>
      </c>
      <c r="AM265" s="1" t="s">
        <v>51</v>
      </c>
      <c r="AN265" s="2">
        <v>7.43074844E8</v>
      </c>
      <c r="AP265" s="2">
        <v>4.90427639E8</v>
      </c>
      <c r="AQ265" s="1" t="s">
        <v>397</v>
      </c>
      <c r="AR265" s="2">
        <v>45809.477858796294</v>
      </c>
      <c r="AU265" s="1" t="s">
        <v>64</v>
      </c>
      <c r="AW265" s="1" t="s">
        <v>255</v>
      </c>
      <c r="AY265" s="2">
        <v>259.0</v>
      </c>
    </row>
    <row r="266">
      <c r="A266" s="1" t="s">
        <v>51</v>
      </c>
      <c r="C266" s="1" t="s">
        <v>52</v>
      </c>
      <c r="E266" s="1" t="s">
        <v>53</v>
      </c>
      <c r="F266" s="1" t="s">
        <v>54</v>
      </c>
      <c r="G266" s="2">
        <v>30.0</v>
      </c>
      <c r="H266" s="1" t="s">
        <v>66</v>
      </c>
      <c r="I266" s="1" t="s">
        <v>67</v>
      </c>
      <c r="J266" s="1" t="s">
        <v>56</v>
      </c>
      <c r="K266" s="1" t="s">
        <v>74</v>
      </c>
      <c r="M266" s="1" t="s">
        <v>58</v>
      </c>
      <c r="N266" s="1" t="s">
        <v>58</v>
      </c>
      <c r="O266" s="1" t="s">
        <v>58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58</v>
      </c>
      <c r="V266" s="1" t="s">
        <v>58</v>
      </c>
      <c r="W266" s="1" t="s">
        <v>58</v>
      </c>
      <c r="X266" s="1" t="s">
        <v>81</v>
      </c>
      <c r="Y266" s="1" t="s">
        <v>60</v>
      </c>
      <c r="Z266" s="1" t="s">
        <v>96</v>
      </c>
      <c r="AA266" s="2">
        <v>50.0</v>
      </c>
      <c r="AB266" s="1" t="s">
        <v>79</v>
      </c>
      <c r="AC266" s="1" t="s">
        <v>71</v>
      </c>
      <c r="AF266" s="1" t="s">
        <v>51</v>
      </c>
      <c r="AI266" s="2">
        <v>0.0</v>
      </c>
      <c r="AJ266" s="2">
        <v>0.0</v>
      </c>
      <c r="AK266" s="2">
        <v>0.0</v>
      </c>
      <c r="AL266" s="2">
        <v>1.0</v>
      </c>
      <c r="AM266" s="1" t="s">
        <v>51</v>
      </c>
      <c r="AN266" s="2">
        <v>6.44607283E8</v>
      </c>
      <c r="AP266" s="2">
        <v>4.90428229E8</v>
      </c>
      <c r="AQ266" s="1" t="s">
        <v>398</v>
      </c>
      <c r="AR266" s="2">
        <v>45809.47893518519</v>
      </c>
      <c r="AU266" s="1" t="s">
        <v>64</v>
      </c>
      <c r="AW266" s="1" t="s">
        <v>255</v>
      </c>
      <c r="AY266" s="2">
        <v>260.0</v>
      </c>
    </row>
    <row r="267">
      <c r="A267" s="1" t="s">
        <v>51</v>
      </c>
      <c r="C267" s="1" t="s">
        <v>52</v>
      </c>
      <c r="E267" s="1" t="s">
        <v>53</v>
      </c>
      <c r="F267" s="1" t="s">
        <v>54</v>
      </c>
      <c r="G267" s="2">
        <v>39.0</v>
      </c>
      <c r="H267" s="1" t="s">
        <v>55</v>
      </c>
      <c r="I267" s="1" t="s">
        <v>67</v>
      </c>
      <c r="J267" s="1" t="s">
        <v>68</v>
      </c>
      <c r="K267" s="1" t="s">
        <v>74</v>
      </c>
      <c r="M267" s="1" t="s">
        <v>58</v>
      </c>
      <c r="N267" s="1" t="s">
        <v>58</v>
      </c>
      <c r="O267" s="1" t="s">
        <v>58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81</v>
      </c>
      <c r="Y267" s="1" t="s">
        <v>172</v>
      </c>
      <c r="Z267" s="1" t="s">
        <v>96</v>
      </c>
      <c r="AA267" s="2">
        <v>50.0</v>
      </c>
      <c r="AB267" s="1" t="s">
        <v>28</v>
      </c>
      <c r="AC267" s="1" t="s">
        <v>71</v>
      </c>
      <c r="AF267" s="1" t="s">
        <v>51</v>
      </c>
      <c r="AI267" s="2">
        <v>0.0</v>
      </c>
      <c r="AJ267" s="2">
        <v>0.0</v>
      </c>
      <c r="AK267" s="2">
        <v>0.0</v>
      </c>
      <c r="AL267" s="2">
        <v>1.0</v>
      </c>
      <c r="AM267" s="1" t="s">
        <v>51</v>
      </c>
      <c r="AN267" s="2">
        <v>6.1803172E8</v>
      </c>
      <c r="AP267" s="2">
        <v>4.9042889E8</v>
      </c>
      <c r="AQ267" s="1" t="s">
        <v>399</v>
      </c>
      <c r="AR267" s="2">
        <v>45809.48024305556</v>
      </c>
      <c r="AU267" s="1" t="s">
        <v>64</v>
      </c>
      <c r="AW267" s="1" t="s">
        <v>255</v>
      </c>
      <c r="AY267" s="2">
        <v>261.0</v>
      </c>
    </row>
    <row r="268">
      <c r="A268" s="1" t="s">
        <v>51</v>
      </c>
      <c r="C268" s="1" t="s">
        <v>52</v>
      </c>
      <c r="E268" s="1" t="s">
        <v>53</v>
      </c>
      <c r="F268" s="1" t="s">
        <v>54</v>
      </c>
      <c r="G268" s="2">
        <v>32.0</v>
      </c>
      <c r="H268" s="1" t="s">
        <v>66</v>
      </c>
      <c r="I268" s="1" t="s">
        <v>67</v>
      </c>
      <c r="J268" s="1" t="s">
        <v>68</v>
      </c>
      <c r="K268" s="1" t="s">
        <v>74</v>
      </c>
      <c r="M268" s="1" t="s">
        <v>58</v>
      </c>
      <c r="N268" s="1" t="s">
        <v>58</v>
      </c>
      <c r="O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81</v>
      </c>
      <c r="Y268" s="1" t="s">
        <v>60</v>
      </c>
      <c r="Z268" s="1" t="s">
        <v>108</v>
      </c>
      <c r="AA268" s="2">
        <v>100.0</v>
      </c>
      <c r="AB268" s="1" t="s">
        <v>62</v>
      </c>
      <c r="AC268" s="1" t="s">
        <v>71</v>
      </c>
      <c r="AF268" s="1" t="s">
        <v>51</v>
      </c>
      <c r="AI268" s="2">
        <v>0.0</v>
      </c>
      <c r="AJ268" s="2">
        <v>0.0</v>
      </c>
      <c r="AK268" s="2">
        <v>0.0</v>
      </c>
      <c r="AL268" s="2">
        <v>1.0</v>
      </c>
      <c r="AM268" s="1" t="s">
        <v>51</v>
      </c>
      <c r="AN268" s="2">
        <v>6.56507643E8</v>
      </c>
      <c r="AP268" s="2">
        <v>4.90429346E8</v>
      </c>
      <c r="AQ268" s="1" t="s">
        <v>400</v>
      </c>
      <c r="AR268" s="2">
        <v>45809.48138888889</v>
      </c>
      <c r="AU268" s="1" t="s">
        <v>64</v>
      </c>
      <c r="AW268" s="1" t="s">
        <v>255</v>
      </c>
      <c r="AY268" s="2">
        <v>262.0</v>
      </c>
    </row>
    <row r="269">
      <c r="A269" s="1" t="s">
        <v>51</v>
      </c>
      <c r="C269" s="1" t="s">
        <v>52</v>
      </c>
      <c r="E269" s="1" t="s">
        <v>53</v>
      </c>
      <c r="F269" s="1" t="s">
        <v>54</v>
      </c>
      <c r="G269" s="2">
        <v>38.0</v>
      </c>
      <c r="H269" s="1" t="s">
        <v>55</v>
      </c>
      <c r="I269" s="1" t="s">
        <v>67</v>
      </c>
      <c r="J269" s="1" t="s">
        <v>111</v>
      </c>
      <c r="K269" s="1" t="s">
        <v>74</v>
      </c>
      <c r="M269" s="1" t="s">
        <v>58</v>
      </c>
      <c r="N269" s="1" t="s">
        <v>58</v>
      </c>
      <c r="O269" s="1" t="s">
        <v>69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81</v>
      </c>
      <c r="Y269" s="1" t="s">
        <v>60</v>
      </c>
      <c r="Z269" s="1" t="s">
        <v>127</v>
      </c>
      <c r="AA269" s="2">
        <v>100.0</v>
      </c>
      <c r="AB269" s="1" t="s">
        <v>62</v>
      </c>
      <c r="AC269" s="1" t="s">
        <v>71</v>
      </c>
      <c r="AF269" s="1" t="s">
        <v>51</v>
      </c>
      <c r="AI269" s="2">
        <v>0.0</v>
      </c>
      <c r="AJ269" s="2">
        <v>0.0</v>
      </c>
      <c r="AK269" s="2">
        <v>0.0</v>
      </c>
      <c r="AL269" s="2">
        <v>1.0</v>
      </c>
      <c r="AM269" s="1" t="s">
        <v>51</v>
      </c>
      <c r="AN269" s="2">
        <v>6.56507643E8</v>
      </c>
      <c r="AP269" s="2">
        <v>4.90429896E8</v>
      </c>
      <c r="AQ269" s="1" t="s">
        <v>401</v>
      </c>
      <c r="AR269" s="2">
        <v>45809.48266203704</v>
      </c>
      <c r="AU269" s="1" t="s">
        <v>64</v>
      </c>
      <c r="AW269" s="1" t="s">
        <v>255</v>
      </c>
      <c r="AY269" s="2">
        <v>263.0</v>
      </c>
    </row>
    <row r="270">
      <c r="A270" s="1" t="s">
        <v>51</v>
      </c>
      <c r="C270" s="1" t="s">
        <v>52</v>
      </c>
      <c r="E270" s="1" t="s">
        <v>53</v>
      </c>
      <c r="F270" s="1" t="s">
        <v>54</v>
      </c>
      <c r="G270" s="2">
        <v>26.0</v>
      </c>
      <c r="H270" s="1" t="s">
        <v>55</v>
      </c>
      <c r="I270" s="1" t="s">
        <v>100</v>
      </c>
      <c r="J270" s="1" t="s">
        <v>68</v>
      </c>
      <c r="K270" s="1" t="s">
        <v>74</v>
      </c>
      <c r="M270" s="1" t="s">
        <v>58</v>
      </c>
      <c r="N270" s="1" t="s">
        <v>58</v>
      </c>
      <c r="O270" s="1" t="s">
        <v>58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81</v>
      </c>
      <c r="Y270" s="1" t="s">
        <v>60</v>
      </c>
      <c r="Z270" s="1" t="s">
        <v>127</v>
      </c>
      <c r="AA270" s="2">
        <v>50.0</v>
      </c>
      <c r="AB270" s="1" t="s">
        <v>62</v>
      </c>
      <c r="AC270" s="1" t="s">
        <v>71</v>
      </c>
      <c r="AF270" s="1" t="s">
        <v>51</v>
      </c>
      <c r="AI270" s="2">
        <v>0.0</v>
      </c>
      <c r="AJ270" s="2">
        <v>0.0</v>
      </c>
      <c r="AK270" s="2">
        <v>0.0</v>
      </c>
      <c r="AL270" s="2">
        <v>1.0</v>
      </c>
      <c r="AM270" s="1" t="s">
        <v>51</v>
      </c>
      <c r="AN270" s="2">
        <v>8.45540475E8</v>
      </c>
      <c r="AP270" s="2">
        <v>4.90430332E8</v>
      </c>
      <c r="AQ270" s="1" t="s">
        <v>402</v>
      </c>
      <c r="AR270" s="2">
        <v>45809.48391203704</v>
      </c>
      <c r="AU270" s="1" t="s">
        <v>64</v>
      </c>
      <c r="AW270" s="1" t="s">
        <v>255</v>
      </c>
      <c r="AY270" s="2">
        <v>264.0</v>
      </c>
    </row>
    <row r="271">
      <c r="A271" s="1" t="s">
        <v>51</v>
      </c>
      <c r="C271" s="1" t="s">
        <v>52</v>
      </c>
      <c r="E271" s="1" t="s">
        <v>53</v>
      </c>
      <c r="F271" s="1" t="s">
        <v>54</v>
      </c>
      <c r="G271" s="2">
        <v>35.0</v>
      </c>
      <c r="H271" s="1" t="s">
        <v>55</v>
      </c>
      <c r="I271" s="1" t="s">
        <v>67</v>
      </c>
      <c r="J271" s="1" t="s">
        <v>68</v>
      </c>
      <c r="K271" s="1" t="s">
        <v>74</v>
      </c>
      <c r="M271" s="1" t="s">
        <v>58</v>
      </c>
      <c r="N271" s="1" t="s">
        <v>58</v>
      </c>
      <c r="O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Y271" s="1" t="s">
        <v>82</v>
      </c>
      <c r="Z271" s="1" t="s">
        <v>61</v>
      </c>
      <c r="AA271" s="2">
        <v>20.0</v>
      </c>
      <c r="AB271" s="1" t="s">
        <v>79</v>
      </c>
      <c r="AC271" s="1" t="s">
        <v>51</v>
      </c>
      <c r="AD271" s="1" t="s">
        <v>59</v>
      </c>
      <c r="AF271" s="1" t="s">
        <v>51</v>
      </c>
      <c r="AG271" s="1" t="s">
        <v>51</v>
      </c>
      <c r="AI271" s="2">
        <v>0.0</v>
      </c>
      <c r="AJ271" s="2">
        <v>1.0</v>
      </c>
      <c r="AK271" s="2">
        <v>0.0</v>
      </c>
      <c r="AL271" s="2">
        <v>0.0</v>
      </c>
      <c r="AM271" s="1" t="s">
        <v>51</v>
      </c>
      <c r="AP271" s="2">
        <v>4.90430818E8</v>
      </c>
      <c r="AQ271" s="1" t="s">
        <v>403</v>
      </c>
      <c r="AR271" s="2">
        <v>45809.484872685185</v>
      </c>
      <c r="AU271" s="1" t="s">
        <v>64</v>
      </c>
      <c r="AW271" s="1" t="s">
        <v>255</v>
      </c>
      <c r="AY271" s="2">
        <v>265.0</v>
      </c>
    </row>
    <row r="272">
      <c r="A272" s="1" t="s">
        <v>51</v>
      </c>
      <c r="C272" s="1" t="s">
        <v>52</v>
      </c>
      <c r="E272" s="1" t="s">
        <v>53</v>
      </c>
      <c r="F272" s="1" t="s">
        <v>54</v>
      </c>
      <c r="G272" s="2">
        <v>30.0</v>
      </c>
      <c r="H272" s="1" t="s">
        <v>55</v>
      </c>
      <c r="I272" s="1" t="s">
        <v>100</v>
      </c>
      <c r="J272" s="1" t="s">
        <v>68</v>
      </c>
      <c r="K272" s="1" t="s">
        <v>74</v>
      </c>
      <c r="M272" s="1" t="s">
        <v>58</v>
      </c>
      <c r="N272" s="1" t="s">
        <v>58</v>
      </c>
      <c r="O272" s="1" t="s">
        <v>69</v>
      </c>
      <c r="Q272" s="1" t="s">
        <v>58</v>
      </c>
      <c r="R272" s="1" t="s">
        <v>58</v>
      </c>
      <c r="S272" s="1" t="s">
        <v>69</v>
      </c>
      <c r="T272" s="1" t="s">
        <v>69</v>
      </c>
      <c r="U272" s="1" t="s">
        <v>69</v>
      </c>
      <c r="V272" s="1" t="s">
        <v>58</v>
      </c>
      <c r="W272" s="1" t="s">
        <v>58</v>
      </c>
      <c r="X272" s="1" t="s">
        <v>81</v>
      </c>
      <c r="Y272" s="1" t="s">
        <v>172</v>
      </c>
      <c r="Z272" s="1" t="s">
        <v>96</v>
      </c>
      <c r="AA272" s="2">
        <v>100.0</v>
      </c>
      <c r="AB272" s="1" t="s">
        <v>62</v>
      </c>
      <c r="AC272" s="1" t="s">
        <v>71</v>
      </c>
      <c r="AF272" s="1" t="s">
        <v>51</v>
      </c>
      <c r="AG272" s="1" t="s">
        <v>72</v>
      </c>
      <c r="AI272" s="2">
        <v>0.0</v>
      </c>
      <c r="AJ272" s="2">
        <v>0.0</v>
      </c>
      <c r="AK272" s="2">
        <v>0.0</v>
      </c>
      <c r="AL272" s="2">
        <v>1.0</v>
      </c>
      <c r="AP272" s="2">
        <v>4.90431866E8</v>
      </c>
      <c r="AQ272" s="1" t="s">
        <v>404</v>
      </c>
      <c r="AR272" s="2">
        <v>45809.487546296295</v>
      </c>
      <c r="AU272" s="1" t="s">
        <v>64</v>
      </c>
      <c r="AW272" s="1" t="s">
        <v>255</v>
      </c>
      <c r="AY272" s="2">
        <v>266.0</v>
      </c>
    </row>
    <row r="273">
      <c r="A273" s="1" t="s">
        <v>51</v>
      </c>
      <c r="C273" s="1" t="s">
        <v>52</v>
      </c>
      <c r="E273" s="1" t="s">
        <v>53</v>
      </c>
      <c r="F273" s="1" t="s">
        <v>54</v>
      </c>
      <c r="G273" s="2">
        <v>34.0</v>
      </c>
      <c r="H273" s="1" t="s">
        <v>55</v>
      </c>
      <c r="I273" s="1" t="s">
        <v>67</v>
      </c>
      <c r="J273" s="1" t="s">
        <v>68</v>
      </c>
      <c r="K273" s="1" t="s">
        <v>74</v>
      </c>
      <c r="M273" s="1" t="s">
        <v>58</v>
      </c>
      <c r="N273" s="1" t="s">
        <v>58</v>
      </c>
      <c r="O273" s="1" t="s">
        <v>69</v>
      </c>
      <c r="Q273" s="1" t="s">
        <v>58</v>
      </c>
      <c r="R273" s="1" t="s">
        <v>58</v>
      </c>
      <c r="S273" s="1" t="s">
        <v>69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81</v>
      </c>
      <c r="Y273" s="1" t="s">
        <v>60</v>
      </c>
      <c r="Z273" s="1" t="s">
        <v>96</v>
      </c>
      <c r="AA273" s="2">
        <v>100.0</v>
      </c>
      <c r="AB273" s="1" t="s">
        <v>62</v>
      </c>
      <c r="AC273" s="1" t="s">
        <v>71</v>
      </c>
      <c r="AF273" s="1" t="s">
        <v>51</v>
      </c>
      <c r="AI273" s="2">
        <v>0.0</v>
      </c>
      <c r="AJ273" s="2">
        <v>0.0</v>
      </c>
      <c r="AK273" s="2">
        <v>0.0</v>
      </c>
      <c r="AL273" s="2">
        <v>1.0</v>
      </c>
      <c r="AM273" s="1" t="s">
        <v>51</v>
      </c>
      <c r="AN273" s="2">
        <v>8.43131062E8</v>
      </c>
      <c r="AP273" s="2">
        <v>4.904325E8</v>
      </c>
      <c r="AQ273" s="1" t="s">
        <v>405</v>
      </c>
      <c r="AR273" s="2">
        <v>45809.48903935185</v>
      </c>
      <c r="AU273" s="1" t="s">
        <v>64</v>
      </c>
      <c r="AW273" s="1" t="s">
        <v>255</v>
      </c>
      <c r="AY273" s="2">
        <v>267.0</v>
      </c>
    </row>
    <row r="274">
      <c r="A274" s="1" t="s">
        <v>51</v>
      </c>
      <c r="C274" s="1" t="s">
        <v>52</v>
      </c>
      <c r="E274" s="1" t="s">
        <v>53</v>
      </c>
      <c r="F274" s="1" t="s">
        <v>54</v>
      </c>
      <c r="G274" s="2">
        <v>29.0</v>
      </c>
      <c r="H274" s="1" t="s">
        <v>55</v>
      </c>
      <c r="I274" s="1" t="s">
        <v>67</v>
      </c>
      <c r="J274" s="1" t="s">
        <v>56</v>
      </c>
      <c r="K274" s="1" t="s">
        <v>74</v>
      </c>
      <c r="M274" s="1" t="s">
        <v>58</v>
      </c>
      <c r="N274" s="1" t="s">
        <v>58</v>
      </c>
      <c r="O274" s="1" t="s">
        <v>58</v>
      </c>
      <c r="Q274" s="1" t="s">
        <v>58</v>
      </c>
      <c r="R274" s="1" t="s">
        <v>58</v>
      </c>
      <c r="S274" s="1" t="s">
        <v>58</v>
      </c>
      <c r="T274" s="1" t="s">
        <v>58</v>
      </c>
      <c r="U274" s="1" t="s">
        <v>70</v>
      </c>
      <c r="V274" s="1" t="s">
        <v>58</v>
      </c>
      <c r="W274" s="1" t="s">
        <v>58</v>
      </c>
      <c r="X274" s="1" t="s">
        <v>59</v>
      </c>
      <c r="Y274" s="1" t="s">
        <v>60</v>
      </c>
      <c r="Z274" s="1" t="s">
        <v>108</v>
      </c>
      <c r="AA274" s="2">
        <v>100.0</v>
      </c>
      <c r="AB274" s="1" t="s">
        <v>62</v>
      </c>
      <c r="AC274" s="1" t="s">
        <v>71</v>
      </c>
      <c r="AF274" s="1" t="s">
        <v>51</v>
      </c>
      <c r="AG274" s="1" t="s">
        <v>51</v>
      </c>
      <c r="AH274" s="2">
        <v>200.0</v>
      </c>
      <c r="AI274" s="2">
        <v>0.0</v>
      </c>
      <c r="AJ274" s="2">
        <v>0.0</v>
      </c>
      <c r="AK274" s="2">
        <v>1.0</v>
      </c>
      <c r="AL274" s="2">
        <v>0.0</v>
      </c>
      <c r="AM274" s="1" t="s">
        <v>51</v>
      </c>
      <c r="AN274" s="2">
        <v>6.38118772E8</v>
      </c>
      <c r="AP274" s="2">
        <v>4.9043351E8</v>
      </c>
      <c r="AQ274" s="1" t="s">
        <v>406</v>
      </c>
      <c r="AR274" s="2">
        <v>45809.490694444445</v>
      </c>
      <c r="AU274" s="1" t="s">
        <v>64</v>
      </c>
      <c r="AW274" s="1" t="s">
        <v>255</v>
      </c>
      <c r="AY274" s="2">
        <v>268.0</v>
      </c>
    </row>
    <row r="275">
      <c r="A275" s="1" t="s">
        <v>51</v>
      </c>
      <c r="C275" s="1" t="s">
        <v>52</v>
      </c>
      <c r="E275" s="1" t="s">
        <v>53</v>
      </c>
      <c r="F275" s="1" t="s">
        <v>54</v>
      </c>
      <c r="G275" s="2">
        <v>32.0</v>
      </c>
      <c r="H275" s="1" t="s">
        <v>55</v>
      </c>
      <c r="I275" s="1" t="s">
        <v>67</v>
      </c>
      <c r="J275" s="1" t="s">
        <v>111</v>
      </c>
      <c r="K275" s="1" t="s">
        <v>74</v>
      </c>
      <c r="M275" s="1" t="s">
        <v>58</v>
      </c>
      <c r="N275" s="1" t="s">
        <v>58</v>
      </c>
      <c r="O275" s="1" t="s">
        <v>70</v>
      </c>
      <c r="Q275" s="1" t="s">
        <v>58</v>
      </c>
      <c r="R275" s="1" t="s">
        <v>58</v>
      </c>
      <c r="S275" s="1" t="s">
        <v>58</v>
      </c>
      <c r="T275" s="1" t="s">
        <v>69</v>
      </c>
      <c r="U275" s="1" t="s">
        <v>58</v>
      </c>
      <c r="V275" s="1" t="s">
        <v>58</v>
      </c>
      <c r="W275" s="1" t="s">
        <v>69</v>
      </c>
      <c r="X275" s="1" t="s">
        <v>59</v>
      </c>
      <c r="Y275" s="1" t="s">
        <v>60</v>
      </c>
      <c r="Z275" s="1" t="s">
        <v>127</v>
      </c>
      <c r="AA275" s="2">
        <v>50.0</v>
      </c>
      <c r="AB275" s="1" t="s">
        <v>62</v>
      </c>
      <c r="AC275" s="1" t="s">
        <v>71</v>
      </c>
      <c r="AF275" s="1" t="s">
        <v>51</v>
      </c>
      <c r="AG275" s="1" t="s">
        <v>51</v>
      </c>
      <c r="AH275" s="2">
        <v>350.0</v>
      </c>
      <c r="AI275" s="2">
        <v>0.0</v>
      </c>
      <c r="AJ275" s="2">
        <v>1.0</v>
      </c>
      <c r="AK275" s="2">
        <v>0.0</v>
      </c>
      <c r="AL275" s="2">
        <v>0.0</v>
      </c>
      <c r="AM275" s="1" t="s">
        <v>51</v>
      </c>
      <c r="AN275" s="2">
        <v>6.9334195E8</v>
      </c>
      <c r="AP275" s="2">
        <v>4.90434382E8</v>
      </c>
      <c r="AQ275" s="1" t="s">
        <v>407</v>
      </c>
      <c r="AR275" s="2">
        <v>45809.4921875</v>
      </c>
      <c r="AU275" s="1" t="s">
        <v>64</v>
      </c>
      <c r="AW275" s="1" t="s">
        <v>255</v>
      </c>
      <c r="AY275" s="2">
        <v>269.0</v>
      </c>
    </row>
    <row r="276">
      <c r="A276" s="1" t="s">
        <v>51</v>
      </c>
      <c r="C276" s="1" t="s">
        <v>52</v>
      </c>
      <c r="E276" s="1" t="s">
        <v>53</v>
      </c>
      <c r="F276" s="1" t="s">
        <v>54</v>
      </c>
      <c r="G276" s="2">
        <v>28.0</v>
      </c>
      <c r="H276" s="1" t="s">
        <v>55</v>
      </c>
      <c r="I276" s="1" t="s">
        <v>100</v>
      </c>
      <c r="J276" s="1" t="s">
        <v>68</v>
      </c>
      <c r="K276" s="1" t="s">
        <v>74</v>
      </c>
      <c r="M276" s="1" t="s">
        <v>58</v>
      </c>
      <c r="N276" s="1" t="s">
        <v>58</v>
      </c>
      <c r="O276" s="1" t="s">
        <v>69</v>
      </c>
      <c r="Q276" s="1" t="s">
        <v>69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69</v>
      </c>
      <c r="X276" s="1" t="s">
        <v>59</v>
      </c>
      <c r="Y276" s="1" t="s">
        <v>60</v>
      </c>
      <c r="Z276" s="1" t="s">
        <v>108</v>
      </c>
      <c r="AA276" s="2">
        <v>100.0</v>
      </c>
      <c r="AB276" s="1" t="s">
        <v>62</v>
      </c>
      <c r="AC276" s="1" t="s">
        <v>71</v>
      </c>
      <c r="AG276" s="1" t="s">
        <v>51</v>
      </c>
      <c r="AH276" s="2">
        <v>400.0</v>
      </c>
      <c r="AI276" s="2">
        <v>0.0</v>
      </c>
      <c r="AJ276" s="2">
        <v>0.0</v>
      </c>
      <c r="AK276" s="2">
        <v>0.0</v>
      </c>
      <c r="AL276" s="2">
        <v>1.0</v>
      </c>
      <c r="AM276" s="1" t="s">
        <v>51</v>
      </c>
      <c r="AN276" s="2">
        <v>6.93913293E8</v>
      </c>
      <c r="AP276" s="2">
        <v>4.90434959E8</v>
      </c>
      <c r="AQ276" s="1" t="s">
        <v>408</v>
      </c>
      <c r="AR276" s="2">
        <v>45809.49349537037</v>
      </c>
      <c r="AU276" s="1" t="s">
        <v>64</v>
      </c>
      <c r="AW276" s="1" t="s">
        <v>255</v>
      </c>
      <c r="AY276" s="2">
        <v>270.0</v>
      </c>
    </row>
    <row r="277">
      <c r="A277" s="1" t="s">
        <v>51</v>
      </c>
      <c r="C277" s="1" t="s">
        <v>131</v>
      </c>
      <c r="E277" s="1" t="s">
        <v>53</v>
      </c>
      <c r="F277" s="1" t="s">
        <v>54</v>
      </c>
      <c r="G277" s="2">
        <v>32.0</v>
      </c>
      <c r="H277" s="1" t="s">
        <v>55</v>
      </c>
      <c r="I277" s="1" t="s">
        <v>67</v>
      </c>
      <c r="J277" s="1" t="s">
        <v>68</v>
      </c>
      <c r="K277" s="1" t="s">
        <v>57</v>
      </c>
      <c r="M277" s="1" t="s">
        <v>58</v>
      </c>
      <c r="N277" s="1" t="s">
        <v>58</v>
      </c>
      <c r="O277" s="1" t="s">
        <v>70</v>
      </c>
      <c r="Q277" s="1" t="s">
        <v>69</v>
      </c>
      <c r="R277" s="1" t="s">
        <v>58</v>
      </c>
      <c r="S277" s="1" t="s">
        <v>69</v>
      </c>
      <c r="T277" s="1" t="s">
        <v>69</v>
      </c>
      <c r="U277" s="1" t="s">
        <v>70</v>
      </c>
      <c r="V277" s="1" t="s">
        <v>69</v>
      </c>
      <c r="W277" s="1" t="s">
        <v>69</v>
      </c>
      <c r="X277" s="1" t="s">
        <v>81</v>
      </c>
      <c r="Y277" s="1" t="s">
        <v>82</v>
      </c>
      <c r="Z277" s="1" t="s">
        <v>96</v>
      </c>
      <c r="AA277" s="2">
        <v>100.0</v>
      </c>
      <c r="AB277" s="1" t="s">
        <v>79</v>
      </c>
      <c r="AC277" s="1" t="s">
        <v>72</v>
      </c>
      <c r="AF277" s="1" t="s">
        <v>51</v>
      </c>
      <c r="AG277" s="1" t="s">
        <v>51</v>
      </c>
      <c r="AH277" s="2">
        <v>10.0</v>
      </c>
      <c r="AI277" s="2">
        <v>0.0</v>
      </c>
      <c r="AJ277" s="2">
        <v>0.0</v>
      </c>
      <c r="AK277" s="2">
        <v>0.0</v>
      </c>
      <c r="AL277" s="2">
        <v>1.0</v>
      </c>
      <c r="AM277" s="1" t="s">
        <v>51</v>
      </c>
      <c r="AN277" s="2">
        <v>6.37219103E8</v>
      </c>
      <c r="AP277" s="2">
        <v>4.90437016E8</v>
      </c>
      <c r="AQ277" s="1" t="s">
        <v>409</v>
      </c>
      <c r="AR277" s="2">
        <v>45809.498460648145</v>
      </c>
      <c r="AU277" s="1" t="s">
        <v>64</v>
      </c>
      <c r="AW277" s="1" t="s">
        <v>255</v>
      </c>
      <c r="AY277" s="2">
        <v>271.0</v>
      </c>
    </row>
    <row r="278">
      <c r="A278" s="1" t="s">
        <v>51</v>
      </c>
      <c r="C278" s="1" t="s">
        <v>151</v>
      </c>
      <c r="E278" s="1" t="s">
        <v>151</v>
      </c>
      <c r="G278" s="2">
        <v>33.0</v>
      </c>
      <c r="H278" s="1" t="s">
        <v>55</v>
      </c>
      <c r="J278" s="1" t="s">
        <v>86</v>
      </c>
      <c r="K278" s="1" t="s">
        <v>74</v>
      </c>
      <c r="M278" s="1" t="s">
        <v>58</v>
      </c>
      <c r="N278" s="1" t="s">
        <v>58</v>
      </c>
      <c r="O278" s="1" t="s">
        <v>69</v>
      </c>
      <c r="Q278" s="1" t="s">
        <v>69</v>
      </c>
      <c r="R278" s="1" t="s">
        <v>58</v>
      </c>
      <c r="S278" s="1" t="s">
        <v>69</v>
      </c>
      <c r="T278" s="1" t="s">
        <v>69</v>
      </c>
      <c r="U278" s="1" t="s">
        <v>58</v>
      </c>
      <c r="V278" s="1" t="s">
        <v>58</v>
      </c>
      <c r="W278" s="1" t="s">
        <v>69</v>
      </c>
      <c r="X278" s="1" t="s">
        <v>81</v>
      </c>
      <c r="Y278" s="1" t="s">
        <v>82</v>
      </c>
      <c r="Z278" s="1" t="s">
        <v>89</v>
      </c>
      <c r="AA278" s="2">
        <v>20.0</v>
      </c>
      <c r="AB278" s="1" t="s">
        <v>62</v>
      </c>
      <c r="AC278" s="1" t="s">
        <v>71</v>
      </c>
      <c r="AF278" s="1" t="s">
        <v>51</v>
      </c>
      <c r="AG278" s="1" t="s">
        <v>72</v>
      </c>
      <c r="AI278" s="2">
        <v>1.0</v>
      </c>
      <c r="AJ278" s="2">
        <v>1.0</v>
      </c>
      <c r="AK278" s="2">
        <v>1.0</v>
      </c>
      <c r="AL278" s="2">
        <v>0.0</v>
      </c>
      <c r="AP278" s="2">
        <v>4.90437613E8</v>
      </c>
      <c r="AQ278" s="1" t="s">
        <v>410</v>
      </c>
      <c r="AR278" s="2">
        <v>45809.500081018516</v>
      </c>
      <c r="AU278" s="1" t="s">
        <v>64</v>
      </c>
      <c r="AW278" s="1" t="s">
        <v>255</v>
      </c>
      <c r="AY278" s="2">
        <v>272.0</v>
      </c>
    </row>
    <row r="279">
      <c r="A279" s="1" t="s">
        <v>51</v>
      </c>
      <c r="C279" s="1" t="s">
        <v>151</v>
      </c>
      <c r="E279" s="1" t="s">
        <v>53</v>
      </c>
      <c r="F279" s="1" t="s">
        <v>102</v>
      </c>
      <c r="G279" s="2">
        <v>19.0</v>
      </c>
      <c r="H279" s="1" t="s">
        <v>55</v>
      </c>
      <c r="I279" s="1" t="s">
        <v>100</v>
      </c>
      <c r="J279" s="1" t="s">
        <v>56</v>
      </c>
      <c r="K279" s="1" t="s">
        <v>57</v>
      </c>
      <c r="M279" s="1" t="s">
        <v>70</v>
      </c>
      <c r="N279" s="1" t="s">
        <v>70</v>
      </c>
      <c r="O279" s="1" t="s">
        <v>69</v>
      </c>
      <c r="Q279" s="1" t="s">
        <v>70</v>
      </c>
      <c r="R279" s="1" t="s">
        <v>70</v>
      </c>
      <c r="S279" s="1" t="s">
        <v>58</v>
      </c>
      <c r="T279" s="1" t="s">
        <v>58</v>
      </c>
      <c r="U279" s="1" t="s">
        <v>70</v>
      </c>
      <c r="V279" s="1" t="s">
        <v>58</v>
      </c>
      <c r="W279" s="1" t="s">
        <v>58</v>
      </c>
      <c r="X279" s="1" t="s">
        <v>59</v>
      </c>
      <c r="Y279" s="1" t="s">
        <v>60</v>
      </c>
      <c r="Z279" s="1" t="s">
        <v>89</v>
      </c>
      <c r="AA279" s="2">
        <v>50.0</v>
      </c>
      <c r="AB279" s="1" t="s">
        <v>79</v>
      </c>
      <c r="AC279" s="1" t="s">
        <v>72</v>
      </c>
      <c r="AF279" s="1" t="s">
        <v>51</v>
      </c>
      <c r="AG279" s="1" t="s">
        <v>51</v>
      </c>
      <c r="AH279" s="2">
        <v>100.0</v>
      </c>
      <c r="AI279" s="2">
        <v>0.0</v>
      </c>
      <c r="AJ279" s="2">
        <v>1.0</v>
      </c>
      <c r="AK279" s="2">
        <v>0.0</v>
      </c>
      <c r="AL279" s="2">
        <v>0.0</v>
      </c>
      <c r="AM279" s="1" t="s">
        <v>72</v>
      </c>
      <c r="AP279" s="2">
        <v>4.90438774E8</v>
      </c>
      <c r="AQ279" s="1" t="s">
        <v>411</v>
      </c>
      <c r="AR279" s="2">
        <v>45809.50295138889</v>
      </c>
      <c r="AU279" s="1" t="s">
        <v>64</v>
      </c>
      <c r="AW279" s="1" t="s">
        <v>255</v>
      </c>
      <c r="AY279" s="2">
        <v>273.0</v>
      </c>
    </row>
    <row r="280">
      <c r="A280" s="1" t="s">
        <v>51</v>
      </c>
      <c r="C280" s="1" t="s">
        <v>151</v>
      </c>
      <c r="E280" s="1" t="s">
        <v>53</v>
      </c>
      <c r="F280" s="1" t="s">
        <v>232</v>
      </c>
      <c r="G280" s="2">
        <v>29.0</v>
      </c>
      <c r="H280" s="1" t="s">
        <v>66</v>
      </c>
      <c r="I280" s="1" t="s">
        <v>67</v>
      </c>
      <c r="J280" s="1" t="s">
        <v>68</v>
      </c>
      <c r="K280" s="1" t="s">
        <v>92</v>
      </c>
      <c r="M280" s="1" t="s">
        <v>58</v>
      </c>
      <c r="N280" s="1" t="s">
        <v>58</v>
      </c>
      <c r="O280" s="1" t="s">
        <v>69</v>
      </c>
      <c r="Q280" s="1" t="s">
        <v>58</v>
      </c>
      <c r="R280" s="1" t="s">
        <v>58</v>
      </c>
      <c r="S280" s="1" t="s">
        <v>69</v>
      </c>
      <c r="T280" s="1" t="s">
        <v>69</v>
      </c>
      <c r="U280" s="1" t="s">
        <v>70</v>
      </c>
      <c r="V280" s="1" t="s">
        <v>58</v>
      </c>
      <c r="W280" s="1" t="s">
        <v>69</v>
      </c>
      <c r="X280" s="1" t="s">
        <v>81</v>
      </c>
      <c r="Y280" s="1" t="s">
        <v>82</v>
      </c>
      <c r="Z280" s="1" t="s">
        <v>61</v>
      </c>
      <c r="AA280" s="2">
        <v>20.0</v>
      </c>
      <c r="AB280" s="1" t="s">
        <v>79</v>
      </c>
      <c r="AC280" s="1" t="s">
        <v>71</v>
      </c>
      <c r="AF280" s="1" t="s">
        <v>51</v>
      </c>
      <c r="AG280" s="1" t="s">
        <v>51</v>
      </c>
      <c r="AH280" s="2">
        <v>250.0</v>
      </c>
      <c r="AI280" s="2">
        <v>1.0</v>
      </c>
      <c r="AJ280" s="2">
        <v>1.0</v>
      </c>
      <c r="AK280" s="2">
        <v>1.0</v>
      </c>
      <c r="AL280" s="2">
        <v>1.0</v>
      </c>
      <c r="AM280" s="1" t="s">
        <v>72</v>
      </c>
      <c r="AP280" s="2">
        <v>4.90440004E8</v>
      </c>
      <c r="AQ280" s="1" t="s">
        <v>412</v>
      </c>
      <c r="AR280" s="2">
        <v>45809.505162037036</v>
      </c>
      <c r="AU280" s="1" t="s">
        <v>64</v>
      </c>
      <c r="AW280" s="1" t="s">
        <v>255</v>
      </c>
      <c r="AY280" s="2">
        <v>274.0</v>
      </c>
    </row>
    <row r="281">
      <c r="A281" s="1" t="s">
        <v>51</v>
      </c>
      <c r="C281" s="1" t="s">
        <v>151</v>
      </c>
      <c r="E281" s="1" t="s">
        <v>53</v>
      </c>
      <c r="F281" s="1" t="s">
        <v>102</v>
      </c>
      <c r="G281" s="2">
        <v>25.0</v>
      </c>
      <c r="H281" s="1" t="s">
        <v>55</v>
      </c>
      <c r="I281" s="1" t="s">
        <v>76</v>
      </c>
      <c r="J281" s="1" t="s">
        <v>68</v>
      </c>
      <c r="K281" s="1" t="s">
        <v>74</v>
      </c>
      <c r="M281" s="1" t="s">
        <v>58</v>
      </c>
      <c r="N281" s="1" t="s">
        <v>58</v>
      </c>
      <c r="O281" s="1" t="s">
        <v>69</v>
      </c>
      <c r="Q281" s="1" t="s">
        <v>69</v>
      </c>
      <c r="R281" s="1" t="s">
        <v>58</v>
      </c>
      <c r="S281" s="1" t="s">
        <v>58</v>
      </c>
      <c r="T281" s="1" t="s">
        <v>58</v>
      </c>
      <c r="U281" s="1" t="s">
        <v>70</v>
      </c>
      <c r="V281" s="1" t="s">
        <v>58</v>
      </c>
      <c r="W281" s="1" t="s">
        <v>58</v>
      </c>
      <c r="X281" s="1" t="s">
        <v>81</v>
      </c>
      <c r="Y281" s="1" t="s">
        <v>82</v>
      </c>
      <c r="Z281" s="1" t="s">
        <v>61</v>
      </c>
      <c r="AA281" s="2">
        <v>10.0</v>
      </c>
      <c r="AB281" s="1" t="s">
        <v>62</v>
      </c>
      <c r="AC281" s="1" t="s">
        <v>71</v>
      </c>
      <c r="AF281" s="1" t="s">
        <v>51</v>
      </c>
      <c r="AG281" s="1" t="s">
        <v>72</v>
      </c>
      <c r="AI281" s="2">
        <v>0.0</v>
      </c>
      <c r="AJ281" s="2">
        <v>0.0</v>
      </c>
      <c r="AK281" s="2">
        <v>0.0</v>
      </c>
      <c r="AL281" s="2">
        <v>1.0</v>
      </c>
      <c r="AM281" s="1" t="s">
        <v>72</v>
      </c>
      <c r="AP281" s="2">
        <v>4.90442696E8</v>
      </c>
      <c r="AQ281" s="1" t="s">
        <v>413</v>
      </c>
      <c r="AR281" s="2">
        <v>45809.510833333334</v>
      </c>
      <c r="AU281" s="1" t="s">
        <v>64</v>
      </c>
      <c r="AW281" s="1" t="s">
        <v>255</v>
      </c>
      <c r="AY281" s="2">
        <v>275.0</v>
      </c>
    </row>
    <row r="282">
      <c r="A282" s="1" t="s">
        <v>51</v>
      </c>
      <c r="C282" s="1" t="s">
        <v>151</v>
      </c>
      <c r="E282" s="1" t="s">
        <v>151</v>
      </c>
      <c r="G282" s="2">
        <v>46.0</v>
      </c>
      <c r="H282" s="1" t="s">
        <v>66</v>
      </c>
      <c r="J282" s="1" t="s">
        <v>111</v>
      </c>
      <c r="K282" s="1" t="s">
        <v>87</v>
      </c>
      <c r="M282" s="1" t="s">
        <v>58</v>
      </c>
      <c r="N282" s="1" t="s">
        <v>58</v>
      </c>
      <c r="O282" s="1" t="s">
        <v>69</v>
      </c>
      <c r="Q282" s="1" t="s">
        <v>69</v>
      </c>
      <c r="R282" s="1" t="s">
        <v>69</v>
      </c>
      <c r="S282" s="1" t="s">
        <v>69</v>
      </c>
      <c r="T282" s="1" t="s">
        <v>58</v>
      </c>
      <c r="U282" s="1" t="s">
        <v>69</v>
      </c>
      <c r="V282" s="1" t="s">
        <v>58</v>
      </c>
      <c r="W282" s="1" t="s">
        <v>69</v>
      </c>
      <c r="X282" s="1" t="s">
        <v>81</v>
      </c>
      <c r="Y282" s="1" t="s">
        <v>82</v>
      </c>
      <c r="Z282" s="1" t="s">
        <v>61</v>
      </c>
      <c r="AA282" s="2">
        <v>10.0</v>
      </c>
      <c r="AB282" s="1" t="s">
        <v>79</v>
      </c>
      <c r="AC282" s="1" t="s">
        <v>71</v>
      </c>
      <c r="AF282" s="1" t="s">
        <v>51</v>
      </c>
      <c r="AG282" s="1" t="s">
        <v>72</v>
      </c>
      <c r="AI282" s="2">
        <v>1.0</v>
      </c>
      <c r="AJ282" s="2">
        <v>1.0</v>
      </c>
      <c r="AK282" s="2">
        <v>0.0</v>
      </c>
      <c r="AL282" s="2">
        <v>0.0</v>
      </c>
      <c r="AP282" s="2">
        <v>4.90445028E8</v>
      </c>
      <c r="AQ282" s="1" t="s">
        <v>414</v>
      </c>
      <c r="AR282" s="2">
        <v>45809.516122685185</v>
      </c>
      <c r="AU282" s="1" t="s">
        <v>64</v>
      </c>
      <c r="AW282" s="1" t="s">
        <v>255</v>
      </c>
      <c r="AY282" s="2">
        <v>276.0</v>
      </c>
    </row>
    <row r="283">
      <c r="A283" s="1" t="s">
        <v>51</v>
      </c>
      <c r="C283" s="1" t="s">
        <v>151</v>
      </c>
      <c r="E283" s="1" t="s">
        <v>151</v>
      </c>
      <c r="G283" s="2">
        <v>20.0</v>
      </c>
      <c r="H283" s="1" t="s">
        <v>55</v>
      </c>
      <c r="J283" s="1" t="s">
        <v>68</v>
      </c>
      <c r="K283" s="1" t="s">
        <v>74</v>
      </c>
      <c r="M283" s="1" t="s">
        <v>58</v>
      </c>
      <c r="N283" s="1" t="s">
        <v>58</v>
      </c>
      <c r="O283" s="1" t="s">
        <v>69</v>
      </c>
      <c r="Q283" s="1" t="s">
        <v>69</v>
      </c>
      <c r="R283" s="1" t="s">
        <v>58</v>
      </c>
      <c r="S283" s="1" t="s">
        <v>69</v>
      </c>
      <c r="T283" s="1" t="s">
        <v>69</v>
      </c>
      <c r="U283" s="1" t="s">
        <v>70</v>
      </c>
      <c r="V283" s="1" t="s">
        <v>58</v>
      </c>
      <c r="W283" s="1" t="s">
        <v>69</v>
      </c>
      <c r="X283" s="1" t="s">
        <v>81</v>
      </c>
      <c r="Y283" s="1" t="s">
        <v>60</v>
      </c>
      <c r="Z283" s="1" t="s">
        <v>61</v>
      </c>
      <c r="AA283" s="2">
        <v>10.0</v>
      </c>
      <c r="AB283" s="1" t="s">
        <v>79</v>
      </c>
      <c r="AC283" s="1" t="s">
        <v>71</v>
      </c>
      <c r="AF283" s="1" t="s">
        <v>51</v>
      </c>
      <c r="AG283" s="1" t="s">
        <v>72</v>
      </c>
      <c r="AI283" s="2">
        <v>1.0</v>
      </c>
      <c r="AJ283" s="2">
        <v>1.0</v>
      </c>
      <c r="AK283" s="2">
        <v>1.0</v>
      </c>
      <c r="AL283" s="2">
        <v>1.0</v>
      </c>
      <c r="AP283" s="2">
        <v>4.9044811E8</v>
      </c>
      <c r="AQ283" s="1" t="s">
        <v>415</v>
      </c>
      <c r="AR283" s="2">
        <v>45809.52318287037</v>
      </c>
      <c r="AU283" s="1" t="s">
        <v>64</v>
      </c>
      <c r="AW283" s="1" t="s">
        <v>255</v>
      </c>
      <c r="AY283" s="2">
        <v>277.0</v>
      </c>
    </row>
    <row r="284">
      <c r="A284" s="1" t="s">
        <v>51</v>
      </c>
      <c r="C284" s="1" t="s">
        <v>151</v>
      </c>
      <c r="E284" s="1" t="s">
        <v>53</v>
      </c>
      <c r="G284" s="2">
        <v>25.0</v>
      </c>
      <c r="H284" s="1" t="s">
        <v>55</v>
      </c>
      <c r="J284" s="1" t="s">
        <v>56</v>
      </c>
      <c r="K284" s="1" t="s">
        <v>87</v>
      </c>
      <c r="M284" s="1" t="s">
        <v>58</v>
      </c>
      <c r="N284" s="1" t="s">
        <v>58</v>
      </c>
      <c r="O284" s="1" t="s">
        <v>58</v>
      </c>
      <c r="Q284" s="1" t="s">
        <v>58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81</v>
      </c>
      <c r="Y284" s="1" t="s">
        <v>95</v>
      </c>
      <c r="Z284" s="1" t="s">
        <v>89</v>
      </c>
      <c r="AA284" s="2">
        <v>10.0</v>
      </c>
      <c r="AB284" s="1" t="s">
        <v>79</v>
      </c>
      <c r="AC284" s="1" t="s">
        <v>51</v>
      </c>
      <c r="AD284" s="1" t="s">
        <v>81</v>
      </c>
      <c r="AE284" s="1" t="s">
        <v>51</v>
      </c>
      <c r="AF284" s="1" t="s">
        <v>51</v>
      </c>
      <c r="AG284" s="1" t="s">
        <v>72</v>
      </c>
      <c r="AI284" s="2">
        <v>1.0</v>
      </c>
      <c r="AJ284" s="2">
        <v>0.0</v>
      </c>
      <c r="AK284" s="2">
        <v>0.0</v>
      </c>
      <c r="AL284" s="2">
        <v>0.0</v>
      </c>
      <c r="AM284" s="1" t="s">
        <v>51</v>
      </c>
      <c r="AN284" s="2">
        <v>6.32773846E8</v>
      </c>
      <c r="AP284" s="2">
        <v>4.90506285E8</v>
      </c>
      <c r="AQ284" s="1" t="s">
        <v>416</v>
      </c>
      <c r="AR284" s="2">
        <v>45809.63078703704</v>
      </c>
      <c r="AU284" s="1" t="s">
        <v>64</v>
      </c>
      <c r="AW284" s="1" t="s">
        <v>255</v>
      </c>
      <c r="AY284" s="2">
        <v>278.0</v>
      </c>
    </row>
    <row r="285">
      <c r="A285" s="1" t="s">
        <v>51</v>
      </c>
      <c r="C285" s="1" t="s">
        <v>131</v>
      </c>
      <c r="E285" s="1" t="s">
        <v>53</v>
      </c>
      <c r="F285" s="1" t="s">
        <v>85</v>
      </c>
      <c r="G285" s="2">
        <v>20.0</v>
      </c>
      <c r="H285" s="1" t="s">
        <v>55</v>
      </c>
      <c r="I285" s="1" t="s">
        <v>100</v>
      </c>
      <c r="J285" s="1" t="s">
        <v>111</v>
      </c>
      <c r="K285" s="1" t="s">
        <v>57</v>
      </c>
      <c r="M285" s="1" t="s">
        <v>58</v>
      </c>
      <c r="N285" s="1" t="s">
        <v>58</v>
      </c>
      <c r="O285" s="1" t="s">
        <v>58</v>
      </c>
      <c r="Q285" s="1" t="s">
        <v>58</v>
      </c>
      <c r="R285" s="1" t="s">
        <v>58</v>
      </c>
      <c r="S285" s="1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1" t="s">
        <v>59</v>
      </c>
      <c r="Y285" s="1" t="s">
        <v>60</v>
      </c>
      <c r="Z285" s="1" t="s">
        <v>89</v>
      </c>
      <c r="AA285" s="2">
        <v>30.0</v>
      </c>
      <c r="AB285" s="1" t="s">
        <v>62</v>
      </c>
      <c r="AC285" s="1" t="s">
        <v>51</v>
      </c>
      <c r="AD285" s="1" t="s">
        <v>59</v>
      </c>
      <c r="AE285" s="1" t="s">
        <v>51</v>
      </c>
      <c r="AF285" s="1" t="s">
        <v>51</v>
      </c>
      <c r="AG285" s="1" t="s">
        <v>51</v>
      </c>
      <c r="AH285" s="2">
        <v>5.0</v>
      </c>
      <c r="AI285" s="2">
        <v>0.0</v>
      </c>
      <c r="AJ285" s="2">
        <v>1.0</v>
      </c>
      <c r="AK285" s="2">
        <v>0.0</v>
      </c>
      <c r="AL285" s="2">
        <v>0.0</v>
      </c>
      <c r="AM285" s="1" t="s">
        <v>51</v>
      </c>
      <c r="AN285" s="2">
        <v>6.5515584E8</v>
      </c>
      <c r="AP285" s="2">
        <v>4.90507921E8</v>
      </c>
      <c r="AQ285" s="1" t="s">
        <v>417</v>
      </c>
      <c r="AR285" s="2">
        <v>45809.633368055554</v>
      </c>
      <c r="AU285" s="1" t="s">
        <v>64</v>
      </c>
      <c r="AW285" s="1" t="s">
        <v>255</v>
      </c>
      <c r="AY285" s="2">
        <v>279.0</v>
      </c>
    </row>
    <row r="286">
      <c r="A286" s="1" t="s">
        <v>51</v>
      </c>
      <c r="C286" s="1" t="s">
        <v>131</v>
      </c>
      <c r="E286" s="1" t="s">
        <v>53</v>
      </c>
      <c r="F286" s="1" t="s">
        <v>291</v>
      </c>
      <c r="G286" s="2">
        <v>22.0</v>
      </c>
      <c r="H286" s="1" t="s">
        <v>66</v>
      </c>
      <c r="I286" s="1" t="s">
        <v>76</v>
      </c>
      <c r="J286" s="1" t="s">
        <v>68</v>
      </c>
      <c r="K286" s="1" t="s">
        <v>74</v>
      </c>
      <c r="M286" s="1" t="s">
        <v>58</v>
      </c>
      <c r="N286" s="1" t="s">
        <v>58</v>
      </c>
      <c r="O286" s="1" t="s">
        <v>58</v>
      </c>
      <c r="Q286" s="1" t="s">
        <v>58</v>
      </c>
      <c r="R286" s="1" t="s">
        <v>58</v>
      </c>
      <c r="S286" s="1" t="s">
        <v>58</v>
      </c>
      <c r="T286" s="1" t="s">
        <v>58</v>
      </c>
      <c r="U286" s="1" t="s">
        <v>58</v>
      </c>
      <c r="V286" s="1" t="s">
        <v>58</v>
      </c>
      <c r="W286" s="1" t="s">
        <v>58</v>
      </c>
      <c r="X286" s="1" t="s">
        <v>81</v>
      </c>
      <c r="Y286" s="1" t="s">
        <v>82</v>
      </c>
      <c r="Z286" s="1" t="s">
        <v>108</v>
      </c>
      <c r="AA286" s="2">
        <v>50.0</v>
      </c>
      <c r="AB286" s="1" t="s">
        <v>79</v>
      </c>
      <c r="AC286" s="1" t="s">
        <v>51</v>
      </c>
      <c r="AD286" s="1" t="s">
        <v>59</v>
      </c>
      <c r="AE286" s="1" t="s">
        <v>51</v>
      </c>
      <c r="AF286" s="1" t="s">
        <v>51</v>
      </c>
      <c r="AG286" s="1" t="s">
        <v>51</v>
      </c>
      <c r="AH286" s="2">
        <v>3.0</v>
      </c>
      <c r="AI286" s="2">
        <v>1.0</v>
      </c>
      <c r="AJ286" s="2">
        <v>0.0</v>
      </c>
      <c r="AK286" s="2">
        <v>0.0</v>
      </c>
      <c r="AL286" s="2">
        <v>0.0</v>
      </c>
      <c r="AM286" s="1" t="s">
        <v>51</v>
      </c>
      <c r="AN286" s="2">
        <v>6.311026E8</v>
      </c>
      <c r="AP286" s="2">
        <v>4.90509604E8</v>
      </c>
      <c r="AQ286" s="1" t="s">
        <v>418</v>
      </c>
      <c r="AR286" s="2">
        <v>45809.636712962965</v>
      </c>
      <c r="AU286" s="1" t="s">
        <v>64</v>
      </c>
      <c r="AW286" s="1" t="s">
        <v>255</v>
      </c>
      <c r="AY286" s="2">
        <v>280.0</v>
      </c>
    </row>
    <row r="287">
      <c r="A287" s="1" t="s">
        <v>51</v>
      </c>
      <c r="C287" s="1" t="s">
        <v>131</v>
      </c>
      <c r="E287" s="1" t="s">
        <v>53</v>
      </c>
      <c r="F287" s="1" t="s">
        <v>291</v>
      </c>
      <c r="G287" s="2">
        <v>25.0</v>
      </c>
      <c r="H287" s="1" t="s">
        <v>55</v>
      </c>
      <c r="I287" s="1" t="s">
        <v>419</v>
      </c>
      <c r="J287" s="1" t="s">
        <v>86</v>
      </c>
      <c r="K287" s="1" t="s">
        <v>78</v>
      </c>
      <c r="M287" s="1" t="s">
        <v>70</v>
      </c>
      <c r="N287" s="1" t="s">
        <v>58</v>
      </c>
      <c r="O287" s="1" t="s">
        <v>58</v>
      </c>
      <c r="Q287" s="1" t="s">
        <v>58</v>
      </c>
      <c r="R287" s="1" t="s">
        <v>58</v>
      </c>
      <c r="S287" s="1" t="s">
        <v>58</v>
      </c>
      <c r="T287" s="1" t="s">
        <v>58</v>
      </c>
      <c r="U287" s="1" t="s">
        <v>58</v>
      </c>
      <c r="V287" s="1" t="s">
        <v>58</v>
      </c>
      <c r="W287" s="1" t="s">
        <v>58</v>
      </c>
      <c r="X287" s="1" t="s">
        <v>88</v>
      </c>
      <c r="Y287" s="1" t="s">
        <v>60</v>
      </c>
      <c r="Z287" s="1" t="s">
        <v>127</v>
      </c>
      <c r="AA287" s="2">
        <v>20.0</v>
      </c>
      <c r="AB287" s="1" t="s">
        <v>79</v>
      </c>
      <c r="AC287" s="1" t="s">
        <v>51</v>
      </c>
      <c r="AD287" s="1" t="s">
        <v>59</v>
      </c>
      <c r="AE287" s="1" t="s">
        <v>51</v>
      </c>
      <c r="AF287" s="1" t="s">
        <v>51</v>
      </c>
      <c r="AG287" s="1" t="s">
        <v>51</v>
      </c>
      <c r="AH287" s="2">
        <v>2.0</v>
      </c>
      <c r="AI287" s="2">
        <v>1.0</v>
      </c>
      <c r="AJ287" s="2">
        <v>0.0</v>
      </c>
      <c r="AK287" s="2">
        <v>0.0</v>
      </c>
      <c r="AL287" s="2">
        <v>0.0</v>
      </c>
      <c r="AM287" s="1" t="s">
        <v>51</v>
      </c>
      <c r="AN287" s="2">
        <v>8.15732989E8</v>
      </c>
      <c r="AP287" s="2">
        <v>4.90509749E8</v>
      </c>
      <c r="AQ287" s="1" t="s">
        <v>420</v>
      </c>
      <c r="AR287" s="2">
        <v>45809.63701388889</v>
      </c>
      <c r="AU287" s="1" t="s">
        <v>64</v>
      </c>
      <c r="AW287" s="1" t="s">
        <v>255</v>
      </c>
      <c r="AY287" s="2">
        <v>281.0</v>
      </c>
    </row>
    <row r="288">
      <c r="A288" s="1" t="s">
        <v>51</v>
      </c>
      <c r="C288" s="1" t="s">
        <v>131</v>
      </c>
      <c r="E288" s="1" t="s">
        <v>53</v>
      </c>
      <c r="F288" s="1" t="s">
        <v>85</v>
      </c>
      <c r="G288" s="2">
        <v>23.0</v>
      </c>
      <c r="H288" s="1" t="s">
        <v>55</v>
      </c>
      <c r="I288" s="1" t="s">
        <v>67</v>
      </c>
      <c r="J288" s="1" t="s">
        <v>111</v>
      </c>
      <c r="K288" s="1" t="s">
        <v>78</v>
      </c>
      <c r="M288" s="1" t="s">
        <v>58</v>
      </c>
      <c r="N288" s="1" t="s">
        <v>58</v>
      </c>
      <c r="O288" s="1" t="s">
        <v>58</v>
      </c>
      <c r="Q288" s="1" t="s">
        <v>58</v>
      </c>
      <c r="R288" s="1" t="s">
        <v>70</v>
      </c>
      <c r="T288" s="1" t="s">
        <v>58</v>
      </c>
      <c r="U288" s="1" t="s">
        <v>70</v>
      </c>
      <c r="V288" s="1" t="s">
        <v>58</v>
      </c>
      <c r="W288" s="1" t="s">
        <v>58</v>
      </c>
      <c r="X288" s="1" t="s">
        <v>81</v>
      </c>
      <c r="Y288" s="1" t="s">
        <v>172</v>
      </c>
      <c r="Z288" s="1" t="s">
        <v>127</v>
      </c>
      <c r="AA288" s="2">
        <v>10.0</v>
      </c>
      <c r="AB288" s="1" t="s">
        <v>79</v>
      </c>
      <c r="AC288" s="1" t="s">
        <v>51</v>
      </c>
      <c r="AD288" s="1" t="s">
        <v>81</v>
      </c>
      <c r="AE288" s="1" t="s">
        <v>51</v>
      </c>
      <c r="AF288" s="1" t="s">
        <v>51</v>
      </c>
      <c r="AG288" s="1" t="s">
        <v>51</v>
      </c>
      <c r="AH288" s="2">
        <v>6.0</v>
      </c>
      <c r="AI288" s="2">
        <v>0.0</v>
      </c>
      <c r="AJ288" s="2">
        <v>1.0</v>
      </c>
      <c r="AK288" s="2">
        <v>0.0</v>
      </c>
      <c r="AL288" s="2">
        <v>0.0</v>
      </c>
      <c r="AM288" s="1" t="s">
        <v>51</v>
      </c>
      <c r="AN288" s="2">
        <v>6.1713361E8</v>
      </c>
      <c r="AP288" s="2">
        <v>4.90511459E8</v>
      </c>
      <c r="AQ288" s="1" t="s">
        <v>421</v>
      </c>
      <c r="AR288" s="2">
        <v>45809.63978009259</v>
      </c>
      <c r="AU288" s="1" t="s">
        <v>64</v>
      </c>
      <c r="AW288" s="1" t="s">
        <v>255</v>
      </c>
      <c r="AY288" s="2">
        <v>282.0</v>
      </c>
    </row>
    <row r="289">
      <c r="A289" s="1" t="s">
        <v>51</v>
      </c>
      <c r="C289" s="1" t="s">
        <v>131</v>
      </c>
      <c r="E289" s="1" t="s">
        <v>53</v>
      </c>
      <c r="F289" s="1" t="s">
        <v>85</v>
      </c>
      <c r="G289" s="2">
        <v>29.0</v>
      </c>
      <c r="H289" s="1" t="s">
        <v>66</v>
      </c>
      <c r="I289" s="1" t="s">
        <v>67</v>
      </c>
      <c r="J289" s="1" t="s">
        <v>111</v>
      </c>
      <c r="K289" s="1" t="s">
        <v>78</v>
      </c>
      <c r="M289" s="1" t="s">
        <v>70</v>
      </c>
      <c r="N289" s="1" t="s">
        <v>58</v>
      </c>
      <c r="O289" s="1" t="s">
        <v>58</v>
      </c>
      <c r="Q289" s="1" t="s">
        <v>70</v>
      </c>
      <c r="R289" s="1" t="s">
        <v>58</v>
      </c>
      <c r="S289" s="1" t="s">
        <v>58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59</v>
      </c>
      <c r="Y289" s="1" t="s">
        <v>82</v>
      </c>
      <c r="Z289" s="1" t="s">
        <v>89</v>
      </c>
      <c r="AA289" s="2">
        <v>30.0</v>
      </c>
      <c r="AB289" s="1" t="s">
        <v>62</v>
      </c>
      <c r="AC289" s="1" t="s">
        <v>51</v>
      </c>
      <c r="AD289" s="1" t="s">
        <v>59</v>
      </c>
      <c r="AE289" s="1" t="s">
        <v>51</v>
      </c>
      <c r="AF289" s="1" t="s">
        <v>51</v>
      </c>
      <c r="AG289" s="1" t="s">
        <v>51</v>
      </c>
      <c r="AH289" s="2">
        <v>4.0</v>
      </c>
      <c r="AI289" s="2">
        <v>0.0</v>
      </c>
      <c r="AJ289" s="2">
        <v>1.0</v>
      </c>
      <c r="AK289" s="2">
        <v>0.0</v>
      </c>
      <c r="AL289" s="2">
        <v>0.0</v>
      </c>
      <c r="AM289" s="1" t="s">
        <v>51</v>
      </c>
      <c r="AN289" s="2">
        <v>7.83879656E8</v>
      </c>
      <c r="AP289" s="2">
        <v>4.90511932E8</v>
      </c>
      <c r="AQ289" s="1" t="s">
        <v>422</v>
      </c>
      <c r="AR289" s="2">
        <v>45809.640648148146</v>
      </c>
      <c r="AU289" s="1" t="s">
        <v>64</v>
      </c>
      <c r="AW289" s="1" t="s">
        <v>255</v>
      </c>
      <c r="AY289" s="2">
        <v>283.0</v>
      </c>
    </row>
    <row r="290">
      <c r="A290" s="1" t="s">
        <v>51</v>
      </c>
      <c r="C290" s="1" t="s">
        <v>131</v>
      </c>
      <c r="E290" s="1" t="s">
        <v>53</v>
      </c>
      <c r="F290" s="1" t="s">
        <v>350</v>
      </c>
      <c r="G290" s="2">
        <v>27.0</v>
      </c>
      <c r="H290" s="1" t="s">
        <v>55</v>
      </c>
      <c r="I290" s="1" t="s">
        <v>67</v>
      </c>
      <c r="J290" s="1" t="s">
        <v>111</v>
      </c>
      <c r="K290" s="1" t="s">
        <v>57</v>
      </c>
      <c r="M290" s="1" t="s">
        <v>58</v>
      </c>
      <c r="N290" s="1" t="s">
        <v>58</v>
      </c>
      <c r="O290" s="1" t="s">
        <v>58</v>
      </c>
      <c r="Q290" s="1" t="s">
        <v>70</v>
      </c>
      <c r="R290" s="1" t="s">
        <v>58</v>
      </c>
      <c r="S290" s="1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59</v>
      </c>
      <c r="Y290" s="1" t="s">
        <v>82</v>
      </c>
      <c r="Z290" s="1" t="s">
        <v>89</v>
      </c>
      <c r="AA290" s="2">
        <v>10.0</v>
      </c>
      <c r="AB290" s="1" t="s">
        <v>79</v>
      </c>
      <c r="AC290" s="1" t="s">
        <v>51</v>
      </c>
      <c r="AD290" s="1" t="s">
        <v>59</v>
      </c>
      <c r="AE290" s="1" t="s">
        <v>51</v>
      </c>
      <c r="AF290" s="1" t="s">
        <v>51</v>
      </c>
      <c r="AG290" s="1" t="s">
        <v>51</v>
      </c>
      <c r="AH290" s="2">
        <v>8.0</v>
      </c>
      <c r="AI290" s="2">
        <v>0.0</v>
      </c>
      <c r="AJ290" s="2">
        <v>1.0</v>
      </c>
      <c r="AK290" s="2">
        <v>0.0</v>
      </c>
      <c r="AL290" s="2">
        <v>0.0</v>
      </c>
      <c r="AM290" s="1" t="s">
        <v>51</v>
      </c>
      <c r="AN290" s="2">
        <v>7.83106168E8</v>
      </c>
      <c r="AP290" s="2">
        <v>4.90512955E8</v>
      </c>
      <c r="AQ290" s="1" t="s">
        <v>423</v>
      </c>
      <c r="AR290" s="2">
        <v>45809.64240740741</v>
      </c>
      <c r="AU290" s="1" t="s">
        <v>64</v>
      </c>
      <c r="AW290" s="1" t="s">
        <v>255</v>
      </c>
      <c r="AY290" s="2">
        <v>284.0</v>
      </c>
    </row>
    <row r="291">
      <c r="A291" s="1" t="s">
        <v>51</v>
      </c>
      <c r="C291" s="1" t="s">
        <v>131</v>
      </c>
      <c r="E291" s="1" t="s">
        <v>53</v>
      </c>
      <c r="F291" s="1" t="s">
        <v>85</v>
      </c>
      <c r="G291" s="2">
        <v>21.0</v>
      </c>
      <c r="H291" s="1" t="s">
        <v>55</v>
      </c>
      <c r="I291" s="1" t="s">
        <v>419</v>
      </c>
      <c r="J291" s="1" t="s">
        <v>111</v>
      </c>
      <c r="K291" s="1" t="s">
        <v>78</v>
      </c>
      <c r="M291" s="1" t="s">
        <v>58</v>
      </c>
      <c r="N291" s="1" t="s">
        <v>58</v>
      </c>
      <c r="O291" s="1" t="s">
        <v>58</v>
      </c>
      <c r="Q291" s="1" t="s">
        <v>58</v>
      </c>
      <c r="R291" s="1" t="s">
        <v>58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59</v>
      </c>
      <c r="Y291" s="1" t="s">
        <v>60</v>
      </c>
      <c r="Z291" s="1" t="s">
        <v>89</v>
      </c>
      <c r="AA291" s="2">
        <v>10.0</v>
      </c>
      <c r="AB291" s="1" t="s">
        <v>79</v>
      </c>
      <c r="AC291" s="1" t="s">
        <v>51</v>
      </c>
      <c r="AD291" s="1" t="s">
        <v>81</v>
      </c>
      <c r="AE291" s="1" t="s">
        <v>51</v>
      </c>
      <c r="AF291" s="1" t="s">
        <v>51</v>
      </c>
      <c r="AG291" s="1" t="s">
        <v>51</v>
      </c>
      <c r="AH291" s="2">
        <v>2.0</v>
      </c>
      <c r="AI291" s="2">
        <v>1.0</v>
      </c>
      <c r="AJ291" s="2">
        <v>0.0</v>
      </c>
      <c r="AK291" s="2">
        <v>0.0</v>
      </c>
      <c r="AL291" s="2">
        <v>0.0</v>
      </c>
      <c r="AM291" s="1" t="s">
        <v>51</v>
      </c>
      <c r="AN291" s="2">
        <v>6.33869547E8</v>
      </c>
      <c r="AP291" s="2">
        <v>4.90513881E8</v>
      </c>
      <c r="AQ291" s="1" t="s">
        <v>424</v>
      </c>
      <c r="AR291" s="2">
        <v>45809.64402777778</v>
      </c>
      <c r="AU291" s="1" t="s">
        <v>64</v>
      </c>
      <c r="AW291" s="1" t="s">
        <v>255</v>
      </c>
      <c r="AY291" s="2">
        <v>285.0</v>
      </c>
    </row>
    <row r="292">
      <c r="A292" s="1" t="s">
        <v>51</v>
      </c>
      <c r="C292" s="1" t="s">
        <v>131</v>
      </c>
      <c r="E292" s="1" t="s">
        <v>53</v>
      </c>
      <c r="F292" s="1" t="s">
        <v>291</v>
      </c>
      <c r="G292" s="2">
        <v>23.0</v>
      </c>
      <c r="H292" s="1" t="s">
        <v>66</v>
      </c>
      <c r="I292" s="1" t="s">
        <v>67</v>
      </c>
      <c r="J292" s="1" t="s">
        <v>111</v>
      </c>
      <c r="K292" s="1" t="s">
        <v>57</v>
      </c>
      <c r="M292" s="1" t="s">
        <v>58</v>
      </c>
      <c r="N292" s="1" t="s">
        <v>58</v>
      </c>
      <c r="O292" s="1" t="s">
        <v>58</v>
      </c>
      <c r="Q292" s="1" t="s">
        <v>58</v>
      </c>
      <c r="R292" s="1" t="s">
        <v>58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81</v>
      </c>
      <c r="Y292" s="1" t="s">
        <v>82</v>
      </c>
      <c r="Z292" s="1" t="s">
        <v>89</v>
      </c>
      <c r="AA292" s="2">
        <v>20.0</v>
      </c>
      <c r="AB292" s="1" t="s">
        <v>62</v>
      </c>
      <c r="AC292" s="1" t="s">
        <v>51</v>
      </c>
      <c r="AD292" s="1" t="s">
        <v>81</v>
      </c>
      <c r="AE292" s="1" t="s">
        <v>51</v>
      </c>
      <c r="AF292" s="1" t="s">
        <v>51</v>
      </c>
      <c r="AG292" s="1" t="s">
        <v>51</v>
      </c>
      <c r="AH292" s="2">
        <v>4.0</v>
      </c>
      <c r="AI292" s="2">
        <v>1.0</v>
      </c>
      <c r="AJ292" s="2">
        <v>0.0</v>
      </c>
      <c r="AK292" s="2">
        <v>0.0</v>
      </c>
      <c r="AL292" s="2">
        <v>0.0</v>
      </c>
      <c r="AM292" s="1" t="s">
        <v>51</v>
      </c>
      <c r="AN292" s="2">
        <v>6.04141344E8</v>
      </c>
      <c r="AP292" s="2">
        <v>4.90516923E8</v>
      </c>
      <c r="AQ292" s="1" t="s">
        <v>425</v>
      </c>
      <c r="AR292" s="2">
        <v>45809.64916666667</v>
      </c>
      <c r="AU292" s="1" t="s">
        <v>64</v>
      </c>
      <c r="AW292" s="1" t="s">
        <v>255</v>
      </c>
      <c r="AY292" s="2">
        <v>286.0</v>
      </c>
    </row>
    <row r="293">
      <c r="A293" s="1" t="s">
        <v>51</v>
      </c>
      <c r="C293" s="1" t="s">
        <v>52</v>
      </c>
      <c r="E293" s="1" t="s">
        <v>53</v>
      </c>
      <c r="F293" s="1" t="s">
        <v>54</v>
      </c>
      <c r="G293" s="2">
        <v>32.0</v>
      </c>
      <c r="H293" s="1" t="s">
        <v>55</v>
      </c>
      <c r="I293" s="1" t="s">
        <v>100</v>
      </c>
      <c r="J293" s="1" t="s">
        <v>86</v>
      </c>
      <c r="K293" s="1" t="s">
        <v>87</v>
      </c>
      <c r="M293" s="1" t="s">
        <v>58</v>
      </c>
      <c r="N293" s="1" t="s">
        <v>58</v>
      </c>
      <c r="O293" s="1" t="s">
        <v>69</v>
      </c>
      <c r="Q293" s="1" t="s">
        <v>69</v>
      </c>
      <c r="R293" s="1" t="s">
        <v>58</v>
      </c>
      <c r="S293" s="1" t="s">
        <v>69</v>
      </c>
      <c r="T293" s="1" t="s">
        <v>69</v>
      </c>
      <c r="U293" s="1" t="s">
        <v>58</v>
      </c>
      <c r="V293" s="1" t="s">
        <v>58</v>
      </c>
      <c r="W293" s="1" t="s">
        <v>69</v>
      </c>
      <c r="X293" s="1" t="s">
        <v>88</v>
      </c>
      <c r="Y293" s="1" t="s">
        <v>95</v>
      </c>
      <c r="Z293" s="1" t="s">
        <v>108</v>
      </c>
      <c r="AA293" s="2">
        <v>100.0</v>
      </c>
      <c r="AB293" s="1" t="s">
        <v>62</v>
      </c>
      <c r="AC293" s="1" t="s">
        <v>51</v>
      </c>
      <c r="AD293" s="1" t="s">
        <v>88</v>
      </c>
      <c r="AE293" s="1" t="s">
        <v>51</v>
      </c>
      <c r="AF293" s="1" t="s">
        <v>72</v>
      </c>
      <c r="AG293" s="1" t="s">
        <v>72</v>
      </c>
      <c r="AI293" s="2">
        <v>0.0</v>
      </c>
      <c r="AJ293" s="2">
        <v>0.0</v>
      </c>
      <c r="AK293" s="2">
        <v>0.0</v>
      </c>
      <c r="AL293" s="2">
        <v>1.0</v>
      </c>
      <c r="AM293" s="1" t="s">
        <v>72</v>
      </c>
      <c r="AP293" s="2">
        <v>4.90575027E8</v>
      </c>
      <c r="AQ293" s="1" t="s">
        <v>426</v>
      </c>
      <c r="AR293" s="2">
        <v>45809.75487268518</v>
      </c>
      <c r="AU293" s="1" t="s">
        <v>64</v>
      </c>
      <c r="AW293" s="1" t="s">
        <v>255</v>
      </c>
      <c r="AY293" s="2">
        <v>287.0</v>
      </c>
    </row>
    <row r="294">
      <c r="A294" s="1" t="s">
        <v>51</v>
      </c>
      <c r="C294" s="1" t="s">
        <v>427</v>
      </c>
      <c r="E294" s="1" t="s">
        <v>53</v>
      </c>
      <c r="F294" s="1" t="s">
        <v>102</v>
      </c>
      <c r="G294" s="2">
        <v>31.0</v>
      </c>
      <c r="H294" s="1" t="s">
        <v>66</v>
      </c>
      <c r="I294" s="1" t="s">
        <v>100</v>
      </c>
      <c r="J294" s="1" t="s">
        <v>68</v>
      </c>
      <c r="K294" s="1" t="s">
        <v>57</v>
      </c>
      <c r="M294" s="1" t="s">
        <v>58</v>
      </c>
      <c r="N294" s="1" t="s">
        <v>58</v>
      </c>
      <c r="O294" s="1" t="s">
        <v>69</v>
      </c>
      <c r="Q294" s="1" t="s">
        <v>58</v>
      </c>
      <c r="R294" s="1" t="s">
        <v>58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81</v>
      </c>
      <c r="Y294" s="1" t="s">
        <v>82</v>
      </c>
      <c r="Z294" s="1" t="s">
        <v>61</v>
      </c>
      <c r="AB294" s="1" t="s">
        <v>79</v>
      </c>
      <c r="AC294" s="1" t="s">
        <v>71</v>
      </c>
      <c r="AF294" s="1" t="s">
        <v>51</v>
      </c>
      <c r="AG294" s="1" t="s">
        <v>72</v>
      </c>
      <c r="AI294" s="2">
        <v>0.0</v>
      </c>
      <c r="AJ294" s="2">
        <v>0.0</v>
      </c>
      <c r="AK294" s="2">
        <v>0.0</v>
      </c>
      <c r="AL294" s="2">
        <v>1.0</v>
      </c>
      <c r="AM294" s="1" t="s">
        <v>72</v>
      </c>
      <c r="AP294" s="2">
        <v>4.90758061E8</v>
      </c>
      <c r="AQ294" s="1" t="s">
        <v>428</v>
      </c>
      <c r="AR294" s="2">
        <v>45810.32388888889</v>
      </c>
      <c r="AU294" s="1" t="s">
        <v>64</v>
      </c>
      <c r="AW294" s="1" t="s">
        <v>255</v>
      </c>
      <c r="AY294" s="2">
        <v>288.0</v>
      </c>
    </row>
    <row r="295">
      <c r="A295" s="1" t="s">
        <v>51</v>
      </c>
      <c r="C295" s="1" t="s">
        <v>427</v>
      </c>
      <c r="E295" s="1" t="s">
        <v>53</v>
      </c>
      <c r="F295" s="1" t="s">
        <v>102</v>
      </c>
      <c r="G295" s="2">
        <v>50.0</v>
      </c>
      <c r="H295" s="1" t="s">
        <v>66</v>
      </c>
      <c r="I295" s="1" t="s">
        <v>100</v>
      </c>
      <c r="J295" s="1" t="s">
        <v>68</v>
      </c>
      <c r="K295" s="1" t="s">
        <v>78</v>
      </c>
      <c r="M295" s="1" t="s">
        <v>58</v>
      </c>
      <c r="N295" s="1" t="s">
        <v>58</v>
      </c>
      <c r="O295" s="1" t="s">
        <v>69</v>
      </c>
      <c r="Q295" s="1" t="s">
        <v>58</v>
      </c>
      <c r="R295" s="1" t="s">
        <v>58</v>
      </c>
      <c r="S295" s="1" t="s">
        <v>58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81</v>
      </c>
      <c r="Y295" s="1" t="s">
        <v>60</v>
      </c>
      <c r="Z295" s="1" t="s">
        <v>89</v>
      </c>
      <c r="AA295" s="2">
        <v>10.0</v>
      </c>
      <c r="AB295" s="1" t="s">
        <v>79</v>
      </c>
      <c r="AC295" s="1" t="s">
        <v>71</v>
      </c>
      <c r="AF295" s="1" t="s">
        <v>51</v>
      </c>
      <c r="AG295" s="1" t="s">
        <v>72</v>
      </c>
      <c r="AI295" s="2">
        <v>0.0</v>
      </c>
      <c r="AJ295" s="2">
        <v>0.0</v>
      </c>
      <c r="AK295" s="2">
        <v>0.0</v>
      </c>
      <c r="AL295" s="2">
        <v>1.0</v>
      </c>
      <c r="AM295" s="1" t="s">
        <v>72</v>
      </c>
      <c r="AP295" s="2">
        <v>4.90763616E8</v>
      </c>
      <c r="AQ295" s="1" t="s">
        <v>429</v>
      </c>
      <c r="AR295" s="2">
        <v>45810.33143518519</v>
      </c>
      <c r="AU295" s="1" t="s">
        <v>64</v>
      </c>
      <c r="AW295" s="1" t="s">
        <v>255</v>
      </c>
      <c r="AY295" s="2">
        <v>289.0</v>
      </c>
    </row>
    <row r="296">
      <c r="A296" s="1" t="s">
        <v>51</v>
      </c>
      <c r="C296" s="1" t="s">
        <v>52</v>
      </c>
      <c r="E296" s="1" t="s">
        <v>53</v>
      </c>
      <c r="F296" s="1" t="s">
        <v>54</v>
      </c>
      <c r="G296" s="2">
        <v>25.0</v>
      </c>
      <c r="H296" s="1" t="s">
        <v>66</v>
      </c>
      <c r="I296" s="1" t="s">
        <v>100</v>
      </c>
      <c r="J296" s="1" t="s">
        <v>68</v>
      </c>
      <c r="K296" s="1" t="s">
        <v>74</v>
      </c>
      <c r="M296" s="1" t="s">
        <v>58</v>
      </c>
      <c r="N296" s="1" t="s">
        <v>58</v>
      </c>
      <c r="O296" s="1" t="s">
        <v>69</v>
      </c>
      <c r="Q296" s="1" t="s">
        <v>58</v>
      </c>
      <c r="R296" s="1" t="s">
        <v>58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81</v>
      </c>
      <c r="Y296" s="1" t="s">
        <v>82</v>
      </c>
      <c r="Z296" s="1" t="s">
        <v>89</v>
      </c>
      <c r="AA296" s="2">
        <v>10.0</v>
      </c>
      <c r="AB296" s="1" t="s">
        <v>79</v>
      </c>
      <c r="AC296" s="1" t="s">
        <v>72</v>
      </c>
      <c r="AF296" s="1" t="s">
        <v>51</v>
      </c>
      <c r="AG296" s="1" t="s">
        <v>51</v>
      </c>
      <c r="AH296" s="2">
        <v>5.0</v>
      </c>
      <c r="AI296" s="2">
        <v>0.0</v>
      </c>
      <c r="AJ296" s="2">
        <v>0.0</v>
      </c>
      <c r="AK296" s="2">
        <v>0.0</v>
      </c>
      <c r="AL296" s="2">
        <v>1.0</v>
      </c>
      <c r="AM296" s="1" t="s">
        <v>72</v>
      </c>
      <c r="AP296" s="2">
        <v>4.90763804E8</v>
      </c>
      <c r="AQ296" s="1" t="s">
        <v>430</v>
      </c>
      <c r="AR296" s="2">
        <v>45810.331666666665</v>
      </c>
      <c r="AU296" s="1" t="s">
        <v>64</v>
      </c>
      <c r="AW296" s="1" t="s">
        <v>255</v>
      </c>
      <c r="AY296" s="2">
        <v>290.0</v>
      </c>
    </row>
    <row r="297">
      <c r="A297" s="1" t="s">
        <v>51</v>
      </c>
      <c r="C297" s="1" t="s">
        <v>52</v>
      </c>
      <c r="E297" s="1" t="s">
        <v>53</v>
      </c>
      <c r="F297" s="1" t="s">
        <v>54</v>
      </c>
      <c r="G297" s="2">
        <v>32.0</v>
      </c>
      <c r="H297" s="1" t="s">
        <v>66</v>
      </c>
      <c r="I297" s="1" t="s">
        <v>67</v>
      </c>
      <c r="J297" s="1" t="s">
        <v>68</v>
      </c>
      <c r="K297" s="1" t="s">
        <v>74</v>
      </c>
      <c r="M297" s="1" t="s">
        <v>58</v>
      </c>
      <c r="N297" s="1" t="s">
        <v>58</v>
      </c>
      <c r="O297" s="1" t="s">
        <v>69</v>
      </c>
      <c r="Q297" s="1" t="s">
        <v>58</v>
      </c>
      <c r="R297" s="1" t="s">
        <v>58</v>
      </c>
      <c r="S297" s="1" t="s">
        <v>69</v>
      </c>
      <c r="T297" s="1" t="s">
        <v>69</v>
      </c>
      <c r="U297" s="1" t="s">
        <v>70</v>
      </c>
      <c r="V297" s="1" t="s">
        <v>69</v>
      </c>
      <c r="W297" s="1" t="s">
        <v>69</v>
      </c>
      <c r="X297" s="1" t="s">
        <v>81</v>
      </c>
      <c r="Y297" s="1" t="s">
        <v>82</v>
      </c>
      <c r="Z297" s="1" t="s">
        <v>89</v>
      </c>
      <c r="AA297" s="2">
        <v>20.0</v>
      </c>
      <c r="AB297" s="1" t="s">
        <v>79</v>
      </c>
      <c r="AC297" s="1" t="s">
        <v>72</v>
      </c>
      <c r="AF297" s="1" t="s">
        <v>51</v>
      </c>
      <c r="AG297" s="1" t="s">
        <v>51</v>
      </c>
      <c r="AH297" s="2">
        <v>10.0</v>
      </c>
      <c r="AI297" s="2">
        <v>0.0</v>
      </c>
      <c r="AJ297" s="2">
        <v>0.0</v>
      </c>
      <c r="AK297" s="2">
        <v>0.0</v>
      </c>
      <c r="AL297" s="2">
        <v>1.0</v>
      </c>
      <c r="AM297" s="1" t="s">
        <v>72</v>
      </c>
      <c r="AP297" s="2">
        <v>4.9076591E8</v>
      </c>
      <c r="AQ297" s="1" t="s">
        <v>431</v>
      </c>
      <c r="AR297" s="2">
        <v>45810.33409722222</v>
      </c>
      <c r="AU297" s="1" t="s">
        <v>64</v>
      </c>
      <c r="AW297" s="1" t="s">
        <v>255</v>
      </c>
      <c r="AY297" s="2">
        <v>291.0</v>
      </c>
    </row>
    <row r="298">
      <c r="A298" s="1" t="s">
        <v>51</v>
      </c>
      <c r="C298" s="1" t="s">
        <v>170</v>
      </c>
      <c r="E298" s="1" t="s">
        <v>53</v>
      </c>
      <c r="F298" s="1" t="s">
        <v>54</v>
      </c>
      <c r="G298" s="2">
        <v>33.0</v>
      </c>
      <c r="H298" s="1" t="s">
        <v>66</v>
      </c>
      <c r="I298" s="1" t="s">
        <v>67</v>
      </c>
      <c r="J298" s="1" t="s">
        <v>68</v>
      </c>
      <c r="K298" s="1" t="s">
        <v>57</v>
      </c>
      <c r="M298" s="1" t="s">
        <v>58</v>
      </c>
      <c r="N298" s="1" t="s">
        <v>58</v>
      </c>
      <c r="O298" s="1" t="s">
        <v>69</v>
      </c>
      <c r="Q298" s="1" t="s">
        <v>58</v>
      </c>
      <c r="R298" s="1" t="s">
        <v>58</v>
      </c>
      <c r="S298" s="1" t="s">
        <v>69</v>
      </c>
      <c r="T298" s="1" t="s">
        <v>69</v>
      </c>
      <c r="U298" s="1" t="s">
        <v>70</v>
      </c>
      <c r="V298" s="1" t="s">
        <v>69</v>
      </c>
      <c r="W298" s="1" t="s">
        <v>58</v>
      </c>
      <c r="X298" s="1" t="s">
        <v>81</v>
      </c>
      <c r="Y298" s="1" t="s">
        <v>82</v>
      </c>
      <c r="Z298" s="1" t="s">
        <v>89</v>
      </c>
      <c r="AA298" s="2">
        <v>30.0</v>
      </c>
      <c r="AB298" s="1" t="s">
        <v>79</v>
      </c>
      <c r="AC298" s="1" t="s">
        <v>72</v>
      </c>
      <c r="AF298" s="1" t="s">
        <v>51</v>
      </c>
      <c r="AG298" s="1" t="s">
        <v>51</v>
      </c>
      <c r="AH298" s="2">
        <v>10.0</v>
      </c>
      <c r="AI298" s="2">
        <v>0.0</v>
      </c>
      <c r="AJ298" s="2">
        <v>0.0</v>
      </c>
      <c r="AK298" s="2">
        <v>0.0</v>
      </c>
      <c r="AL298" s="2">
        <v>1.0</v>
      </c>
      <c r="AM298" s="1" t="s">
        <v>72</v>
      </c>
      <c r="AP298" s="2">
        <v>4.90776313E8</v>
      </c>
      <c r="AQ298" s="1" t="s">
        <v>432</v>
      </c>
      <c r="AR298" s="2">
        <v>45810.34570601852</v>
      </c>
      <c r="AU298" s="1" t="s">
        <v>64</v>
      </c>
      <c r="AW298" s="1" t="s">
        <v>255</v>
      </c>
      <c r="AY298" s="2">
        <v>292.0</v>
      </c>
    </row>
    <row r="299">
      <c r="A299" s="1" t="s">
        <v>51</v>
      </c>
      <c r="C299" s="1" t="s">
        <v>52</v>
      </c>
      <c r="E299" s="1" t="s">
        <v>53</v>
      </c>
      <c r="F299" s="1" t="s">
        <v>54</v>
      </c>
      <c r="G299" s="2">
        <v>53.0</v>
      </c>
      <c r="H299" s="1" t="s">
        <v>66</v>
      </c>
      <c r="I299" s="1" t="s">
        <v>67</v>
      </c>
      <c r="J299" s="1" t="s">
        <v>68</v>
      </c>
      <c r="K299" s="1" t="s">
        <v>74</v>
      </c>
      <c r="M299" s="1" t="s">
        <v>58</v>
      </c>
      <c r="N299" s="1" t="s">
        <v>58</v>
      </c>
      <c r="O299" s="1" t="s">
        <v>69</v>
      </c>
      <c r="Q299" s="1" t="s">
        <v>58</v>
      </c>
      <c r="R299" s="1" t="s">
        <v>69</v>
      </c>
      <c r="S299" s="1" t="s">
        <v>69</v>
      </c>
      <c r="T299" s="1" t="s">
        <v>70</v>
      </c>
      <c r="U299" s="1" t="s">
        <v>58</v>
      </c>
      <c r="V299" s="1" t="s">
        <v>70</v>
      </c>
      <c r="W299" s="1" t="s">
        <v>69</v>
      </c>
      <c r="Y299" s="1" t="s">
        <v>227</v>
      </c>
      <c r="AA299" s="2">
        <v>50.0</v>
      </c>
      <c r="AB299" s="1" t="s">
        <v>79</v>
      </c>
      <c r="AC299" s="1" t="s">
        <v>51</v>
      </c>
      <c r="AD299" s="1" t="s">
        <v>81</v>
      </c>
      <c r="AE299" s="1" t="s">
        <v>51</v>
      </c>
      <c r="AF299" s="1" t="s">
        <v>51</v>
      </c>
      <c r="AG299" s="1" t="s">
        <v>51</v>
      </c>
      <c r="AH299" s="2">
        <v>15.0</v>
      </c>
      <c r="AI299" s="2">
        <v>0.0</v>
      </c>
      <c r="AJ299" s="2">
        <v>0.0</v>
      </c>
      <c r="AK299" s="2">
        <v>0.0</v>
      </c>
      <c r="AL299" s="2">
        <v>1.0</v>
      </c>
      <c r="AM299" s="1" t="s">
        <v>51</v>
      </c>
      <c r="AN299" s="3" t="str">
        <v>#ERROR!</v>
      </c>
      <c r="AP299" s="2">
        <v>4.90787809E8</v>
      </c>
      <c r="AQ299" s="1" t="s">
        <v>433</v>
      </c>
      <c r="AR299" s="2">
        <v>45810.3628125</v>
      </c>
      <c r="AU299" s="1" t="s">
        <v>64</v>
      </c>
      <c r="AW299" s="1" t="s">
        <v>255</v>
      </c>
      <c r="AY299" s="2">
        <v>293.0</v>
      </c>
    </row>
    <row r="300">
      <c r="A300" s="1" t="s">
        <v>51</v>
      </c>
      <c r="C300" s="1" t="s">
        <v>52</v>
      </c>
      <c r="E300" s="1" t="s">
        <v>53</v>
      </c>
      <c r="F300" s="1" t="s">
        <v>94</v>
      </c>
      <c r="G300" s="2">
        <v>42.0</v>
      </c>
      <c r="H300" s="1" t="s">
        <v>66</v>
      </c>
      <c r="I300" s="1" t="s">
        <v>67</v>
      </c>
      <c r="J300" s="1" t="s">
        <v>56</v>
      </c>
      <c r="K300" s="1" t="s">
        <v>74</v>
      </c>
      <c r="M300" s="1" t="s">
        <v>58</v>
      </c>
      <c r="N300" s="1" t="s">
        <v>58</v>
      </c>
      <c r="O300" s="1" t="s">
        <v>70</v>
      </c>
      <c r="Q300" s="1" t="s">
        <v>58</v>
      </c>
      <c r="R300" s="1" t="s">
        <v>58</v>
      </c>
      <c r="S300" s="1" t="s">
        <v>69</v>
      </c>
      <c r="T300" s="1" t="s">
        <v>58</v>
      </c>
      <c r="U300" s="1" t="s">
        <v>69</v>
      </c>
      <c r="V300" s="1" t="s">
        <v>58</v>
      </c>
      <c r="W300" s="1" t="s">
        <v>58</v>
      </c>
      <c r="X300" s="1" t="s">
        <v>81</v>
      </c>
      <c r="Y300" s="1" t="s">
        <v>82</v>
      </c>
      <c r="Z300" s="1" t="s">
        <v>108</v>
      </c>
      <c r="AA300" s="2">
        <v>10.0</v>
      </c>
      <c r="AB300" s="1" t="s">
        <v>79</v>
      </c>
      <c r="AC300" s="1" t="s">
        <v>71</v>
      </c>
      <c r="AF300" s="1" t="s">
        <v>51</v>
      </c>
      <c r="AG300" s="1" t="s">
        <v>51</v>
      </c>
      <c r="AH300" s="2">
        <v>4000.0</v>
      </c>
      <c r="AI300" s="2">
        <v>0.0</v>
      </c>
      <c r="AJ300" s="2">
        <v>0.0</v>
      </c>
      <c r="AK300" s="2">
        <v>0.0</v>
      </c>
      <c r="AL300" s="2">
        <v>1.0</v>
      </c>
      <c r="AM300" s="1" t="s">
        <v>51</v>
      </c>
      <c r="AN300" s="2">
        <v>8.44491333E8</v>
      </c>
      <c r="AP300" s="2">
        <v>4.9078864E8</v>
      </c>
      <c r="AQ300" s="1" t="s">
        <v>434</v>
      </c>
      <c r="AR300" s="2">
        <v>45810.36376157407</v>
      </c>
      <c r="AU300" s="1" t="s">
        <v>64</v>
      </c>
      <c r="AW300" s="1" t="s">
        <v>255</v>
      </c>
      <c r="AY300" s="2">
        <v>294.0</v>
      </c>
    </row>
    <row r="301">
      <c r="A301" s="1" t="s">
        <v>51</v>
      </c>
      <c r="C301" s="1" t="s">
        <v>52</v>
      </c>
      <c r="E301" s="1" t="s">
        <v>53</v>
      </c>
      <c r="F301" s="1" t="s">
        <v>54</v>
      </c>
      <c r="G301" s="2">
        <v>47.0</v>
      </c>
      <c r="H301" s="1" t="s">
        <v>66</v>
      </c>
      <c r="I301" s="1" t="s">
        <v>100</v>
      </c>
      <c r="J301" s="1" t="s">
        <v>56</v>
      </c>
      <c r="K301" s="1" t="s">
        <v>74</v>
      </c>
      <c r="M301" s="1" t="s">
        <v>58</v>
      </c>
      <c r="N301" s="1" t="s">
        <v>58</v>
      </c>
      <c r="O301" s="1" t="s">
        <v>58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81</v>
      </c>
      <c r="Y301" s="1" t="s">
        <v>82</v>
      </c>
      <c r="Z301" s="1" t="s">
        <v>61</v>
      </c>
      <c r="AA301" s="2">
        <v>20.0</v>
      </c>
      <c r="AB301" s="1" t="s">
        <v>79</v>
      </c>
      <c r="AC301" s="1" t="s">
        <v>51</v>
      </c>
      <c r="AD301" s="1" t="s">
        <v>81</v>
      </c>
      <c r="AE301" s="1" t="s">
        <v>51</v>
      </c>
      <c r="AF301" s="1" t="s">
        <v>51</v>
      </c>
      <c r="AG301" s="1" t="s">
        <v>51</v>
      </c>
      <c r="AH301" s="2">
        <v>10.0</v>
      </c>
      <c r="AI301" s="2">
        <v>0.0</v>
      </c>
      <c r="AJ301" s="2">
        <v>0.0</v>
      </c>
      <c r="AK301" s="2">
        <v>0.0</v>
      </c>
      <c r="AL301" s="2">
        <v>1.0</v>
      </c>
      <c r="AM301" s="1" t="s">
        <v>72</v>
      </c>
      <c r="AP301" s="2">
        <v>4.90791151E8</v>
      </c>
      <c r="AQ301" s="1" t="s">
        <v>435</v>
      </c>
      <c r="AR301" s="2">
        <v>45810.36685185185</v>
      </c>
      <c r="AU301" s="1" t="s">
        <v>64</v>
      </c>
      <c r="AW301" s="1" t="s">
        <v>255</v>
      </c>
      <c r="AY301" s="2">
        <v>295.0</v>
      </c>
    </row>
    <row r="302">
      <c r="A302" s="1" t="s">
        <v>51</v>
      </c>
      <c r="C302" s="1" t="s">
        <v>52</v>
      </c>
      <c r="E302" s="1" t="s">
        <v>53</v>
      </c>
      <c r="F302" s="1" t="s">
        <v>54</v>
      </c>
      <c r="G302" s="2">
        <v>45.0</v>
      </c>
      <c r="H302" s="1" t="s">
        <v>66</v>
      </c>
      <c r="I302" s="1" t="s">
        <v>100</v>
      </c>
      <c r="J302" s="1" t="s">
        <v>56</v>
      </c>
      <c r="K302" s="1" t="s">
        <v>74</v>
      </c>
      <c r="M302" s="1" t="s">
        <v>58</v>
      </c>
      <c r="N302" s="1" t="s">
        <v>58</v>
      </c>
      <c r="O302" s="1" t="s">
        <v>58</v>
      </c>
      <c r="Q302" s="1" t="s">
        <v>58</v>
      </c>
      <c r="R302" s="1" t="s">
        <v>58</v>
      </c>
      <c r="S302" s="1" t="s">
        <v>69</v>
      </c>
      <c r="T302" s="1" t="s">
        <v>69</v>
      </c>
      <c r="U302" s="1" t="s">
        <v>58</v>
      </c>
      <c r="V302" s="1" t="s">
        <v>58</v>
      </c>
      <c r="W302" s="1" t="s">
        <v>58</v>
      </c>
      <c r="X302" s="1" t="s">
        <v>81</v>
      </c>
      <c r="Y302" s="1" t="s">
        <v>82</v>
      </c>
      <c r="Z302" s="1" t="s">
        <v>89</v>
      </c>
      <c r="AA302" s="2">
        <v>30.0</v>
      </c>
      <c r="AB302" s="1" t="s">
        <v>28</v>
      </c>
      <c r="AC302" s="1" t="s">
        <v>71</v>
      </c>
      <c r="AF302" s="1" t="s">
        <v>51</v>
      </c>
      <c r="AG302" s="1" t="s">
        <v>72</v>
      </c>
      <c r="AI302" s="2">
        <v>0.0</v>
      </c>
      <c r="AJ302" s="2">
        <v>0.0</v>
      </c>
      <c r="AK302" s="2">
        <v>0.0</v>
      </c>
      <c r="AL302" s="2">
        <v>1.0</v>
      </c>
      <c r="AM302" s="1" t="s">
        <v>72</v>
      </c>
      <c r="AP302" s="2">
        <v>4.90795964E8</v>
      </c>
      <c r="AQ302" s="1" t="s">
        <v>436</v>
      </c>
      <c r="AR302" s="2">
        <v>45810.37263888889</v>
      </c>
      <c r="AU302" s="1" t="s">
        <v>64</v>
      </c>
      <c r="AW302" s="1" t="s">
        <v>255</v>
      </c>
      <c r="AY302" s="2">
        <v>296.0</v>
      </c>
    </row>
    <row r="303">
      <c r="A303" s="1" t="s">
        <v>51</v>
      </c>
      <c r="C303" s="1" t="s">
        <v>52</v>
      </c>
      <c r="E303" s="1" t="s">
        <v>53</v>
      </c>
      <c r="F303" s="1" t="s">
        <v>54</v>
      </c>
      <c r="G303" s="2">
        <v>36.0</v>
      </c>
      <c r="H303" s="1" t="s">
        <v>55</v>
      </c>
      <c r="I303" s="1" t="s">
        <v>67</v>
      </c>
      <c r="J303" s="1" t="s">
        <v>68</v>
      </c>
      <c r="K303" s="1" t="s">
        <v>74</v>
      </c>
      <c r="M303" s="1" t="s">
        <v>58</v>
      </c>
      <c r="N303" s="1" t="s">
        <v>58</v>
      </c>
      <c r="O303" s="1" t="s">
        <v>58</v>
      </c>
      <c r="Q303" s="1" t="s">
        <v>58</v>
      </c>
      <c r="R303" s="1" t="s">
        <v>58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81</v>
      </c>
      <c r="Y303" s="1" t="s">
        <v>82</v>
      </c>
      <c r="Z303" s="1" t="s">
        <v>89</v>
      </c>
      <c r="AA303" s="2">
        <v>10.0</v>
      </c>
      <c r="AB303" s="1" t="s">
        <v>28</v>
      </c>
      <c r="AC303" s="1" t="s">
        <v>51</v>
      </c>
      <c r="AD303" s="1" t="s">
        <v>81</v>
      </c>
      <c r="AE303" s="1" t="s">
        <v>51</v>
      </c>
      <c r="AF303" s="1" t="s">
        <v>51</v>
      </c>
      <c r="AG303" s="1" t="s">
        <v>72</v>
      </c>
      <c r="AI303" s="2">
        <v>0.0</v>
      </c>
      <c r="AJ303" s="2">
        <v>0.0</v>
      </c>
      <c r="AK303" s="2">
        <v>0.0</v>
      </c>
      <c r="AL303" s="2">
        <v>1.0</v>
      </c>
      <c r="AM303" s="1" t="s">
        <v>72</v>
      </c>
      <c r="AP303" s="2">
        <v>4.9080085E8</v>
      </c>
      <c r="AQ303" s="1" t="s">
        <v>437</v>
      </c>
      <c r="AR303" s="2">
        <v>45810.378842592596</v>
      </c>
      <c r="AU303" s="1" t="s">
        <v>64</v>
      </c>
      <c r="AW303" s="1" t="s">
        <v>255</v>
      </c>
      <c r="AY303" s="2">
        <v>297.0</v>
      </c>
    </row>
    <row r="304">
      <c r="A304" s="1" t="s">
        <v>51</v>
      </c>
      <c r="C304" s="1" t="s">
        <v>170</v>
      </c>
      <c r="E304" s="1" t="s">
        <v>53</v>
      </c>
      <c r="F304" s="1" t="s">
        <v>54</v>
      </c>
      <c r="G304" s="2">
        <v>33.0</v>
      </c>
      <c r="H304" s="1" t="s">
        <v>66</v>
      </c>
      <c r="I304" s="1" t="s">
        <v>67</v>
      </c>
      <c r="J304" s="1" t="s">
        <v>68</v>
      </c>
      <c r="K304" s="1" t="s">
        <v>74</v>
      </c>
      <c r="M304" s="1" t="s">
        <v>58</v>
      </c>
      <c r="N304" s="1" t="s">
        <v>58</v>
      </c>
      <c r="O304" s="1" t="s">
        <v>58</v>
      </c>
      <c r="Q304" s="1" t="s">
        <v>58</v>
      </c>
      <c r="R304" s="1" t="s">
        <v>69</v>
      </c>
      <c r="S304" s="1" t="s">
        <v>69</v>
      </c>
      <c r="T304" s="1" t="s">
        <v>69</v>
      </c>
      <c r="U304" s="1" t="s">
        <v>69</v>
      </c>
      <c r="V304" s="1" t="s">
        <v>69</v>
      </c>
      <c r="W304" s="1" t="s">
        <v>58</v>
      </c>
      <c r="X304" s="1" t="s">
        <v>81</v>
      </c>
      <c r="Y304" s="1" t="s">
        <v>82</v>
      </c>
      <c r="Z304" s="1" t="s">
        <v>61</v>
      </c>
      <c r="AA304" s="2">
        <v>30.0</v>
      </c>
      <c r="AB304" s="1" t="s">
        <v>79</v>
      </c>
      <c r="AC304" s="1" t="s">
        <v>71</v>
      </c>
      <c r="AF304" s="1" t="s">
        <v>51</v>
      </c>
      <c r="AG304" s="1" t="s">
        <v>72</v>
      </c>
      <c r="AI304" s="2">
        <v>0.0</v>
      </c>
      <c r="AJ304" s="2">
        <v>0.0</v>
      </c>
      <c r="AK304" s="2">
        <v>0.0</v>
      </c>
      <c r="AL304" s="2">
        <v>1.0</v>
      </c>
      <c r="AM304" s="1" t="s">
        <v>72</v>
      </c>
      <c r="AP304" s="2">
        <v>4.90804401E8</v>
      </c>
      <c r="AQ304" s="1" t="s">
        <v>438</v>
      </c>
      <c r="AR304" s="2">
        <v>45810.38334490741</v>
      </c>
      <c r="AU304" s="1" t="s">
        <v>64</v>
      </c>
      <c r="AW304" s="1" t="s">
        <v>255</v>
      </c>
      <c r="AY304" s="2">
        <v>298.0</v>
      </c>
    </row>
    <row r="305">
      <c r="A305" s="1" t="s">
        <v>51</v>
      </c>
      <c r="C305" s="1" t="s">
        <v>170</v>
      </c>
      <c r="E305" s="1" t="s">
        <v>53</v>
      </c>
      <c r="F305" s="1" t="s">
        <v>54</v>
      </c>
      <c r="G305" s="2">
        <v>30.0</v>
      </c>
      <c r="H305" s="1" t="s">
        <v>66</v>
      </c>
      <c r="I305" s="1" t="s">
        <v>76</v>
      </c>
      <c r="J305" s="1" t="s">
        <v>68</v>
      </c>
      <c r="K305" s="1" t="s">
        <v>57</v>
      </c>
      <c r="M305" s="1" t="s">
        <v>58</v>
      </c>
      <c r="N305" s="1" t="s">
        <v>58</v>
      </c>
      <c r="O305" s="1" t="s">
        <v>58</v>
      </c>
      <c r="Q305" s="1" t="s">
        <v>58</v>
      </c>
      <c r="R305" s="1" t="s">
        <v>58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81</v>
      </c>
      <c r="Y305" s="1" t="s">
        <v>82</v>
      </c>
      <c r="Z305" s="1" t="s">
        <v>89</v>
      </c>
      <c r="AA305" s="2">
        <v>50.0</v>
      </c>
      <c r="AB305" s="1" t="s">
        <v>28</v>
      </c>
      <c r="AC305" s="1" t="s">
        <v>51</v>
      </c>
      <c r="AD305" s="1" t="s">
        <v>81</v>
      </c>
      <c r="AE305" s="1" t="s">
        <v>51</v>
      </c>
      <c r="AF305" s="1" t="s">
        <v>51</v>
      </c>
      <c r="AG305" s="1" t="s">
        <v>72</v>
      </c>
      <c r="AI305" s="2">
        <v>0.0</v>
      </c>
      <c r="AJ305" s="2">
        <v>0.0</v>
      </c>
      <c r="AK305" s="2">
        <v>0.0</v>
      </c>
      <c r="AL305" s="2">
        <v>1.0</v>
      </c>
      <c r="AM305" s="1" t="s">
        <v>72</v>
      </c>
      <c r="AP305" s="2">
        <v>4.90810533E8</v>
      </c>
      <c r="AQ305" s="1" t="s">
        <v>439</v>
      </c>
      <c r="AR305" s="2">
        <v>45810.39111111111</v>
      </c>
      <c r="AU305" s="1" t="s">
        <v>64</v>
      </c>
      <c r="AW305" s="1" t="s">
        <v>255</v>
      </c>
      <c r="AY305" s="2">
        <v>299.0</v>
      </c>
    </row>
    <row r="306">
      <c r="A306" s="1" t="s">
        <v>51</v>
      </c>
      <c r="C306" s="1" t="s">
        <v>170</v>
      </c>
      <c r="E306" s="1" t="s">
        <v>53</v>
      </c>
      <c r="F306" s="1" t="s">
        <v>54</v>
      </c>
      <c r="G306" s="2">
        <v>37.0</v>
      </c>
      <c r="H306" s="1" t="s">
        <v>55</v>
      </c>
      <c r="I306" s="1" t="s">
        <v>100</v>
      </c>
      <c r="J306" s="1" t="s">
        <v>68</v>
      </c>
      <c r="K306" s="1" t="s">
        <v>74</v>
      </c>
      <c r="M306" s="1" t="s">
        <v>58</v>
      </c>
      <c r="N306" s="1" t="s">
        <v>58</v>
      </c>
      <c r="O306" s="1" t="s">
        <v>58</v>
      </c>
      <c r="Q306" s="1" t="s">
        <v>58</v>
      </c>
      <c r="R306" s="1" t="s">
        <v>58</v>
      </c>
      <c r="S306" s="1" t="s">
        <v>58</v>
      </c>
      <c r="T306" s="1" t="s">
        <v>58</v>
      </c>
      <c r="U306" s="1" t="s">
        <v>58</v>
      </c>
      <c r="V306" s="1" t="s">
        <v>58</v>
      </c>
      <c r="W306" s="1" t="s">
        <v>69</v>
      </c>
      <c r="X306" s="1" t="s">
        <v>81</v>
      </c>
      <c r="Y306" s="1" t="s">
        <v>82</v>
      </c>
      <c r="Z306" s="1" t="s">
        <v>61</v>
      </c>
      <c r="AB306" s="1" t="s">
        <v>79</v>
      </c>
      <c r="AC306" s="1" t="s">
        <v>71</v>
      </c>
      <c r="AF306" s="1" t="s">
        <v>51</v>
      </c>
      <c r="AG306" s="1" t="s">
        <v>72</v>
      </c>
      <c r="AI306" s="2">
        <v>0.0</v>
      </c>
      <c r="AJ306" s="2">
        <v>0.0</v>
      </c>
      <c r="AK306" s="2">
        <v>0.0</v>
      </c>
      <c r="AL306" s="2">
        <v>1.0</v>
      </c>
      <c r="AM306" s="1" t="s">
        <v>72</v>
      </c>
      <c r="AP306" s="2">
        <v>4.9081434E8</v>
      </c>
      <c r="AQ306" s="1" t="s">
        <v>440</v>
      </c>
      <c r="AR306" s="2">
        <v>45810.39599537037</v>
      </c>
      <c r="AU306" s="1" t="s">
        <v>64</v>
      </c>
      <c r="AW306" s="1" t="s">
        <v>255</v>
      </c>
      <c r="AY306" s="2">
        <v>300.0</v>
      </c>
    </row>
    <row r="307">
      <c r="A307" s="1" t="s">
        <v>51</v>
      </c>
      <c r="C307" s="1" t="s">
        <v>131</v>
      </c>
      <c r="E307" s="1" t="s">
        <v>441</v>
      </c>
      <c r="G307" s="2">
        <v>19.0</v>
      </c>
      <c r="H307" s="1" t="s">
        <v>66</v>
      </c>
      <c r="J307" s="1" t="s">
        <v>56</v>
      </c>
      <c r="K307" s="1" t="s">
        <v>57</v>
      </c>
      <c r="M307" s="1" t="s">
        <v>58</v>
      </c>
      <c r="N307" s="1" t="s">
        <v>58</v>
      </c>
      <c r="O307" s="1" t="s">
        <v>58</v>
      </c>
      <c r="Q307" s="1" t="s">
        <v>58</v>
      </c>
      <c r="R307" s="1" t="s">
        <v>58</v>
      </c>
      <c r="S307" s="1" t="s">
        <v>69</v>
      </c>
      <c r="T307" s="1" t="s">
        <v>69</v>
      </c>
      <c r="U307" s="1" t="s">
        <v>58</v>
      </c>
      <c r="V307" s="1" t="s">
        <v>69</v>
      </c>
      <c r="W307" s="1" t="s">
        <v>69</v>
      </c>
      <c r="X307" s="1" t="s">
        <v>81</v>
      </c>
      <c r="Y307" s="1" t="s">
        <v>60</v>
      </c>
      <c r="Z307" s="1" t="s">
        <v>61</v>
      </c>
      <c r="AA307" s="2">
        <v>20.0</v>
      </c>
      <c r="AB307" s="1" t="s">
        <v>28</v>
      </c>
      <c r="AC307" s="1" t="s">
        <v>71</v>
      </c>
      <c r="AF307" s="1" t="s">
        <v>51</v>
      </c>
      <c r="AG307" s="1" t="s">
        <v>72</v>
      </c>
      <c r="AI307" s="2">
        <v>0.0</v>
      </c>
      <c r="AJ307" s="2">
        <v>0.0</v>
      </c>
      <c r="AK307" s="2">
        <v>0.0</v>
      </c>
      <c r="AL307" s="2">
        <v>1.0</v>
      </c>
      <c r="AP307" s="2">
        <v>4.90817146E8</v>
      </c>
      <c r="AQ307" s="1" t="s">
        <v>442</v>
      </c>
      <c r="AR307" s="2">
        <v>45810.39975694445</v>
      </c>
      <c r="AU307" s="1" t="s">
        <v>64</v>
      </c>
      <c r="AW307" s="1" t="s">
        <v>255</v>
      </c>
      <c r="AY307" s="2">
        <v>301.0</v>
      </c>
    </row>
    <row r="308">
      <c r="A308" s="1" t="s">
        <v>51</v>
      </c>
      <c r="C308" s="1" t="s">
        <v>131</v>
      </c>
      <c r="E308" s="1" t="s">
        <v>53</v>
      </c>
      <c r="F308" s="1" t="s">
        <v>54</v>
      </c>
      <c r="G308" s="2">
        <v>42.0</v>
      </c>
      <c r="H308" s="1" t="s">
        <v>66</v>
      </c>
      <c r="I308" s="1" t="s">
        <v>67</v>
      </c>
      <c r="J308" s="1" t="s">
        <v>68</v>
      </c>
      <c r="K308" s="1" t="s">
        <v>78</v>
      </c>
      <c r="M308" s="1" t="s">
        <v>58</v>
      </c>
      <c r="N308" s="1" t="s">
        <v>58</v>
      </c>
      <c r="O308" s="1" t="s">
        <v>58</v>
      </c>
      <c r="Q308" s="1" t="s">
        <v>58</v>
      </c>
      <c r="R308" s="1" t="s">
        <v>58</v>
      </c>
      <c r="S308" s="1" t="s">
        <v>69</v>
      </c>
      <c r="T308" s="1" t="s">
        <v>69</v>
      </c>
      <c r="U308" s="1" t="s">
        <v>69</v>
      </c>
      <c r="V308" s="1" t="s">
        <v>58</v>
      </c>
      <c r="W308" s="1" t="s">
        <v>58</v>
      </c>
      <c r="X308" s="1" t="s">
        <v>81</v>
      </c>
      <c r="Y308" s="1" t="s">
        <v>60</v>
      </c>
      <c r="Z308" s="1" t="s">
        <v>61</v>
      </c>
      <c r="AA308" s="2">
        <v>30.0</v>
      </c>
      <c r="AB308" s="1" t="s">
        <v>28</v>
      </c>
      <c r="AC308" s="1" t="s">
        <v>51</v>
      </c>
      <c r="AD308" s="1" t="s">
        <v>81</v>
      </c>
      <c r="AE308" s="1" t="s">
        <v>51</v>
      </c>
      <c r="AF308" s="1" t="s">
        <v>51</v>
      </c>
      <c r="AG308" s="1" t="s">
        <v>72</v>
      </c>
      <c r="AI308" s="2">
        <v>0.0</v>
      </c>
      <c r="AJ308" s="2">
        <v>0.0</v>
      </c>
      <c r="AK308" s="2">
        <v>0.0</v>
      </c>
      <c r="AL308" s="2">
        <v>1.0</v>
      </c>
      <c r="AM308" s="1" t="s">
        <v>72</v>
      </c>
      <c r="AP308" s="2">
        <v>4.90820555E8</v>
      </c>
      <c r="AQ308" s="1" t="s">
        <v>443</v>
      </c>
      <c r="AR308" s="2">
        <v>45810.403391203705</v>
      </c>
      <c r="AU308" s="1" t="s">
        <v>64</v>
      </c>
      <c r="AW308" s="1" t="s">
        <v>255</v>
      </c>
      <c r="AY308" s="2">
        <v>302.0</v>
      </c>
    </row>
    <row r="309">
      <c r="A309" s="1" t="s">
        <v>51</v>
      </c>
      <c r="C309" s="1" t="s">
        <v>131</v>
      </c>
      <c r="E309" s="1" t="s">
        <v>131</v>
      </c>
      <c r="G309" s="2">
        <v>50.0</v>
      </c>
      <c r="H309" s="1" t="s">
        <v>55</v>
      </c>
      <c r="J309" s="1" t="s">
        <v>68</v>
      </c>
      <c r="K309" s="1" t="s">
        <v>78</v>
      </c>
      <c r="M309" s="1" t="s">
        <v>58</v>
      </c>
      <c r="N309" s="1" t="s">
        <v>58</v>
      </c>
      <c r="O309" s="1" t="s">
        <v>58</v>
      </c>
      <c r="Q309" s="1" t="s">
        <v>58</v>
      </c>
      <c r="R309" s="1" t="s">
        <v>69</v>
      </c>
      <c r="S309" s="1" t="s">
        <v>69</v>
      </c>
      <c r="T309" s="1" t="s">
        <v>58</v>
      </c>
      <c r="U309" s="1" t="s">
        <v>58</v>
      </c>
      <c r="V309" s="1" t="s">
        <v>69</v>
      </c>
      <c r="W309" s="1" t="s">
        <v>58</v>
      </c>
      <c r="X309" s="1" t="s">
        <v>81</v>
      </c>
      <c r="Y309" s="1" t="s">
        <v>82</v>
      </c>
      <c r="Z309" s="1" t="s">
        <v>89</v>
      </c>
      <c r="AA309" s="2">
        <v>30.0</v>
      </c>
      <c r="AB309" s="1" t="s">
        <v>28</v>
      </c>
      <c r="AC309" s="1" t="s">
        <v>51</v>
      </c>
      <c r="AD309" s="1" t="s">
        <v>81</v>
      </c>
      <c r="AE309" s="1" t="s">
        <v>51</v>
      </c>
      <c r="AF309" s="1" t="s">
        <v>51</v>
      </c>
      <c r="AI309" s="2">
        <v>0.0</v>
      </c>
      <c r="AJ309" s="2">
        <v>0.0</v>
      </c>
      <c r="AK309" s="2">
        <v>0.0</v>
      </c>
      <c r="AL309" s="2">
        <v>1.0</v>
      </c>
      <c r="AP309" s="2">
        <v>4.90822988E8</v>
      </c>
      <c r="AQ309" s="1" t="s">
        <v>444</v>
      </c>
      <c r="AR309" s="2">
        <v>45810.40594907408</v>
      </c>
      <c r="AU309" s="1" t="s">
        <v>64</v>
      </c>
      <c r="AW309" s="1" t="s">
        <v>255</v>
      </c>
      <c r="AY309" s="2">
        <v>303.0</v>
      </c>
    </row>
    <row r="310">
      <c r="A310" s="1" t="s">
        <v>51</v>
      </c>
      <c r="C310" s="1" t="s">
        <v>52</v>
      </c>
      <c r="E310" s="1" t="s">
        <v>53</v>
      </c>
      <c r="F310" s="1" t="s">
        <v>54</v>
      </c>
      <c r="G310" s="2">
        <v>43.0</v>
      </c>
      <c r="H310" s="1" t="s">
        <v>55</v>
      </c>
      <c r="I310" s="1" t="s">
        <v>100</v>
      </c>
      <c r="J310" s="1" t="s">
        <v>68</v>
      </c>
      <c r="K310" s="1" t="s">
        <v>92</v>
      </c>
      <c r="M310" s="1" t="s">
        <v>58</v>
      </c>
      <c r="N310" s="1" t="s">
        <v>58</v>
      </c>
      <c r="O310" s="1" t="s">
        <v>58</v>
      </c>
      <c r="Q310" s="1" t="s">
        <v>58</v>
      </c>
      <c r="R310" s="1" t="s">
        <v>58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81</v>
      </c>
      <c r="Z310" s="1" t="s">
        <v>61</v>
      </c>
      <c r="AA310" s="2">
        <v>50.0</v>
      </c>
      <c r="AB310" s="1" t="s">
        <v>28</v>
      </c>
      <c r="AC310" s="1" t="s">
        <v>51</v>
      </c>
      <c r="AD310" s="1" t="s">
        <v>81</v>
      </c>
      <c r="AE310" s="1" t="s">
        <v>51</v>
      </c>
      <c r="AF310" s="1" t="s">
        <v>51</v>
      </c>
      <c r="AG310" s="1" t="s">
        <v>72</v>
      </c>
      <c r="AI310" s="2">
        <v>0.0</v>
      </c>
      <c r="AJ310" s="2">
        <v>0.0</v>
      </c>
      <c r="AK310" s="2">
        <v>0.0</v>
      </c>
      <c r="AL310" s="2">
        <v>1.0</v>
      </c>
      <c r="AM310" s="1" t="s">
        <v>72</v>
      </c>
      <c r="AP310" s="2">
        <v>4.9082519E8</v>
      </c>
      <c r="AQ310" s="1" t="s">
        <v>445</v>
      </c>
      <c r="AR310" s="2">
        <v>45810.40837962963</v>
      </c>
      <c r="AU310" s="1" t="s">
        <v>64</v>
      </c>
      <c r="AW310" s="1" t="s">
        <v>255</v>
      </c>
      <c r="AY310" s="2">
        <v>304.0</v>
      </c>
    </row>
    <row r="311">
      <c r="A311" s="1" t="s">
        <v>51</v>
      </c>
      <c r="C311" s="1" t="s">
        <v>170</v>
      </c>
      <c r="E311" s="1" t="s">
        <v>170</v>
      </c>
      <c r="G311" s="2">
        <v>27.0</v>
      </c>
      <c r="H311" s="1" t="s">
        <v>66</v>
      </c>
      <c r="J311" s="1" t="s">
        <v>68</v>
      </c>
      <c r="K311" s="1" t="s">
        <v>74</v>
      </c>
      <c r="M311" s="1" t="s">
        <v>58</v>
      </c>
      <c r="N311" s="1" t="s">
        <v>58</v>
      </c>
      <c r="O311" s="1" t="s">
        <v>58</v>
      </c>
      <c r="Q311" s="1" t="s">
        <v>58</v>
      </c>
      <c r="R311" s="1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  <c r="W311" s="1" t="s">
        <v>58</v>
      </c>
      <c r="X311" s="1" t="s">
        <v>81</v>
      </c>
      <c r="Y311" s="1" t="s">
        <v>82</v>
      </c>
      <c r="Z311" s="1" t="s">
        <v>89</v>
      </c>
      <c r="AA311" s="2">
        <v>30.0</v>
      </c>
      <c r="AB311" s="1" t="s">
        <v>79</v>
      </c>
      <c r="AC311" s="1" t="s">
        <v>51</v>
      </c>
      <c r="AD311" s="1" t="s">
        <v>81</v>
      </c>
      <c r="AE311" s="1" t="s">
        <v>51</v>
      </c>
      <c r="AF311" s="1" t="s">
        <v>51</v>
      </c>
      <c r="AG311" s="1" t="s">
        <v>72</v>
      </c>
      <c r="AI311" s="2">
        <v>0.0</v>
      </c>
      <c r="AJ311" s="2">
        <v>0.0</v>
      </c>
      <c r="AK311" s="2">
        <v>0.0</v>
      </c>
      <c r="AL311" s="2">
        <v>1.0</v>
      </c>
      <c r="AP311" s="2">
        <v>4.90827975E8</v>
      </c>
      <c r="AQ311" s="1" t="s">
        <v>446</v>
      </c>
      <c r="AR311" s="2">
        <v>45810.41122685185</v>
      </c>
      <c r="AU311" s="1" t="s">
        <v>64</v>
      </c>
      <c r="AW311" s="1" t="s">
        <v>255</v>
      </c>
      <c r="AY311" s="2">
        <v>305.0</v>
      </c>
    </row>
    <row r="312">
      <c r="A312" s="1" t="s">
        <v>51</v>
      </c>
      <c r="C312" s="1" t="s">
        <v>170</v>
      </c>
      <c r="E312" s="1" t="s">
        <v>53</v>
      </c>
      <c r="F312" s="1" t="s">
        <v>54</v>
      </c>
      <c r="G312" s="2">
        <v>35.0</v>
      </c>
      <c r="H312" s="1" t="s">
        <v>55</v>
      </c>
      <c r="I312" s="1" t="s">
        <v>419</v>
      </c>
      <c r="J312" s="1" t="s">
        <v>68</v>
      </c>
      <c r="K312" s="1" t="s">
        <v>78</v>
      </c>
      <c r="M312" s="1" t="s">
        <v>58</v>
      </c>
      <c r="N312" s="1" t="s">
        <v>58</v>
      </c>
      <c r="O312" s="1" t="s">
        <v>58</v>
      </c>
      <c r="Q312" s="1" t="s">
        <v>58</v>
      </c>
      <c r="R312" s="1" t="s">
        <v>58</v>
      </c>
      <c r="S312" s="1" t="s">
        <v>58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81</v>
      </c>
      <c r="Y312" s="1" t="s">
        <v>82</v>
      </c>
      <c r="Z312" s="1" t="s">
        <v>89</v>
      </c>
      <c r="AA312" s="2">
        <v>20.0</v>
      </c>
      <c r="AB312" s="1" t="s">
        <v>28</v>
      </c>
      <c r="AC312" s="1" t="s">
        <v>71</v>
      </c>
      <c r="AF312" s="1" t="s">
        <v>51</v>
      </c>
      <c r="AG312" s="1" t="s">
        <v>72</v>
      </c>
      <c r="AI312" s="2">
        <v>0.0</v>
      </c>
      <c r="AJ312" s="2">
        <v>0.0</v>
      </c>
      <c r="AK312" s="2">
        <v>0.0</v>
      </c>
      <c r="AL312" s="2">
        <v>1.0</v>
      </c>
      <c r="AM312" s="1" t="s">
        <v>72</v>
      </c>
      <c r="AP312" s="2">
        <v>4.90830437E8</v>
      </c>
      <c r="AQ312" s="1" t="s">
        <v>447</v>
      </c>
      <c r="AR312" s="2">
        <v>45810.413819444446</v>
      </c>
      <c r="AU312" s="1" t="s">
        <v>64</v>
      </c>
      <c r="AW312" s="1" t="s">
        <v>255</v>
      </c>
      <c r="AY312" s="2">
        <v>306.0</v>
      </c>
    </row>
    <row r="313">
      <c r="A313" s="1" t="s">
        <v>51</v>
      </c>
      <c r="C313" s="1" t="s">
        <v>170</v>
      </c>
      <c r="E313" s="1" t="s">
        <v>53</v>
      </c>
      <c r="F313" s="1" t="s">
        <v>54</v>
      </c>
      <c r="G313" s="2">
        <v>42.0</v>
      </c>
      <c r="H313" s="1" t="s">
        <v>55</v>
      </c>
      <c r="I313" s="1" t="s">
        <v>67</v>
      </c>
      <c r="J313" s="1" t="s">
        <v>68</v>
      </c>
      <c r="K313" s="1" t="s">
        <v>57</v>
      </c>
      <c r="M313" s="1" t="s">
        <v>58</v>
      </c>
      <c r="N313" s="1" t="s">
        <v>58</v>
      </c>
      <c r="O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69</v>
      </c>
      <c r="X313" s="1" t="s">
        <v>81</v>
      </c>
      <c r="Y313" s="1" t="s">
        <v>82</v>
      </c>
      <c r="Z313" s="1" t="s">
        <v>61</v>
      </c>
      <c r="AA313" s="2">
        <v>10.0</v>
      </c>
      <c r="AB313" s="1" t="s">
        <v>79</v>
      </c>
      <c r="AC313" s="1" t="s">
        <v>51</v>
      </c>
      <c r="AD313" s="1" t="s">
        <v>81</v>
      </c>
      <c r="AE313" s="1" t="s">
        <v>51</v>
      </c>
      <c r="AF313" s="1" t="s">
        <v>51</v>
      </c>
      <c r="AG313" s="1" t="s">
        <v>72</v>
      </c>
      <c r="AI313" s="2">
        <v>0.0</v>
      </c>
      <c r="AJ313" s="2">
        <v>0.0</v>
      </c>
      <c r="AK313" s="2">
        <v>0.0</v>
      </c>
      <c r="AL313" s="2">
        <v>1.0</v>
      </c>
      <c r="AP313" s="2">
        <v>4.90833006E8</v>
      </c>
      <c r="AQ313" s="1" t="s">
        <v>448</v>
      </c>
      <c r="AR313" s="2">
        <v>45810.41619212963</v>
      </c>
      <c r="AU313" s="1" t="s">
        <v>64</v>
      </c>
      <c r="AW313" s="1" t="s">
        <v>255</v>
      </c>
      <c r="AY313" s="2">
        <v>307.0</v>
      </c>
    </row>
    <row r="314">
      <c r="A314" s="1" t="s">
        <v>51</v>
      </c>
      <c r="C314" s="1" t="s">
        <v>52</v>
      </c>
      <c r="E314" s="1" t="s">
        <v>53</v>
      </c>
      <c r="F314" s="1" t="s">
        <v>54</v>
      </c>
      <c r="G314" s="2">
        <v>47.0</v>
      </c>
      <c r="H314" s="1" t="s">
        <v>66</v>
      </c>
      <c r="I314" s="1" t="s">
        <v>67</v>
      </c>
      <c r="J314" s="1" t="s">
        <v>56</v>
      </c>
      <c r="K314" s="1" t="s">
        <v>78</v>
      </c>
      <c r="M314" s="1" t="s">
        <v>58</v>
      </c>
      <c r="N314" s="1" t="s">
        <v>58</v>
      </c>
      <c r="O314" s="1" t="s">
        <v>58</v>
      </c>
      <c r="Q314" s="1" t="s">
        <v>58</v>
      </c>
      <c r="R314" s="1" t="s">
        <v>69</v>
      </c>
      <c r="S314" s="1" t="s">
        <v>69</v>
      </c>
      <c r="T314" s="1" t="s">
        <v>58</v>
      </c>
      <c r="U314" s="1" t="s">
        <v>58</v>
      </c>
      <c r="V314" s="1" t="s">
        <v>69</v>
      </c>
      <c r="W314" s="1" t="s">
        <v>69</v>
      </c>
      <c r="X314" s="1" t="s">
        <v>81</v>
      </c>
      <c r="Y314" s="1" t="s">
        <v>82</v>
      </c>
      <c r="Z314" s="1" t="s">
        <v>89</v>
      </c>
      <c r="AA314" s="2">
        <v>20.0</v>
      </c>
      <c r="AB314" s="1" t="s">
        <v>28</v>
      </c>
      <c r="AC314" s="1" t="s">
        <v>71</v>
      </c>
      <c r="AF314" s="1" t="s">
        <v>51</v>
      </c>
      <c r="AG314" s="1" t="s">
        <v>72</v>
      </c>
      <c r="AI314" s="2">
        <v>0.0</v>
      </c>
      <c r="AJ314" s="2">
        <v>0.0</v>
      </c>
      <c r="AK314" s="2">
        <v>0.0</v>
      </c>
      <c r="AL314" s="2">
        <v>1.0</v>
      </c>
      <c r="AM314" s="1" t="s">
        <v>72</v>
      </c>
      <c r="AP314" s="2">
        <v>4.90835855E8</v>
      </c>
      <c r="AQ314" s="1" t="s">
        <v>449</v>
      </c>
      <c r="AR314" s="2">
        <v>45810.41915509259</v>
      </c>
      <c r="AU314" s="1" t="s">
        <v>64</v>
      </c>
      <c r="AW314" s="1" t="s">
        <v>255</v>
      </c>
      <c r="AY314" s="2">
        <v>308.0</v>
      </c>
    </row>
    <row r="315">
      <c r="A315" s="1" t="s">
        <v>51</v>
      </c>
      <c r="C315" s="1" t="s">
        <v>52</v>
      </c>
      <c r="E315" s="1" t="s">
        <v>53</v>
      </c>
      <c r="F315" s="1" t="s">
        <v>54</v>
      </c>
      <c r="G315" s="2">
        <v>33.0</v>
      </c>
      <c r="H315" s="1" t="s">
        <v>66</v>
      </c>
      <c r="I315" s="1" t="s">
        <v>76</v>
      </c>
      <c r="J315" s="1" t="s">
        <v>56</v>
      </c>
      <c r="K315" s="1" t="s">
        <v>74</v>
      </c>
      <c r="M315" s="1" t="s">
        <v>58</v>
      </c>
      <c r="N315" s="1" t="s">
        <v>58</v>
      </c>
      <c r="O315" s="1" t="s">
        <v>58</v>
      </c>
      <c r="Q315" s="1" t="s">
        <v>58</v>
      </c>
      <c r="R315" s="1" t="s">
        <v>58</v>
      </c>
      <c r="S315" s="1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81</v>
      </c>
      <c r="Y315" s="1" t="s">
        <v>82</v>
      </c>
      <c r="Z315" s="1" t="s">
        <v>61</v>
      </c>
      <c r="AA315" s="2">
        <v>20.0</v>
      </c>
      <c r="AB315" s="1" t="s">
        <v>28</v>
      </c>
      <c r="AC315" s="1" t="s">
        <v>71</v>
      </c>
      <c r="AF315" s="1" t="s">
        <v>51</v>
      </c>
      <c r="AG315" s="1" t="s">
        <v>51</v>
      </c>
      <c r="AH315" s="2">
        <v>10.0</v>
      </c>
      <c r="AI315" s="2">
        <v>0.0</v>
      </c>
      <c r="AJ315" s="2">
        <v>0.0</v>
      </c>
      <c r="AK315" s="2">
        <v>0.0</v>
      </c>
      <c r="AL315" s="2">
        <v>1.0</v>
      </c>
      <c r="AM315" s="1" t="s">
        <v>51</v>
      </c>
      <c r="AN315" s="2">
        <v>6.43962307E8</v>
      </c>
      <c r="AP315" s="2">
        <v>4.90838553E8</v>
      </c>
      <c r="AQ315" s="1" t="s">
        <v>450</v>
      </c>
      <c r="AR315" s="2">
        <v>45810.42173611111</v>
      </c>
      <c r="AU315" s="1" t="s">
        <v>64</v>
      </c>
      <c r="AW315" s="1" t="s">
        <v>255</v>
      </c>
      <c r="AY315" s="2">
        <v>309.0</v>
      </c>
    </row>
    <row r="316">
      <c r="A316" s="1" t="s">
        <v>51</v>
      </c>
      <c r="C316" s="1" t="s">
        <v>52</v>
      </c>
      <c r="E316" s="1" t="s">
        <v>53</v>
      </c>
      <c r="F316" s="1" t="s">
        <v>54</v>
      </c>
      <c r="G316" s="2">
        <v>23.0</v>
      </c>
      <c r="H316" s="1" t="s">
        <v>66</v>
      </c>
      <c r="I316" s="1" t="s">
        <v>67</v>
      </c>
      <c r="J316" s="1" t="s">
        <v>56</v>
      </c>
      <c r="K316" s="1" t="s">
        <v>92</v>
      </c>
      <c r="M316" s="1" t="s">
        <v>58</v>
      </c>
      <c r="N316" s="1" t="s">
        <v>58</v>
      </c>
      <c r="O316" s="1" t="s">
        <v>58</v>
      </c>
      <c r="Q316" s="1" t="s">
        <v>58</v>
      </c>
      <c r="R316" s="1" t="s">
        <v>58</v>
      </c>
      <c r="S316" s="1" t="s">
        <v>58</v>
      </c>
      <c r="U316" s="1" t="s">
        <v>58</v>
      </c>
      <c r="V316" s="1" t="s">
        <v>58</v>
      </c>
      <c r="W316" s="1" t="s">
        <v>58</v>
      </c>
      <c r="X316" s="1" t="s">
        <v>81</v>
      </c>
      <c r="Y316" s="1" t="s">
        <v>82</v>
      </c>
      <c r="Z316" s="1" t="s">
        <v>61</v>
      </c>
      <c r="AA316" s="2">
        <v>30.0</v>
      </c>
      <c r="AC316" s="1" t="s">
        <v>51</v>
      </c>
      <c r="AD316" s="1" t="s">
        <v>81</v>
      </c>
      <c r="AE316" s="1" t="s">
        <v>51</v>
      </c>
      <c r="AF316" s="1" t="s">
        <v>51</v>
      </c>
      <c r="AG316" s="1" t="s">
        <v>72</v>
      </c>
      <c r="AI316" s="2">
        <v>0.0</v>
      </c>
      <c r="AJ316" s="2">
        <v>0.0</v>
      </c>
      <c r="AK316" s="2">
        <v>0.0</v>
      </c>
      <c r="AL316" s="2">
        <v>1.0</v>
      </c>
      <c r="AM316" s="1" t="s">
        <v>72</v>
      </c>
      <c r="AP316" s="2">
        <v>4.90840812E8</v>
      </c>
      <c r="AQ316" s="1" t="s">
        <v>451</v>
      </c>
      <c r="AR316" s="2">
        <v>45810.423796296294</v>
      </c>
      <c r="AU316" s="1" t="s">
        <v>64</v>
      </c>
      <c r="AW316" s="1" t="s">
        <v>255</v>
      </c>
      <c r="AY316" s="2">
        <v>310.0</v>
      </c>
    </row>
    <row r="317">
      <c r="A317" s="1" t="s">
        <v>51</v>
      </c>
      <c r="C317" s="1" t="s">
        <v>170</v>
      </c>
      <c r="E317" s="1" t="s">
        <v>53</v>
      </c>
      <c r="F317" s="1" t="s">
        <v>54</v>
      </c>
      <c r="G317" s="2">
        <v>26.0</v>
      </c>
      <c r="H317" s="1" t="s">
        <v>66</v>
      </c>
      <c r="I317" s="1" t="s">
        <v>419</v>
      </c>
      <c r="J317" s="1" t="s">
        <v>68</v>
      </c>
      <c r="K317" s="1" t="s">
        <v>57</v>
      </c>
      <c r="M317" s="1" t="s">
        <v>58</v>
      </c>
      <c r="N317" s="1" t="s">
        <v>58</v>
      </c>
      <c r="O317" s="1" t="s">
        <v>58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81</v>
      </c>
      <c r="Y317" s="1" t="s">
        <v>60</v>
      </c>
      <c r="Z317" s="1" t="s">
        <v>61</v>
      </c>
      <c r="AA317" s="2">
        <v>10.0</v>
      </c>
      <c r="AB317" s="1" t="s">
        <v>28</v>
      </c>
      <c r="AC317" s="1" t="s">
        <v>71</v>
      </c>
      <c r="AF317" s="1" t="s">
        <v>51</v>
      </c>
      <c r="AG317" s="1" t="s">
        <v>72</v>
      </c>
      <c r="AI317" s="2">
        <v>0.0</v>
      </c>
      <c r="AJ317" s="2">
        <v>0.0</v>
      </c>
      <c r="AK317" s="2">
        <v>0.0</v>
      </c>
      <c r="AL317" s="2">
        <v>1.0</v>
      </c>
      <c r="AM317" s="1" t="s">
        <v>72</v>
      </c>
      <c r="AP317" s="2">
        <v>4.9084287E8</v>
      </c>
      <c r="AQ317" s="1" t="s">
        <v>452</v>
      </c>
      <c r="AR317" s="2">
        <v>45810.42579861111</v>
      </c>
      <c r="AU317" s="1" t="s">
        <v>64</v>
      </c>
      <c r="AW317" s="1" t="s">
        <v>255</v>
      </c>
      <c r="AY317" s="2">
        <v>311.0</v>
      </c>
    </row>
    <row r="318">
      <c r="A318" s="1" t="s">
        <v>51</v>
      </c>
      <c r="C318" s="1" t="s">
        <v>52</v>
      </c>
      <c r="E318" s="1" t="s">
        <v>53</v>
      </c>
      <c r="F318" s="1" t="s">
        <v>54</v>
      </c>
      <c r="G318" s="2">
        <v>26.0</v>
      </c>
      <c r="H318" s="1" t="s">
        <v>66</v>
      </c>
      <c r="I318" s="1" t="s">
        <v>76</v>
      </c>
      <c r="J318" s="1" t="s">
        <v>56</v>
      </c>
      <c r="K318" s="1" t="s">
        <v>78</v>
      </c>
      <c r="M318" s="1" t="s">
        <v>58</v>
      </c>
      <c r="N318" s="1" t="s">
        <v>58</v>
      </c>
      <c r="O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81</v>
      </c>
      <c r="Y318" s="1" t="s">
        <v>82</v>
      </c>
      <c r="Z318" s="1" t="s">
        <v>89</v>
      </c>
      <c r="AA318" s="2">
        <v>40.0</v>
      </c>
      <c r="AB318" s="1" t="s">
        <v>62</v>
      </c>
      <c r="AC318" s="1" t="s">
        <v>51</v>
      </c>
      <c r="AD318" s="1" t="s">
        <v>81</v>
      </c>
      <c r="AE318" s="1" t="s">
        <v>51</v>
      </c>
      <c r="AF318" s="1" t="s">
        <v>51</v>
      </c>
      <c r="AG318" s="1" t="s">
        <v>51</v>
      </c>
      <c r="AI318" s="2">
        <v>1.0</v>
      </c>
      <c r="AJ318" s="2">
        <v>0.0</v>
      </c>
      <c r="AK318" s="2">
        <v>0.0</v>
      </c>
      <c r="AL318" s="2">
        <v>0.0</v>
      </c>
      <c r="AM318" s="1" t="s">
        <v>51</v>
      </c>
      <c r="AP318" s="2">
        <v>4.90846701E8</v>
      </c>
      <c r="AQ318" s="1" t="s">
        <v>453</v>
      </c>
      <c r="AR318" s="2">
        <v>45810.42947916667</v>
      </c>
      <c r="AU318" s="1" t="s">
        <v>64</v>
      </c>
      <c r="AW318" s="1" t="s">
        <v>255</v>
      </c>
      <c r="AY318" s="2">
        <v>312.0</v>
      </c>
    </row>
    <row r="319">
      <c r="A319" s="1" t="s">
        <v>51</v>
      </c>
      <c r="C319" s="1" t="s">
        <v>52</v>
      </c>
      <c r="E319" s="1" t="s">
        <v>53</v>
      </c>
      <c r="F319" s="1" t="s">
        <v>54</v>
      </c>
      <c r="G319" s="2">
        <v>23.0</v>
      </c>
      <c r="H319" s="1" t="s">
        <v>55</v>
      </c>
      <c r="I319" s="1" t="s">
        <v>76</v>
      </c>
      <c r="J319" s="1" t="s">
        <v>68</v>
      </c>
      <c r="K319" s="1" t="s">
        <v>57</v>
      </c>
      <c r="M319" s="1" t="s">
        <v>58</v>
      </c>
      <c r="N319" s="1" t="s">
        <v>58</v>
      </c>
      <c r="O319" s="1" t="s">
        <v>58</v>
      </c>
      <c r="Q319" s="1" t="s">
        <v>58</v>
      </c>
      <c r="R319" s="1" t="s">
        <v>58</v>
      </c>
      <c r="S319" s="1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81</v>
      </c>
      <c r="Y319" s="1" t="s">
        <v>82</v>
      </c>
      <c r="Z319" s="1" t="s">
        <v>89</v>
      </c>
      <c r="AA319" s="2">
        <v>50.0</v>
      </c>
      <c r="AB319" s="1" t="s">
        <v>62</v>
      </c>
      <c r="AC319" s="1" t="s">
        <v>51</v>
      </c>
      <c r="AD319" s="1" t="s">
        <v>81</v>
      </c>
      <c r="AE319" s="1" t="s">
        <v>51</v>
      </c>
      <c r="AF319" s="1" t="s">
        <v>51</v>
      </c>
      <c r="AG319" s="1" t="s">
        <v>51</v>
      </c>
      <c r="AI319" s="2">
        <v>1.0</v>
      </c>
      <c r="AJ319" s="2">
        <v>0.0</v>
      </c>
      <c r="AK319" s="2">
        <v>0.0</v>
      </c>
      <c r="AL319" s="2">
        <v>0.0</v>
      </c>
      <c r="AM319" s="1" t="s">
        <v>51</v>
      </c>
      <c r="AP319" s="2">
        <v>4.90849509E8</v>
      </c>
      <c r="AQ319" s="1" t="s">
        <v>454</v>
      </c>
      <c r="AR319" s="2">
        <v>45810.43204861111</v>
      </c>
      <c r="AU319" s="1" t="s">
        <v>64</v>
      </c>
      <c r="AW319" s="1" t="s">
        <v>255</v>
      </c>
      <c r="AY319" s="2">
        <v>313.0</v>
      </c>
    </row>
    <row r="320">
      <c r="A320" s="1" t="s">
        <v>51</v>
      </c>
      <c r="C320" s="1" t="s">
        <v>52</v>
      </c>
      <c r="E320" s="1" t="s">
        <v>53</v>
      </c>
      <c r="F320" s="1" t="s">
        <v>54</v>
      </c>
      <c r="G320" s="2">
        <v>30.0</v>
      </c>
      <c r="H320" s="1" t="s">
        <v>66</v>
      </c>
      <c r="I320" s="1" t="s">
        <v>67</v>
      </c>
      <c r="J320" s="1" t="s">
        <v>68</v>
      </c>
      <c r="K320" s="1" t="s">
        <v>78</v>
      </c>
      <c r="M320" s="1" t="s">
        <v>58</v>
      </c>
      <c r="N320" s="1" t="s">
        <v>58</v>
      </c>
      <c r="O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81</v>
      </c>
      <c r="Y320" s="1" t="s">
        <v>82</v>
      </c>
      <c r="Z320" s="1" t="s">
        <v>89</v>
      </c>
      <c r="AA320" s="2">
        <v>30.0</v>
      </c>
      <c r="AB320" s="1" t="s">
        <v>79</v>
      </c>
      <c r="AC320" s="1" t="s">
        <v>51</v>
      </c>
      <c r="AE320" s="1" t="s">
        <v>51</v>
      </c>
      <c r="AF320" s="1" t="s">
        <v>51</v>
      </c>
      <c r="AG320" s="1" t="s">
        <v>51</v>
      </c>
      <c r="AI320" s="2">
        <v>1.0</v>
      </c>
      <c r="AJ320" s="2">
        <v>0.0</v>
      </c>
      <c r="AK320" s="2">
        <v>0.0</v>
      </c>
      <c r="AL320" s="2">
        <v>0.0</v>
      </c>
      <c r="AM320" s="1" t="s">
        <v>51</v>
      </c>
      <c r="AP320" s="2">
        <v>4.90851429E8</v>
      </c>
      <c r="AQ320" s="1" t="s">
        <v>455</v>
      </c>
      <c r="AR320" s="2">
        <v>45810.433657407404</v>
      </c>
      <c r="AU320" s="1" t="s">
        <v>64</v>
      </c>
      <c r="AW320" s="1" t="s">
        <v>255</v>
      </c>
      <c r="AY320" s="2">
        <v>314.0</v>
      </c>
    </row>
    <row r="321">
      <c r="A321" s="1" t="s">
        <v>51</v>
      </c>
      <c r="C321" s="1" t="s">
        <v>170</v>
      </c>
      <c r="E321" s="1" t="s">
        <v>53</v>
      </c>
      <c r="F321" s="1" t="s">
        <v>54</v>
      </c>
      <c r="G321" s="2">
        <v>22.0</v>
      </c>
      <c r="H321" s="1" t="s">
        <v>66</v>
      </c>
      <c r="I321" s="1" t="s">
        <v>100</v>
      </c>
      <c r="J321" s="1" t="s">
        <v>68</v>
      </c>
      <c r="K321" s="1" t="s">
        <v>78</v>
      </c>
      <c r="M321" s="1" t="s">
        <v>58</v>
      </c>
      <c r="N321" s="1" t="s">
        <v>58</v>
      </c>
      <c r="O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81</v>
      </c>
      <c r="Y321" s="1" t="s">
        <v>82</v>
      </c>
      <c r="Z321" s="1" t="s">
        <v>89</v>
      </c>
      <c r="AA321" s="2">
        <v>20.0</v>
      </c>
      <c r="AB321" s="1" t="s">
        <v>79</v>
      </c>
      <c r="AC321" s="1" t="s">
        <v>51</v>
      </c>
      <c r="AD321" s="1" t="s">
        <v>81</v>
      </c>
      <c r="AE321" s="1" t="s">
        <v>51</v>
      </c>
      <c r="AF321" s="1" t="s">
        <v>51</v>
      </c>
      <c r="AG321" s="1" t="s">
        <v>51</v>
      </c>
      <c r="AI321" s="2">
        <v>1.0</v>
      </c>
      <c r="AJ321" s="2">
        <v>0.0</v>
      </c>
      <c r="AK321" s="2">
        <v>0.0</v>
      </c>
      <c r="AL321" s="2">
        <v>0.0</v>
      </c>
      <c r="AM321" s="1" t="s">
        <v>51</v>
      </c>
      <c r="AP321" s="2">
        <v>4.90854649E8</v>
      </c>
      <c r="AQ321" s="1" t="s">
        <v>456</v>
      </c>
      <c r="AR321" s="2">
        <v>45810.43644675926</v>
      </c>
      <c r="AU321" s="1" t="s">
        <v>64</v>
      </c>
      <c r="AW321" s="1" t="s">
        <v>255</v>
      </c>
      <c r="AY321" s="2">
        <v>315.0</v>
      </c>
    </row>
    <row r="322">
      <c r="A322" s="1" t="s">
        <v>51</v>
      </c>
      <c r="C322" s="1" t="s">
        <v>170</v>
      </c>
      <c r="E322" s="1" t="s">
        <v>53</v>
      </c>
      <c r="F322" s="1" t="s">
        <v>54</v>
      </c>
      <c r="G322" s="2">
        <v>24.0</v>
      </c>
      <c r="H322" s="1" t="s">
        <v>55</v>
      </c>
      <c r="I322" s="1" t="s">
        <v>100</v>
      </c>
      <c r="J322" s="1" t="s">
        <v>68</v>
      </c>
      <c r="K322" s="1" t="s">
        <v>78</v>
      </c>
      <c r="M322" s="1" t="s">
        <v>58</v>
      </c>
      <c r="N322" s="1" t="s">
        <v>58</v>
      </c>
      <c r="O322" s="1" t="s">
        <v>58</v>
      </c>
      <c r="Q322" s="1" t="s">
        <v>58</v>
      </c>
      <c r="R322" s="1" t="s">
        <v>58</v>
      </c>
      <c r="S322" s="1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81</v>
      </c>
      <c r="Y322" s="1" t="s">
        <v>82</v>
      </c>
      <c r="Z322" s="1" t="s">
        <v>89</v>
      </c>
      <c r="AA322" s="2">
        <v>10.0</v>
      </c>
      <c r="AB322" s="1" t="s">
        <v>79</v>
      </c>
      <c r="AC322" s="1" t="s">
        <v>51</v>
      </c>
      <c r="AD322" s="1" t="s">
        <v>81</v>
      </c>
      <c r="AE322" s="1" t="s">
        <v>51</v>
      </c>
      <c r="AF322" s="1" t="s">
        <v>51</v>
      </c>
      <c r="AG322" s="1" t="s">
        <v>51</v>
      </c>
      <c r="AI322" s="2">
        <v>1.0</v>
      </c>
      <c r="AJ322" s="2">
        <v>0.0</v>
      </c>
      <c r="AK322" s="2">
        <v>0.0</v>
      </c>
      <c r="AL322" s="2">
        <v>0.0</v>
      </c>
      <c r="AM322" s="1" t="s">
        <v>51</v>
      </c>
      <c r="AP322" s="2">
        <v>4.908566E8</v>
      </c>
      <c r="AQ322" s="1" t="s">
        <v>457</v>
      </c>
      <c r="AR322" s="2">
        <v>45810.43871527778</v>
      </c>
      <c r="AU322" s="1" t="s">
        <v>64</v>
      </c>
      <c r="AW322" s="1" t="s">
        <v>255</v>
      </c>
      <c r="AY322" s="2">
        <v>316.0</v>
      </c>
    </row>
    <row r="323">
      <c r="A323" s="1" t="s">
        <v>51</v>
      </c>
      <c r="C323" s="1" t="s">
        <v>52</v>
      </c>
      <c r="E323" s="1" t="s">
        <v>53</v>
      </c>
      <c r="F323" s="1" t="s">
        <v>54</v>
      </c>
      <c r="G323" s="2">
        <v>37.0</v>
      </c>
      <c r="H323" s="1" t="s">
        <v>55</v>
      </c>
      <c r="I323" s="1" t="s">
        <v>100</v>
      </c>
      <c r="J323" s="1" t="s">
        <v>68</v>
      </c>
      <c r="K323" s="1" t="s">
        <v>74</v>
      </c>
      <c r="M323" s="1" t="s">
        <v>58</v>
      </c>
      <c r="N323" s="1" t="s">
        <v>58</v>
      </c>
      <c r="O323" s="1" t="s">
        <v>58</v>
      </c>
      <c r="Q323" s="1" t="s">
        <v>58</v>
      </c>
      <c r="R323" s="1" t="s">
        <v>58</v>
      </c>
      <c r="S323" s="1" t="s">
        <v>58</v>
      </c>
      <c r="T323" s="1" t="s">
        <v>58</v>
      </c>
      <c r="U323" s="1" t="s">
        <v>58</v>
      </c>
      <c r="V323" s="1" t="s">
        <v>58</v>
      </c>
      <c r="W323" s="1" t="s">
        <v>58</v>
      </c>
      <c r="X323" s="1" t="s">
        <v>81</v>
      </c>
      <c r="Y323" s="1" t="s">
        <v>82</v>
      </c>
      <c r="Z323" s="1" t="s">
        <v>89</v>
      </c>
      <c r="AA323" s="2">
        <v>100.0</v>
      </c>
      <c r="AB323" s="1" t="s">
        <v>62</v>
      </c>
      <c r="AC323" s="1" t="s">
        <v>51</v>
      </c>
      <c r="AD323" s="1" t="s">
        <v>81</v>
      </c>
      <c r="AE323" s="1" t="s">
        <v>51</v>
      </c>
      <c r="AF323" s="1" t="s">
        <v>51</v>
      </c>
      <c r="AG323" s="1" t="s">
        <v>51</v>
      </c>
      <c r="AI323" s="2">
        <v>1.0</v>
      </c>
      <c r="AJ323" s="2">
        <v>0.0</v>
      </c>
      <c r="AK323" s="2">
        <v>0.0</v>
      </c>
      <c r="AL323" s="2">
        <v>0.0</v>
      </c>
      <c r="AM323" s="1" t="s">
        <v>51</v>
      </c>
      <c r="AP323" s="2">
        <v>4.90858686E8</v>
      </c>
      <c r="AQ323" s="1" t="s">
        <v>458</v>
      </c>
      <c r="AR323" s="2">
        <v>45810.44086805556</v>
      </c>
      <c r="AU323" s="1" t="s">
        <v>64</v>
      </c>
      <c r="AW323" s="1" t="s">
        <v>255</v>
      </c>
      <c r="AY323" s="2">
        <v>317.0</v>
      </c>
    </row>
    <row r="324">
      <c r="A324" s="1" t="s">
        <v>51</v>
      </c>
      <c r="C324" s="1" t="s">
        <v>52</v>
      </c>
      <c r="E324" s="1" t="s">
        <v>53</v>
      </c>
      <c r="F324" s="1" t="s">
        <v>54</v>
      </c>
      <c r="G324" s="2">
        <v>27.0</v>
      </c>
      <c r="H324" s="1" t="s">
        <v>66</v>
      </c>
      <c r="I324" s="1" t="s">
        <v>67</v>
      </c>
      <c r="J324" s="1" t="s">
        <v>68</v>
      </c>
      <c r="K324" s="1" t="s">
        <v>78</v>
      </c>
      <c r="M324" s="1" t="s">
        <v>58</v>
      </c>
      <c r="N324" s="1" t="s">
        <v>58</v>
      </c>
      <c r="O324" s="1" t="s">
        <v>58</v>
      </c>
      <c r="Q324" s="1" t="s">
        <v>58</v>
      </c>
      <c r="R324" s="1" t="s">
        <v>58</v>
      </c>
      <c r="S324" s="1" t="s">
        <v>58</v>
      </c>
      <c r="T324" s="1" t="s">
        <v>58</v>
      </c>
      <c r="U324" s="1" t="s">
        <v>58</v>
      </c>
      <c r="V324" s="1" t="s">
        <v>58</v>
      </c>
      <c r="W324" s="1" t="s">
        <v>58</v>
      </c>
      <c r="X324" s="1" t="s">
        <v>81</v>
      </c>
      <c r="Y324" s="1" t="s">
        <v>82</v>
      </c>
      <c r="Z324" s="1" t="s">
        <v>89</v>
      </c>
      <c r="AA324" s="2">
        <v>10.0</v>
      </c>
      <c r="AB324" s="1" t="s">
        <v>79</v>
      </c>
      <c r="AC324" s="1" t="s">
        <v>51</v>
      </c>
      <c r="AD324" s="1" t="s">
        <v>81</v>
      </c>
      <c r="AE324" s="1" t="s">
        <v>51</v>
      </c>
      <c r="AF324" s="1" t="s">
        <v>51</v>
      </c>
      <c r="AG324" s="1" t="s">
        <v>51</v>
      </c>
      <c r="AI324" s="2">
        <v>1.0</v>
      </c>
      <c r="AJ324" s="2">
        <v>0.0</v>
      </c>
      <c r="AK324" s="2">
        <v>0.0</v>
      </c>
      <c r="AL324" s="2">
        <v>0.0</v>
      </c>
      <c r="AM324" s="1" t="s">
        <v>51</v>
      </c>
      <c r="AP324" s="2">
        <v>4.90860435E8</v>
      </c>
      <c r="AQ324" s="1" t="s">
        <v>459</v>
      </c>
      <c r="AR324" s="2">
        <v>45810.442719907405</v>
      </c>
      <c r="AU324" s="1" t="s">
        <v>64</v>
      </c>
      <c r="AW324" s="1" t="s">
        <v>255</v>
      </c>
      <c r="AY324" s="2">
        <v>318.0</v>
      </c>
    </row>
    <row r="325">
      <c r="A325" s="1" t="s">
        <v>51</v>
      </c>
      <c r="C325" s="1" t="s">
        <v>170</v>
      </c>
      <c r="E325" s="1" t="s">
        <v>53</v>
      </c>
      <c r="F325" s="1" t="s">
        <v>54</v>
      </c>
      <c r="G325" s="2">
        <v>37.0</v>
      </c>
      <c r="H325" s="1" t="s">
        <v>55</v>
      </c>
      <c r="I325" s="1" t="s">
        <v>100</v>
      </c>
      <c r="J325" s="1" t="s">
        <v>68</v>
      </c>
      <c r="K325" s="1" t="s">
        <v>57</v>
      </c>
      <c r="M325" s="1" t="s">
        <v>58</v>
      </c>
      <c r="N325" s="1" t="s">
        <v>58</v>
      </c>
      <c r="O325" s="1" t="s">
        <v>58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58</v>
      </c>
      <c r="V325" s="1" t="s">
        <v>58</v>
      </c>
      <c r="W325" s="1" t="s">
        <v>58</v>
      </c>
      <c r="X325" s="1" t="s">
        <v>81</v>
      </c>
      <c r="Y325" s="1" t="s">
        <v>82</v>
      </c>
      <c r="Z325" s="1" t="s">
        <v>89</v>
      </c>
      <c r="AA325" s="2">
        <v>100.0</v>
      </c>
      <c r="AB325" s="1" t="s">
        <v>79</v>
      </c>
      <c r="AC325" s="1" t="s">
        <v>51</v>
      </c>
      <c r="AD325" s="1" t="s">
        <v>81</v>
      </c>
      <c r="AE325" s="1" t="s">
        <v>51</v>
      </c>
      <c r="AF325" s="1" t="s">
        <v>51</v>
      </c>
      <c r="AG325" s="1" t="s">
        <v>51</v>
      </c>
      <c r="AI325" s="2">
        <v>1.0</v>
      </c>
      <c r="AJ325" s="2">
        <v>0.0</v>
      </c>
      <c r="AK325" s="2">
        <v>0.0</v>
      </c>
      <c r="AL325" s="2">
        <v>0.0</v>
      </c>
      <c r="AM325" s="1" t="s">
        <v>51</v>
      </c>
      <c r="AP325" s="2">
        <v>4.90861901E8</v>
      </c>
      <c r="AQ325" s="1" t="s">
        <v>460</v>
      </c>
      <c r="AR325" s="2">
        <v>45810.44420138889</v>
      </c>
      <c r="AU325" s="1" t="s">
        <v>64</v>
      </c>
      <c r="AW325" s="1" t="s">
        <v>255</v>
      </c>
      <c r="AY325" s="2">
        <v>319.0</v>
      </c>
    </row>
    <row r="326">
      <c r="A326" s="1" t="s">
        <v>51</v>
      </c>
      <c r="C326" s="1" t="s">
        <v>52</v>
      </c>
      <c r="E326" s="1" t="s">
        <v>53</v>
      </c>
      <c r="F326" s="1" t="s">
        <v>54</v>
      </c>
      <c r="G326" s="2">
        <v>38.0</v>
      </c>
      <c r="H326" s="1" t="s">
        <v>66</v>
      </c>
      <c r="I326" s="1" t="s">
        <v>100</v>
      </c>
      <c r="J326" s="1" t="s">
        <v>68</v>
      </c>
      <c r="K326" s="1" t="s">
        <v>74</v>
      </c>
      <c r="M326" s="1" t="s">
        <v>58</v>
      </c>
      <c r="N326" s="1" t="s">
        <v>58</v>
      </c>
      <c r="O326" s="1" t="s">
        <v>58</v>
      </c>
      <c r="Q326" s="1" t="s">
        <v>58</v>
      </c>
      <c r="R326" s="1" t="s">
        <v>58</v>
      </c>
      <c r="S326" s="1" t="s">
        <v>58</v>
      </c>
      <c r="T326" s="1" t="s">
        <v>58</v>
      </c>
      <c r="U326" s="1" t="s">
        <v>58</v>
      </c>
      <c r="V326" s="1" t="s">
        <v>58</v>
      </c>
      <c r="W326" s="1" t="s">
        <v>58</v>
      </c>
      <c r="X326" s="1" t="s">
        <v>81</v>
      </c>
      <c r="Y326" s="1" t="s">
        <v>82</v>
      </c>
      <c r="Z326" s="1" t="s">
        <v>89</v>
      </c>
      <c r="AA326" s="2">
        <v>100.0</v>
      </c>
      <c r="AB326" s="1" t="s">
        <v>79</v>
      </c>
      <c r="AC326" s="1" t="s">
        <v>51</v>
      </c>
      <c r="AD326" s="1" t="s">
        <v>81</v>
      </c>
      <c r="AE326" s="1" t="s">
        <v>51</v>
      </c>
      <c r="AF326" s="1" t="s">
        <v>51</v>
      </c>
      <c r="AG326" s="1" t="s">
        <v>51</v>
      </c>
      <c r="AI326" s="2">
        <v>1.0</v>
      </c>
      <c r="AJ326" s="2">
        <v>0.0</v>
      </c>
      <c r="AK326" s="2">
        <v>0.0</v>
      </c>
      <c r="AL326" s="2">
        <v>0.0</v>
      </c>
      <c r="AM326" s="1" t="s">
        <v>51</v>
      </c>
      <c r="AP326" s="2">
        <v>4.9086362E8</v>
      </c>
      <c r="AQ326" s="1" t="s">
        <v>461</v>
      </c>
      <c r="AR326" s="2">
        <v>45810.445868055554</v>
      </c>
      <c r="AU326" s="1" t="s">
        <v>64</v>
      </c>
      <c r="AW326" s="1" t="s">
        <v>255</v>
      </c>
      <c r="AY326" s="2">
        <v>320.0</v>
      </c>
    </row>
    <row r="327">
      <c r="A327" s="1" t="s">
        <v>51</v>
      </c>
      <c r="C327" s="1" t="s">
        <v>170</v>
      </c>
      <c r="E327" s="1" t="s">
        <v>53</v>
      </c>
      <c r="F327" s="1" t="s">
        <v>54</v>
      </c>
      <c r="G327" s="2">
        <v>45.0</v>
      </c>
      <c r="H327" s="1" t="s">
        <v>55</v>
      </c>
      <c r="I327" s="1" t="s">
        <v>67</v>
      </c>
      <c r="J327" s="1" t="s">
        <v>68</v>
      </c>
      <c r="K327" s="1" t="s">
        <v>74</v>
      </c>
      <c r="M327" s="1" t="s">
        <v>58</v>
      </c>
      <c r="N327" s="1" t="s">
        <v>58</v>
      </c>
      <c r="O327" s="1" t="s">
        <v>58</v>
      </c>
      <c r="Q327" s="1" t="s">
        <v>58</v>
      </c>
      <c r="R327" s="1" t="s">
        <v>58</v>
      </c>
      <c r="S327" s="1" t="s">
        <v>58</v>
      </c>
      <c r="T327" s="1" t="s">
        <v>58</v>
      </c>
      <c r="U327" s="1" t="s">
        <v>58</v>
      </c>
      <c r="V327" s="1" t="s">
        <v>58</v>
      </c>
      <c r="W327" s="1" t="s">
        <v>58</v>
      </c>
      <c r="X327" s="1" t="s">
        <v>81</v>
      </c>
      <c r="Y327" s="1" t="s">
        <v>82</v>
      </c>
      <c r="Z327" s="1" t="s">
        <v>89</v>
      </c>
      <c r="AA327" s="2">
        <v>50.0</v>
      </c>
      <c r="AB327" s="1" t="s">
        <v>79</v>
      </c>
      <c r="AC327" s="1" t="s">
        <v>51</v>
      </c>
      <c r="AD327" s="1" t="s">
        <v>81</v>
      </c>
      <c r="AE327" s="1" t="s">
        <v>51</v>
      </c>
      <c r="AF327" s="1" t="s">
        <v>51</v>
      </c>
      <c r="AG327" s="1" t="s">
        <v>51</v>
      </c>
      <c r="AI327" s="2">
        <v>1.0</v>
      </c>
      <c r="AJ327" s="2">
        <v>0.0</v>
      </c>
      <c r="AK327" s="2">
        <v>0.0</v>
      </c>
      <c r="AL327" s="2">
        <v>0.0</v>
      </c>
      <c r="AM327" s="1" t="s">
        <v>51</v>
      </c>
      <c r="AP327" s="2">
        <v>4.90865124E8</v>
      </c>
      <c r="AQ327" s="1" t="s">
        <v>462</v>
      </c>
      <c r="AR327" s="2">
        <v>45810.44726851852</v>
      </c>
      <c r="AU327" s="1" t="s">
        <v>64</v>
      </c>
      <c r="AW327" s="1" t="s">
        <v>255</v>
      </c>
      <c r="AY327" s="2">
        <v>321.0</v>
      </c>
    </row>
    <row r="328">
      <c r="A328" s="1" t="s">
        <v>51</v>
      </c>
      <c r="C328" s="1" t="s">
        <v>170</v>
      </c>
      <c r="E328" s="1" t="s">
        <v>53</v>
      </c>
      <c r="F328" s="1" t="s">
        <v>54</v>
      </c>
      <c r="G328" s="2">
        <v>22.0</v>
      </c>
      <c r="H328" s="1" t="s">
        <v>55</v>
      </c>
      <c r="I328" s="1" t="s">
        <v>100</v>
      </c>
      <c r="J328" s="1" t="s">
        <v>68</v>
      </c>
      <c r="K328" s="1" t="s">
        <v>78</v>
      </c>
      <c r="M328" s="1" t="s">
        <v>58</v>
      </c>
      <c r="N328" s="1" t="s">
        <v>58</v>
      </c>
      <c r="O328" s="1" t="s">
        <v>58</v>
      </c>
      <c r="Q328" s="1" t="s">
        <v>58</v>
      </c>
      <c r="R328" s="1" t="s">
        <v>58</v>
      </c>
      <c r="S328" s="1" t="s">
        <v>58</v>
      </c>
      <c r="T328" s="1" t="s">
        <v>58</v>
      </c>
      <c r="U328" s="1" t="s">
        <v>58</v>
      </c>
      <c r="V328" s="1" t="s">
        <v>58</v>
      </c>
      <c r="W328" s="1" t="s">
        <v>58</v>
      </c>
      <c r="X328" s="1" t="s">
        <v>81</v>
      </c>
      <c r="Y328" s="1" t="s">
        <v>82</v>
      </c>
      <c r="Z328" s="1" t="s">
        <v>89</v>
      </c>
      <c r="AA328" s="2">
        <v>30.0</v>
      </c>
      <c r="AB328" s="1" t="s">
        <v>79</v>
      </c>
      <c r="AC328" s="1" t="s">
        <v>51</v>
      </c>
      <c r="AD328" s="1" t="s">
        <v>81</v>
      </c>
      <c r="AE328" s="1" t="s">
        <v>51</v>
      </c>
      <c r="AF328" s="1" t="s">
        <v>51</v>
      </c>
      <c r="AG328" s="1" t="s">
        <v>51</v>
      </c>
      <c r="AI328" s="2">
        <v>1.0</v>
      </c>
      <c r="AJ328" s="2">
        <v>0.0</v>
      </c>
      <c r="AK328" s="2">
        <v>0.0</v>
      </c>
      <c r="AL328" s="2">
        <v>0.0</v>
      </c>
      <c r="AM328" s="1" t="s">
        <v>51</v>
      </c>
      <c r="AP328" s="2">
        <v>4.90866858E8</v>
      </c>
      <c r="AQ328" s="1" t="s">
        <v>463</v>
      </c>
      <c r="AR328" s="2">
        <v>45810.44868055556</v>
      </c>
      <c r="AU328" s="1" t="s">
        <v>64</v>
      </c>
      <c r="AW328" s="1" t="s">
        <v>255</v>
      </c>
      <c r="AY328" s="2">
        <v>322.0</v>
      </c>
    </row>
    <row r="329">
      <c r="A329" s="1" t="s">
        <v>51</v>
      </c>
      <c r="C329" s="1" t="s">
        <v>52</v>
      </c>
      <c r="E329" s="1" t="s">
        <v>53</v>
      </c>
      <c r="F329" s="1" t="s">
        <v>54</v>
      </c>
      <c r="G329" s="2">
        <v>37.0</v>
      </c>
      <c r="H329" s="1" t="s">
        <v>66</v>
      </c>
      <c r="I329" s="1" t="s">
        <v>76</v>
      </c>
      <c r="J329" s="1" t="s">
        <v>68</v>
      </c>
      <c r="K329" s="1" t="s">
        <v>74</v>
      </c>
      <c r="M329" s="1" t="s">
        <v>58</v>
      </c>
      <c r="N329" s="1" t="s">
        <v>58</v>
      </c>
      <c r="O329" s="1" t="s">
        <v>58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81</v>
      </c>
      <c r="Y329" s="1" t="s">
        <v>82</v>
      </c>
      <c r="Z329" s="1" t="s">
        <v>89</v>
      </c>
      <c r="AA329" s="2">
        <v>40.0</v>
      </c>
      <c r="AB329" s="1" t="s">
        <v>79</v>
      </c>
      <c r="AC329" s="1" t="s">
        <v>51</v>
      </c>
      <c r="AD329" s="1" t="s">
        <v>81</v>
      </c>
      <c r="AE329" s="1" t="s">
        <v>51</v>
      </c>
      <c r="AF329" s="1" t="s">
        <v>51</v>
      </c>
      <c r="AG329" s="1" t="s">
        <v>51</v>
      </c>
      <c r="AI329" s="2">
        <v>1.0</v>
      </c>
      <c r="AJ329" s="2">
        <v>0.0</v>
      </c>
      <c r="AK329" s="2">
        <v>0.0</v>
      </c>
      <c r="AL329" s="2">
        <v>0.0</v>
      </c>
      <c r="AM329" s="1" t="s">
        <v>51</v>
      </c>
      <c r="AP329" s="2">
        <v>4.90868361E8</v>
      </c>
      <c r="AQ329" s="1" t="s">
        <v>464</v>
      </c>
      <c r="AR329" s="2">
        <v>45810.45009259259</v>
      </c>
      <c r="AU329" s="1" t="s">
        <v>64</v>
      </c>
      <c r="AW329" s="1" t="s">
        <v>255</v>
      </c>
      <c r="AY329" s="2">
        <v>323.0</v>
      </c>
    </row>
    <row r="330">
      <c r="A330" s="1" t="s">
        <v>51</v>
      </c>
      <c r="C330" s="1" t="s">
        <v>52</v>
      </c>
      <c r="E330" s="1" t="s">
        <v>53</v>
      </c>
      <c r="F330" s="1" t="s">
        <v>54</v>
      </c>
      <c r="G330" s="2">
        <v>25.0</v>
      </c>
      <c r="H330" s="1" t="s">
        <v>66</v>
      </c>
      <c r="I330" s="1" t="s">
        <v>76</v>
      </c>
      <c r="J330" s="1" t="s">
        <v>68</v>
      </c>
      <c r="K330" s="1" t="s">
        <v>74</v>
      </c>
      <c r="M330" s="1" t="s">
        <v>58</v>
      </c>
      <c r="N330" s="1" t="s">
        <v>58</v>
      </c>
      <c r="O330" s="1" t="s">
        <v>58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1" t="s">
        <v>81</v>
      </c>
      <c r="Y330" s="1" t="s">
        <v>82</v>
      </c>
      <c r="Z330" s="1" t="s">
        <v>89</v>
      </c>
      <c r="AA330" s="2">
        <v>100.0</v>
      </c>
      <c r="AB330" s="1" t="s">
        <v>79</v>
      </c>
      <c r="AC330" s="1" t="s">
        <v>51</v>
      </c>
      <c r="AD330" s="1" t="s">
        <v>81</v>
      </c>
      <c r="AE330" s="1" t="s">
        <v>51</v>
      </c>
      <c r="AF330" s="1" t="s">
        <v>51</v>
      </c>
      <c r="AG330" s="1" t="s">
        <v>72</v>
      </c>
      <c r="AI330" s="2">
        <v>1.0</v>
      </c>
      <c r="AJ330" s="2">
        <v>0.0</v>
      </c>
      <c r="AK330" s="2">
        <v>0.0</v>
      </c>
      <c r="AL330" s="2">
        <v>0.0</v>
      </c>
      <c r="AM330" s="1" t="s">
        <v>51</v>
      </c>
      <c r="AP330" s="2">
        <v>4.90870025E8</v>
      </c>
      <c r="AQ330" s="1" t="s">
        <v>465</v>
      </c>
      <c r="AR330" s="2">
        <v>45810.451516203706</v>
      </c>
      <c r="AU330" s="1" t="s">
        <v>64</v>
      </c>
      <c r="AW330" s="1" t="s">
        <v>255</v>
      </c>
      <c r="AY330" s="2">
        <v>324.0</v>
      </c>
    </row>
    <row r="331">
      <c r="A331" s="1" t="s">
        <v>51</v>
      </c>
      <c r="C331" s="1" t="s">
        <v>131</v>
      </c>
      <c r="E331" s="1" t="s">
        <v>53</v>
      </c>
      <c r="F331" s="1" t="s">
        <v>54</v>
      </c>
      <c r="G331" s="2">
        <v>25.0</v>
      </c>
      <c r="H331" s="1" t="s">
        <v>55</v>
      </c>
      <c r="I331" s="1" t="s">
        <v>100</v>
      </c>
      <c r="J331" s="1" t="s">
        <v>68</v>
      </c>
      <c r="K331" s="1" t="s">
        <v>57</v>
      </c>
      <c r="M331" s="1" t="s">
        <v>58</v>
      </c>
      <c r="N331" s="1" t="s">
        <v>58</v>
      </c>
      <c r="O331" s="1" t="s">
        <v>58</v>
      </c>
      <c r="Q331" s="1" t="s">
        <v>58</v>
      </c>
      <c r="R331" s="1" t="s">
        <v>58</v>
      </c>
      <c r="S331" s="1" t="s">
        <v>58</v>
      </c>
      <c r="T331" s="1" t="s">
        <v>58</v>
      </c>
      <c r="U331" s="1" t="s">
        <v>58</v>
      </c>
      <c r="V331" s="1" t="s">
        <v>58</v>
      </c>
      <c r="W331" s="1" t="s">
        <v>58</v>
      </c>
      <c r="X331" s="1" t="s">
        <v>81</v>
      </c>
      <c r="Y331" s="1" t="s">
        <v>82</v>
      </c>
      <c r="Z331" s="1" t="s">
        <v>61</v>
      </c>
      <c r="AA331" s="2">
        <v>20.0</v>
      </c>
      <c r="AB331" s="1" t="s">
        <v>28</v>
      </c>
      <c r="AC331" s="1" t="s">
        <v>71</v>
      </c>
      <c r="AF331" s="1" t="s">
        <v>51</v>
      </c>
      <c r="AG331" s="1" t="s">
        <v>51</v>
      </c>
      <c r="AI331" s="2">
        <v>0.0</v>
      </c>
      <c r="AJ331" s="2">
        <v>0.0</v>
      </c>
      <c r="AK331" s="2">
        <v>0.0</v>
      </c>
      <c r="AL331" s="2">
        <v>1.0</v>
      </c>
      <c r="AM331" s="1" t="s">
        <v>72</v>
      </c>
      <c r="AP331" s="2">
        <v>4.90872118E8</v>
      </c>
      <c r="AQ331" s="1" t="s">
        <v>466</v>
      </c>
      <c r="AR331" s="2">
        <v>45810.4540625</v>
      </c>
      <c r="AU331" s="1" t="s">
        <v>64</v>
      </c>
      <c r="AW331" s="1" t="s">
        <v>255</v>
      </c>
      <c r="AY331" s="2">
        <v>325.0</v>
      </c>
    </row>
    <row r="332">
      <c r="A332" s="1" t="s">
        <v>51</v>
      </c>
      <c r="C332" s="1" t="s">
        <v>170</v>
      </c>
      <c r="E332" s="1" t="s">
        <v>53</v>
      </c>
      <c r="F332" s="1" t="s">
        <v>54</v>
      </c>
      <c r="G332" s="2">
        <v>28.0</v>
      </c>
      <c r="H332" s="1" t="s">
        <v>233</v>
      </c>
      <c r="I332" s="1" t="s">
        <v>76</v>
      </c>
      <c r="J332" s="1" t="s">
        <v>56</v>
      </c>
      <c r="K332" s="1" t="s">
        <v>74</v>
      </c>
      <c r="M332" s="1" t="s">
        <v>58</v>
      </c>
      <c r="O332" s="1" t="s">
        <v>58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81</v>
      </c>
      <c r="Y332" s="1" t="s">
        <v>82</v>
      </c>
      <c r="Z332" s="1" t="s">
        <v>61</v>
      </c>
      <c r="AA332" s="2">
        <v>10.0</v>
      </c>
      <c r="AB332" s="1" t="s">
        <v>28</v>
      </c>
      <c r="AC332" s="1" t="s">
        <v>51</v>
      </c>
      <c r="AD332" s="1" t="s">
        <v>81</v>
      </c>
      <c r="AE332" s="1" t="s">
        <v>51</v>
      </c>
      <c r="AF332" s="1" t="s">
        <v>51</v>
      </c>
      <c r="AG332" s="1" t="s">
        <v>72</v>
      </c>
      <c r="AM332" s="1" t="s">
        <v>72</v>
      </c>
      <c r="AP332" s="2">
        <v>4.90874202E8</v>
      </c>
      <c r="AQ332" s="1" t="s">
        <v>467</v>
      </c>
      <c r="AR332" s="2">
        <v>45810.456724537034</v>
      </c>
      <c r="AU332" s="1" t="s">
        <v>64</v>
      </c>
      <c r="AW332" s="1" t="s">
        <v>255</v>
      </c>
      <c r="AY332" s="2">
        <v>326.0</v>
      </c>
    </row>
    <row r="333">
      <c r="A333" s="1" t="s">
        <v>51</v>
      </c>
      <c r="C333" s="1" t="s">
        <v>52</v>
      </c>
      <c r="E333" s="1" t="s">
        <v>53</v>
      </c>
      <c r="F333" s="1" t="s">
        <v>54</v>
      </c>
      <c r="G333" s="2">
        <v>30.0</v>
      </c>
      <c r="H333" s="1" t="s">
        <v>66</v>
      </c>
      <c r="I333" s="1" t="s">
        <v>67</v>
      </c>
      <c r="J333" s="1" t="s">
        <v>68</v>
      </c>
      <c r="K333" s="1" t="s">
        <v>57</v>
      </c>
      <c r="M333" s="1" t="s">
        <v>58</v>
      </c>
      <c r="N333" s="1" t="s">
        <v>58</v>
      </c>
      <c r="O333" s="1" t="s">
        <v>58</v>
      </c>
      <c r="Q333" s="1" t="s">
        <v>58</v>
      </c>
      <c r="R333" s="1" t="s">
        <v>58</v>
      </c>
      <c r="S333" s="1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1" t="s">
        <v>81</v>
      </c>
      <c r="Y333" s="1" t="s">
        <v>82</v>
      </c>
      <c r="Z333" s="1" t="s">
        <v>61</v>
      </c>
      <c r="AA333" s="2">
        <v>10.0</v>
      </c>
      <c r="AB333" s="1" t="s">
        <v>28</v>
      </c>
      <c r="AC333" s="1" t="s">
        <v>72</v>
      </c>
      <c r="AF333" s="1" t="s">
        <v>51</v>
      </c>
      <c r="AG333" s="1" t="s">
        <v>72</v>
      </c>
      <c r="AI333" s="2">
        <v>0.0</v>
      </c>
      <c r="AJ333" s="2">
        <v>0.0</v>
      </c>
      <c r="AK333" s="2">
        <v>0.0</v>
      </c>
      <c r="AL333" s="2">
        <v>1.0</v>
      </c>
      <c r="AM333" s="1" t="s">
        <v>72</v>
      </c>
      <c r="AP333" s="2">
        <v>4.90875834E8</v>
      </c>
      <c r="AQ333" s="1" t="s">
        <v>468</v>
      </c>
      <c r="AR333" s="2">
        <v>45810.45853009259</v>
      </c>
      <c r="AU333" s="1" t="s">
        <v>64</v>
      </c>
      <c r="AW333" s="1" t="s">
        <v>255</v>
      </c>
      <c r="AY333" s="2">
        <v>327.0</v>
      </c>
    </row>
    <row r="334">
      <c r="A334" s="1" t="s">
        <v>51</v>
      </c>
      <c r="C334" s="1" t="s">
        <v>52</v>
      </c>
      <c r="E334" s="1" t="s">
        <v>53</v>
      </c>
      <c r="F334" s="1" t="s">
        <v>54</v>
      </c>
      <c r="G334" s="2">
        <v>33.0</v>
      </c>
      <c r="H334" s="1" t="s">
        <v>66</v>
      </c>
      <c r="I334" s="1" t="s">
        <v>67</v>
      </c>
      <c r="J334" s="1" t="s">
        <v>68</v>
      </c>
      <c r="K334" s="1" t="s">
        <v>57</v>
      </c>
      <c r="M334" s="1" t="s">
        <v>58</v>
      </c>
      <c r="N334" s="1" t="s">
        <v>58</v>
      </c>
      <c r="O334" s="1" t="s">
        <v>58</v>
      </c>
      <c r="Q334" s="1" t="s">
        <v>58</v>
      </c>
      <c r="R334" s="1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81</v>
      </c>
      <c r="Y334" s="1" t="s">
        <v>82</v>
      </c>
      <c r="Z334" s="1" t="s">
        <v>89</v>
      </c>
      <c r="AA334" s="2">
        <v>10.0</v>
      </c>
      <c r="AB334" s="1" t="s">
        <v>28</v>
      </c>
      <c r="AC334" s="1" t="s">
        <v>72</v>
      </c>
      <c r="AF334" s="1" t="s">
        <v>51</v>
      </c>
      <c r="AG334" s="1" t="s">
        <v>72</v>
      </c>
      <c r="AI334" s="2">
        <v>0.0</v>
      </c>
      <c r="AJ334" s="2">
        <v>0.0</v>
      </c>
      <c r="AK334" s="2">
        <v>0.0</v>
      </c>
      <c r="AL334" s="2">
        <v>1.0</v>
      </c>
      <c r="AM334" s="1" t="s">
        <v>72</v>
      </c>
      <c r="AP334" s="2">
        <v>4.90877324E8</v>
      </c>
      <c r="AQ334" s="1" t="s">
        <v>469</v>
      </c>
      <c r="AR334" s="2">
        <v>45810.46016203704</v>
      </c>
      <c r="AU334" s="1" t="s">
        <v>64</v>
      </c>
      <c r="AW334" s="1" t="s">
        <v>255</v>
      </c>
      <c r="AY334" s="2">
        <v>328.0</v>
      </c>
    </row>
    <row r="335">
      <c r="A335" s="1" t="s">
        <v>51</v>
      </c>
      <c r="C335" s="1" t="s">
        <v>52</v>
      </c>
      <c r="E335" s="1" t="s">
        <v>53</v>
      </c>
      <c r="F335" s="1" t="s">
        <v>54</v>
      </c>
      <c r="G335" s="2">
        <v>41.0</v>
      </c>
      <c r="H335" s="1" t="s">
        <v>66</v>
      </c>
      <c r="I335" s="1" t="s">
        <v>419</v>
      </c>
      <c r="J335" s="1" t="s">
        <v>68</v>
      </c>
      <c r="K335" s="1" t="s">
        <v>74</v>
      </c>
      <c r="M335" s="1" t="s">
        <v>58</v>
      </c>
      <c r="N335" s="1" t="s">
        <v>58</v>
      </c>
      <c r="O335" s="1" t="s">
        <v>58</v>
      </c>
      <c r="Q335" s="1" t="s">
        <v>58</v>
      </c>
      <c r="R335" s="1" t="s">
        <v>58</v>
      </c>
      <c r="S335" s="1" t="s">
        <v>58</v>
      </c>
      <c r="T335" s="1" t="s">
        <v>58</v>
      </c>
      <c r="U335" s="1" t="s">
        <v>58</v>
      </c>
      <c r="V335" s="1" t="s">
        <v>58</v>
      </c>
      <c r="W335" s="1" t="s">
        <v>58</v>
      </c>
      <c r="X335" s="1" t="s">
        <v>81</v>
      </c>
      <c r="Y335" s="1" t="s">
        <v>82</v>
      </c>
      <c r="Z335" s="1" t="s">
        <v>61</v>
      </c>
      <c r="AA335" s="2">
        <v>20.0</v>
      </c>
      <c r="AB335" s="1" t="s">
        <v>28</v>
      </c>
      <c r="AC335" s="1" t="s">
        <v>51</v>
      </c>
      <c r="AD335" s="1" t="s">
        <v>81</v>
      </c>
      <c r="AE335" s="1" t="s">
        <v>51</v>
      </c>
      <c r="AF335" s="1" t="s">
        <v>51</v>
      </c>
      <c r="AG335" s="1" t="s">
        <v>72</v>
      </c>
      <c r="AI335" s="2">
        <v>0.0</v>
      </c>
      <c r="AJ335" s="2">
        <v>0.0</v>
      </c>
      <c r="AK335" s="2">
        <v>0.0</v>
      </c>
      <c r="AL335" s="2">
        <v>1.0</v>
      </c>
      <c r="AM335" s="1" t="s">
        <v>72</v>
      </c>
      <c r="AP335" s="2">
        <v>4.90878732E8</v>
      </c>
      <c r="AQ335" s="1" t="s">
        <v>470</v>
      </c>
      <c r="AR335" s="2">
        <v>45810.46167824074</v>
      </c>
      <c r="AU335" s="1" t="s">
        <v>64</v>
      </c>
      <c r="AW335" s="1" t="s">
        <v>255</v>
      </c>
      <c r="AY335" s="2">
        <v>329.0</v>
      </c>
    </row>
    <row r="336">
      <c r="A336" s="1" t="s">
        <v>51</v>
      </c>
      <c r="C336" s="1" t="s">
        <v>131</v>
      </c>
      <c r="E336" s="1" t="s">
        <v>53</v>
      </c>
      <c r="F336" s="1" t="s">
        <v>54</v>
      </c>
      <c r="G336" s="2">
        <v>29.0</v>
      </c>
      <c r="H336" s="1" t="s">
        <v>66</v>
      </c>
      <c r="I336" s="1" t="s">
        <v>76</v>
      </c>
      <c r="J336" s="1" t="s">
        <v>68</v>
      </c>
      <c r="K336" s="1" t="s">
        <v>74</v>
      </c>
      <c r="M336" s="1" t="s">
        <v>58</v>
      </c>
      <c r="N336" s="1" t="s">
        <v>58</v>
      </c>
      <c r="O336" s="1" t="s">
        <v>58</v>
      </c>
      <c r="Q336" s="1" t="s">
        <v>58</v>
      </c>
      <c r="R336" s="1" t="s">
        <v>58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81</v>
      </c>
      <c r="Y336" s="1" t="s">
        <v>60</v>
      </c>
      <c r="Z336" s="1" t="s">
        <v>61</v>
      </c>
      <c r="AA336" s="2">
        <v>30.0</v>
      </c>
      <c r="AB336" s="1" t="s">
        <v>28</v>
      </c>
      <c r="AC336" s="1" t="s">
        <v>51</v>
      </c>
      <c r="AD336" s="1" t="s">
        <v>81</v>
      </c>
      <c r="AE336" s="1" t="s">
        <v>51</v>
      </c>
      <c r="AF336" s="1" t="s">
        <v>51</v>
      </c>
      <c r="AG336" s="1" t="s">
        <v>72</v>
      </c>
      <c r="AI336" s="2">
        <v>0.0</v>
      </c>
      <c r="AJ336" s="2">
        <v>0.0</v>
      </c>
      <c r="AK336" s="2">
        <v>0.0</v>
      </c>
      <c r="AL336" s="2">
        <v>1.0</v>
      </c>
      <c r="AM336" s="1" t="s">
        <v>72</v>
      </c>
      <c r="AP336" s="2">
        <v>4.90880482E8</v>
      </c>
      <c r="AQ336" s="1" t="s">
        <v>471</v>
      </c>
      <c r="AR336" s="2">
        <v>45810.463530092595</v>
      </c>
      <c r="AU336" s="1" t="s">
        <v>64</v>
      </c>
      <c r="AW336" s="1" t="s">
        <v>255</v>
      </c>
      <c r="AY336" s="2">
        <v>330.0</v>
      </c>
    </row>
    <row r="337">
      <c r="A337" s="1" t="s">
        <v>51</v>
      </c>
      <c r="C337" s="1" t="s">
        <v>52</v>
      </c>
      <c r="E337" s="1" t="s">
        <v>53</v>
      </c>
      <c r="F337" s="1" t="s">
        <v>54</v>
      </c>
      <c r="G337" s="2">
        <v>40.0</v>
      </c>
      <c r="H337" s="1" t="s">
        <v>66</v>
      </c>
      <c r="I337" s="1" t="s">
        <v>100</v>
      </c>
      <c r="J337" s="1" t="s">
        <v>68</v>
      </c>
      <c r="K337" s="1" t="s">
        <v>74</v>
      </c>
      <c r="M337" s="1" t="s">
        <v>58</v>
      </c>
      <c r="N337" s="1" t="s">
        <v>58</v>
      </c>
      <c r="O337" s="1" t="s">
        <v>58</v>
      </c>
      <c r="Q337" s="1" t="s">
        <v>58</v>
      </c>
      <c r="R337" s="1" t="s">
        <v>58</v>
      </c>
      <c r="S337" s="1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81</v>
      </c>
      <c r="Y337" s="1" t="s">
        <v>82</v>
      </c>
      <c r="Z337" s="1" t="s">
        <v>61</v>
      </c>
      <c r="AA337" s="2">
        <v>10.0</v>
      </c>
      <c r="AB337" s="1" t="s">
        <v>28</v>
      </c>
      <c r="AC337" s="1" t="s">
        <v>51</v>
      </c>
      <c r="AD337" s="1" t="s">
        <v>81</v>
      </c>
      <c r="AE337" s="1" t="s">
        <v>51</v>
      </c>
      <c r="AF337" s="1" t="s">
        <v>51</v>
      </c>
      <c r="AG337" s="1" t="s">
        <v>72</v>
      </c>
      <c r="AI337" s="2">
        <v>0.0</v>
      </c>
      <c r="AJ337" s="2">
        <v>0.0</v>
      </c>
      <c r="AK337" s="2">
        <v>0.0</v>
      </c>
      <c r="AL337" s="2">
        <v>1.0</v>
      </c>
      <c r="AM337" s="1" t="s">
        <v>72</v>
      </c>
      <c r="AP337" s="2">
        <v>4.90881694E8</v>
      </c>
      <c r="AQ337" s="1" t="s">
        <v>472</v>
      </c>
      <c r="AR337" s="2">
        <v>45810.46502314815</v>
      </c>
      <c r="AU337" s="1" t="s">
        <v>64</v>
      </c>
      <c r="AW337" s="1" t="s">
        <v>255</v>
      </c>
      <c r="AY337" s="2">
        <v>331.0</v>
      </c>
    </row>
    <row r="338">
      <c r="A338" s="1" t="s">
        <v>51</v>
      </c>
      <c r="C338" s="1" t="s">
        <v>170</v>
      </c>
      <c r="E338" s="1" t="s">
        <v>53</v>
      </c>
      <c r="F338" s="1" t="s">
        <v>54</v>
      </c>
      <c r="G338" s="2">
        <v>45.0</v>
      </c>
      <c r="H338" s="1" t="s">
        <v>66</v>
      </c>
      <c r="I338" s="1" t="s">
        <v>100</v>
      </c>
      <c r="J338" s="1" t="s">
        <v>68</v>
      </c>
      <c r="K338" s="1" t="s">
        <v>57</v>
      </c>
      <c r="M338" s="1" t="s">
        <v>58</v>
      </c>
      <c r="N338" s="1" t="s">
        <v>58</v>
      </c>
      <c r="O338" s="1" t="s">
        <v>58</v>
      </c>
      <c r="Q338" s="1" t="s">
        <v>58</v>
      </c>
      <c r="R338" s="1" t="s">
        <v>58</v>
      </c>
      <c r="S338" s="1" t="s">
        <v>58</v>
      </c>
      <c r="T338" s="1" t="s">
        <v>58</v>
      </c>
      <c r="U338" s="1" t="s">
        <v>58</v>
      </c>
      <c r="W338" s="1" t="s">
        <v>58</v>
      </c>
      <c r="X338" s="1" t="s">
        <v>81</v>
      </c>
      <c r="Y338" s="1" t="s">
        <v>82</v>
      </c>
      <c r="Z338" s="1" t="s">
        <v>61</v>
      </c>
      <c r="AA338" s="2">
        <v>10.0</v>
      </c>
      <c r="AB338" s="1" t="s">
        <v>28</v>
      </c>
      <c r="AC338" s="1" t="s">
        <v>51</v>
      </c>
      <c r="AD338" s="1" t="s">
        <v>81</v>
      </c>
      <c r="AE338" s="1" t="s">
        <v>51</v>
      </c>
      <c r="AF338" s="1" t="s">
        <v>51</v>
      </c>
      <c r="AG338" s="1" t="s">
        <v>72</v>
      </c>
      <c r="AI338" s="2">
        <v>0.0</v>
      </c>
      <c r="AJ338" s="2">
        <v>0.0</v>
      </c>
      <c r="AK338" s="2">
        <v>0.0</v>
      </c>
      <c r="AL338" s="2">
        <v>1.0</v>
      </c>
      <c r="AM338" s="1" t="s">
        <v>72</v>
      </c>
      <c r="AP338" s="2">
        <v>4.90883057E8</v>
      </c>
      <c r="AQ338" s="1" t="s">
        <v>473</v>
      </c>
      <c r="AR338" s="2">
        <v>45810.46697916667</v>
      </c>
      <c r="AU338" s="1" t="s">
        <v>64</v>
      </c>
      <c r="AW338" s="1" t="s">
        <v>255</v>
      </c>
      <c r="AY338" s="2">
        <v>332.0</v>
      </c>
    </row>
    <row r="339">
      <c r="A339" s="1" t="s">
        <v>51</v>
      </c>
      <c r="C339" s="1" t="s">
        <v>52</v>
      </c>
      <c r="E339" s="1" t="s">
        <v>53</v>
      </c>
      <c r="F339" s="1" t="s">
        <v>54</v>
      </c>
      <c r="G339" s="2">
        <v>36.0</v>
      </c>
      <c r="H339" s="1" t="s">
        <v>66</v>
      </c>
      <c r="I339" s="1" t="s">
        <v>76</v>
      </c>
      <c r="J339" s="1" t="s">
        <v>68</v>
      </c>
      <c r="K339" s="1" t="s">
        <v>74</v>
      </c>
      <c r="M339" s="1" t="s">
        <v>58</v>
      </c>
      <c r="N339" s="1" t="s">
        <v>58</v>
      </c>
      <c r="O339" s="1" t="s">
        <v>58</v>
      </c>
      <c r="Q339" s="1" t="s">
        <v>58</v>
      </c>
      <c r="R339" s="1" t="s">
        <v>58</v>
      </c>
      <c r="S339" s="1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81</v>
      </c>
      <c r="Z339" s="1" t="s">
        <v>61</v>
      </c>
      <c r="AA339" s="2">
        <v>20.0</v>
      </c>
      <c r="AC339" s="1" t="s">
        <v>51</v>
      </c>
      <c r="AD339" s="1" t="s">
        <v>81</v>
      </c>
      <c r="AE339" s="1" t="s">
        <v>51</v>
      </c>
      <c r="AF339" s="1" t="s">
        <v>51</v>
      </c>
      <c r="AG339" s="1" t="s">
        <v>72</v>
      </c>
      <c r="AI339" s="2">
        <v>0.0</v>
      </c>
      <c r="AJ339" s="2">
        <v>0.0</v>
      </c>
      <c r="AK339" s="2">
        <v>0.0</v>
      </c>
      <c r="AL339" s="2">
        <v>1.0</v>
      </c>
      <c r="AM339" s="1" t="s">
        <v>72</v>
      </c>
      <c r="AP339" s="2">
        <v>4.90884263E8</v>
      </c>
      <c r="AQ339" s="1" t="s">
        <v>474</v>
      </c>
      <c r="AR339" s="2">
        <v>45810.46826388889</v>
      </c>
      <c r="AU339" s="1" t="s">
        <v>64</v>
      </c>
      <c r="AW339" s="1" t="s">
        <v>255</v>
      </c>
      <c r="AY339" s="2">
        <v>333.0</v>
      </c>
    </row>
    <row r="340">
      <c r="A340" s="1" t="s">
        <v>51</v>
      </c>
      <c r="C340" s="1" t="s">
        <v>52</v>
      </c>
      <c r="E340" s="1" t="s">
        <v>53</v>
      </c>
      <c r="F340" s="1" t="s">
        <v>54</v>
      </c>
      <c r="G340" s="2">
        <v>31.0</v>
      </c>
      <c r="H340" s="1" t="s">
        <v>66</v>
      </c>
      <c r="I340" s="1" t="s">
        <v>419</v>
      </c>
      <c r="J340" s="1" t="s">
        <v>68</v>
      </c>
      <c r="K340" s="1" t="s">
        <v>74</v>
      </c>
      <c r="M340" s="1" t="s">
        <v>58</v>
      </c>
      <c r="N340" s="1" t="s">
        <v>58</v>
      </c>
      <c r="O340" s="1" t="s">
        <v>58</v>
      </c>
      <c r="Q340" s="1" t="s">
        <v>58</v>
      </c>
      <c r="R340" s="1" t="s">
        <v>58</v>
      </c>
      <c r="S340" s="1" t="s">
        <v>58</v>
      </c>
      <c r="T340" s="1" t="s">
        <v>58</v>
      </c>
      <c r="U340" s="1" t="s">
        <v>58</v>
      </c>
      <c r="V340" s="1" t="s">
        <v>58</v>
      </c>
      <c r="W340" s="1" t="s">
        <v>58</v>
      </c>
      <c r="X340" s="1" t="s">
        <v>81</v>
      </c>
      <c r="Y340" s="1" t="s">
        <v>82</v>
      </c>
      <c r="Z340" s="1" t="s">
        <v>61</v>
      </c>
      <c r="AA340" s="2">
        <v>10.0</v>
      </c>
      <c r="AB340" s="1" t="s">
        <v>28</v>
      </c>
      <c r="AC340" s="1" t="s">
        <v>71</v>
      </c>
      <c r="AF340" s="1" t="s">
        <v>51</v>
      </c>
      <c r="AG340" s="1" t="s">
        <v>72</v>
      </c>
      <c r="AI340" s="2">
        <v>0.0</v>
      </c>
      <c r="AJ340" s="2">
        <v>0.0</v>
      </c>
      <c r="AK340" s="2">
        <v>0.0</v>
      </c>
      <c r="AL340" s="2">
        <v>1.0</v>
      </c>
      <c r="AM340" s="1" t="s">
        <v>72</v>
      </c>
      <c r="AP340" s="2">
        <v>4.90885688E8</v>
      </c>
      <c r="AQ340" s="1" t="s">
        <v>475</v>
      </c>
      <c r="AR340" s="2">
        <v>45810.469976851855</v>
      </c>
      <c r="AU340" s="1" t="s">
        <v>64</v>
      </c>
      <c r="AW340" s="1" t="s">
        <v>255</v>
      </c>
      <c r="AY340" s="2">
        <v>334.0</v>
      </c>
    </row>
    <row r="341">
      <c r="A341" s="1" t="s">
        <v>51</v>
      </c>
      <c r="C341" s="1" t="s">
        <v>52</v>
      </c>
      <c r="E341" s="1" t="s">
        <v>53</v>
      </c>
      <c r="F341" s="1" t="s">
        <v>54</v>
      </c>
      <c r="G341" s="2">
        <v>22.0</v>
      </c>
      <c r="H341" s="1" t="s">
        <v>66</v>
      </c>
      <c r="I341" s="1" t="s">
        <v>100</v>
      </c>
      <c r="J341" s="1" t="s">
        <v>68</v>
      </c>
      <c r="K341" s="1" t="s">
        <v>78</v>
      </c>
      <c r="M341" s="1" t="s">
        <v>58</v>
      </c>
      <c r="N341" s="1" t="s">
        <v>58</v>
      </c>
      <c r="O341" s="1" t="s">
        <v>58</v>
      </c>
      <c r="Q341" s="1" t="s">
        <v>58</v>
      </c>
      <c r="R341" s="1" t="s">
        <v>58</v>
      </c>
      <c r="S341" s="1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81</v>
      </c>
      <c r="Y341" s="1" t="s">
        <v>82</v>
      </c>
      <c r="Z341" s="1" t="s">
        <v>89</v>
      </c>
      <c r="AA341" s="2">
        <v>30.0</v>
      </c>
      <c r="AB341" s="1" t="s">
        <v>79</v>
      </c>
      <c r="AC341" s="1" t="s">
        <v>51</v>
      </c>
      <c r="AD341" s="1" t="s">
        <v>81</v>
      </c>
      <c r="AE341" s="1" t="s">
        <v>51</v>
      </c>
      <c r="AF341" s="1" t="s">
        <v>51</v>
      </c>
      <c r="AG341" s="1" t="s">
        <v>51</v>
      </c>
      <c r="AI341" s="2">
        <v>1.0</v>
      </c>
      <c r="AJ341" s="2">
        <v>0.0</v>
      </c>
      <c r="AK341" s="2">
        <v>0.0</v>
      </c>
      <c r="AL341" s="2">
        <v>0.0</v>
      </c>
      <c r="AM341" s="1" t="s">
        <v>51</v>
      </c>
      <c r="AP341" s="2">
        <v>4.90906177E8</v>
      </c>
      <c r="AQ341" s="1" t="s">
        <v>476</v>
      </c>
      <c r="AR341" s="2">
        <v>45810.49365740741</v>
      </c>
      <c r="AU341" s="1" t="s">
        <v>64</v>
      </c>
      <c r="AW341" s="1" t="s">
        <v>255</v>
      </c>
      <c r="AY341" s="2">
        <v>335.0</v>
      </c>
    </row>
    <row r="342">
      <c r="A342" s="1" t="s">
        <v>51</v>
      </c>
      <c r="C342" s="1" t="s">
        <v>52</v>
      </c>
      <c r="E342" s="1" t="s">
        <v>53</v>
      </c>
      <c r="F342" s="1" t="s">
        <v>54</v>
      </c>
      <c r="G342" s="2">
        <v>22.0</v>
      </c>
      <c r="H342" s="1" t="s">
        <v>66</v>
      </c>
      <c r="I342" s="1" t="s">
        <v>100</v>
      </c>
      <c r="J342" s="1" t="s">
        <v>68</v>
      </c>
      <c r="K342" s="1" t="s">
        <v>57</v>
      </c>
      <c r="M342" s="1" t="s">
        <v>58</v>
      </c>
      <c r="N342" s="1" t="s">
        <v>58</v>
      </c>
      <c r="O342" s="1" t="s">
        <v>58</v>
      </c>
      <c r="Q342" s="1" t="s">
        <v>58</v>
      </c>
      <c r="R342" s="1" t="s">
        <v>58</v>
      </c>
      <c r="S342" s="1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81</v>
      </c>
      <c r="Y342" s="1" t="s">
        <v>82</v>
      </c>
      <c r="Z342" s="1" t="s">
        <v>89</v>
      </c>
      <c r="AA342" s="2">
        <v>20.0</v>
      </c>
      <c r="AB342" s="1" t="s">
        <v>79</v>
      </c>
      <c r="AC342" s="1" t="s">
        <v>51</v>
      </c>
      <c r="AD342" s="1" t="s">
        <v>81</v>
      </c>
      <c r="AE342" s="1" t="s">
        <v>51</v>
      </c>
      <c r="AF342" s="1" t="s">
        <v>51</v>
      </c>
      <c r="AG342" s="1" t="s">
        <v>51</v>
      </c>
      <c r="AI342" s="2">
        <v>1.0</v>
      </c>
      <c r="AJ342" s="2">
        <v>0.0</v>
      </c>
      <c r="AK342" s="2">
        <v>0.0</v>
      </c>
      <c r="AL342" s="2">
        <v>0.0</v>
      </c>
      <c r="AM342" s="1" t="s">
        <v>51</v>
      </c>
      <c r="AP342" s="2">
        <v>4.9090619E8</v>
      </c>
      <c r="AQ342" s="1" t="s">
        <v>477</v>
      </c>
      <c r="AR342" s="2">
        <v>45810.49366898148</v>
      </c>
      <c r="AU342" s="1" t="s">
        <v>64</v>
      </c>
      <c r="AW342" s="1" t="s">
        <v>255</v>
      </c>
      <c r="AY342" s="2">
        <v>336.0</v>
      </c>
    </row>
    <row r="343">
      <c r="A343" s="1" t="s">
        <v>51</v>
      </c>
      <c r="C343" s="1" t="s">
        <v>52</v>
      </c>
      <c r="E343" s="1" t="s">
        <v>53</v>
      </c>
      <c r="F343" s="1" t="s">
        <v>54</v>
      </c>
      <c r="G343" s="2">
        <v>35.0</v>
      </c>
      <c r="H343" s="1" t="s">
        <v>66</v>
      </c>
      <c r="I343" s="1" t="s">
        <v>67</v>
      </c>
      <c r="J343" s="1" t="s">
        <v>68</v>
      </c>
      <c r="K343" s="1" t="s">
        <v>74</v>
      </c>
      <c r="M343" s="1" t="s">
        <v>58</v>
      </c>
      <c r="N343" s="1" t="s">
        <v>58</v>
      </c>
      <c r="O343" s="1" t="s">
        <v>58</v>
      </c>
      <c r="Q343" s="1" t="s">
        <v>58</v>
      </c>
      <c r="R343" s="1" t="s">
        <v>58</v>
      </c>
      <c r="S343" s="1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81</v>
      </c>
      <c r="Y343" s="1" t="s">
        <v>82</v>
      </c>
      <c r="Z343" s="1" t="s">
        <v>61</v>
      </c>
      <c r="AA343" s="2">
        <v>10.0</v>
      </c>
      <c r="AB343" s="1" t="s">
        <v>28</v>
      </c>
      <c r="AC343" s="1" t="s">
        <v>51</v>
      </c>
      <c r="AD343" s="1" t="s">
        <v>81</v>
      </c>
      <c r="AE343" s="1" t="s">
        <v>51</v>
      </c>
      <c r="AF343" s="1" t="s">
        <v>51</v>
      </c>
      <c r="AG343" s="1" t="s">
        <v>72</v>
      </c>
      <c r="AI343" s="2">
        <v>0.0</v>
      </c>
      <c r="AJ343" s="2">
        <v>0.0</v>
      </c>
      <c r="AK343" s="2">
        <v>0.0</v>
      </c>
      <c r="AL343" s="2">
        <v>1.0</v>
      </c>
      <c r="AM343" s="1" t="s">
        <v>72</v>
      </c>
      <c r="AP343" s="2">
        <v>4.90906204E8</v>
      </c>
      <c r="AQ343" s="1" t="s">
        <v>478</v>
      </c>
      <c r="AR343" s="2">
        <v>45810.493680555555</v>
      </c>
      <c r="AU343" s="1" t="s">
        <v>64</v>
      </c>
      <c r="AW343" s="1" t="s">
        <v>255</v>
      </c>
      <c r="AY343" s="2">
        <v>337.0</v>
      </c>
    </row>
    <row r="344">
      <c r="A344" s="1" t="s">
        <v>72</v>
      </c>
      <c r="AP344" s="2">
        <v>4.90906217E8</v>
      </c>
      <c r="AQ344" s="1" t="s">
        <v>479</v>
      </c>
      <c r="AR344" s="2">
        <v>45810.493680555555</v>
      </c>
      <c r="AU344" s="1" t="s">
        <v>64</v>
      </c>
      <c r="AW344" s="1" t="s">
        <v>255</v>
      </c>
      <c r="AY344" s="2">
        <v>338.0</v>
      </c>
    </row>
    <row r="345">
      <c r="A345" s="1" t="s">
        <v>51</v>
      </c>
      <c r="C345" s="1" t="s">
        <v>52</v>
      </c>
      <c r="E345" s="1" t="s">
        <v>53</v>
      </c>
      <c r="F345" s="1" t="s">
        <v>54</v>
      </c>
      <c r="G345" s="2">
        <v>42.0</v>
      </c>
      <c r="H345" s="1" t="s">
        <v>66</v>
      </c>
      <c r="I345" s="1" t="s">
        <v>76</v>
      </c>
      <c r="J345" s="1" t="s">
        <v>68</v>
      </c>
      <c r="K345" s="1" t="s">
        <v>57</v>
      </c>
      <c r="M345" s="1" t="s">
        <v>58</v>
      </c>
      <c r="N345" s="1" t="s">
        <v>58</v>
      </c>
      <c r="O345" s="1" t="s">
        <v>58</v>
      </c>
      <c r="Q345" s="1" t="s">
        <v>58</v>
      </c>
      <c r="R345" s="1" t="s">
        <v>58</v>
      </c>
      <c r="S345" s="1" t="s">
        <v>58</v>
      </c>
      <c r="T345" s="1" t="s">
        <v>58</v>
      </c>
      <c r="U345" s="1" t="s">
        <v>58</v>
      </c>
      <c r="V345" s="1" t="s">
        <v>58</v>
      </c>
      <c r="W345" s="1" t="s">
        <v>58</v>
      </c>
      <c r="X345" s="1" t="s">
        <v>81</v>
      </c>
      <c r="Y345" s="1" t="s">
        <v>82</v>
      </c>
      <c r="Z345" s="1" t="s">
        <v>89</v>
      </c>
      <c r="AA345" s="2">
        <v>20.0</v>
      </c>
      <c r="AB345" s="1" t="s">
        <v>28</v>
      </c>
      <c r="AC345" s="1" t="s">
        <v>51</v>
      </c>
      <c r="AD345" s="1" t="s">
        <v>81</v>
      </c>
      <c r="AE345" s="1" t="s">
        <v>51</v>
      </c>
      <c r="AF345" s="1" t="s">
        <v>51</v>
      </c>
      <c r="AG345" s="1" t="s">
        <v>72</v>
      </c>
      <c r="AI345" s="2">
        <v>0.0</v>
      </c>
      <c r="AJ345" s="2">
        <v>0.0</v>
      </c>
      <c r="AK345" s="2">
        <v>0.0</v>
      </c>
      <c r="AL345" s="2">
        <v>1.0</v>
      </c>
      <c r="AM345" s="1" t="s">
        <v>72</v>
      </c>
      <c r="AP345" s="2">
        <v>4.90907267E8</v>
      </c>
      <c r="AQ345" s="1" t="s">
        <v>480</v>
      </c>
      <c r="AR345" s="2">
        <v>45810.49484953703</v>
      </c>
      <c r="AU345" s="1" t="s">
        <v>64</v>
      </c>
      <c r="AW345" s="1" t="s">
        <v>255</v>
      </c>
      <c r="AY345" s="2">
        <v>339.0</v>
      </c>
    </row>
    <row r="346">
      <c r="A346" s="1" t="s">
        <v>51</v>
      </c>
      <c r="C346" s="1" t="s">
        <v>52</v>
      </c>
      <c r="E346" s="1" t="s">
        <v>53</v>
      </c>
      <c r="F346" s="1" t="s">
        <v>54</v>
      </c>
      <c r="G346" s="2">
        <v>21.0</v>
      </c>
      <c r="H346" s="1" t="s">
        <v>66</v>
      </c>
      <c r="I346" s="1" t="s">
        <v>100</v>
      </c>
      <c r="J346" s="1" t="s">
        <v>68</v>
      </c>
      <c r="K346" s="1" t="s">
        <v>74</v>
      </c>
      <c r="M346" s="1" t="s">
        <v>58</v>
      </c>
      <c r="N346" s="1" t="s">
        <v>58</v>
      </c>
      <c r="O346" s="1" t="s">
        <v>58</v>
      </c>
      <c r="Q346" s="1" t="s">
        <v>58</v>
      </c>
      <c r="R346" s="1" t="s">
        <v>58</v>
      </c>
      <c r="S346" s="1" t="s">
        <v>58</v>
      </c>
      <c r="T346" s="1" t="s">
        <v>58</v>
      </c>
      <c r="U346" s="1" t="s">
        <v>58</v>
      </c>
      <c r="V346" s="1" t="s">
        <v>58</v>
      </c>
      <c r="W346" s="1" t="s">
        <v>58</v>
      </c>
      <c r="X346" s="1" t="s">
        <v>81</v>
      </c>
      <c r="Y346" s="1" t="s">
        <v>60</v>
      </c>
      <c r="Z346" s="1" t="s">
        <v>89</v>
      </c>
      <c r="AA346" s="2">
        <v>20.0</v>
      </c>
      <c r="AB346" s="1" t="s">
        <v>28</v>
      </c>
      <c r="AC346" s="1" t="s">
        <v>71</v>
      </c>
      <c r="AF346" s="1" t="s">
        <v>51</v>
      </c>
      <c r="AG346" s="1" t="s">
        <v>51</v>
      </c>
      <c r="AH346" s="2">
        <v>10.0</v>
      </c>
      <c r="AI346" s="2">
        <v>0.0</v>
      </c>
      <c r="AJ346" s="2">
        <v>0.0</v>
      </c>
      <c r="AK346" s="2">
        <v>0.0</v>
      </c>
      <c r="AL346" s="2">
        <v>1.0</v>
      </c>
      <c r="AM346" s="1" t="s">
        <v>72</v>
      </c>
      <c r="AP346" s="2">
        <v>4.90962388E8</v>
      </c>
      <c r="AQ346" s="1" t="s">
        <v>481</v>
      </c>
      <c r="AR346" s="2">
        <v>45810.551157407404</v>
      </c>
      <c r="AU346" s="1" t="s">
        <v>64</v>
      </c>
      <c r="AW346" s="1" t="s">
        <v>255</v>
      </c>
      <c r="AY346" s="2">
        <v>340.0</v>
      </c>
    </row>
    <row r="347">
      <c r="A347" s="1" t="s">
        <v>51</v>
      </c>
      <c r="C347" s="1" t="s">
        <v>170</v>
      </c>
      <c r="E347" s="1" t="s">
        <v>53</v>
      </c>
      <c r="F347" s="1" t="s">
        <v>54</v>
      </c>
      <c r="G347" s="2">
        <v>29.0</v>
      </c>
      <c r="H347" s="1" t="s">
        <v>66</v>
      </c>
      <c r="I347" s="1" t="s">
        <v>419</v>
      </c>
      <c r="J347" s="1" t="s">
        <v>56</v>
      </c>
      <c r="K347" s="1" t="s">
        <v>74</v>
      </c>
      <c r="M347" s="1" t="s">
        <v>58</v>
      </c>
      <c r="N347" s="1" t="s">
        <v>58</v>
      </c>
      <c r="O347" s="1" t="s">
        <v>58</v>
      </c>
      <c r="Q347" s="1" t="s">
        <v>58</v>
      </c>
      <c r="R347" s="1" t="s">
        <v>58</v>
      </c>
      <c r="S347" s="1" t="s">
        <v>58</v>
      </c>
      <c r="T347" s="1" t="s">
        <v>58</v>
      </c>
      <c r="U347" s="1" t="s">
        <v>69</v>
      </c>
      <c r="V347" s="1" t="s">
        <v>58</v>
      </c>
      <c r="W347" s="1" t="s">
        <v>58</v>
      </c>
      <c r="X347" s="1" t="s">
        <v>81</v>
      </c>
      <c r="Y347" s="1" t="s">
        <v>60</v>
      </c>
      <c r="Z347" s="1" t="s">
        <v>61</v>
      </c>
      <c r="AA347" s="2">
        <v>30.0</v>
      </c>
      <c r="AB347" s="1" t="s">
        <v>28</v>
      </c>
      <c r="AC347" s="1" t="s">
        <v>51</v>
      </c>
      <c r="AD347" s="1" t="s">
        <v>81</v>
      </c>
      <c r="AE347" s="1" t="s">
        <v>51</v>
      </c>
      <c r="AF347" s="1" t="s">
        <v>51</v>
      </c>
      <c r="AG347" s="1" t="s">
        <v>72</v>
      </c>
      <c r="AI347" s="2">
        <v>0.0</v>
      </c>
      <c r="AJ347" s="2">
        <v>0.0</v>
      </c>
      <c r="AK347" s="2">
        <v>0.0</v>
      </c>
      <c r="AL347" s="2">
        <v>1.0</v>
      </c>
      <c r="AM347" s="1" t="s">
        <v>72</v>
      </c>
      <c r="AP347" s="2">
        <v>4.90969826E8</v>
      </c>
      <c r="AQ347" s="1" t="s">
        <v>482</v>
      </c>
      <c r="AR347" s="2">
        <v>45810.55866898148</v>
      </c>
      <c r="AU347" s="1" t="s">
        <v>64</v>
      </c>
      <c r="AW347" s="1" t="s">
        <v>255</v>
      </c>
      <c r="AY347" s="2">
        <v>341.0</v>
      </c>
    </row>
    <row r="348">
      <c r="A348" s="1" t="s">
        <v>51</v>
      </c>
      <c r="C348" s="1" t="s">
        <v>170</v>
      </c>
      <c r="E348" s="1" t="s">
        <v>53</v>
      </c>
      <c r="F348" s="1" t="s">
        <v>54</v>
      </c>
      <c r="G348" s="2">
        <v>40.0</v>
      </c>
      <c r="H348" s="1" t="s">
        <v>55</v>
      </c>
      <c r="I348" s="1" t="s">
        <v>67</v>
      </c>
      <c r="J348" s="1" t="s">
        <v>68</v>
      </c>
      <c r="K348" s="1" t="s">
        <v>92</v>
      </c>
      <c r="M348" s="1" t="s">
        <v>58</v>
      </c>
      <c r="N348" s="1" t="s">
        <v>58</v>
      </c>
      <c r="O348" s="1" t="s">
        <v>58</v>
      </c>
      <c r="Q348" s="1" t="s">
        <v>58</v>
      </c>
      <c r="R348" s="1" t="s">
        <v>58</v>
      </c>
      <c r="S348" s="1" t="s">
        <v>58</v>
      </c>
      <c r="T348" s="1" t="s">
        <v>58</v>
      </c>
      <c r="U348" s="1" t="s">
        <v>58</v>
      </c>
      <c r="V348" s="1" t="s">
        <v>58</v>
      </c>
      <c r="W348" s="1" t="s">
        <v>58</v>
      </c>
      <c r="X348" s="1" t="s">
        <v>81</v>
      </c>
      <c r="Y348" s="1" t="s">
        <v>60</v>
      </c>
      <c r="Z348" s="1" t="s">
        <v>89</v>
      </c>
      <c r="AA348" s="2">
        <v>20.0</v>
      </c>
      <c r="AB348" s="1" t="s">
        <v>28</v>
      </c>
      <c r="AC348" s="1" t="s">
        <v>51</v>
      </c>
      <c r="AD348" s="1" t="s">
        <v>81</v>
      </c>
      <c r="AE348" s="1" t="s">
        <v>51</v>
      </c>
      <c r="AF348" s="1" t="s">
        <v>51</v>
      </c>
      <c r="AG348" s="1" t="s">
        <v>72</v>
      </c>
      <c r="AI348" s="2">
        <v>0.0</v>
      </c>
      <c r="AJ348" s="2">
        <v>0.0</v>
      </c>
      <c r="AK348" s="2">
        <v>0.0</v>
      </c>
      <c r="AL348" s="2">
        <v>1.0</v>
      </c>
      <c r="AM348" s="1" t="s">
        <v>72</v>
      </c>
      <c r="AP348" s="2">
        <v>4.90974958E8</v>
      </c>
      <c r="AQ348" s="1" t="s">
        <v>483</v>
      </c>
      <c r="AR348" s="2">
        <v>45810.563206018516</v>
      </c>
      <c r="AU348" s="1" t="s">
        <v>64</v>
      </c>
      <c r="AW348" s="1" t="s">
        <v>255</v>
      </c>
      <c r="AY348" s="2">
        <v>342.0</v>
      </c>
    </row>
    <row r="349">
      <c r="A349" s="1" t="s">
        <v>51</v>
      </c>
      <c r="C349" s="1" t="s">
        <v>52</v>
      </c>
      <c r="E349" s="1" t="s">
        <v>53</v>
      </c>
      <c r="F349" s="1" t="s">
        <v>54</v>
      </c>
      <c r="G349" s="2">
        <v>26.0</v>
      </c>
      <c r="H349" s="1" t="s">
        <v>66</v>
      </c>
      <c r="I349" s="1" t="s">
        <v>100</v>
      </c>
      <c r="J349" s="1" t="s">
        <v>68</v>
      </c>
      <c r="K349" s="1" t="s">
        <v>92</v>
      </c>
      <c r="M349" s="1" t="s">
        <v>58</v>
      </c>
      <c r="N349" s="1" t="s">
        <v>58</v>
      </c>
      <c r="O349" s="1" t="s">
        <v>58</v>
      </c>
      <c r="Q349" s="1" t="s">
        <v>58</v>
      </c>
      <c r="R349" s="1" t="s">
        <v>58</v>
      </c>
      <c r="S349" s="1" t="s">
        <v>58</v>
      </c>
      <c r="T349" s="1" t="s">
        <v>58</v>
      </c>
      <c r="U349" s="1" t="s">
        <v>58</v>
      </c>
      <c r="V349" s="1" t="s">
        <v>58</v>
      </c>
      <c r="W349" s="1" t="s">
        <v>58</v>
      </c>
      <c r="X349" s="1" t="s">
        <v>81</v>
      </c>
      <c r="Y349" s="1" t="s">
        <v>82</v>
      </c>
      <c r="Z349" s="1" t="s">
        <v>89</v>
      </c>
      <c r="AA349" s="2">
        <v>30.0</v>
      </c>
      <c r="AB349" s="1" t="s">
        <v>28</v>
      </c>
      <c r="AC349" s="1" t="s">
        <v>71</v>
      </c>
      <c r="AF349" s="1" t="s">
        <v>51</v>
      </c>
      <c r="AG349" s="1" t="s">
        <v>72</v>
      </c>
      <c r="AI349" s="2">
        <v>0.0</v>
      </c>
      <c r="AJ349" s="2">
        <v>0.0</v>
      </c>
      <c r="AK349" s="2">
        <v>0.0</v>
      </c>
      <c r="AL349" s="2">
        <v>1.0</v>
      </c>
      <c r="AM349" s="1" t="s">
        <v>72</v>
      </c>
      <c r="AP349" s="2">
        <v>4.90977302E8</v>
      </c>
      <c r="AQ349" s="1" t="s">
        <v>484</v>
      </c>
      <c r="AR349" s="2">
        <v>45810.56553240741</v>
      </c>
      <c r="AU349" s="1" t="s">
        <v>64</v>
      </c>
      <c r="AW349" s="1" t="s">
        <v>255</v>
      </c>
      <c r="AY349" s="2">
        <v>343.0</v>
      </c>
    </row>
    <row r="350">
      <c r="A350" s="1" t="s">
        <v>51</v>
      </c>
      <c r="C350" s="1" t="s">
        <v>52</v>
      </c>
      <c r="E350" s="1" t="s">
        <v>53</v>
      </c>
      <c r="F350" s="1" t="s">
        <v>54</v>
      </c>
      <c r="G350" s="2">
        <v>47.0</v>
      </c>
      <c r="H350" s="1" t="s">
        <v>66</v>
      </c>
      <c r="I350" s="1" t="s">
        <v>419</v>
      </c>
      <c r="J350" s="1" t="s">
        <v>68</v>
      </c>
      <c r="K350" s="1" t="s">
        <v>74</v>
      </c>
      <c r="M350" s="1" t="s">
        <v>58</v>
      </c>
      <c r="N350" s="1" t="s">
        <v>58</v>
      </c>
      <c r="O350" s="1" t="s">
        <v>58</v>
      </c>
      <c r="Q350" s="1" t="s">
        <v>58</v>
      </c>
      <c r="R350" s="1" t="s">
        <v>58</v>
      </c>
      <c r="S350" s="1" t="s">
        <v>58</v>
      </c>
      <c r="T350" s="1" t="s">
        <v>58</v>
      </c>
      <c r="U350" s="1" t="s">
        <v>58</v>
      </c>
      <c r="V350" s="1" t="s">
        <v>58</v>
      </c>
      <c r="W350" s="1" t="s">
        <v>58</v>
      </c>
      <c r="X350" s="1" t="s">
        <v>81</v>
      </c>
      <c r="Y350" s="1" t="s">
        <v>82</v>
      </c>
      <c r="Z350" s="1" t="s">
        <v>61</v>
      </c>
      <c r="AA350" s="2">
        <v>40.0</v>
      </c>
      <c r="AB350" s="1" t="s">
        <v>28</v>
      </c>
      <c r="AC350" s="1" t="s">
        <v>71</v>
      </c>
      <c r="AF350" s="1" t="s">
        <v>51</v>
      </c>
      <c r="AG350" s="1" t="s">
        <v>72</v>
      </c>
      <c r="AI350" s="2">
        <v>0.0</v>
      </c>
      <c r="AJ350" s="2">
        <v>0.0</v>
      </c>
      <c r="AK350" s="2">
        <v>0.0</v>
      </c>
      <c r="AL350" s="2">
        <v>1.0</v>
      </c>
      <c r="AM350" s="1" t="s">
        <v>72</v>
      </c>
      <c r="AP350" s="2">
        <v>4.90981552E8</v>
      </c>
      <c r="AQ350" s="1" t="s">
        <v>485</v>
      </c>
      <c r="AR350" s="2">
        <v>45810.56888888889</v>
      </c>
      <c r="AU350" s="1" t="s">
        <v>64</v>
      </c>
      <c r="AW350" s="1" t="s">
        <v>255</v>
      </c>
      <c r="AY350" s="2">
        <v>344.0</v>
      </c>
    </row>
    <row r="351">
      <c r="A351" s="1" t="s">
        <v>51</v>
      </c>
      <c r="C351" s="1" t="s">
        <v>52</v>
      </c>
      <c r="E351" s="1" t="s">
        <v>53</v>
      </c>
      <c r="F351" s="1" t="s">
        <v>54</v>
      </c>
      <c r="G351" s="2">
        <v>32.0</v>
      </c>
      <c r="H351" s="1" t="s">
        <v>66</v>
      </c>
      <c r="I351" s="1" t="s">
        <v>100</v>
      </c>
      <c r="J351" s="1" t="s">
        <v>68</v>
      </c>
      <c r="K351" s="1" t="s">
        <v>57</v>
      </c>
      <c r="M351" s="1" t="s">
        <v>58</v>
      </c>
      <c r="N351" s="1" t="s">
        <v>58</v>
      </c>
      <c r="O351" s="1" t="s">
        <v>58</v>
      </c>
      <c r="Q351" s="1" t="s">
        <v>58</v>
      </c>
      <c r="R351" s="1" t="s">
        <v>58</v>
      </c>
      <c r="S351" s="1" t="s">
        <v>58</v>
      </c>
      <c r="T351" s="1" t="s">
        <v>58</v>
      </c>
      <c r="U351" s="1" t="s">
        <v>58</v>
      </c>
      <c r="V351" s="1" t="s">
        <v>58</v>
      </c>
      <c r="W351" s="1" t="s">
        <v>58</v>
      </c>
      <c r="X351" s="1" t="s">
        <v>81</v>
      </c>
      <c r="Y351" s="1" t="s">
        <v>82</v>
      </c>
      <c r="Z351" s="1" t="s">
        <v>89</v>
      </c>
      <c r="AA351" s="2">
        <v>20.0</v>
      </c>
      <c r="AB351" s="1" t="s">
        <v>79</v>
      </c>
      <c r="AC351" s="1" t="s">
        <v>51</v>
      </c>
      <c r="AD351" s="1" t="s">
        <v>81</v>
      </c>
      <c r="AE351" s="1" t="s">
        <v>51</v>
      </c>
      <c r="AF351" s="1" t="s">
        <v>51</v>
      </c>
      <c r="AG351" s="1" t="s">
        <v>51</v>
      </c>
      <c r="AI351" s="2">
        <v>1.0</v>
      </c>
      <c r="AJ351" s="2">
        <v>0.0</v>
      </c>
      <c r="AK351" s="2">
        <v>0.0</v>
      </c>
      <c r="AL351" s="2">
        <v>0.0</v>
      </c>
      <c r="AM351" s="1" t="s">
        <v>51</v>
      </c>
      <c r="AP351" s="2">
        <v>4.90983613E8</v>
      </c>
      <c r="AQ351" s="1" t="s">
        <v>486</v>
      </c>
      <c r="AR351" s="2">
        <v>45810.57034722222</v>
      </c>
      <c r="AU351" s="1" t="s">
        <v>64</v>
      </c>
      <c r="AW351" s="1" t="s">
        <v>255</v>
      </c>
      <c r="AY351" s="2">
        <v>345.0</v>
      </c>
    </row>
    <row r="352">
      <c r="A352" s="1" t="s">
        <v>51</v>
      </c>
      <c r="C352" s="1" t="s">
        <v>52</v>
      </c>
      <c r="E352" s="1" t="s">
        <v>53</v>
      </c>
      <c r="F352" s="1" t="s">
        <v>54</v>
      </c>
      <c r="G352" s="2">
        <v>27.0</v>
      </c>
      <c r="H352" s="1" t="s">
        <v>66</v>
      </c>
      <c r="I352" s="1" t="s">
        <v>76</v>
      </c>
      <c r="J352" s="1" t="s">
        <v>68</v>
      </c>
      <c r="K352" s="1" t="s">
        <v>57</v>
      </c>
      <c r="M352" s="1" t="s">
        <v>58</v>
      </c>
      <c r="N352" s="1" t="s">
        <v>58</v>
      </c>
      <c r="O352" s="1" t="s">
        <v>58</v>
      </c>
      <c r="Q352" s="1" t="s">
        <v>58</v>
      </c>
      <c r="R352" s="1" t="s">
        <v>58</v>
      </c>
      <c r="S352" s="1" t="s">
        <v>58</v>
      </c>
      <c r="T352" s="1" t="s">
        <v>58</v>
      </c>
      <c r="U352" s="1" t="s">
        <v>58</v>
      </c>
      <c r="V352" s="1" t="s">
        <v>58</v>
      </c>
      <c r="W352" s="1" t="s">
        <v>58</v>
      </c>
      <c r="X352" s="1" t="s">
        <v>81</v>
      </c>
      <c r="Y352" s="1" t="s">
        <v>82</v>
      </c>
      <c r="Z352" s="1" t="s">
        <v>89</v>
      </c>
      <c r="AA352" s="2">
        <v>50.0</v>
      </c>
      <c r="AB352" s="1" t="s">
        <v>79</v>
      </c>
      <c r="AC352" s="1" t="s">
        <v>51</v>
      </c>
      <c r="AD352" s="1" t="s">
        <v>81</v>
      </c>
      <c r="AE352" s="1" t="s">
        <v>51</v>
      </c>
      <c r="AF352" s="1" t="s">
        <v>51</v>
      </c>
      <c r="AG352" s="1" t="s">
        <v>51</v>
      </c>
      <c r="AI352" s="2">
        <v>1.0</v>
      </c>
      <c r="AJ352" s="2">
        <v>0.0</v>
      </c>
      <c r="AK352" s="2">
        <v>0.0</v>
      </c>
      <c r="AL352" s="2">
        <v>0.0</v>
      </c>
      <c r="AM352" s="1" t="s">
        <v>51</v>
      </c>
      <c r="AP352" s="2">
        <v>4.90985158E8</v>
      </c>
      <c r="AQ352" s="1" t="s">
        <v>487</v>
      </c>
      <c r="AR352" s="2">
        <v>45810.57181712963</v>
      </c>
      <c r="AU352" s="1" t="s">
        <v>64</v>
      </c>
      <c r="AW352" s="1" t="s">
        <v>255</v>
      </c>
      <c r="AY352" s="2">
        <v>346.0</v>
      </c>
    </row>
    <row r="353">
      <c r="A353" s="1" t="s">
        <v>51</v>
      </c>
      <c r="C353" s="1" t="s">
        <v>52</v>
      </c>
      <c r="E353" s="1" t="s">
        <v>441</v>
      </c>
      <c r="G353" s="2">
        <v>31.0</v>
      </c>
      <c r="H353" s="1" t="s">
        <v>66</v>
      </c>
      <c r="J353" s="1" t="s">
        <v>68</v>
      </c>
      <c r="K353" s="1" t="s">
        <v>74</v>
      </c>
      <c r="M353" s="1" t="s">
        <v>58</v>
      </c>
      <c r="N353" s="1" t="s">
        <v>58</v>
      </c>
      <c r="O353" s="1" t="s">
        <v>58</v>
      </c>
      <c r="Q353" s="1" t="s">
        <v>58</v>
      </c>
      <c r="R353" s="1" t="s">
        <v>58</v>
      </c>
      <c r="S353" s="1" t="s">
        <v>58</v>
      </c>
      <c r="T353" s="1" t="s">
        <v>58</v>
      </c>
      <c r="U353" s="1" t="s">
        <v>58</v>
      </c>
      <c r="V353" s="1" t="s">
        <v>58</v>
      </c>
      <c r="W353" s="1" t="s">
        <v>58</v>
      </c>
      <c r="X353" s="1" t="s">
        <v>81</v>
      </c>
      <c r="Y353" s="1" t="s">
        <v>82</v>
      </c>
      <c r="Z353" s="1" t="s">
        <v>89</v>
      </c>
      <c r="AA353" s="2">
        <v>50.0</v>
      </c>
      <c r="AB353" s="1" t="s">
        <v>79</v>
      </c>
      <c r="AC353" s="1" t="s">
        <v>51</v>
      </c>
      <c r="AD353" s="1" t="s">
        <v>81</v>
      </c>
      <c r="AE353" s="1" t="s">
        <v>51</v>
      </c>
      <c r="AF353" s="1" t="s">
        <v>51</v>
      </c>
      <c r="AG353" s="1" t="s">
        <v>51</v>
      </c>
      <c r="AI353" s="2">
        <v>1.0</v>
      </c>
      <c r="AJ353" s="2">
        <v>0.0</v>
      </c>
      <c r="AK353" s="2">
        <v>0.0</v>
      </c>
      <c r="AL353" s="2">
        <v>0.0</v>
      </c>
      <c r="AP353" s="2">
        <v>4.90986287E8</v>
      </c>
      <c r="AQ353" s="1" t="s">
        <v>488</v>
      </c>
      <c r="AR353" s="2">
        <v>45810.57287037037</v>
      </c>
      <c r="AU353" s="1" t="s">
        <v>64</v>
      </c>
      <c r="AW353" s="1" t="s">
        <v>255</v>
      </c>
      <c r="AY353" s="2">
        <v>347.0</v>
      </c>
    </row>
    <row r="354">
      <c r="A354" s="1" t="s">
        <v>51</v>
      </c>
      <c r="C354" s="1" t="s">
        <v>52</v>
      </c>
      <c r="E354" s="1" t="s">
        <v>53</v>
      </c>
      <c r="F354" s="1" t="s">
        <v>54</v>
      </c>
      <c r="G354" s="2">
        <v>41.0</v>
      </c>
      <c r="H354" s="1" t="s">
        <v>66</v>
      </c>
      <c r="I354" s="1" t="s">
        <v>76</v>
      </c>
      <c r="J354" s="1" t="s">
        <v>68</v>
      </c>
      <c r="K354" s="1" t="s">
        <v>74</v>
      </c>
      <c r="M354" s="1" t="s">
        <v>58</v>
      </c>
      <c r="N354" s="1" t="s">
        <v>58</v>
      </c>
      <c r="O354" s="1" t="s">
        <v>58</v>
      </c>
      <c r="Q354" s="1" t="s">
        <v>58</v>
      </c>
      <c r="R354" s="1" t="s">
        <v>58</v>
      </c>
      <c r="S354" s="1" t="s">
        <v>58</v>
      </c>
      <c r="T354" s="1" t="s">
        <v>58</v>
      </c>
      <c r="U354" s="1" t="s">
        <v>58</v>
      </c>
      <c r="V354" s="1" t="s">
        <v>58</v>
      </c>
      <c r="W354" s="1" t="s">
        <v>58</v>
      </c>
      <c r="X354" s="1" t="s">
        <v>81</v>
      </c>
      <c r="Y354" s="1" t="s">
        <v>82</v>
      </c>
      <c r="Z354" s="1" t="s">
        <v>89</v>
      </c>
      <c r="AA354" s="2">
        <v>30.0</v>
      </c>
      <c r="AB354" s="1" t="s">
        <v>79</v>
      </c>
      <c r="AC354" s="1" t="s">
        <v>51</v>
      </c>
      <c r="AD354" s="1" t="s">
        <v>81</v>
      </c>
      <c r="AE354" s="1" t="s">
        <v>51</v>
      </c>
      <c r="AF354" s="1" t="s">
        <v>51</v>
      </c>
      <c r="AG354" s="1" t="s">
        <v>51</v>
      </c>
      <c r="AI354" s="2">
        <v>1.0</v>
      </c>
      <c r="AJ354" s="2">
        <v>0.0</v>
      </c>
      <c r="AK354" s="2">
        <v>0.0</v>
      </c>
      <c r="AL354" s="2">
        <v>0.0</v>
      </c>
      <c r="AM354" s="1" t="s">
        <v>51</v>
      </c>
      <c r="AP354" s="2">
        <v>4.9098773E8</v>
      </c>
      <c r="AQ354" s="1" t="s">
        <v>489</v>
      </c>
      <c r="AR354" s="2">
        <v>45810.57418981481</v>
      </c>
      <c r="AU354" s="1" t="s">
        <v>64</v>
      </c>
      <c r="AW354" s="1" t="s">
        <v>255</v>
      </c>
      <c r="AY354" s="2">
        <v>348.0</v>
      </c>
    </row>
    <row r="355">
      <c r="A355" s="1" t="s">
        <v>51</v>
      </c>
      <c r="C355" s="1" t="s">
        <v>52</v>
      </c>
      <c r="E355" s="1" t="s">
        <v>53</v>
      </c>
      <c r="F355" s="1" t="s">
        <v>54</v>
      </c>
      <c r="G355" s="2">
        <v>28.0</v>
      </c>
      <c r="H355" s="1" t="s">
        <v>66</v>
      </c>
      <c r="I355" s="1" t="s">
        <v>76</v>
      </c>
      <c r="J355" s="1" t="s">
        <v>68</v>
      </c>
      <c r="K355" s="1" t="s">
        <v>74</v>
      </c>
      <c r="M355" s="1" t="s">
        <v>58</v>
      </c>
      <c r="N355" s="1" t="s">
        <v>58</v>
      </c>
      <c r="O355" s="1" t="s">
        <v>58</v>
      </c>
      <c r="Q355" s="1" t="s">
        <v>58</v>
      </c>
      <c r="R355" s="1" t="s">
        <v>58</v>
      </c>
      <c r="S355" s="1" t="s">
        <v>58</v>
      </c>
      <c r="T355" s="1" t="s">
        <v>58</v>
      </c>
      <c r="U355" s="1" t="s">
        <v>58</v>
      </c>
      <c r="V355" s="1" t="s">
        <v>58</v>
      </c>
      <c r="W355" s="1" t="s">
        <v>58</v>
      </c>
      <c r="X355" s="1" t="s">
        <v>81</v>
      </c>
      <c r="Y355" s="1" t="s">
        <v>82</v>
      </c>
      <c r="Z355" s="1" t="s">
        <v>89</v>
      </c>
      <c r="AA355" s="2">
        <v>10.0</v>
      </c>
      <c r="AB355" s="1" t="s">
        <v>79</v>
      </c>
      <c r="AC355" s="1" t="s">
        <v>51</v>
      </c>
      <c r="AE355" s="1" t="s">
        <v>51</v>
      </c>
      <c r="AF355" s="1" t="s">
        <v>51</v>
      </c>
      <c r="AG355" s="1" t="s">
        <v>51</v>
      </c>
      <c r="AI355" s="2">
        <v>1.0</v>
      </c>
      <c r="AJ355" s="2">
        <v>0.0</v>
      </c>
      <c r="AK355" s="2">
        <v>0.0</v>
      </c>
      <c r="AL355" s="2">
        <v>0.0</v>
      </c>
      <c r="AM355" s="1" t="s">
        <v>51</v>
      </c>
      <c r="AP355" s="2">
        <v>4.909892E8</v>
      </c>
      <c r="AQ355" s="1" t="s">
        <v>490</v>
      </c>
      <c r="AR355" s="2">
        <v>45810.57538194444</v>
      </c>
      <c r="AU355" s="1" t="s">
        <v>64</v>
      </c>
      <c r="AW355" s="1" t="s">
        <v>255</v>
      </c>
      <c r="AY355" s="2">
        <v>349.0</v>
      </c>
    </row>
    <row r="356">
      <c r="A356" s="1" t="s">
        <v>51</v>
      </c>
      <c r="C356" s="1" t="s">
        <v>52</v>
      </c>
      <c r="E356" s="1" t="s">
        <v>53</v>
      </c>
      <c r="F356" s="1" t="s">
        <v>54</v>
      </c>
      <c r="G356" s="2">
        <v>24.0</v>
      </c>
      <c r="H356" s="1" t="s">
        <v>66</v>
      </c>
      <c r="I356" s="1" t="s">
        <v>100</v>
      </c>
      <c r="J356" s="1" t="s">
        <v>68</v>
      </c>
      <c r="K356" s="1" t="s">
        <v>74</v>
      </c>
      <c r="M356" s="1" t="s">
        <v>58</v>
      </c>
      <c r="N356" s="1" t="s">
        <v>58</v>
      </c>
      <c r="O356" s="1" t="s">
        <v>58</v>
      </c>
      <c r="Q356" s="1" t="s">
        <v>58</v>
      </c>
      <c r="R356" s="1" t="s">
        <v>58</v>
      </c>
      <c r="S356" s="1" t="s">
        <v>58</v>
      </c>
      <c r="T356" s="1" t="s">
        <v>58</v>
      </c>
      <c r="U356" s="1" t="s">
        <v>58</v>
      </c>
      <c r="V356" s="1" t="s">
        <v>58</v>
      </c>
      <c r="W356" s="1" t="s">
        <v>58</v>
      </c>
      <c r="X356" s="1" t="s">
        <v>81</v>
      </c>
      <c r="Y356" s="1" t="s">
        <v>82</v>
      </c>
      <c r="Z356" s="1" t="s">
        <v>89</v>
      </c>
      <c r="AA356" s="2">
        <v>30.0</v>
      </c>
      <c r="AB356" s="1" t="s">
        <v>79</v>
      </c>
      <c r="AC356" s="1" t="s">
        <v>51</v>
      </c>
      <c r="AD356" s="1" t="s">
        <v>81</v>
      </c>
      <c r="AE356" s="1" t="s">
        <v>51</v>
      </c>
      <c r="AF356" s="1" t="s">
        <v>51</v>
      </c>
      <c r="AG356" s="1" t="s">
        <v>51</v>
      </c>
      <c r="AI356" s="2">
        <v>1.0</v>
      </c>
      <c r="AJ356" s="2">
        <v>0.0</v>
      </c>
      <c r="AK356" s="2">
        <v>0.0</v>
      </c>
      <c r="AL356" s="2">
        <v>0.0</v>
      </c>
      <c r="AM356" s="1" t="s">
        <v>51</v>
      </c>
      <c r="AP356" s="2">
        <v>4.90990809E8</v>
      </c>
      <c r="AQ356" s="1" t="s">
        <v>491</v>
      </c>
      <c r="AR356" s="2">
        <v>45810.57671296296</v>
      </c>
      <c r="AU356" s="1" t="s">
        <v>64</v>
      </c>
      <c r="AW356" s="1" t="s">
        <v>255</v>
      </c>
      <c r="AY356" s="2">
        <v>350.0</v>
      </c>
    </row>
    <row r="357">
      <c r="A357" s="1" t="s">
        <v>51</v>
      </c>
      <c r="C357" s="1" t="s">
        <v>52</v>
      </c>
      <c r="E357" s="1" t="s">
        <v>53</v>
      </c>
      <c r="F357" s="1" t="s">
        <v>54</v>
      </c>
      <c r="G357" s="2">
        <v>24.0</v>
      </c>
      <c r="H357" s="1" t="s">
        <v>66</v>
      </c>
      <c r="I357" s="1" t="s">
        <v>100</v>
      </c>
      <c r="J357" s="1" t="s">
        <v>68</v>
      </c>
      <c r="K357" s="1" t="s">
        <v>74</v>
      </c>
      <c r="M357" s="1" t="s">
        <v>58</v>
      </c>
      <c r="N357" s="1" t="s">
        <v>58</v>
      </c>
      <c r="O357" s="1" t="s">
        <v>58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58</v>
      </c>
      <c r="V357" s="1" t="s">
        <v>58</v>
      </c>
      <c r="W357" s="1" t="s">
        <v>58</v>
      </c>
      <c r="X357" s="1" t="s">
        <v>81</v>
      </c>
      <c r="Y357" s="1" t="s">
        <v>82</v>
      </c>
      <c r="Z357" s="1" t="s">
        <v>89</v>
      </c>
      <c r="AA357" s="2">
        <v>10.0</v>
      </c>
      <c r="AB357" s="1" t="s">
        <v>79</v>
      </c>
      <c r="AC357" s="1" t="s">
        <v>51</v>
      </c>
      <c r="AD357" s="1" t="s">
        <v>81</v>
      </c>
      <c r="AE357" s="1" t="s">
        <v>51</v>
      </c>
      <c r="AF357" s="1" t="s">
        <v>51</v>
      </c>
      <c r="AG357" s="1" t="s">
        <v>51</v>
      </c>
      <c r="AI357" s="2">
        <v>1.0</v>
      </c>
      <c r="AJ357" s="2">
        <v>0.0</v>
      </c>
      <c r="AK357" s="2">
        <v>0.0</v>
      </c>
      <c r="AL357" s="2">
        <v>0.0</v>
      </c>
      <c r="AM357" s="1" t="s">
        <v>51</v>
      </c>
      <c r="AP357" s="2">
        <v>4.90993117E8</v>
      </c>
      <c r="AQ357" s="1" t="s">
        <v>492</v>
      </c>
      <c r="AR357" s="2">
        <v>45810.57863425926</v>
      </c>
      <c r="AU357" s="1" t="s">
        <v>64</v>
      </c>
      <c r="AW357" s="1" t="s">
        <v>255</v>
      </c>
      <c r="AY357" s="2">
        <v>351.0</v>
      </c>
    </row>
    <row r="358">
      <c r="A358" s="1" t="s">
        <v>51</v>
      </c>
      <c r="C358" s="1" t="s">
        <v>52</v>
      </c>
      <c r="E358" s="1" t="s">
        <v>53</v>
      </c>
      <c r="F358" s="1" t="s">
        <v>54</v>
      </c>
      <c r="G358" s="2">
        <v>32.0</v>
      </c>
      <c r="H358" s="1" t="s">
        <v>66</v>
      </c>
      <c r="I358" s="1" t="s">
        <v>100</v>
      </c>
      <c r="J358" s="1" t="s">
        <v>68</v>
      </c>
      <c r="K358" s="1" t="s">
        <v>74</v>
      </c>
      <c r="M358" s="1" t="s">
        <v>58</v>
      </c>
      <c r="N358" s="1" t="s">
        <v>58</v>
      </c>
      <c r="O358" s="1" t="s">
        <v>58</v>
      </c>
      <c r="Q358" s="1" t="s">
        <v>58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81</v>
      </c>
      <c r="Y358" s="1" t="s">
        <v>82</v>
      </c>
      <c r="Z358" s="1" t="s">
        <v>89</v>
      </c>
      <c r="AA358" s="2">
        <v>30.0</v>
      </c>
      <c r="AB358" s="1" t="s">
        <v>79</v>
      </c>
      <c r="AC358" s="1" t="s">
        <v>51</v>
      </c>
      <c r="AD358" s="1" t="s">
        <v>81</v>
      </c>
      <c r="AE358" s="1" t="s">
        <v>51</v>
      </c>
      <c r="AF358" s="1" t="s">
        <v>51</v>
      </c>
      <c r="AG358" s="1" t="s">
        <v>51</v>
      </c>
      <c r="AI358" s="2">
        <v>1.0</v>
      </c>
      <c r="AJ358" s="2">
        <v>0.0</v>
      </c>
      <c r="AK358" s="2">
        <v>0.0</v>
      </c>
      <c r="AL358" s="2">
        <v>0.0</v>
      </c>
      <c r="AM358" s="1" t="s">
        <v>51</v>
      </c>
      <c r="AP358" s="2">
        <v>4.90994751E8</v>
      </c>
      <c r="AQ358" s="1" t="s">
        <v>493</v>
      </c>
      <c r="AR358" s="2">
        <v>45810.58002314815</v>
      </c>
      <c r="AU358" s="1" t="s">
        <v>64</v>
      </c>
      <c r="AW358" s="1" t="s">
        <v>255</v>
      </c>
      <c r="AY358" s="2">
        <v>352.0</v>
      </c>
    </row>
    <row r="359">
      <c r="A359" s="1" t="s">
        <v>51</v>
      </c>
      <c r="C359" s="1" t="s">
        <v>52</v>
      </c>
      <c r="E359" s="1" t="s">
        <v>53</v>
      </c>
      <c r="F359" s="1" t="s">
        <v>54</v>
      </c>
      <c r="G359" s="2">
        <v>42.0</v>
      </c>
      <c r="H359" s="1" t="s">
        <v>66</v>
      </c>
      <c r="I359" s="1" t="s">
        <v>67</v>
      </c>
      <c r="J359" s="1" t="s">
        <v>68</v>
      </c>
      <c r="K359" s="1" t="s">
        <v>57</v>
      </c>
      <c r="M359" s="1" t="s">
        <v>58</v>
      </c>
      <c r="N359" s="1" t="s">
        <v>58</v>
      </c>
      <c r="O359" s="1" t="s">
        <v>58</v>
      </c>
      <c r="Q359" s="1" t="s">
        <v>58</v>
      </c>
      <c r="R359" s="1" t="s">
        <v>58</v>
      </c>
      <c r="S359" s="1" t="s">
        <v>58</v>
      </c>
      <c r="T359" s="1" t="s">
        <v>58</v>
      </c>
      <c r="U359" s="1" t="s">
        <v>58</v>
      </c>
      <c r="V359" s="1" t="s">
        <v>58</v>
      </c>
      <c r="W359" s="1" t="s">
        <v>58</v>
      </c>
      <c r="X359" s="1" t="s">
        <v>81</v>
      </c>
      <c r="Y359" s="1" t="s">
        <v>82</v>
      </c>
      <c r="Z359" s="1" t="s">
        <v>89</v>
      </c>
      <c r="AA359" s="2">
        <v>40.0</v>
      </c>
      <c r="AB359" s="1" t="s">
        <v>79</v>
      </c>
      <c r="AC359" s="1" t="s">
        <v>51</v>
      </c>
      <c r="AD359" s="1" t="s">
        <v>81</v>
      </c>
      <c r="AE359" s="1" t="s">
        <v>51</v>
      </c>
      <c r="AF359" s="1" t="s">
        <v>51</v>
      </c>
      <c r="AG359" s="1" t="s">
        <v>51</v>
      </c>
      <c r="AI359" s="2">
        <v>1.0</v>
      </c>
      <c r="AJ359" s="2">
        <v>0.0</v>
      </c>
      <c r="AK359" s="2">
        <v>0.0</v>
      </c>
      <c r="AL359" s="2">
        <v>0.0</v>
      </c>
      <c r="AM359" s="1" t="s">
        <v>51</v>
      </c>
      <c r="AP359" s="2">
        <v>4.90996564E8</v>
      </c>
      <c r="AQ359" s="1" t="s">
        <v>494</v>
      </c>
      <c r="AR359" s="2">
        <v>45810.581354166665</v>
      </c>
      <c r="AU359" s="1" t="s">
        <v>64</v>
      </c>
      <c r="AW359" s="1" t="s">
        <v>255</v>
      </c>
      <c r="AY359" s="2">
        <v>353.0</v>
      </c>
    </row>
    <row r="360">
      <c r="A360" s="1" t="s">
        <v>51</v>
      </c>
      <c r="C360" s="1" t="s">
        <v>52</v>
      </c>
      <c r="E360" s="1" t="s">
        <v>53</v>
      </c>
      <c r="F360" s="1" t="s">
        <v>54</v>
      </c>
      <c r="G360" s="2">
        <v>26.0</v>
      </c>
      <c r="H360" s="1" t="s">
        <v>66</v>
      </c>
      <c r="I360" s="1" t="s">
        <v>76</v>
      </c>
      <c r="J360" s="1" t="s">
        <v>56</v>
      </c>
      <c r="K360" s="1" t="s">
        <v>57</v>
      </c>
      <c r="M360" s="1" t="s">
        <v>58</v>
      </c>
      <c r="N360" s="1" t="s">
        <v>58</v>
      </c>
      <c r="O360" s="1" t="s">
        <v>58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  <c r="W360" s="1" t="s">
        <v>58</v>
      </c>
      <c r="X360" s="1" t="s">
        <v>81</v>
      </c>
      <c r="Y360" s="1" t="s">
        <v>82</v>
      </c>
      <c r="Z360" s="1" t="s">
        <v>89</v>
      </c>
      <c r="AA360" s="2">
        <v>10.0</v>
      </c>
      <c r="AB360" s="1" t="s">
        <v>79</v>
      </c>
      <c r="AC360" s="1" t="s">
        <v>51</v>
      </c>
      <c r="AD360" s="1" t="s">
        <v>81</v>
      </c>
      <c r="AE360" s="1" t="s">
        <v>51</v>
      </c>
      <c r="AF360" s="1" t="s">
        <v>51</v>
      </c>
      <c r="AG360" s="1" t="s">
        <v>51</v>
      </c>
      <c r="AI360" s="2">
        <v>1.0</v>
      </c>
      <c r="AJ360" s="2">
        <v>0.0</v>
      </c>
      <c r="AK360" s="2">
        <v>0.0</v>
      </c>
      <c r="AL360" s="2">
        <v>0.0</v>
      </c>
      <c r="AM360" s="1" t="s">
        <v>51</v>
      </c>
      <c r="AP360" s="2">
        <v>4.90997907E8</v>
      </c>
      <c r="AQ360" s="1" t="s">
        <v>495</v>
      </c>
      <c r="AR360" s="2">
        <v>45810.58256944444</v>
      </c>
      <c r="AU360" s="1" t="s">
        <v>64</v>
      </c>
      <c r="AW360" s="1" t="s">
        <v>255</v>
      </c>
      <c r="AY360" s="2">
        <v>354.0</v>
      </c>
    </row>
    <row r="361">
      <c r="A361" s="1" t="s">
        <v>51</v>
      </c>
      <c r="C361" s="1" t="s">
        <v>52</v>
      </c>
      <c r="E361" s="1" t="s">
        <v>53</v>
      </c>
      <c r="F361" s="1" t="s">
        <v>54</v>
      </c>
      <c r="G361" s="2">
        <v>22.0</v>
      </c>
      <c r="H361" s="1" t="s">
        <v>66</v>
      </c>
      <c r="I361" s="1" t="s">
        <v>100</v>
      </c>
      <c r="J361" s="1" t="s">
        <v>56</v>
      </c>
      <c r="K361" s="1" t="s">
        <v>57</v>
      </c>
      <c r="M361" s="1" t="s">
        <v>58</v>
      </c>
      <c r="N361" s="1" t="s">
        <v>58</v>
      </c>
      <c r="O361" s="1" t="s">
        <v>58</v>
      </c>
      <c r="Q361" s="1" t="s">
        <v>58</v>
      </c>
      <c r="R361" s="1" t="s">
        <v>58</v>
      </c>
      <c r="S361" s="1" t="s">
        <v>58</v>
      </c>
      <c r="T361" s="1" t="s">
        <v>58</v>
      </c>
      <c r="V361" s="1" t="s">
        <v>58</v>
      </c>
      <c r="X361" s="1" t="s">
        <v>81</v>
      </c>
      <c r="Y361" s="1" t="s">
        <v>82</v>
      </c>
      <c r="Z361" s="1" t="s">
        <v>89</v>
      </c>
      <c r="AA361" s="2">
        <v>30.0</v>
      </c>
      <c r="AB361" s="1" t="s">
        <v>79</v>
      </c>
      <c r="AC361" s="1" t="s">
        <v>51</v>
      </c>
      <c r="AD361" s="1" t="s">
        <v>81</v>
      </c>
      <c r="AE361" s="1" t="s">
        <v>51</v>
      </c>
      <c r="AF361" s="1" t="s">
        <v>51</v>
      </c>
      <c r="AG361" s="1" t="s">
        <v>51</v>
      </c>
      <c r="AI361" s="2">
        <v>0.0</v>
      </c>
      <c r="AJ361" s="2">
        <v>0.0</v>
      </c>
      <c r="AK361" s="2">
        <v>0.0</v>
      </c>
      <c r="AL361" s="2">
        <v>1.0</v>
      </c>
      <c r="AM361" s="1" t="s">
        <v>51</v>
      </c>
      <c r="AP361" s="2">
        <v>4.90999516E8</v>
      </c>
      <c r="AQ361" s="1" t="s">
        <v>496</v>
      </c>
      <c r="AR361" s="2">
        <v>45810.58390046296</v>
      </c>
      <c r="AU361" s="1" t="s">
        <v>64</v>
      </c>
      <c r="AW361" s="1" t="s">
        <v>255</v>
      </c>
      <c r="AY361" s="2">
        <v>355.0</v>
      </c>
    </row>
    <row r="362">
      <c r="A362" s="1" t="s">
        <v>51</v>
      </c>
      <c r="C362" s="1" t="s">
        <v>52</v>
      </c>
      <c r="E362" s="1" t="s">
        <v>53</v>
      </c>
      <c r="F362" s="1" t="s">
        <v>54</v>
      </c>
      <c r="G362" s="2">
        <v>31.0</v>
      </c>
      <c r="H362" s="1" t="s">
        <v>66</v>
      </c>
      <c r="I362" s="1" t="s">
        <v>100</v>
      </c>
      <c r="J362" s="1" t="s">
        <v>68</v>
      </c>
      <c r="K362" s="1" t="s">
        <v>92</v>
      </c>
      <c r="M362" s="1" t="s">
        <v>58</v>
      </c>
      <c r="N362" s="1" t="s">
        <v>58</v>
      </c>
      <c r="O362" s="1" t="s">
        <v>58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  <c r="W362" s="1" t="s">
        <v>58</v>
      </c>
      <c r="X362" s="1" t="s">
        <v>81</v>
      </c>
      <c r="Y362" s="1" t="s">
        <v>82</v>
      </c>
      <c r="Z362" s="1" t="s">
        <v>89</v>
      </c>
      <c r="AA362" s="2">
        <v>10.0</v>
      </c>
      <c r="AB362" s="1" t="s">
        <v>28</v>
      </c>
      <c r="AC362" s="1" t="s">
        <v>71</v>
      </c>
      <c r="AF362" s="1" t="s">
        <v>51</v>
      </c>
      <c r="AG362" s="1" t="s">
        <v>72</v>
      </c>
      <c r="AI362" s="2">
        <v>0.0</v>
      </c>
      <c r="AJ362" s="2">
        <v>0.0</v>
      </c>
      <c r="AK362" s="2">
        <v>0.0</v>
      </c>
      <c r="AL362" s="2">
        <v>1.0</v>
      </c>
      <c r="AM362" s="1" t="s">
        <v>72</v>
      </c>
      <c r="AP362" s="2">
        <v>4.91002485E8</v>
      </c>
      <c r="AQ362" s="1" t="s">
        <v>497</v>
      </c>
      <c r="AR362" s="2">
        <v>45810.585914351854</v>
      </c>
      <c r="AU362" s="1" t="s">
        <v>64</v>
      </c>
      <c r="AW362" s="1" t="s">
        <v>255</v>
      </c>
      <c r="AY362" s="2">
        <v>356.0</v>
      </c>
    </row>
    <row r="363">
      <c r="A363" s="1" t="s">
        <v>51</v>
      </c>
      <c r="C363" s="1" t="s">
        <v>170</v>
      </c>
      <c r="E363" s="1" t="s">
        <v>53</v>
      </c>
      <c r="F363" s="1" t="s">
        <v>54</v>
      </c>
      <c r="G363" s="2">
        <v>34.0</v>
      </c>
      <c r="I363" s="1" t="s">
        <v>100</v>
      </c>
      <c r="J363" s="1" t="s">
        <v>86</v>
      </c>
      <c r="K363" s="1" t="s">
        <v>87</v>
      </c>
      <c r="M363" s="1" t="s">
        <v>58</v>
      </c>
      <c r="N363" s="1" t="s">
        <v>58</v>
      </c>
      <c r="O363" s="1" t="s">
        <v>58</v>
      </c>
      <c r="Q363" s="1" t="s">
        <v>69</v>
      </c>
      <c r="R363" s="1" t="s">
        <v>58</v>
      </c>
      <c r="S363" s="1" t="s">
        <v>69</v>
      </c>
      <c r="T363" s="1" t="s">
        <v>69</v>
      </c>
      <c r="U363" s="1" t="s">
        <v>58</v>
      </c>
      <c r="V363" s="1" t="s">
        <v>58</v>
      </c>
      <c r="W363" s="1" t="s">
        <v>69</v>
      </c>
      <c r="X363" s="1" t="s">
        <v>59</v>
      </c>
      <c r="Y363" s="1" t="s">
        <v>60</v>
      </c>
      <c r="Z363" s="1" t="s">
        <v>108</v>
      </c>
      <c r="AA363" s="2">
        <v>20.0</v>
      </c>
      <c r="AB363" s="1" t="s">
        <v>62</v>
      </c>
      <c r="AC363" s="1" t="s">
        <v>71</v>
      </c>
      <c r="AF363" s="1" t="s">
        <v>51</v>
      </c>
      <c r="AG363" s="1" t="s">
        <v>51</v>
      </c>
      <c r="AH363" s="2">
        <v>50.0</v>
      </c>
      <c r="AI363" s="2">
        <v>0.0</v>
      </c>
      <c r="AJ363" s="2">
        <v>0.0</v>
      </c>
      <c r="AK363" s="2">
        <v>0.0</v>
      </c>
      <c r="AL363" s="2">
        <v>1.0</v>
      </c>
      <c r="AM363" s="1" t="s">
        <v>72</v>
      </c>
      <c r="AP363" s="2">
        <v>4.91024236E8</v>
      </c>
      <c r="AQ363" s="1" t="s">
        <v>498</v>
      </c>
      <c r="AR363" s="2">
        <v>45810.60663194444</v>
      </c>
      <c r="AU363" s="1" t="s">
        <v>64</v>
      </c>
      <c r="AW363" s="1" t="s">
        <v>255</v>
      </c>
      <c r="AY363" s="2">
        <v>357.0</v>
      </c>
    </row>
    <row r="364">
      <c r="A364" s="1" t="s">
        <v>51</v>
      </c>
      <c r="C364" s="1" t="s">
        <v>151</v>
      </c>
      <c r="E364" s="1" t="s">
        <v>53</v>
      </c>
      <c r="F364" s="1" t="s">
        <v>54</v>
      </c>
      <c r="G364" s="2">
        <v>51.0</v>
      </c>
      <c r="H364" s="1" t="s">
        <v>66</v>
      </c>
      <c r="I364" s="1" t="s">
        <v>67</v>
      </c>
      <c r="J364" s="1" t="s">
        <v>68</v>
      </c>
      <c r="K364" s="1" t="s">
        <v>57</v>
      </c>
      <c r="M364" s="1" t="s">
        <v>58</v>
      </c>
      <c r="N364" s="1" t="s">
        <v>58</v>
      </c>
      <c r="O364" s="1" t="s">
        <v>58</v>
      </c>
      <c r="Q364" s="1" t="s">
        <v>69</v>
      </c>
      <c r="R364" s="1" t="s">
        <v>58</v>
      </c>
      <c r="S364" s="1" t="s">
        <v>69</v>
      </c>
      <c r="T364" s="1" t="s">
        <v>69</v>
      </c>
      <c r="U364" s="1" t="s">
        <v>69</v>
      </c>
      <c r="V364" s="1" t="s">
        <v>69</v>
      </c>
      <c r="W364" s="1" t="s">
        <v>69</v>
      </c>
      <c r="X364" s="1" t="s">
        <v>81</v>
      </c>
      <c r="Y364" s="1" t="s">
        <v>82</v>
      </c>
      <c r="Z364" s="1" t="s">
        <v>89</v>
      </c>
      <c r="AA364" s="2">
        <v>30.0</v>
      </c>
      <c r="AB364" s="1" t="s">
        <v>79</v>
      </c>
      <c r="AC364" s="1" t="s">
        <v>71</v>
      </c>
      <c r="AF364" s="1" t="s">
        <v>51</v>
      </c>
      <c r="AG364" s="1" t="s">
        <v>51</v>
      </c>
      <c r="AH364" s="2">
        <v>200.0</v>
      </c>
      <c r="AI364" s="2">
        <v>0.0</v>
      </c>
      <c r="AJ364" s="2">
        <v>0.0</v>
      </c>
      <c r="AK364" s="2">
        <v>0.0</v>
      </c>
      <c r="AL364" s="2">
        <v>1.0</v>
      </c>
      <c r="AM364" s="1" t="s">
        <v>51</v>
      </c>
      <c r="AN364" s="2">
        <v>6.49779116E8</v>
      </c>
      <c r="AP364" s="2">
        <v>4.90386915E8</v>
      </c>
      <c r="AQ364" s="1" t="s">
        <v>512</v>
      </c>
      <c r="AR364" s="2">
        <v>45809.39319444444</v>
      </c>
      <c r="AU364" s="1" t="s">
        <v>64</v>
      </c>
      <c r="AW364" s="1" t="s">
        <v>513</v>
      </c>
      <c r="AY364" s="2">
        <v>1.0</v>
      </c>
    </row>
    <row r="365">
      <c r="A365" s="1" t="s">
        <v>51</v>
      </c>
      <c r="C365" s="1" t="s">
        <v>53</v>
      </c>
      <c r="E365" s="1" t="s">
        <v>53</v>
      </c>
      <c r="F365" s="1" t="s">
        <v>54</v>
      </c>
      <c r="G365" s="2">
        <v>42.0</v>
      </c>
      <c r="H365" s="1" t="s">
        <v>55</v>
      </c>
      <c r="I365" s="1" t="s">
        <v>121</v>
      </c>
      <c r="J365" s="1" t="s">
        <v>68</v>
      </c>
      <c r="K365" s="1" t="s">
        <v>57</v>
      </c>
      <c r="M365" s="1" t="s">
        <v>58</v>
      </c>
      <c r="N365" s="1" t="s">
        <v>58</v>
      </c>
      <c r="O365" s="1" t="s">
        <v>58</v>
      </c>
      <c r="Q365" s="1" t="s">
        <v>58</v>
      </c>
      <c r="R365" s="1" t="s">
        <v>69</v>
      </c>
      <c r="S365" s="1" t="s">
        <v>69</v>
      </c>
      <c r="T365" s="1" t="s">
        <v>69</v>
      </c>
      <c r="U365" s="1" t="s">
        <v>69</v>
      </c>
      <c r="V365" s="1" t="s">
        <v>69</v>
      </c>
      <c r="W365" s="1" t="s">
        <v>69</v>
      </c>
      <c r="X365" s="1" t="s">
        <v>59</v>
      </c>
      <c r="Y365" s="1" t="s">
        <v>227</v>
      </c>
      <c r="Z365" s="1" t="s">
        <v>61</v>
      </c>
      <c r="AA365" s="2">
        <v>100.0</v>
      </c>
      <c r="AB365" s="1" t="s">
        <v>79</v>
      </c>
      <c r="AC365" s="1" t="s">
        <v>71</v>
      </c>
      <c r="AF365" s="1" t="s">
        <v>51</v>
      </c>
      <c r="AG365" s="1" t="s">
        <v>51</v>
      </c>
      <c r="AH365" s="2">
        <v>50.0</v>
      </c>
      <c r="AI365" s="2">
        <v>0.0</v>
      </c>
      <c r="AJ365" s="2">
        <v>0.0</v>
      </c>
      <c r="AK365" s="2">
        <v>0.0</v>
      </c>
      <c r="AL365" s="2">
        <v>1.0</v>
      </c>
      <c r="AM365" s="1" t="s">
        <v>51</v>
      </c>
      <c r="AN365" s="2">
        <v>6.73003512E8</v>
      </c>
      <c r="AP365" s="2">
        <v>4.90394724E8</v>
      </c>
      <c r="AQ365" s="1" t="s">
        <v>514</v>
      </c>
      <c r="AR365" s="2">
        <v>45809.408680555556</v>
      </c>
      <c r="AU365" s="1" t="s">
        <v>64</v>
      </c>
      <c r="AW365" s="1" t="s">
        <v>513</v>
      </c>
      <c r="AY365" s="2">
        <v>2.0</v>
      </c>
    </row>
    <row r="366">
      <c r="A366" s="1" t="s">
        <v>51</v>
      </c>
      <c r="C366" s="1" t="s">
        <v>53</v>
      </c>
      <c r="E366" s="1" t="s">
        <v>53</v>
      </c>
      <c r="F366" s="1" t="s">
        <v>54</v>
      </c>
      <c r="G366" s="2">
        <v>30.0</v>
      </c>
      <c r="H366" s="1" t="s">
        <v>55</v>
      </c>
      <c r="I366" s="1" t="s">
        <v>121</v>
      </c>
      <c r="J366" s="1" t="s">
        <v>56</v>
      </c>
      <c r="K366" s="1" t="s">
        <v>57</v>
      </c>
      <c r="M366" s="1" t="s">
        <v>58</v>
      </c>
      <c r="N366" s="1" t="s">
        <v>58</v>
      </c>
      <c r="O366" s="1" t="s">
        <v>58</v>
      </c>
      <c r="Q366" s="1" t="s">
        <v>58</v>
      </c>
      <c r="R366" s="1" t="s">
        <v>69</v>
      </c>
      <c r="S366" s="1" t="s">
        <v>69</v>
      </c>
      <c r="T366" s="1" t="s">
        <v>58</v>
      </c>
      <c r="U366" s="1" t="s">
        <v>58</v>
      </c>
      <c r="V366" s="1" t="s">
        <v>69</v>
      </c>
      <c r="W366" s="1" t="s">
        <v>69</v>
      </c>
      <c r="X366" s="1" t="s">
        <v>81</v>
      </c>
      <c r="Y366" s="1" t="s">
        <v>82</v>
      </c>
      <c r="Z366" s="1" t="s">
        <v>89</v>
      </c>
      <c r="AA366" s="2">
        <v>40.0</v>
      </c>
      <c r="AB366" s="1" t="s">
        <v>79</v>
      </c>
      <c r="AC366" s="1" t="s">
        <v>71</v>
      </c>
      <c r="AF366" s="1" t="s">
        <v>51</v>
      </c>
      <c r="AG366" s="1" t="s">
        <v>51</v>
      </c>
      <c r="AH366" s="2">
        <v>300.0</v>
      </c>
      <c r="AI366" s="2">
        <v>1.0</v>
      </c>
      <c r="AJ366" s="2">
        <v>0.0</v>
      </c>
      <c r="AK366" s="2">
        <v>0.0</v>
      </c>
      <c r="AL366" s="2">
        <v>0.0</v>
      </c>
      <c r="AM366" s="1" t="s">
        <v>51</v>
      </c>
      <c r="AN366" s="2">
        <v>6.73583337E8</v>
      </c>
      <c r="AP366" s="2">
        <v>4.90394919E8</v>
      </c>
      <c r="AQ366" s="1" t="s">
        <v>515</v>
      </c>
      <c r="AR366" s="2">
        <v>45809.40924768519</v>
      </c>
      <c r="AU366" s="1" t="s">
        <v>64</v>
      </c>
      <c r="AW366" s="1" t="s">
        <v>513</v>
      </c>
      <c r="AY366" s="2">
        <v>3.0</v>
      </c>
    </row>
    <row r="367">
      <c r="A367" s="1" t="s">
        <v>51</v>
      </c>
      <c r="C367" s="1" t="s">
        <v>151</v>
      </c>
      <c r="E367" s="1" t="s">
        <v>53</v>
      </c>
      <c r="F367" s="1" t="s">
        <v>54</v>
      </c>
      <c r="G367" s="2">
        <v>27.0</v>
      </c>
      <c r="H367" s="1" t="s">
        <v>55</v>
      </c>
      <c r="I367" s="1" t="s">
        <v>76</v>
      </c>
      <c r="J367" s="1" t="s">
        <v>56</v>
      </c>
      <c r="K367" s="1" t="s">
        <v>74</v>
      </c>
      <c r="M367" s="1" t="s">
        <v>58</v>
      </c>
      <c r="N367" s="1" t="s">
        <v>58</v>
      </c>
      <c r="O367" s="1" t="s">
        <v>58</v>
      </c>
      <c r="Q367" s="1" t="s">
        <v>58</v>
      </c>
      <c r="R367" s="1" t="s">
        <v>58</v>
      </c>
      <c r="S367" s="1" t="s">
        <v>58</v>
      </c>
      <c r="T367" s="1" t="s">
        <v>58</v>
      </c>
      <c r="U367" s="1" t="s">
        <v>58</v>
      </c>
      <c r="V367" s="1" t="s">
        <v>58</v>
      </c>
      <c r="W367" s="1" t="s">
        <v>58</v>
      </c>
      <c r="X367" s="1" t="s">
        <v>81</v>
      </c>
      <c r="Y367" s="1" t="s">
        <v>60</v>
      </c>
      <c r="Z367" s="1" t="s">
        <v>89</v>
      </c>
      <c r="AA367" s="2">
        <v>50.0</v>
      </c>
      <c r="AB367" s="1" t="s">
        <v>62</v>
      </c>
      <c r="AC367" s="1" t="s">
        <v>51</v>
      </c>
      <c r="AD367" s="1" t="s">
        <v>81</v>
      </c>
      <c r="AE367" s="1" t="s">
        <v>51</v>
      </c>
      <c r="AF367" s="1" t="s">
        <v>51</v>
      </c>
      <c r="AG367" s="1" t="s">
        <v>51</v>
      </c>
      <c r="AI367" s="2">
        <v>0.0</v>
      </c>
      <c r="AJ367" s="2">
        <v>0.0</v>
      </c>
      <c r="AK367" s="2">
        <v>0.0</v>
      </c>
      <c r="AL367" s="2">
        <v>1.0</v>
      </c>
      <c r="AM367" s="1" t="s">
        <v>51</v>
      </c>
      <c r="AN367" s="2">
        <v>6.888317704E9</v>
      </c>
      <c r="AP367" s="2">
        <v>4.90397468E8</v>
      </c>
      <c r="AQ367" s="1" t="s">
        <v>516</v>
      </c>
      <c r="AR367" s="2">
        <v>45809.415300925924</v>
      </c>
      <c r="AU367" s="1" t="s">
        <v>64</v>
      </c>
      <c r="AW367" s="1" t="s">
        <v>513</v>
      </c>
      <c r="AY367" s="2">
        <v>4.0</v>
      </c>
    </row>
    <row r="368">
      <c r="A368" s="1" t="s">
        <v>51</v>
      </c>
      <c r="C368" s="1" t="s">
        <v>53</v>
      </c>
      <c r="E368" s="1" t="s">
        <v>53</v>
      </c>
      <c r="F368" s="1" t="s">
        <v>54</v>
      </c>
      <c r="G368" s="2">
        <v>36.0</v>
      </c>
      <c r="H368" s="1" t="s">
        <v>55</v>
      </c>
      <c r="I368" s="1" t="s">
        <v>121</v>
      </c>
      <c r="J368" s="1" t="s">
        <v>86</v>
      </c>
      <c r="K368" s="1" t="s">
        <v>74</v>
      </c>
      <c r="M368" s="1" t="s">
        <v>58</v>
      </c>
      <c r="N368" s="1" t="s">
        <v>58</v>
      </c>
      <c r="O368" s="1" t="s">
        <v>58</v>
      </c>
      <c r="Q368" s="1" t="s">
        <v>58</v>
      </c>
      <c r="R368" s="1" t="s">
        <v>58</v>
      </c>
      <c r="S368" s="1" t="s">
        <v>58</v>
      </c>
      <c r="T368" s="1" t="s">
        <v>58</v>
      </c>
      <c r="U368" s="1" t="s">
        <v>58</v>
      </c>
      <c r="V368" s="1" t="s">
        <v>58</v>
      </c>
      <c r="W368" s="1" t="s">
        <v>58</v>
      </c>
      <c r="X368" s="1" t="s">
        <v>59</v>
      </c>
      <c r="Y368" s="1" t="s">
        <v>60</v>
      </c>
      <c r="Z368" s="1" t="s">
        <v>61</v>
      </c>
      <c r="AA368" s="2">
        <v>20.0</v>
      </c>
      <c r="AB368" s="1" t="s">
        <v>62</v>
      </c>
      <c r="AC368" s="1" t="s">
        <v>51</v>
      </c>
      <c r="AD368" s="1" t="s">
        <v>59</v>
      </c>
      <c r="AE368" s="1" t="s">
        <v>51</v>
      </c>
      <c r="AF368" s="1" t="s">
        <v>51</v>
      </c>
      <c r="AG368" s="1" t="s">
        <v>51</v>
      </c>
      <c r="AI368" s="2">
        <v>1.0</v>
      </c>
      <c r="AJ368" s="2">
        <v>0.0</v>
      </c>
      <c r="AK368" s="2">
        <v>0.0</v>
      </c>
      <c r="AL368" s="2">
        <v>0.0</v>
      </c>
      <c r="AM368" s="1" t="s">
        <v>51</v>
      </c>
      <c r="AP368" s="2">
        <v>4.90400535E8</v>
      </c>
      <c r="AQ368" s="1" t="s">
        <v>517</v>
      </c>
      <c r="AR368" s="2">
        <v>45809.420636574076</v>
      </c>
      <c r="AU368" s="1" t="s">
        <v>64</v>
      </c>
      <c r="AW368" s="1" t="s">
        <v>513</v>
      </c>
      <c r="AY368" s="2">
        <v>5.0</v>
      </c>
    </row>
    <row r="369">
      <c r="A369" s="1" t="s">
        <v>51</v>
      </c>
      <c r="C369" s="1" t="s">
        <v>151</v>
      </c>
      <c r="E369" s="1" t="s">
        <v>53</v>
      </c>
      <c r="F369" s="1" t="s">
        <v>54</v>
      </c>
      <c r="G369" s="2">
        <v>35.0</v>
      </c>
      <c r="H369" s="1" t="s">
        <v>55</v>
      </c>
      <c r="I369" s="1" t="s">
        <v>67</v>
      </c>
      <c r="J369" s="1" t="s">
        <v>68</v>
      </c>
      <c r="K369" s="1" t="s">
        <v>74</v>
      </c>
      <c r="M369" s="1" t="s">
        <v>58</v>
      </c>
      <c r="N369" s="1" t="s">
        <v>58</v>
      </c>
      <c r="O369" s="1" t="s">
        <v>69</v>
      </c>
      <c r="Q369" s="1" t="s">
        <v>58</v>
      </c>
      <c r="R369" s="1" t="s">
        <v>69</v>
      </c>
      <c r="S369" s="1" t="s">
        <v>69</v>
      </c>
      <c r="T369" s="1" t="s">
        <v>69</v>
      </c>
      <c r="U369" s="1" t="s">
        <v>69</v>
      </c>
      <c r="V369" s="1" t="s">
        <v>69</v>
      </c>
      <c r="W369" s="1" t="s">
        <v>69</v>
      </c>
      <c r="X369" s="1" t="s">
        <v>59</v>
      </c>
      <c r="Y369" s="1" t="s">
        <v>82</v>
      </c>
      <c r="Z369" s="1" t="s">
        <v>89</v>
      </c>
      <c r="AA369" s="2">
        <v>50.0</v>
      </c>
      <c r="AB369" s="1" t="s">
        <v>79</v>
      </c>
      <c r="AC369" s="1" t="s">
        <v>71</v>
      </c>
      <c r="AF369" s="1" t="s">
        <v>51</v>
      </c>
      <c r="AG369" s="1" t="s">
        <v>51</v>
      </c>
      <c r="AH369" s="2">
        <v>10.0</v>
      </c>
      <c r="AI369" s="2">
        <v>1.0</v>
      </c>
      <c r="AJ369" s="2">
        <v>0.0</v>
      </c>
      <c r="AK369" s="2">
        <v>0.0</v>
      </c>
      <c r="AL369" s="2">
        <v>1.0</v>
      </c>
      <c r="AM369" s="1" t="s">
        <v>51</v>
      </c>
      <c r="AN369" s="2">
        <v>6.86703189E8</v>
      </c>
      <c r="AP369" s="2">
        <v>4.90400705E8</v>
      </c>
      <c r="AQ369" s="1" t="s">
        <v>518</v>
      </c>
      <c r="AR369" s="2">
        <v>45809.42101851852</v>
      </c>
      <c r="AU369" s="1" t="s">
        <v>64</v>
      </c>
      <c r="AW369" s="1" t="s">
        <v>513</v>
      </c>
      <c r="AY369" s="2">
        <v>6.0</v>
      </c>
    </row>
    <row r="370">
      <c r="A370" s="1" t="s">
        <v>51</v>
      </c>
      <c r="C370" s="1" t="s">
        <v>151</v>
      </c>
      <c r="E370" s="1" t="s">
        <v>53</v>
      </c>
      <c r="F370" s="1" t="s">
        <v>54</v>
      </c>
      <c r="G370" s="2">
        <v>28.0</v>
      </c>
      <c r="H370" s="1" t="s">
        <v>66</v>
      </c>
      <c r="I370" s="1" t="s">
        <v>100</v>
      </c>
      <c r="J370" s="1" t="s">
        <v>56</v>
      </c>
      <c r="K370" s="1" t="s">
        <v>74</v>
      </c>
      <c r="M370" s="1" t="s">
        <v>58</v>
      </c>
      <c r="N370" s="1" t="s">
        <v>58</v>
      </c>
      <c r="O370" s="1" t="s">
        <v>58</v>
      </c>
      <c r="Q370" s="1" t="s">
        <v>69</v>
      </c>
      <c r="R370" s="1" t="s">
        <v>69</v>
      </c>
      <c r="S370" s="1" t="s">
        <v>69</v>
      </c>
      <c r="T370" s="1" t="s">
        <v>69</v>
      </c>
      <c r="V370" s="1" t="s">
        <v>69</v>
      </c>
      <c r="W370" s="1" t="s">
        <v>69</v>
      </c>
      <c r="X370" s="1" t="s">
        <v>59</v>
      </c>
      <c r="Y370" s="1" t="s">
        <v>82</v>
      </c>
      <c r="Z370" s="1" t="s">
        <v>61</v>
      </c>
      <c r="AA370" s="2">
        <v>50.0</v>
      </c>
      <c r="AB370" s="1" t="s">
        <v>79</v>
      </c>
      <c r="AC370" s="1" t="s">
        <v>71</v>
      </c>
      <c r="AF370" s="1" t="s">
        <v>51</v>
      </c>
      <c r="AG370" s="1" t="s">
        <v>51</v>
      </c>
      <c r="AH370" s="2">
        <v>59.0</v>
      </c>
      <c r="AI370" s="2">
        <v>0.0</v>
      </c>
      <c r="AJ370" s="2">
        <v>0.0</v>
      </c>
      <c r="AK370" s="2">
        <v>0.0</v>
      </c>
      <c r="AL370" s="2">
        <v>1.0</v>
      </c>
      <c r="AM370" s="1" t="s">
        <v>51</v>
      </c>
      <c r="AN370" s="2">
        <v>6.05023987E8</v>
      </c>
      <c r="AP370" s="2">
        <v>4.90403176E8</v>
      </c>
      <c r="AQ370" s="1" t="s">
        <v>519</v>
      </c>
      <c r="AR370" s="2">
        <v>45809.42591435185</v>
      </c>
      <c r="AU370" s="1" t="s">
        <v>64</v>
      </c>
      <c r="AW370" s="1" t="s">
        <v>513</v>
      </c>
      <c r="AY370" s="2">
        <v>7.0</v>
      </c>
    </row>
    <row r="371">
      <c r="A371" s="1" t="s">
        <v>51</v>
      </c>
      <c r="C371" s="1" t="s">
        <v>151</v>
      </c>
      <c r="E371" s="1" t="s">
        <v>53</v>
      </c>
      <c r="F371" s="1" t="s">
        <v>54</v>
      </c>
      <c r="G371" s="2">
        <v>28.0</v>
      </c>
      <c r="H371" s="1" t="s">
        <v>55</v>
      </c>
      <c r="I371" s="1" t="s">
        <v>67</v>
      </c>
      <c r="J371" s="1" t="s">
        <v>111</v>
      </c>
      <c r="K371" s="1" t="s">
        <v>74</v>
      </c>
      <c r="M371" s="1" t="s">
        <v>58</v>
      </c>
      <c r="N371" s="1" t="s">
        <v>58</v>
      </c>
      <c r="O371" s="1" t="s">
        <v>58</v>
      </c>
      <c r="Q371" s="1" t="s">
        <v>58</v>
      </c>
      <c r="R371" s="1" t="s">
        <v>58</v>
      </c>
      <c r="S371" s="1" t="s">
        <v>58</v>
      </c>
      <c r="T371" s="1" t="s">
        <v>58</v>
      </c>
      <c r="U371" s="1" t="s">
        <v>58</v>
      </c>
      <c r="V371" s="1" t="s">
        <v>58</v>
      </c>
      <c r="W371" s="1" t="s">
        <v>58</v>
      </c>
      <c r="X371" s="1" t="s">
        <v>103</v>
      </c>
      <c r="Y371" s="1" t="s">
        <v>82</v>
      </c>
      <c r="Z371" s="1" t="s">
        <v>61</v>
      </c>
      <c r="AA371" s="2">
        <v>50.0</v>
      </c>
      <c r="AB371" s="1" t="s">
        <v>79</v>
      </c>
      <c r="AC371" s="1" t="s">
        <v>51</v>
      </c>
      <c r="AD371" s="1" t="s">
        <v>81</v>
      </c>
      <c r="AE371" s="1" t="s">
        <v>51</v>
      </c>
      <c r="AF371" s="1" t="s">
        <v>51</v>
      </c>
      <c r="AG371" s="1" t="s">
        <v>51</v>
      </c>
      <c r="AH371" s="2">
        <v>300.0</v>
      </c>
      <c r="AI371" s="2">
        <v>0.0</v>
      </c>
      <c r="AJ371" s="2">
        <v>1.0</v>
      </c>
      <c r="AK371" s="2">
        <v>0.0</v>
      </c>
      <c r="AL371" s="2">
        <v>0.0</v>
      </c>
      <c r="AM371" s="1" t="s">
        <v>51</v>
      </c>
      <c r="AN371" s="2">
        <v>6.05023987E8</v>
      </c>
      <c r="AP371" s="2">
        <v>4.90406325E8</v>
      </c>
      <c r="AQ371" s="1" t="s">
        <v>520</v>
      </c>
      <c r="AR371" s="2">
        <v>45809.43239583333</v>
      </c>
      <c r="AU371" s="1" t="s">
        <v>64</v>
      </c>
      <c r="AW371" s="1" t="s">
        <v>513</v>
      </c>
      <c r="AY371" s="2">
        <v>8.0</v>
      </c>
    </row>
    <row r="372">
      <c r="A372" s="1" t="s">
        <v>51</v>
      </c>
      <c r="C372" s="1" t="s">
        <v>151</v>
      </c>
      <c r="E372" s="1" t="s">
        <v>53</v>
      </c>
      <c r="F372" s="1" t="s">
        <v>54</v>
      </c>
      <c r="G372" s="2">
        <v>30.0</v>
      </c>
      <c r="H372" s="1" t="s">
        <v>55</v>
      </c>
      <c r="I372" s="1" t="s">
        <v>76</v>
      </c>
      <c r="J372" s="1" t="s">
        <v>56</v>
      </c>
      <c r="K372" s="1" t="s">
        <v>57</v>
      </c>
      <c r="M372" s="1" t="s">
        <v>58</v>
      </c>
      <c r="N372" s="1" t="s">
        <v>58</v>
      </c>
      <c r="O372" s="1" t="s">
        <v>58</v>
      </c>
      <c r="Q372" s="1" t="s">
        <v>58</v>
      </c>
      <c r="R372" s="1" t="s">
        <v>58</v>
      </c>
      <c r="S372" s="1" t="s">
        <v>58</v>
      </c>
      <c r="T372" s="1" t="s">
        <v>58</v>
      </c>
      <c r="U372" s="1" t="s">
        <v>58</v>
      </c>
      <c r="V372" s="1" t="s">
        <v>58</v>
      </c>
      <c r="W372" s="1" t="s">
        <v>58</v>
      </c>
      <c r="X372" s="1" t="s">
        <v>81</v>
      </c>
      <c r="Y372" s="1" t="s">
        <v>82</v>
      </c>
      <c r="Z372" s="1" t="s">
        <v>61</v>
      </c>
      <c r="AA372" s="2">
        <v>40.0</v>
      </c>
      <c r="AB372" s="1" t="s">
        <v>79</v>
      </c>
      <c r="AC372" s="1" t="s">
        <v>51</v>
      </c>
      <c r="AD372" s="1" t="s">
        <v>81</v>
      </c>
      <c r="AE372" s="1" t="s">
        <v>51</v>
      </c>
      <c r="AF372" s="1" t="s">
        <v>51</v>
      </c>
      <c r="AG372" s="1" t="s">
        <v>51</v>
      </c>
      <c r="AH372" s="2">
        <v>700.0</v>
      </c>
      <c r="AI372" s="2">
        <v>1.0</v>
      </c>
      <c r="AJ372" s="2">
        <v>0.0</v>
      </c>
      <c r="AK372" s="2">
        <v>0.0</v>
      </c>
      <c r="AL372" s="2">
        <v>0.0</v>
      </c>
      <c r="AM372" s="1" t="s">
        <v>51</v>
      </c>
      <c r="AN372" s="2">
        <v>5.932364E7</v>
      </c>
      <c r="AP372" s="2">
        <v>4.90410469E8</v>
      </c>
      <c r="AQ372" s="1" t="s">
        <v>521</v>
      </c>
      <c r="AR372" s="2">
        <v>45809.44119212963</v>
      </c>
      <c r="AU372" s="1" t="s">
        <v>64</v>
      </c>
      <c r="AW372" s="1" t="s">
        <v>513</v>
      </c>
      <c r="AY372" s="2">
        <v>9.0</v>
      </c>
    </row>
    <row r="373">
      <c r="A373" s="1" t="s">
        <v>51</v>
      </c>
      <c r="C373" s="1" t="s">
        <v>53</v>
      </c>
      <c r="E373" s="1" t="s">
        <v>53</v>
      </c>
      <c r="F373" s="1" t="s">
        <v>54</v>
      </c>
      <c r="G373" s="2">
        <v>33.0</v>
      </c>
      <c r="H373" s="1" t="s">
        <v>55</v>
      </c>
      <c r="I373" s="1" t="s">
        <v>121</v>
      </c>
      <c r="J373" s="1" t="s">
        <v>68</v>
      </c>
      <c r="K373" s="1" t="s">
        <v>74</v>
      </c>
      <c r="M373" s="1" t="s">
        <v>58</v>
      </c>
      <c r="N373" s="1" t="s">
        <v>58</v>
      </c>
      <c r="O373" s="1" t="s">
        <v>58</v>
      </c>
      <c r="Q373" s="1" t="s">
        <v>58</v>
      </c>
      <c r="R373" s="1" t="s">
        <v>70</v>
      </c>
      <c r="S373" s="1" t="s">
        <v>70</v>
      </c>
      <c r="T373" s="1" t="s">
        <v>58</v>
      </c>
      <c r="U373" s="1" t="s">
        <v>70</v>
      </c>
      <c r="V373" s="1" t="s">
        <v>58</v>
      </c>
      <c r="W373" s="1" t="s">
        <v>58</v>
      </c>
      <c r="X373" s="1" t="s">
        <v>81</v>
      </c>
      <c r="Y373" s="1" t="s">
        <v>82</v>
      </c>
      <c r="Z373" s="1" t="s">
        <v>89</v>
      </c>
      <c r="AA373" s="2">
        <v>30.0</v>
      </c>
      <c r="AB373" s="1" t="s">
        <v>62</v>
      </c>
      <c r="AC373" s="1" t="s">
        <v>51</v>
      </c>
      <c r="AD373" s="1" t="s">
        <v>81</v>
      </c>
      <c r="AE373" s="1" t="s">
        <v>51</v>
      </c>
      <c r="AF373" s="1" t="s">
        <v>51</v>
      </c>
      <c r="AG373" s="1" t="s">
        <v>51</v>
      </c>
      <c r="AH373" s="2">
        <v>500.0</v>
      </c>
      <c r="AI373" s="2">
        <v>1.0</v>
      </c>
      <c r="AJ373" s="2">
        <v>0.0</v>
      </c>
      <c r="AK373" s="2">
        <v>0.0</v>
      </c>
      <c r="AL373" s="2">
        <v>0.0</v>
      </c>
      <c r="AM373" s="1" t="s">
        <v>51</v>
      </c>
      <c r="AN373" s="2">
        <v>7.2234359E8</v>
      </c>
      <c r="AP373" s="2">
        <v>4.90415914E8</v>
      </c>
      <c r="AQ373" s="1" t="s">
        <v>522</v>
      </c>
      <c r="AR373" s="2">
        <v>45809.453043981484</v>
      </c>
      <c r="AU373" s="1" t="s">
        <v>64</v>
      </c>
      <c r="AW373" s="1" t="s">
        <v>513</v>
      </c>
      <c r="AY373" s="2">
        <v>10.0</v>
      </c>
    </row>
    <row r="374">
      <c r="A374" s="1" t="s">
        <v>51</v>
      </c>
      <c r="C374" s="1" t="s">
        <v>151</v>
      </c>
      <c r="E374" s="1" t="s">
        <v>53</v>
      </c>
      <c r="F374" s="1" t="s">
        <v>54</v>
      </c>
      <c r="G374" s="2">
        <v>38.0</v>
      </c>
      <c r="H374" s="1" t="s">
        <v>66</v>
      </c>
      <c r="I374" s="1" t="s">
        <v>67</v>
      </c>
      <c r="J374" s="1" t="s">
        <v>56</v>
      </c>
      <c r="K374" s="1" t="s">
        <v>78</v>
      </c>
      <c r="M374" s="1" t="s">
        <v>58</v>
      </c>
      <c r="N374" s="1" t="s">
        <v>58</v>
      </c>
      <c r="O374" s="1" t="s">
        <v>58</v>
      </c>
      <c r="Q374" s="1" t="s">
        <v>58</v>
      </c>
      <c r="R374" s="1" t="s">
        <v>70</v>
      </c>
      <c r="S374" s="1" t="s">
        <v>70</v>
      </c>
      <c r="T374" s="1" t="s">
        <v>58</v>
      </c>
      <c r="U374" s="1" t="s">
        <v>70</v>
      </c>
      <c r="V374" s="1" t="s">
        <v>70</v>
      </c>
      <c r="W374" s="1" t="s">
        <v>70</v>
      </c>
      <c r="X374" s="1" t="s">
        <v>88</v>
      </c>
      <c r="Y374" s="1" t="s">
        <v>82</v>
      </c>
      <c r="Z374" s="1" t="s">
        <v>89</v>
      </c>
      <c r="AA374" s="2">
        <v>10.0</v>
      </c>
      <c r="AB374" s="1" t="s">
        <v>79</v>
      </c>
      <c r="AC374" s="1" t="s">
        <v>51</v>
      </c>
      <c r="AD374" s="1" t="s">
        <v>81</v>
      </c>
      <c r="AE374" s="1" t="s">
        <v>51</v>
      </c>
      <c r="AF374" s="1" t="s">
        <v>51</v>
      </c>
      <c r="AG374" s="1" t="s">
        <v>51</v>
      </c>
      <c r="AH374" s="2">
        <v>150000.0</v>
      </c>
      <c r="AI374" s="2">
        <v>1.0</v>
      </c>
      <c r="AJ374" s="2">
        <v>0.0</v>
      </c>
      <c r="AK374" s="2">
        <v>0.0</v>
      </c>
      <c r="AL374" s="2">
        <v>0.0</v>
      </c>
      <c r="AM374" s="1" t="s">
        <v>51</v>
      </c>
      <c r="AN374" s="2">
        <v>7.81882812E8</v>
      </c>
      <c r="AP374" s="2">
        <v>4.90438105E8</v>
      </c>
      <c r="AQ374" s="1" t="s">
        <v>523</v>
      </c>
      <c r="AR374" s="2">
        <v>45809.50146990741</v>
      </c>
      <c r="AU374" s="1" t="s">
        <v>64</v>
      </c>
      <c r="AW374" s="1" t="s">
        <v>513</v>
      </c>
      <c r="AY374" s="2">
        <v>11.0</v>
      </c>
    </row>
    <row r="375">
      <c r="A375" s="1" t="s">
        <v>51</v>
      </c>
      <c r="C375" s="1" t="s">
        <v>151</v>
      </c>
      <c r="E375" s="1" t="s">
        <v>53</v>
      </c>
      <c r="F375" s="1" t="s">
        <v>54</v>
      </c>
      <c r="G375" s="2">
        <v>39.0</v>
      </c>
      <c r="H375" s="1" t="s">
        <v>66</v>
      </c>
      <c r="I375" s="1" t="s">
        <v>100</v>
      </c>
      <c r="J375" s="1" t="s">
        <v>68</v>
      </c>
      <c r="K375" s="1" t="s">
        <v>78</v>
      </c>
      <c r="M375" s="1" t="s">
        <v>58</v>
      </c>
      <c r="N375" s="1" t="s">
        <v>58</v>
      </c>
      <c r="O375" s="1" t="s">
        <v>58</v>
      </c>
      <c r="Q375" s="1" t="s">
        <v>58</v>
      </c>
      <c r="R375" s="1" t="s">
        <v>58</v>
      </c>
      <c r="S375" s="1" t="s">
        <v>58</v>
      </c>
      <c r="T375" s="1" t="s">
        <v>58</v>
      </c>
      <c r="U375" s="1" t="s">
        <v>58</v>
      </c>
      <c r="V375" s="1" t="s">
        <v>58</v>
      </c>
      <c r="W375" s="1" t="s">
        <v>58</v>
      </c>
      <c r="X375" s="1" t="s">
        <v>81</v>
      </c>
      <c r="Y375" s="1" t="s">
        <v>82</v>
      </c>
      <c r="Z375" s="1" t="s">
        <v>89</v>
      </c>
      <c r="AA375" s="2">
        <v>20.0</v>
      </c>
      <c r="AB375" s="1" t="s">
        <v>79</v>
      </c>
      <c r="AC375" s="1" t="s">
        <v>51</v>
      </c>
      <c r="AD375" s="1" t="s">
        <v>81</v>
      </c>
      <c r="AE375" s="1" t="s">
        <v>51</v>
      </c>
      <c r="AF375" s="1" t="s">
        <v>51</v>
      </c>
      <c r="AG375" s="1" t="s">
        <v>51</v>
      </c>
      <c r="AH375" s="2">
        <v>400.0</v>
      </c>
      <c r="AI375" s="2">
        <v>1.0</v>
      </c>
      <c r="AJ375" s="2">
        <v>0.0</v>
      </c>
      <c r="AK375" s="2">
        <v>0.0</v>
      </c>
      <c r="AL375" s="2">
        <v>0.0</v>
      </c>
      <c r="AM375" s="1" t="s">
        <v>51</v>
      </c>
      <c r="AN375" s="2">
        <v>6.34482526E8</v>
      </c>
      <c r="AP375" s="2">
        <v>4.9044075E8</v>
      </c>
      <c r="AQ375" s="1" t="s">
        <v>524</v>
      </c>
      <c r="AR375" s="2">
        <v>45809.506736111114</v>
      </c>
      <c r="AU375" s="1" t="s">
        <v>64</v>
      </c>
      <c r="AW375" s="1" t="s">
        <v>513</v>
      </c>
      <c r="AY375" s="2">
        <v>12.0</v>
      </c>
    </row>
    <row r="376">
      <c r="A376" s="1" t="s">
        <v>51</v>
      </c>
      <c r="C376" s="1" t="s">
        <v>151</v>
      </c>
      <c r="E376" s="1" t="s">
        <v>53</v>
      </c>
      <c r="F376" s="1" t="s">
        <v>54</v>
      </c>
      <c r="G376" s="2">
        <v>33.0</v>
      </c>
      <c r="H376" s="1" t="s">
        <v>66</v>
      </c>
      <c r="I376" s="1" t="s">
        <v>419</v>
      </c>
      <c r="J376" s="1" t="s">
        <v>56</v>
      </c>
      <c r="K376" s="1" t="s">
        <v>57</v>
      </c>
      <c r="M376" s="1" t="s">
        <v>58</v>
      </c>
      <c r="N376" s="1" t="s">
        <v>58</v>
      </c>
      <c r="O376" s="1" t="s">
        <v>69</v>
      </c>
      <c r="Q376" s="1" t="s">
        <v>58</v>
      </c>
      <c r="R376" s="1" t="s">
        <v>58</v>
      </c>
      <c r="S376" s="1" t="s">
        <v>58</v>
      </c>
      <c r="T376" s="1" t="s">
        <v>58</v>
      </c>
      <c r="U376" s="1" t="s">
        <v>58</v>
      </c>
      <c r="V376" s="1" t="s">
        <v>58</v>
      </c>
      <c r="W376" s="1" t="s">
        <v>58</v>
      </c>
      <c r="X376" s="1" t="s">
        <v>59</v>
      </c>
      <c r="Y376" s="1" t="s">
        <v>82</v>
      </c>
      <c r="Z376" s="1" t="s">
        <v>61</v>
      </c>
      <c r="AA376" s="2">
        <v>10.0</v>
      </c>
      <c r="AB376" s="1" t="s">
        <v>62</v>
      </c>
      <c r="AC376" s="1" t="s">
        <v>51</v>
      </c>
      <c r="AD376" s="1" t="s">
        <v>59</v>
      </c>
      <c r="AE376" s="1" t="s">
        <v>51</v>
      </c>
      <c r="AF376" s="1" t="s">
        <v>51</v>
      </c>
      <c r="AG376" s="1" t="s">
        <v>51</v>
      </c>
      <c r="AH376" s="2">
        <v>300.0</v>
      </c>
      <c r="AI376" s="2">
        <v>0.0</v>
      </c>
      <c r="AJ376" s="2">
        <v>1.0</v>
      </c>
      <c r="AK376" s="2">
        <v>0.0</v>
      </c>
      <c r="AL376" s="2">
        <v>0.0</v>
      </c>
      <c r="AM376" s="1" t="s">
        <v>51</v>
      </c>
      <c r="AN376" s="2">
        <v>6.14698223E8</v>
      </c>
      <c r="AP376" s="2">
        <v>4.90444316E8</v>
      </c>
      <c r="AQ376" s="1" t="s">
        <v>525</v>
      </c>
      <c r="AR376" s="2">
        <v>45809.51458333333</v>
      </c>
      <c r="AU376" s="1" t="s">
        <v>64</v>
      </c>
      <c r="AW376" s="1" t="s">
        <v>513</v>
      </c>
      <c r="AY376" s="2">
        <v>13.0</v>
      </c>
    </row>
    <row r="377">
      <c r="A377" s="1" t="s">
        <v>51</v>
      </c>
      <c r="C377" s="1" t="s">
        <v>151</v>
      </c>
      <c r="E377" s="1" t="s">
        <v>53</v>
      </c>
      <c r="F377" s="1" t="s">
        <v>54</v>
      </c>
      <c r="G377" s="2">
        <v>39.0</v>
      </c>
      <c r="H377" s="1" t="s">
        <v>55</v>
      </c>
      <c r="I377" s="1" t="s">
        <v>100</v>
      </c>
      <c r="J377" s="1" t="s">
        <v>56</v>
      </c>
      <c r="K377" s="1" t="s">
        <v>57</v>
      </c>
      <c r="M377" s="1" t="s">
        <v>58</v>
      </c>
      <c r="N377" s="1" t="s">
        <v>58</v>
      </c>
      <c r="O377" s="1" t="s">
        <v>58</v>
      </c>
      <c r="Q377" s="1" t="s">
        <v>58</v>
      </c>
      <c r="R377" s="1" t="s">
        <v>58</v>
      </c>
      <c r="S377" s="1" t="s">
        <v>58</v>
      </c>
      <c r="T377" s="1" t="s">
        <v>58</v>
      </c>
      <c r="U377" s="1" t="s">
        <v>58</v>
      </c>
      <c r="V377" s="1" t="s">
        <v>58</v>
      </c>
      <c r="W377" s="1" t="s">
        <v>58</v>
      </c>
      <c r="X377" s="1" t="s">
        <v>59</v>
      </c>
      <c r="Y377" s="1" t="s">
        <v>82</v>
      </c>
      <c r="Z377" s="1" t="s">
        <v>89</v>
      </c>
      <c r="AA377" s="2">
        <v>10.0</v>
      </c>
      <c r="AB377" s="1" t="s">
        <v>28</v>
      </c>
      <c r="AC377" s="1" t="s">
        <v>51</v>
      </c>
      <c r="AD377" s="1" t="s">
        <v>59</v>
      </c>
      <c r="AE377" s="1" t="s">
        <v>51</v>
      </c>
      <c r="AF377" s="1" t="s">
        <v>51</v>
      </c>
      <c r="AG377" s="1" t="s">
        <v>51</v>
      </c>
      <c r="AH377" s="2">
        <v>200.0</v>
      </c>
      <c r="AI377" s="2">
        <v>1.0</v>
      </c>
      <c r="AJ377" s="2">
        <v>0.0</v>
      </c>
      <c r="AK377" s="2">
        <v>0.0</v>
      </c>
      <c r="AL377" s="2">
        <v>0.0</v>
      </c>
      <c r="AM377" s="1" t="s">
        <v>51</v>
      </c>
      <c r="AN377" s="2">
        <v>7.99866781E8</v>
      </c>
      <c r="AP377" s="2">
        <v>4.90451443E8</v>
      </c>
      <c r="AQ377" s="1" t="s">
        <v>526</v>
      </c>
      <c r="AR377" s="2">
        <v>45809.52954861111</v>
      </c>
      <c r="AU377" s="1" t="s">
        <v>64</v>
      </c>
      <c r="AW377" s="1" t="s">
        <v>513</v>
      </c>
      <c r="AY377" s="2">
        <v>14.0</v>
      </c>
    </row>
    <row r="378">
      <c r="A378" s="1" t="s">
        <v>51</v>
      </c>
      <c r="C378" s="1" t="s">
        <v>151</v>
      </c>
      <c r="E378" s="1" t="s">
        <v>53</v>
      </c>
      <c r="F378" s="1" t="s">
        <v>54</v>
      </c>
      <c r="G378" s="2">
        <v>40.0</v>
      </c>
      <c r="H378" s="1" t="s">
        <v>55</v>
      </c>
      <c r="I378" s="1" t="s">
        <v>100</v>
      </c>
      <c r="J378" s="1" t="s">
        <v>86</v>
      </c>
      <c r="K378" s="1" t="s">
        <v>57</v>
      </c>
      <c r="M378" s="1" t="s">
        <v>58</v>
      </c>
      <c r="N378" s="1" t="s">
        <v>58</v>
      </c>
      <c r="O378" s="1" t="s">
        <v>69</v>
      </c>
      <c r="Q378" s="1" t="s">
        <v>58</v>
      </c>
      <c r="R378" s="1" t="s">
        <v>58</v>
      </c>
      <c r="S378" s="1" t="s">
        <v>69</v>
      </c>
      <c r="T378" s="1" t="s">
        <v>58</v>
      </c>
      <c r="U378" s="1" t="s">
        <v>58</v>
      </c>
      <c r="V378" s="1" t="s">
        <v>58</v>
      </c>
      <c r="W378" s="1" t="s">
        <v>58</v>
      </c>
      <c r="X378" s="1" t="s">
        <v>88</v>
      </c>
      <c r="Y378" s="1" t="s">
        <v>60</v>
      </c>
      <c r="Z378" s="1" t="s">
        <v>61</v>
      </c>
      <c r="AA378" s="2">
        <v>10.0</v>
      </c>
      <c r="AB378" s="1" t="s">
        <v>79</v>
      </c>
      <c r="AC378" s="1" t="s">
        <v>72</v>
      </c>
      <c r="AF378" s="1" t="s">
        <v>51</v>
      </c>
      <c r="AG378" s="1" t="s">
        <v>51</v>
      </c>
      <c r="AH378" s="2">
        <v>200.0</v>
      </c>
      <c r="AI378" s="2">
        <v>1.0</v>
      </c>
      <c r="AJ378" s="2">
        <v>0.0</v>
      </c>
      <c r="AK378" s="2">
        <v>0.0</v>
      </c>
      <c r="AL378" s="2">
        <v>0.0</v>
      </c>
      <c r="AM378" s="1" t="s">
        <v>51</v>
      </c>
      <c r="AN378" s="2">
        <v>7.11230687E8</v>
      </c>
      <c r="AP378" s="2">
        <v>4.90455501E8</v>
      </c>
      <c r="AQ378" s="1" t="s">
        <v>527</v>
      </c>
      <c r="AR378" s="2">
        <v>45809.53716435185</v>
      </c>
      <c r="AU378" s="1" t="s">
        <v>64</v>
      </c>
      <c r="AW378" s="1" t="s">
        <v>513</v>
      </c>
      <c r="AY378" s="2">
        <v>15.0</v>
      </c>
    </row>
    <row r="379">
      <c r="A379" s="1" t="s">
        <v>51</v>
      </c>
      <c r="C379" s="1" t="s">
        <v>151</v>
      </c>
      <c r="E379" s="1" t="s">
        <v>53</v>
      </c>
      <c r="F379" s="1" t="s">
        <v>54</v>
      </c>
      <c r="G379" s="2">
        <v>39.0</v>
      </c>
      <c r="H379" s="1" t="s">
        <v>55</v>
      </c>
      <c r="I379" s="1" t="s">
        <v>100</v>
      </c>
      <c r="J379" s="1" t="s">
        <v>68</v>
      </c>
      <c r="K379" s="1" t="s">
        <v>57</v>
      </c>
      <c r="M379" s="1" t="s">
        <v>58</v>
      </c>
      <c r="N379" s="1" t="s">
        <v>58</v>
      </c>
      <c r="O379" s="1" t="s">
        <v>58</v>
      </c>
      <c r="Q379" s="1" t="s">
        <v>58</v>
      </c>
      <c r="R379" s="1" t="s">
        <v>58</v>
      </c>
      <c r="T379" s="1" t="s">
        <v>58</v>
      </c>
      <c r="U379" s="1" t="s">
        <v>58</v>
      </c>
      <c r="W379" s="1" t="s">
        <v>58</v>
      </c>
      <c r="X379" s="1" t="s">
        <v>81</v>
      </c>
      <c r="Y379" s="1" t="s">
        <v>227</v>
      </c>
      <c r="Z379" s="1" t="s">
        <v>89</v>
      </c>
      <c r="AA379" s="2">
        <v>10.0</v>
      </c>
      <c r="AB379" s="1" t="s">
        <v>62</v>
      </c>
      <c r="AC379" s="1" t="s">
        <v>51</v>
      </c>
      <c r="AD379" s="1" t="s">
        <v>81</v>
      </c>
      <c r="AE379" s="1" t="s">
        <v>51</v>
      </c>
      <c r="AF379" s="1" t="s">
        <v>72</v>
      </c>
      <c r="AG379" s="1" t="s">
        <v>72</v>
      </c>
      <c r="AI379" s="2">
        <v>0.0</v>
      </c>
      <c r="AJ379" s="2">
        <v>0.0</v>
      </c>
      <c r="AK379" s="2">
        <v>0.0</v>
      </c>
      <c r="AL379" s="2">
        <v>1.0</v>
      </c>
      <c r="AM379" s="1" t="s">
        <v>51</v>
      </c>
      <c r="AN379" s="2">
        <v>7.93682104E8</v>
      </c>
      <c r="AP379" s="2">
        <v>4.90459871E8</v>
      </c>
      <c r="AQ379" s="1" t="s">
        <v>528</v>
      </c>
      <c r="AR379" s="2">
        <v>45809.54628472222</v>
      </c>
      <c r="AU379" s="1" t="s">
        <v>64</v>
      </c>
      <c r="AW379" s="1" t="s">
        <v>513</v>
      </c>
      <c r="AY379" s="2">
        <v>16.0</v>
      </c>
    </row>
    <row r="380">
      <c r="A380" s="1" t="s">
        <v>51</v>
      </c>
      <c r="C380" s="1" t="s">
        <v>151</v>
      </c>
      <c r="E380" s="1" t="s">
        <v>53</v>
      </c>
      <c r="F380" s="1" t="s">
        <v>54</v>
      </c>
      <c r="G380" s="2">
        <v>35.0</v>
      </c>
      <c r="H380" s="1" t="s">
        <v>55</v>
      </c>
      <c r="I380" s="1" t="s">
        <v>67</v>
      </c>
      <c r="J380" s="1" t="s">
        <v>86</v>
      </c>
      <c r="K380" s="1" t="s">
        <v>74</v>
      </c>
      <c r="M380" s="1" t="s">
        <v>58</v>
      </c>
      <c r="N380" s="1" t="s">
        <v>58</v>
      </c>
      <c r="O380" s="1" t="s">
        <v>58</v>
      </c>
      <c r="Q380" s="1" t="s">
        <v>58</v>
      </c>
      <c r="R380" s="1" t="s">
        <v>58</v>
      </c>
      <c r="S380" s="1" t="s">
        <v>58</v>
      </c>
      <c r="T380" s="1" t="s">
        <v>58</v>
      </c>
      <c r="U380" s="1" t="s">
        <v>58</v>
      </c>
      <c r="V380" s="1" t="s">
        <v>58</v>
      </c>
      <c r="W380" s="1" t="s">
        <v>58</v>
      </c>
      <c r="X380" s="1" t="s">
        <v>59</v>
      </c>
      <c r="Y380" s="1" t="s">
        <v>60</v>
      </c>
      <c r="Z380" s="1" t="s">
        <v>61</v>
      </c>
      <c r="AA380" s="2">
        <v>10.0</v>
      </c>
      <c r="AB380" s="1" t="s">
        <v>79</v>
      </c>
      <c r="AC380" s="1" t="s">
        <v>51</v>
      </c>
      <c r="AD380" s="1" t="s">
        <v>59</v>
      </c>
      <c r="AE380" s="1" t="s">
        <v>51</v>
      </c>
      <c r="AF380" s="1" t="s">
        <v>51</v>
      </c>
      <c r="AG380" s="1" t="s">
        <v>51</v>
      </c>
      <c r="AH380" s="2">
        <v>500.0</v>
      </c>
      <c r="AI380" s="2">
        <v>1.0</v>
      </c>
      <c r="AJ380" s="2">
        <v>0.0</v>
      </c>
      <c r="AK380" s="2">
        <v>0.0</v>
      </c>
      <c r="AL380" s="2">
        <v>0.0</v>
      </c>
      <c r="AM380" s="1" t="s">
        <v>51</v>
      </c>
      <c r="AN380" s="2">
        <v>6.47722465E8</v>
      </c>
      <c r="AP380" s="2">
        <v>4.90464896E8</v>
      </c>
      <c r="AQ380" s="1" t="s">
        <v>529</v>
      </c>
      <c r="AR380" s="2">
        <v>45809.55693287037</v>
      </c>
      <c r="AU380" s="1" t="s">
        <v>64</v>
      </c>
      <c r="AW380" s="1" t="s">
        <v>513</v>
      </c>
      <c r="AY380" s="2">
        <v>17.0</v>
      </c>
    </row>
    <row r="381">
      <c r="A381" s="1"/>
      <c r="C381" s="1"/>
      <c r="E381" s="1"/>
      <c r="F381" s="1"/>
      <c r="G381" s="2"/>
      <c r="H381" s="1"/>
      <c r="I381" s="1"/>
      <c r="J381" s="1"/>
      <c r="K381" s="1"/>
      <c r="M381" s="1"/>
      <c r="N381" s="1"/>
      <c r="O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"/>
      <c r="AB381" s="1"/>
      <c r="AC381" s="1"/>
      <c r="AD381" s="1"/>
      <c r="AE381" s="1"/>
      <c r="AF381" s="1"/>
      <c r="AG381" s="1"/>
      <c r="AH381" s="2"/>
      <c r="AI381" s="2"/>
      <c r="AJ381" s="2"/>
      <c r="AK381" s="2"/>
      <c r="AL381" s="2"/>
      <c r="AM381" s="1"/>
      <c r="AN381" s="2"/>
      <c r="AP381" s="2"/>
      <c r="AQ381" s="1"/>
      <c r="AR381" s="2"/>
      <c r="AU381" s="1"/>
      <c r="AW381" s="1"/>
      <c r="AY381" s="2"/>
    </row>
    <row r="382">
      <c r="A382" s="1"/>
      <c r="C382" s="1"/>
      <c r="E382" s="1"/>
      <c r="F382" s="1"/>
      <c r="G382" s="2"/>
      <c r="H382" s="1"/>
      <c r="I382" s="1"/>
      <c r="J382" s="1"/>
      <c r="K382" s="1"/>
      <c r="M382" s="1"/>
      <c r="N382" s="1"/>
      <c r="O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"/>
      <c r="AB382" s="1"/>
      <c r="AC382" s="1"/>
      <c r="AD382" s="1"/>
      <c r="AE382" s="1"/>
      <c r="AF382" s="1"/>
      <c r="AG382" s="1"/>
      <c r="AH382" s="2"/>
      <c r="AI382" s="2"/>
      <c r="AJ382" s="2"/>
      <c r="AK382" s="2"/>
      <c r="AL382" s="2"/>
      <c r="AM382" s="1"/>
      <c r="AN382" s="2"/>
      <c r="AP382" s="2"/>
      <c r="AQ382" s="1"/>
      <c r="AR382" s="2"/>
      <c r="AU382" s="1"/>
      <c r="AW382" s="1"/>
      <c r="AY382" s="2"/>
    </row>
    <row r="383">
      <c r="A383" s="1"/>
      <c r="C383" s="1"/>
      <c r="E383" s="1"/>
      <c r="F383" s="1"/>
      <c r="G383" s="2"/>
      <c r="H383" s="1"/>
      <c r="I383" s="1"/>
      <c r="J383" s="1"/>
      <c r="K383" s="1"/>
      <c r="M383" s="1"/>
      <c r="N383" s="1"/>
      <c r="O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"/>
      <c r="AB383" s="1"/>
      <c r="AC383" s="1"/>
      <c r="AD383" s="1"/>
      <c r="AE383" s="1"/>
      <c r="AF383" s="1"/>
      <c r="AG383" s="1"/>
      <c r="AH383" s="2"/>
      <c r="AI383" s="2"/>
      <c r="AJ383" s="2"/>
      <c r="AK383" s="2"/>
      <c r="AL383" s="2"/>
      <c r="AM383" s="1"/>
      <c r="AN383" s="2"/>
      <c r="AP383" s="2"/>
      <c r="AQ383" s="1"/>
      <c r="AR383" s="2"/>
      <c r="AU383" s="1"/>
      <c r="AW383" s="1"/>
      <c r="AY383" s="2"/>
    </row>
    <row r="384">
      <c r="A384" s="1"/>
      <c r="C384" s="1"/>
      <c r="E384" s="1"/>
      <c r="F384" s="1"/>
      <c r="G384" s="2"/>
      <c r="H384" s="1"/>
      <c r="I384" s="1"/>
      <c r="J384" s="1"/>
      <c r="K384" s="1"/>
      <c r="M384" s="1"/>
      <c r="N384" s="1"/>
      <c r="O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/>
      <c r="AB384" s="1"/>
      <c r="AC384" s="1"/>
      <c r="AD384" s="1"/>
      <c r="AE384" s="1"/>
      <c r="AF384" s="1"/>
      <c r="AG384" s="1"/>
      <c r="AH384" s="2"/>
      <c r="AI384" s="2"/>
      <c r="AJ384" s="2"/>
      <c r="AK384" s="2"/>
      <c r="AL384" s="2"/>
      <c r="AM384" s="1"/>
      <c r="AN384" s="2"/>
      <c r="AP384" s="2"/>
      <c r="AQ384" s="1"/>
      <c r="AR384" s="2"/>
      <c r="AU384" s="1"/>
      <c r="AW384" s="1"/>
      <c r="AY384" s="2"/>
    </row>
    <row r="385">
      <c r="A385" s="1"/>
      <c r="C385" s="1"/>
      <c r="E385" s="1"/>
      <c r="F385" s="1"/>
      <c r="G385" s="2"/>
      <c r="H385" s="1"/>
      <c r="I385" s="1"/>
      <c r="J385" s="1"/>
      <c r="K385" s="1"/>
      <c r="M385" s="1"/>
      <c r="N385" s="1"/>
      <c r="O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/>
      <c r="AB385" s="1"/>
      <c r="AC385" s="1"/>
      <c r="AD385" s="1"/>
      <c r="AE385" s="1"/>
      <c r="AF385" s="1"/>
      <c r="AG385" s="1"/>
      <c r="AH385" s="2"/>
      <c r="AI385" s="2"/>
      <c r="AJ385" s="2"/>
      <c r="AK385" s="2"/>
      <c r="AL385" s="2"/>
      <c r="AM385" s="1"/>
      <c r="AN385" s="2"/>
      <c r="AP385" s="2"/>
      <c r="AQ385" s="1"/>
      <c r="AR385" s="2"/>
      <c r="AU385" s="1"/>
      <c r="AW385" s="1"/>
      <c r="AY385" s="2"/>
    </row>
    <row r="386">
      <c r="A386" s="1"/>
      <c r="C386" s="1"/>
      <c r="E386" s="1"/>
      <c r="F386" s="1"/>
      <c r="G386" s="2"/>
      <c r="H386" s="1"/>
      <c r="I386" s="1"/>
      <c r="J386" s="1"/>
      <c r="K386" s="1"/>
      <c r="M386" s="1"/>
      <c r="N386" s="1"/>
      <c r="O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"/>
      <c r="AB386" s="1"/>
      <c r="AC386" s="1"/>
      <c r="AD386" s="1"/>
      <c r="AE386" s="1"/>
      <c r="AF386" s="1"/>
      <c r="AG386" s="1"/>
      <c r="AH386" s="2"/>
      <c r="AI386" s="2"/>
      <c r="AJ386" s="2"/>
      <c r="AK386" s="2"/>
      <c r="AL386" s="2"/>
      <c r="AM386" s="1"/>
      <c r="AN386" s="2"/>
      <c r="AP386" s="2"/>
      <c r="AQ386" s="1"/>
      <c r="AR386" s="2"/>
      <c r="AU386" s="1"/>
      <c r="AW386" s="1"/>
      <c r="AY386" s="2"/>
    </row>
    <row r="387">
      <c r="A387" s="1"/>
      <c r="C387" s="1"/>
      <c r="E387" s="1"/>
      <c r="F387" s="1"/>
      <c r="G387" s="2"/>
      <c r="H387" s="1"/>
      <c r="I387" s="1"/>
      <c r="J387" s="1"/>
      <c r="K387" s="1"/>
      <c r="M387" s="1"/>
      <c r="N387" s="1"/>
      <c r="O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"/>
      <c r="AB387" s="1"/>
      <c r="AC387" s="1"/>
      <c r="AD387" s="1"/>
      <c r="AE387" s="1"/>
      <c r="AF387" s="1"/>
      <c r="AG387" s="1"/>
      <c r="AH387" s="2"/>
      <c r="AI387" s="2"/>
      <c r="AJ387" s="2"/>
      <c r="AK387" s="2"/>
      <c r="AL387" s="2"/>
      <c r="AM387" s="1"/>
      <c r="AN387" s="2"/>
      <c r="AP387" s="2"/>
      <c r="AQ387" s="1"/>
      <c r="AR387" s="2"/>
      <c r="AU387" s="1"/>
      <c r="AW387" s="1"/>
      <c r="AY387" s="2"/>
    </row>
    <row r="388">
      <c r="A388" s="1"/>
      <c r="C388" s="1"/>
      <c r="E388" s="1"/>
      <c r="F388" s="1"/>
      <c r="G388" s="2"/>
      <c r="H388" s="1"/>
      <c r="I388" s="1"/>
      <c r="J388" s="1"/>
      <c r="K388" s="1"/>
      <c r="M388" s="1"/>
      <c r="N388" s="1"/>
      <c r="O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"/>
      <c r="AB388" s="1"/>
      <c r="AC388" s="1"/>
      <c r="AD388" s="1"/>
      <c r="AE388" s="1"/>
      <c r="AF388" s="1"/>
      <c r="AG388" s="1"/>
      <c r="AH388" s="2"/>
      <c r="AI388" s="2"/>
      <c r="AJ388" s="2"/>
      <c r="AK388" s="2"/>
      <c r="AL388" s="2"/>
      <c r="AM388" s="1"/>
      <c r="AN388" s="2"/>
      <c r="AP388" s="2"/>
      <c r="AQ388" s="1"/>
      <c r="AR388" s="2"/>
      <c r="AU388" s="1"/>
      <c r="AW388" s="1"/>
      <c r="AY388" s="2"/>
    </row>
    <row r="389">
      <c r="A389" s="1"/>
      <c r="C389" s="1"/>
      <c r="E389" s="1"/>
      <c r="F389" s="1"/>
      <c r="G389" s="2"/>
      <c r="H389" s="1"/>
      <c r="I389" s="1"/>
      <c r="J389" s="1"/>
      <c r="K389" s="1"/>
      <c r="M389" s="1"/>
      <c r="N389" s="1"/>
      <c r="O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"/>
      <c r="AB389" s="1"/>
      <c r="AC389" s="1"/>
      <c r="AD389" s="1"/>
      <c r="AE389" s="1"/>
      <c r="AF389" s="1"/>
      <c r="AG389" s="1"/>
      <c r="AH389" s="2"/>
      <c r="AI389" s="2"/>
      <c r="AJ389" s="2"/>
      <c r="AK389" s="2"/>
      <c r="AL389" s="2"/>
      <c r="AM389" s="1"/>
      <c r="AN389" s="2"/>
      <c r="AP389" s="2"/>
      <c r="AQ389" s="1"/>
      <c r="AR389" s="2"/>
      <c r="AU389" s="1"/>
      <c r="AW389" s="1"/>
      <c r="AY389" s="2"/>
    </row>
    <row r="390">
      <c r="A390" s="1"/>
      <c r="C390" s="1"/>
      <c r="E390" s="1"/>
      <c r="F390" s="1"/>
      <c r="G390" s="2"/>
      <c r="H390" s="1"/>
      <c r="I390" s="1"/>
      <c r="J390" s="1"/>
      <c r="K390" s="1"/>
      <c r="M390" s="1"/>
      <c r="N390" s="1"/>
      <c r="O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2"/>
      <c r="AB390" s="1"/>
      <c r="AC390" s="1"/>
      <c r="AD390" s="1"/>
      <c r="AE390" s="1"/>
      <c r="AF390" s="1"/>
      <c r="AG390" s="1"/>
      <c r="AH390" s="2"/>
      <c r="AI390" s="2"/>
      <c r="AJ390" s="2"/>
      <c r="AK390" s="2"/>
      <c r="AL390" s="2"/>
      <c r="AM390" s="1"/>
      <c r="AN390" s="2"/>
      <c r="AP390" s="2"/>
      <c r="AQ390" s="1"/>
      <c r="AR390" s="2"/>
      <c r="AU390" s="1"/>
      <c r="AW390" s="1"/>
      <c r="AY390" s="2"/>
    </row>
    <row r="391">
      <c r="A391" s="1"/>
      <c r="C391" s="1"/>
      <c r="E391" s="1"/>
      <c r="F391" s="1"/>
      <c r="G391" s="2"/>
      <c r="H391" s="1"/>
      <c r="I391" s="1"/>
      <c r="J391" s="1"/>
      <c r="K391" s="1"/>
      <c r="M391" s="1"/>
      <c r="N391" s="1"/>
      <c r="O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2"/>
      <c r="AB391" s="1"/>
      <c r="AC391" s="1"/>
      <c r="AD391" s="1"/>
      <c r="AE391" s="1"/>
      <c r="AF391" s="1"/>
      <c r="AG391" s="1"/>
      <c r="AH391" s="2"/>
      <c r="AI391" s="2"/>
      <c r="AJ391" s="2"/>
      <c r="AK391" s="2"/>
      <c r="AL391" s="2"/>
      <c r="AM391" s="1"/>
      <c r="AN391" s="2"/>
      <c r="AP391" s="2"/>
      <c r="AQ391" s="1"/>
      <c r="AR391" s="2"/>
      <c r="AU391" s="1"/>
      <c r="AW391" s="1"/>
      <c r="AY391" s="2"/>
    </row>
    <row r="392">
      <c r="A392" s="1"/>
      <c r="C392" s="1"/>
      <c r="E392" s="1"/>
      <c r="F392" s="1"/>
      <c r="G392" s="2"/>
      <c r="H392" s="1"/>
      <c r="I392" s="1"/>
      <c r="J392" s="1"/>
      <c r="K392" s="1"/>
      <c r="M392" s="1"/>
      <c r="N392" s="1"/>
      <c r="O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2"/>
      <c r="AB392" s="1"/>
      <c r="AC392" s="1"/>
      <c r="AD392" s="1"/>
      <c r="AE392" s="1"/>
      <c r="AF392" s="1"/>
      <c r="AG392" s="1"/>
      <c r="AH392" s="2"/>
      <c r="AI392" s="2"/>
      <c r="AJ392" s="2"/>
      <c r="AK392" s="2"/>
      <c r="AL392" s="2"/>
      <c r="AM392" s="1"/>
      <c r="AN392" s="2"/>
      <c r="AP392" s="2"/>
      <c r="AQ392" s="1"/>
      <c r="AR392" s="2"/>
      <c r="AU392" s="1"/>
      <c r="AW392" s="1"/>
      <c r="AY392" s="2"/>
    </row>
    <row r="393">
      <c r="A393" s="1"/>
      <c r="C393" s="1"/>
      <c r="E393" s="1"/>
      <c r="F393" s="1"/>
      <c r="G393" s="2"/>
      <c r="H393" s="1"/>
      <c r="I393" s="1"/>
      <c r="J393" s="1"/>
      <c r="K393" s="1"/>
      <c r="M393" s="1"/>
      <c r="N393" s="1"/>
      <c r="O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2"/>
      <c r="AB393" s="1"/>
      <c r="AC393" s="1"/>
      <c r="AD393" s="1"/>
      <c r="AE393" s="1"/>
      <c r="AF393" s="1"/>
      <c r="AG393" s="1"/>
      <c r="AH393" s="2"/>
      <c r="AI393" s="2"/>
      <c r="AJ393" s="2"/>
      <c r="AK393" s="2"/>
      <c r="AL393" s="2"/>
      <c r="AM393" s="1"/>
      <c r="AN393" s="2"/>
      <c r="AP393" s="2"/>
      <c r="AQ393" s="1"/>
      <c r="AR393" s="2"/>
      <c r="AU393" s="1"/>
      <c r="AW393" s="1"/>
      <c r="AY393" s="2"/>
    </row>
    <row r="394">
      <c r="A394" s="1"/>
      <c r="C394" s="1"/>
      <c r="E394" s="1"/>
      <c r="F394" s="1"/>
      <c r="G394" s="2"/>
      <c r="H394" s="1"/>
      <c r="I394" s="1"/>
      <c r="J394" s="1"/>
      <c r="K394" s="1"/>
      <c r="M394" s="1"/>
      <c r="N394" s="1"/>
      <c r="O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2"/>
      <c r="AB394" s="1"/>
      <c r="AC394" s="1"/>
      <c r="AD394" s="1"/>
      <c r="AE394" s="1"/>
      <c r="AF394" s="1"/>
      <c r="AG394" s="1"/>
      <c r="AH394" s="2"/>
      <c r="AI394" s="2"/>
      <c r="AJ394" s="2"/>
      <c r="AK394" s="2"/>
      <c r="AL394" s="2"/>
      <c r="AM394" s="1"/>
      <c r="AN394" s="2"/>
      <c r="AP394" s="2"/>
      <c r="AQ394" s="1"/>
      <c r="AR394" s="2"/>
      <c r="AU394" s="1"/>
      <c r="AW394" s="1"/>
      <c r="AY394" s="2"/>
    </row>
    <row r="395">
      <c r="A395" s="1"/>
      <c r="C395" s="1"/>
      <c r="E395" s="1"/>
      <c r="F395" s="1"/>
      <c r="G395" s="2"/>
      <c r="H395" s="1"/>
      <c r="I395" s="1"/>
      <c r="J395" s="1"/>
      <c r="K395" s="1"/>
      <c r="M395" s="1"/>
      <c r="N395" s="1"/>
      <c r="O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2"/>
      <c r="AB395" s="1"/>
      <c r="AC395" s="1"/>
      <c r="AD395" s="1"/>
      <c r="AE395" s="1"/>
      <c r="AF395" s="1"/>
      <c r="AG395" s="1"/>
      <c r="AH395" s="2"/>
      <c r="AI395" s="2"/>
      <c r="AJ395" s="2"/>
      <c r="AK395" s="2"/>
      <c r="AL395" s="2"/>
      <c r="AM395" s="1"/>
      <c r="AN395" s="2"/>
      <c r="AP395" s="2"/>
      <c r="AQ395" s="1"/>
      <c r="AR395" s="2"/>
      <c r="AU395" s="1"/>
      <c r="AW395" s="1"/>
      <c r="AY395" s="2"/>
    </row>
    <row r="396">
      <c r="A396" s="1"/>
      <c r="C396" s="1"/>
      <c r="E396" s="1"/>
      <c r="F396" s="1"/>
      <c r="G396" s="2"/>
      <c r="H396" s="1"/>
      <c r="I396" s="1"/>
      <c r="J396" s="1"/>
      <c r="K396" s="1"/>
      <c r="M396" s="1"/>
      <c r="N396" s="1"/>
      <c r="O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2"/>
      <c r="AB396" s="1"/>
      <c r="AC396" s="1"/>
      <c r="AD396" s="1"/>
      <c r="AE396" s="1"/>
      <c r="AF396" s="1"/>
      <c r="AG396" s="1"/>
      <c r="AH396" s="2"/>
      <c r="AI396" s="2"/>
      <c r="AJ396" s="2"/>
      <c r="AK396" s="2"/>
      <c r="AL396" s="2"/>
      <c r="AM396" s="1"/>
      <c r="AN396" s="2"/>
      <c r="AP396" s="2"/>
      <c r="AQ396" s="1"/>
      <c r="AR396" s="2"/>
      <c r="AU396" s="1"/>
      <c r="AW396" s="1"/>
      <c r="AY396" s="2"/>
    </row>
    <row r="397">
      <c r="A397" s="1"/>
      <c r="C397" s="1"/>
      <c r="E397" s="1"/>
      <c r="F397" s="1"/>
      <c r="G397" s="2"/>
      <c r="H397" s="1"/>
      <c r="I397" s="1"/>
      <c r="J397" s="1"/>
      <c r="K397" s="1"/>
      <c r="M397" s="1"/>
      <c r="N397" s="1"/>
      <c r="O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2"/>
      <c r="AB397" s="1"/>
      <c r="AC397" s="1"/>
      <c r="AD397" s="1"/>
      <c r="AE397" s="1"/>
      <c r="AF397" s="1"/>
      <c r="AG397" s="1"/>
      <c r="AH397" s="2"/>
      <c r="AI397" s="2"/>
      <c r="AJ397" s="2"/>
      <c r="AK397" s="2"/>
      <c r="AL397" s="2"/>
      <c r="AM397" s="1"/>
      <c r="AN397" s="2"/>
      <c r="AP397" s="2"/>
      <c r="AQ397" s="1"/>
      <c r="AR397" s="2"/>
      <c r="AU397" s="1"/>
      <c r="AW397" s="1"/>
      <c r="AY397" s="2"/>
    </row>
    <row r="398">
      <c r="A398" s="1"/>
      <c r="C398" s="1"/>
      <c r="E398" s="1"/>
      <c r="F398" s="1"/>
      <c r="G398" s="2"/>
      <c r="H398" s="1"/>
      <c r="I398" s="1"/>
      <c r="J398" s="1"/>
      <c r="K398" s="1"/>
      <c r="M398" s="1"/>
      <c r="N398" s="1"/>
      <c r="O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2"/>
      <c r="AB398" s="1"/>
      <c r="AC398" s="1"/>
      <c r="AD398" s="1"/>
      <c r="AE398" s="1"/>
      <c r="AF398" s="1"/>
      <c r="AG398" s="1"/>
      <c r="AH398" s="2"/>
      <c r="AI398" s="2"/>
      <c r="AJ398" s="2"/>
      <c r="AK398" s="2"/>
      <c r="AL398" s="2"/>
      <c r="AM398" s="1"/>
      <c r="AN398" s="2"/>
      <c r="AP398" s="2"/>
      <c r="AQ398" s="1"/>
      <c r="AR398" s="2"/>
      <c r="AU398" s="1"/>
      <c r="AW398" s="1"/>
      <c r="AY398" s="2"/>
    </row>
    <row r="399">
      <c r="A399" s="1"/>
      <c r="C399" s="1"/>
      <c r="E399" s="1"/>
      <c r="F399" s="1"/>
      <c r="G399" s="2"/>
      <c r="H399" s="1"/>
      <c r="I399" s="1"/>
      <c r="J399" s="1"/>
      <c r="K399" s="1"/>
      <c r="M399" s="1"/>
      <c r="N399" s="1"/>
      <c r="O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2"/>
      <c r="AB399" s="1"/>
      <c r="AC399" s="1"/>
      <c r="AD399" s="1"/>
      <c r="AE399" s="1"/>
      <c r="AF399" s="1"/>
      <c r="AG399" s="1"/>
      <c r="AH399" s="2"/>
      <c r="AI399" s="2"/>
      <c r="AJ399" s="2"/>
      <c r="AK399" s="2"/>
      <c r="AL399" s="2"/>
      <c r="AM399" s="1"/>
      <c r="AN399" s="2"/>
      <c r="AP399" s="2"/>
      <c r="AQ399" s="1"/>
      <c r="AR399" s="2"/>
      <c r="AU399" s="1"/>
      <c r="AW399" s="1"/>
      <c r="AY399" s="2"/>
    </row>
    <row r="400">
      <c r="A400" s="1"/>
      <c r="C400" s="1"/>
      <c r="E400" s="1"/>
      <c r="F400" s="1"/>
      <c r="G400" s="2"/>
      <c r="H400" s="1"/>
      <c r="I400" s="1"/>
      <c r="J400" s="1"/>
      <c r="K400" s="1"/>
      <c r="M400" s="1"/>
      <c r="N400" s="1"/>
      <c r="O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2"/>
      <c r="AB400" s="1"/>
      <c r="AC400" s="1"/>
      <c r="AD400" s="1"/>
      <c r="AE400" s="1"/>
      <c r="AF400" s="1"/>
      <c r="AG400" s="1"/>
      <c r="AH400" s="2"/>
      <c r="AI400" s="2"/>
      <c r="AJ400" s="2"/>
      <c r="AK400" s="2"/>
      <c r="AL400" s="2"/>
      <c r="AM400" s="1"/>
      <c r="AN400" s="2"/>
      <c r="AP400" s="2"/>
      <c r="AQ400" s="1"/>
      <c r="AR400" s="2"/>
      <c r="AU400" s="1"/>
      <c r="AW400" s="1"/>
      <c r="AY400" s="2"/>
    </row>
    <row r="401">
      <c r="A401" s="1"/>
      <c r="C401" s="1"/>
      <c r="E401" s="1"/>
      <c r="F401" s="1"/>
      <c r="G401" s="2"/>
      <c r="H401" s="1"/>
      <c r="I401" s="1"/>
      <c r="J401" s="1"/>
      <c r="K401" s="1"/>
      <c r="M401" s="1"/>
      <c r="N401" s="1"/>
      <c r="O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2"/>
      <c r="AB401" s="1"/>
      <c r="AC401" s="1"/>
      <c r="AD401" s="1"/>
      <c r="AE401" s="1"/>
      <c r="AF401" s="1"/>
      <c r="AG401" s="1"/>
      <c r="AH401" s="2"/>
      <c r="AI401" s="2"/>
      <c r="AJ401" s="2"/>
      <c r="AK401" s="2"/>
      <c r="AL401" s="2"/>
      <c r="AM401" s="1"/>
      <c r="AN401" s="2"/>
      <c r="AP401" s="2"/>
      <c r="AQ401" s="1"/>
      <c r="AR401" s="2"/>
      <c r="AU401" s="1"/>
      <c r="AW401" s="1"/>
      <c r="AY401" s="2"/>
    </row>
    <row r="402">
      <c r="A402" s="1"/>
      <c r="C402" s="1"/>
      <c r="E402" s="1"/>
      <c r="F402" s="1"/>
      <c r="G402" s="2"/>
      <c r="H402" s="1"/>
      <c r="I402" s="1"/>
      <c r="J402" s="1"/>
      <c r="K402" s="1"/>
      <c r="M402" s="1"/>
      <c r="N402" s="1"/>
      <c r="O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2"/>
      <c r="AB402" s="1"/>
      <c r="AC402" s="1"/>
      <c r="AD402" s="1"/>
      <c r="AE402" s="1"/>
      <c r="AF402" s="1"/>
      <c r="AG402" s="1"/>
      <c r="AH402" s="2"/>
      <c r="AI402" s="2"/>
      <c r="AJ402" s="2"/>
      <c r="AK402" s="2"/>
      <c r="AL402" s="2"/>
      <c r="AM402" s="1"/>
      <c r="AN402" s="2"/>
      <c r="AP402" s="2"/>
      <c r="AQ402" s="1"/>
      <c r="AR402" s="2"/>
      <c r="AU402" s="1"/>
      <c r="AW402" s="1"/>
      <c r="AY402" s="2"/>
    </row>
    <row r="403">
      <c r="A403" s="1"/>
      <c r="C403" s="1"/>
      <c r="E403" s="1"/>
      <c r="F403" s="1"/>
      <c r="G403" s="2"/>
      <c r="H403" s="1"/>
      <c r="I403" s="1"/>
      <c r="J403" s="1"/>
      <c r="K403" s="1"/>
      <c r="M403" s="1"/>
      <c r="N403" s="1"/>
      <c r="O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2"/>
      <c r="AB403" s="1"/>
      <c r="AC403" s="1"/>
      <c r="AD403" s="1"/>
      <c r="AE403" s="1"/>
      <c r="AF403" s="1"/>
      <c r="AG403" s="1"/>
      <c r="AH403" s="2"/>
      <c r="AI403" s="2"/>
      <c r="AJ403" s="2"/>
      <c r="AK403" s="2"/>
      <c r="AL403" s="2"/>
      <c r="AM403" s="1"/>
      <c r="AN403" s="2"/>
      <c r="AP403" s="2"/>
      <c r="AQ403" s="1"/>
      <c r="AR403" s="2"/>
      <c r="AU403" s="1"/>
      <c r="AW403" s="1"/>
      <c r="AY403" s="2"/>
    </row>
    <row r="404">
      <c r="A404" s="1"/>
      <c r="C404" s="1"/>
      <c r="E404" s="1"/>
      <c r="F404" s="1"/>
      <c r="G404" s="2"/>
      <c r="H404" s="1"/>
      <c r="I404" s="1"/>
      <c r="J404" s="1"/>
      <c r="K404" s="1"/>
      <c r="M404" s="1"/>
      <c r="N404" s="1"/>
      <c r="O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2"/>
      <c r="AB404" s="1"/>
      <c r="AC404" s="1"/>
      <c r="AD404" s="1"/>
      <c r="AE404" s="1"/>
      <c r="AF404" s="1"/>
      <c r="AG404" s="1"/>
      <c r="AH404" s="2"/>
      <c r="AI404" s="2"/>
      <c r="AJ404" s="2"/>
      <c r="AK404" s="2"/>
      <c r="AL404" s="2"/>
      <c r="AM404" s="1"/>
      <c r="AN404" s="2"/>
      <c r="AP404" s="2"/>
      <c r="AQ404" s="1"/>
      <c r="AR404" s="2"/>
      <c r="AU404" s="1"/>
      <c r="AW404" s="1"/>
      <c r="AY404" s="2"/>
    </row>
    <row r="405">
      <c r="A405" s="1"/>
      <c r="C405" s="1"/>
      <c r="E405" s="1"/>
      <c r="F405" s="1"/>
      <c r="G405" s="2"/>
      <c r="H405" s="1"/>
      <c r="I405" s="1"/>
      <c r="J405" s="1"/>
      <c r="K405" s="1"/>
      <c r="M405" s="1"/>
      <c r="N405" s="1"/>
      <c r="O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2"/>
      <c r="AI405" s="2"/>
      <c r="AJ405" s="2"/>
      <c r="AK405" s="2"/>
      <c r="AL405" s="2"/>
      <c r="AM405" s="1"/>
      <c r="AN405" s="2"/>
      <c r="AP405" s="2"/>
      <c r="AQ405" s="1"/>
      <c r="AR405" s="2"/>
      <c r="AU405" s="1"/>
      <c r="AW405" s="1"/>
      <c r="AY405" s="2"/>
    </row>
    <row r="406">
      <c r="A406" s="1"/>
      <c r="C406" s="1"/>
      <c r="E406" s="1"/>
      <c r="F406" s="1"/>
      <c r="G406" s="2"/>
      <c r="H406" s="1"/>
      <c r="I406" s="1"/>
      <c r="J406" s="1"/>
      <c r="K406" s="1"/>
      <c r="M406" s="1"/>
      <c r="N406" s="1"/>
      <c r="O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2"/>
      <c r="AB406" s="1"/>
      <c r="AC406" s="1"/>
      <c r="AD406" s="1"/>
      <c r="AE406" s="1"/>
      <c r="AF406" s="1"/>
      <c r="AG406" s="1"/>
      <c r="AH406" s="2"/>
      <c r="AI406" s="2"/>
      <c r="AJ406" s="2"/>
      <c r="AK406" s="2"/>
      <c r="AL406" s="2"/>
      <c r="AM406" s="1"/>
      <c r="AN406" s="2"/>
      <c r="AP406" s="2"/>
      <c r="AQ406" s="1"/>
      <c r="AR406" s="2"/>
      <c r="AU406" s="1"/>
      <c r="AW406" s="1"/>
      <c r="AY406" s="2"/>
    </row>
    <row r="407">
      <c r="A407" s="1"/>
      <c r="C407" s="1"/>
      <c r="E407" s="1"/>
      <c r="F407" s="1"/>
      <c r="G407" s="2"/>
      <c r="H407" s="1"/>
      <c r="I407" s="1"/>
      <c r="J407" s="1"/>
      <c r="K407" s="1"/>
      <c r="M407" s="1"/>
      <c r="N407" s="1"/>
      <c r="O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2"/>
      <c r="AB407" s="1"/>
      <c r="AC407" s="1"/>
      <c r="AD407" s="1"/>
      <c r="AE407" s="1"/>
      <c r="AF407" s="1"/>
      <c r="AG407" s="1"/>
      <c r="AH407" s="2"/>
      <c r="AI407" s="2"/>
      <c r="AJ407" s="2"/>
      <c r="AK407" s="2"/>
      <c r="AL407" s="2"/>
      <c r="AM407" s="1"/>
      <c r="AN407" s="2"/>
      <c r="AP407" s="2"/>
      <c r="AQ407" s="1"/>
      <c r="AR407" s="2"/>
      <c r="AU407" s="1"/>
      <c r="AW407" s="1"/>
      <c r="AY407" s="2"/>
    </row>
    <row r="408">
      <c r="A408" s="1"/>
      <c r="C408" s="1"/>
      <c r="E408" s="1"/>
      <c r="F408" s="1"/>
      <c r="G408" s="2"/>
      <c r="H408" s="1"/>
      <c r="I408" s="1"/>
      <c r="J408" s="1"/>
      <c r="K408" s="1"/>
      <c r="M408" s="1"/>
      <c r="N408" s="1"/>
      <c r="O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2"/>
      <c r="AB408" s="1"/>
      <c r="AC408" s="1"/>
      <c r="AD408" s="1"/>
      <c r="AE408" s="1"/>
      <c r="AF408" s="1"/>
      <c r="AG408" s="1"/>
      <c r="AH408" s="2"/>
      <c r="AI408" s="2"/>
      <c r="AJ408" s="2"/>
      <c r="AK408" s="2"/>
      <c r="AL408" s="2"/>
      <c r="AM408" s="1"/>
      <c r="AN408" s="2"/>
      <c r="AP408" s="2"/>
      <c r="AQ408" s="1"/>
      <c r="AR408" s="2"/>
      <c r="AU408" s="1"/>
      <c r="AW408" s="1"/>
      <c r="AY408" s="2"/>
    </row>
    <row r="409">
      <c r="A409" s="1"/>
      <c r="C409" s="1"/>
      <c r="E409" s="1"/>
      <c r="F409" s="1"/>
      <c r="G409" s="2"/>
      <c r="H409" s="1"/>
      <c r="I409" s="1"/>
      <c r="J409" s="1"/>
      <c r="K409" s="1"/>
      <c r="M409" s="1"/>
      <c r="N409" s="1"/>
      <c r="O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2"/>
      <c r="AB409" s="1"/>
      <c r="AC409" s="1"/>
      <c r="AD409" s="1"/>
      <c r="AE409" s="1"/>
      <c r="AF409" s="1"/>
      <c r="AG409" s="1"/>
      <c r="AH409" s="2"/>
      <c r="AI409" s="2"/>
      <c r="AJ409" s="2"/>
      <c r="AK409" s="2"/>
      <c r="AL409" s="2"/>
      <c r="AM409" s="1"/>
      <c r="AN409" s="2"/>
      <c r="AP409" s="2"/>
      <c r="AQ409" s="1"/>
      <c r="AR409" s="2"/>
      <c r="AU409" s="1"/>
      <c r="AW409" s="1"/>
      <c r="AY409" s="2"/>
    </row>
    <row r="410">
      <c r="A410" s="1"/>
      <c r="C410" s="1"/>
      <c r="E410" s="1"/>
      <c r="F410" s="1"/>
      <c r="G410" s="2"/>
      <c r="H410" s="1"/>
      <c r="I410" s="1"/>
      <c r="J410" s="1"/>
      <c r="K410" s="1"/>
      <c r="M410" s="1"/>
      <c r="N410" s="1"/>
      <c r="O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2"/>
      <c r="AB410" s="1"/>
      <c r="AC410" s="1"/>
      <c r="AD410" s="1"/>
      <c r="AE410" s="1"/>
      <c r="AF410" s="1"/>
      <c r="AG410" s="1"/>
      <c r="AH410" s="2"/>
      <c r="AI410" s="2"/>
      <c r="AJ410" s="2"/>
      <c r="AK410" s="2"/>
      <c r="AL410" s="2"/>
      <c r="AM410" s="1"/>
      <c r="AN410" s="2"/>
      <c r="AP410" s="2"/>
      <c r="AQ410" s="1"/>
      <c r="AR410" s="2"/>
      <c r="AU410" s="1"/>
      <c r="AW410" s="1"/>
      <c r="AY410" s="2"/>
    </row>
    <row r="411">
      <c r="A411" s="1"/>
      <c r="C411" s="1"/>
      <c r="E411" s="1"/>
      <c r="F411" s="1"/>
      <c r="G411" s="2"/>
      <c r="H411" s="1"/>
      <c r="I411" s="1"/>
      <c r="J411" s="1"/>
      <c r="K411" s="1"/>
      <c r="M411" s="1"/>
      <c r="N411" s="1"/>
      <c r="O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2"/>
      <c r="AB411" s="1"/>
      <c r="AC411" s="1"/>
      <c r="AD411" s="1"/>
      <c r="AE411" s="1"/>
      <c r="AF411" s="1"/>
      <c r="AG411" s="1"/>
      <c r="AH411" s="2"/>
      <c r="AI411" s="2"/>
      <c r="AJ411" s="2"/>
      <c r="AK411" s="2"/>
      <c r="AL411" s="2"/>
      <c r="AM411" s="1"/>
      <c r="AN411" s="2"/>
      <c r="AP411" s="2"/>
      <c r="AQ411" s="1"/>
      <c r="AR411" s="2"/>
      <c r="AU411" s="1"/>
      <c r="AW411" s="1"/>
      <c r="AY411" s="2"/>
    </row>
    <row r="412">
      <c r="A412" s="1"/>
      <c r="C412" s="1"/>
      <c r="E412" s="1"/>
      <c r="F412" s="1"/>
      <c r="G412" s="2"/>
      <c r="H412" s="1"/>
      <c r="I412" s="1"/>
      <c r="J412" s="1"/>
      <c r="K412" s="1"/>
      <c r="M412" s="1"/>
      <c r="N412" s="1"/>
      <c r="O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2"/>
      <c r="AB412" s="1"/>
      <c r="AC412" s="1"/>
      <c r="AD412" s="1"/>
      <c r="AE412" s="1"/>
      <c r="AF412" s="1"/>
      <c r="AG412" s="1"/>
      <c r="AH412" s="2"/>
      <c r="AI412" s="2"/>
      <c r="AJ412" s="2"/>
      <c r="AK412" s="2"/>
      <c r="AL412" s="2"/>
      <c r="AM412" s="1"/>
      <c r="AN412" s="2"/>
      <c r="AP412" s="2"/>
      <c r="AQ412" s="1"/>
      <c r="AR412" s="2"/>
      <c r="AU412" s="1"/>
      <c r="AW412" s="1"/>
      <c r="AY412" s="2"/>
    </row>
    <row r="413">
      <c r="A413" s="1"/>
      <c r="C413" s="1"/>
      <c r="E413" s="1"/>
      <c r="F413" s="1"/>
      <c r="G413" s="2"/>
      <c r="H413" s="1"/>
      <c r="I413" s="1"/>
      <c r="J413" s="1"/>
      <c r="K413" s="1"/>
      <c r="M413" s="1"/>
      <c r="N413" s="1"/>
      <c r="O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2"/>
      <c r="AB413" s="1"/>
      <c r="AC413" s="1"/>
      <c r="AD413" s="1"/>
      <c r="AE413" s="1"/>
      <c r="AF413" s="1"/>
      <c r="AG413" s="1"/>
      <c r="AH413" s="2"/>
      <c r="AI413" s="2"/>
      <c r="AJ413" s="2"/>
      <c r="AK413" s="2"/>
      <c r="AL413" s="2"/>
      <c r="AM413" s="1"/>
      <c r="AN413" s="2"/>
      <c r="AP413" s="2"/>
      <c r="AQ413" s="1"/>
      <c r="AR413" s="2"/>
      <c r="AU413" s="1"/>
      <c r="AW413" s="1"/>
      <c r="AY413" s="2"/>
    </row>
    <row r="414">
      <c r="A414" s="1"/>
      <c r="C414" s="1"/>
      <c r="E414" s="1"/>
      <c r="F414" s="1"/>
      <c r="G414" s="2"/>
      <c r="H414" s="1"/>
      <c r="I414" s="1"/>
      <c r="J414" s="1"/>
      <c r="K414" s="1"/>
      <c r="M414" s="1"/>
      <c r="N414" s="1"/>
      <c r="O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2"/>
      <c r="AB414" s="1"/>
      <c r="AC414" s="1"/>
      <c r="AD414" s="1"/>
      <c r="AE414" s="1"/>
      <c r="AF414" s="1"/>
      <c r="AG414" s="1"/>
      <c r="AH414" s="2"/>
      <c r="AI414" s="2"/>
      <c r="AJ414" s="2"/>
      <c r="AK414" s="2"/>
      <c r="AL414" s="2"/>
      <c r="AM414" s="1"/>
      <c r="AN414" s="2"/>
      <c r="AP414" s="2"/>
      <c r="AQ414" s="1"/>
      <c r="AR414" s="2"/>
      <c r="AU414" s="1"/>
      <c r="AW414" s="1"/>
      <c r="AY414" s="2"/>
    </row>
    <row r="415">
      <c r="A415" s="1"/>
      <c r="C415" s="1"/>
      <c r="E415" s="1"/>
      <c r="F415" s="1"/>
      <c r="G415" s="2"/>
      <c r="H415" s="1"/>
      <c r="I415" s="1"/>
      <c r="J415" s="1"/>
      <c r="K415" s="1"/>
      <c r="M415" s="1"/>
      <c r="N415" s="1"/>
      <c r="O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2"/>
      <c r="AB415" s="1"/>
      <c r="AC415" s="1"/>
      <c r="AD415" s="1"/>
      <c r="AE415" s="1"/>
      <c r="AF415" s="1"/>
      <c r="AG415" s="1"/>
      <c r="AH415" s="2"/>
      <c r="AI415" s="2"/>
      <c r="AJ415" s="2"/>
      <c r="AK415" s="2"/>
      <c r="AL415" s="2"/>
      <c r="AM415" s="1"/>
      <c r="AN415" s="2"/>
      <c r="AP415" s="2"/>
      <c r="AQ415" s="1"/>
      <c r="AR415" s="2"/>
      <c r="AU415" s="1"/>
      <c r="AW415" s="1"/>
      <c r="AY415" s="2"/>
    </row>
    <row r="416">
      <c r="A416" s="1"/>
      <c r="C416" s="1"/>
      <c r="E416" s="1"/>
      <c r="F416" s="1"/>
      <c r="G416" s="2"/>
      <c r="H416" s="1"/>
      <c r="I416" s="1"/>
      <c r="J416" s="1"/>
      <c r="K416" s="1"/>
      <c r="M416" s="1"/>
      <c r="N416" s="1"/>
      <c r="O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2"/>
      <c r="AB416" s="1"/>
      <c r="AC416" s="1"/>
      <c r="AD416" s="1"/>
      <c r="AE416" s="1"/>
      <c r="AF416" s="1"/>
      <c r="AG416" s="1"/>
      <c r="AH416" s="2"/>
      <c r="AI416" s="2"/>
      <c r="AJ416" s="2"/>
      <c r="AK416" s="2"/>
      <c r="AL416" s="2"/>
      <c r="AM416" s="1"/>
      <c r="AN416" s="2"/>
      <c r="AP416" s="2"/>
      <c r="AQ416" s="1"/>
      <c r="AR416" s="2"/>
      <c r="AU416" s="1"/>
      <c r="AW416" s="1"/>
      <c r="AY416" s="2"/>
    </row>
    <row r="417">
      <c r="A417" s="1"/>
      <c r="C417" s="1"/>
      <c r="E417" s="1"/>
      <c r="F417" s="1"/>
      <c r="G417" s="2"/>
      <c r="H417" s="1"/>
      <c r="I417" s="1"/>
      <c r="J417" s="1"/>
      <c r="K417" s="1"/>
      <c r="M417" s="1"/>
      <c r="N417" s="1"/>
      <c r="O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2"/>
      <c r="AB417" s="1"/>
      <c r="AC417" s="1"/>
      <c r="AD417" s="1"/>
      <c r="AE417" s="1"/>
      <c r="AF417" s="1"/>
      <c r="AG417" s="1"/>
      <c r="AH417" s="2"/>
      <c r="AI417" s="2"/>
      <c r="AJ417" s="2"/>
      <c r="AK417" s="2"/>
      <c r="AL417" s="2"/>
      <c r="AM417" s="1"/>
      <c r="AN417" s="2"/>
      <c r="AP417" s="2"/>
      <c r="AQ417" s="1"/>
      <c r="AR417" s="2"/>
      <c r="AU417" s="1"/>
      <c r="AW417" s="1"/>
      <c r="AY417" s="2"/>
    </row>
    <row r="418">
      <c r="A418" s="1"/>
      <c r="C418" s="1"/>
      <c r="E418" s="1"/>
      <c r="F418" s="1"/>
      <c r="G418" s="2"/>
      <c r="H418" s="1"/>
      <c r="I418" s="1"/>
      <c r="J418" s="1"/>
      <c r="K418" s="1"/>
      <c r="M418" s="1"/>
      <c r="N418" s="1"/>
      <c r="O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2"/>
      <c r="AB418" s="1"/>
      <c r="AC418" s="1"/>
      <c r="AD418" s="1"/>
      <c r="AE418" s="1"/>
      <c r="AF418" s="1"/>
      <c r="AG418" s="1"/>
      <c r="AH418" s="2"/>
      <c r="AI418" s="2"/>
      <c r="AJ418" s="2"/>
      <c r="AK418" s="2"/>
      <c r="AL418" s="2"/>
      <c r="AM418" s="1"/>
      <c r="AN418" s="2"/>
      <c r="AP418" s="2"/>
      <c r="AQ418" s="1"/>
      <c r="AR418" s="2"/>
      <c r="AU418" s="1"/>
      <c r="AW418" s="1"/>
      <c r="AY418" s="2"/>
    </row>
    <row r="419">
      <c r="A419" s="1"/>
      <c r="C419" s="1"/>
      <c r="E419" s="1"/>
      <c r="F419" s="1"/>
      <c r="G419" s="2"/>
      <c r="H419" s="1"/>
      <c r="I419" s="1"/>
      <c r="J419" s="1"/>
      <c r="K419" s="1"/>
      <c r="M419" s="1"/>
      <c r="N419" s="1"/>
      <c r="O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2"/>
      <c r="AB419" s="1"/>
      <c r="AC419" s="1"/>
      <c r="AD419" s="1"/>
      <c r="AE419" s="1"/>
      <c r="AF419" s="1"/>
      <c r="AG419" s="1"/>
      <c r="AH419" s="2"/>
      <c r="AI419" s="2"/>
      <c r="AJ419" s="2"/>
      <c r="AK419" s="2"/>
      <c r="AL419" s="2"/>
      <c r="AM419" s="1"/>
      <c r="AN419" s="2"/>
      <c r="AP419" s="2"/>
      <c r="AQ419" s="1"/>
      <c r="AR419" s="2"/>
      <c r="AU419" s="1"/>
      <c r="AW419" s="1"/>
      <c r="AY419" s="2"/>
    </row>
    <row r="420">
      <c r="A420" s="1"/>
      <c r="C420" s="1"/>
      <c r="E420" s="1"/>
      <c r="F420" s="1"/>
      <c r="G420" s="2"/>
      <c r="H420" s="1"/>
      <c r="I420" s="1"/>
      <c r="J420" s="1"/>
      <c r="K420" s="1"/>
      <c r="M420" s="1"/>
      <c r="N420" s="1"/>
      <c r="O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2"/>
      <c r="AB420" s="1"/>
      <c r="AC420" s="1"/>
      <c r="AD420" s="1"/>
      <c r="AE420" s="1"/>
      <c r="AF420" s="1"/>
      <c r="AG420" s="1"/>
      <c r="AH420" s="2"/>
      <c r="AI420" s="2"/>
      <c r="AJ420" s="2"/>
      <c r="AK420" s="2"/>
      <c r="AL420" s="2"/>
      <c r="AM420" s="1"/>
      <c r="AN420" s="2"/>
      <c r="AP420" s="2"/>
      <c r="AQ420" s="1"/>
      <c r="AR420" s="2"/>
      <c r="AU420" s="1"/>
      <c r="AW420" s="1"/>
      <c r="AY420" s="2"/>
    </row>
    <row r="421">
      <c r="A421" s="1"/>
      <c r="C421" s="1"/>
      <c r="E421" s="1"/>
      <c r="F421" s="1"/>
      <c r="G421" s="2"/>
      <c r="H421" s="1"/>
      <c r="I421" s="1"/>
      <c r="J421" s="1"/>
      <c r="K421" s="1"/>
      <c r="M421" s="1"/>
      <c r="N421" s="1"/>
      <c r="O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2"/>
      <c r="AB421" s="1"/>
      <c r="AC421" s="1"/>
      <c r="AD421" s="1"/>
      <c r="AE421" s="1"/>
      <c r="AF421" s="1"/>
      <c r="AG421" s="1"/>
      <c r="AH421" s="2"/>
      <c r="AI421" s="2"/>
      <c r="AJ421" s="2"/>
      <c r="AK421" s="2"/>
      <c r="AL421" s="2"/>
      <c r="AM421" s="1"/>
      <c r="AN421" s="2"/>
      <c r="AP421" s="2"/>
      <c r="AQ421" s="1"/>
      <c r="AR421" s="2"/>
      <c r="AU421" s="1"/>
      <c r="AW421" s="1"/>
      <c r="AY421" s="2"/>
    </row>
    <row r="422">
      <c r="A422" s="1"/>
      <c r="C422" s="1"/>
      <c r="E422" s="1"/>
      <c r="F422" s="1"/>
      <c r="G422" s="2"/>
      <c r="H422" s="1"/>
      <c r="I422" s="1"/>
      <c r="J422" s="1"/>
      <c r="K422" s="1"/>
      <c r="M422" s="1"/>
      <c r="N422" s="1"/>
      <c r="O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2"/>
      <c r="AB422" s="1"/>
      <c r="AC422" s="1"/>
      <c r="AD422" s="1"/>
      <c r="AE422" s="1"/>
      <c r="AF422" s="1"/>
      <c r="AG422" s="1"/>
      <c r="AH422" s="2"/>
      <c r="AI422" s="2"/>
      <c r="AJ422" s="2"/>
      <c r="AK422" s="2"/>
      <c r="AL422" s="2"/>
      <c r="AM422" s="1"/>
      <c r="AN422" s="2"/>
      <c r="AP422" s="2"/>
      <c r="AQ422" s="1"/>
      <c r="AR422" s="2"/>
      <c r="AU422" s="1"/>
      <c r="AW422" s="1"/>
      <c r="AY422" s="2"/>
    </row>
    <row r="423">
      <c r="A423" s="1"/>
      <c r="C423" s="1"/>
      <c r="E423" s="1"/>
      <c r="F423" s="1"/>
      <c r="G423" s="2"/>
      <c r="H423" s="1"/>
      <c r="I423" s="1"/>
      <c r="J423" s="1"/>
      <c r="K423" s="1"/>
      <c r="M423" s="1"/>
      <c r="N423" s="1"/>
      <c r="O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2"/>
      <c r="AB423" s="1"/>
      <c r="AC423" s="1"/>
      <c r="AD423" s="1"/>
      <c r="AE423" s="1"/>
      <c r="AF423" s="1"/>
      <c r="AG423" s="1"/>
      <c r="AH423" s="2"/>
      <c r="AI423" s="2"/>
      <c r="AJ423" s="2"/>
      <c r="AK423" s="2"/>
      <c r="AL423" s="2"/>
      <c r="AM423" s="1"/>
      <c r="AN423" s="2"/>
      <c r="AP423" s="2"/>
      <c r="AQ423" s="1"/>
      <c r="AR423" s="2"/>
      <c r="AU423" s="1"/>
      <c r="AW423" s="1"/>
      <c r="AY423" s="2"/>
    </row>
    <row r="424">
      <c r="A424" s="1"/>
      <c r="C424" s="1"/>
      <c r="E424" s="1"/>
      <c r="F424" s="1"/>
      <c r="G424" s="2"/>
      <c r="H424" s="1"/>
      <c r="I424" s="1"/>
      <c r="J424" s="1"/>
      <c r="K424" s="1"/>
      <c r="M424" s="1"/>
      <c r="N424" s="1"/>
      <c r="O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2"/>
      <c r="AB424" s="1"/>
      <c r="AC424" s="1"/>
      <c r="AD424" s="1"/>
      <c r="AE424" s="1"/>
      <c r="AF424" s="1"/>
      <c r="AG424" s="1"/>
      <c r="AH424" s="2"/>
      <c r="AI424" s="2"/>
      <c r="AJ424" s="2"/>
      <c r="AK424" s="2"/>
      <c r="AL424" s="2"/>
      <c r="AM424" s="1"/>
      <c r="AN424" s="2"/>
      <c r="AP424" s="2"/>
      <c r="AQ424" s="1"/>
      <c r="AR424" s="2"/>
      <c r="AU424" s="1"/>
      <c r="AW424" s="1"/>
      <c r="AY424" s="2"/>
    </row>
    <row r="425">
      <c r="A425" s="1"/>
      <c r="C425" s="1"/>
      <c r="E425" s="1"/>
      <c r="F425" s="1"/>
      <c r="G425" s="2"/>
      <c r="H425" s="1"/>
      <c r="I425" s="1"/>
      <c r="J425" s="1"/>
      <c r="K425" s="1"/>
      <c r="M425" s="1"/>
      <c r="N425" s="1"/>
      <c r="O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2"/>
      <c r="AB425" s="1"/>
      <c r="AC425" s="1"/>
      <c r="AD425" s="1"/>
      <c r="AE425" s="1"/>
      <c r="AF425" s="1"/>
      <c r="AG425" s="1"/>
      <c r="AH425" s="2"/>
      <c r="AI425" s="2"/>
      <c r="AJ425" s="2"/>
      <c r="AK425" s="2"/>
      <c r="AL425" s="2"/>
      <c r="AM425" s="1"/>
      <c r="AN425" s="2"/>
      <c r="AP425" s="2"/>
      <c r="AQ425" s="1"/>
      <c r="AR425" s="2"/>
      <c r="AU425" s="1"/>
      <c r="AW425" s="1"/>
      <c r="AY425" s="2"/>
    </row>
    <row r="426">
      <c r="A426" s="1"/>
      <c r="C426" s="1"/>
      <c r="E426" s="1"/>
      <c r="F426" s="1"/>
      <c r="G426" s="2"/>
      <c r="H426" s="1"/>
      <c r="I426" s="1"/>
      <c r="J426" s="1"/>
      <c r="K426" s="1"/>
      <c r="M426" s="1"/>
      <c r="N426" s="1"/>
      <c r="O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2"/>
      <c r="AB426" s="1"/>
      <c r="AC426" s="1"/>
      <c r="AD426" s="1"/>
      <c r="AE426" s="1"/>
      <c r="AF426" s="1"/>
      <c r="AG426" s="1"/>
      <c r="AH426" s="2"/>
      <c r="AI426" s="2"/>
      <c r="AJ426" s="2"/>
      <c r="AK426" s="2"/>
      <c r="AL426" s="2"/>
      <c r="AM426" s="1"/>
      <c r="AN426" s="2"/>
      <c r="AP426" s="2"/>
      <c r="AQ426" s="1"/>
      <c r="AR426" s="2"/>
      <c r="AU426" s="1"/>
      <c r="AW426" s="1"/>
      <c r="AY426" s="2"/>
    </row>
    <row r="427">
      <c r="A427" s="1"/>
      <c r="C427" s="1"/>
      <c r="E427" s="1"/>
      <c r="F427" s="1"/>
      <c r="G427" s="2"/>
      <c r="H427" s="1"/>
      <c r="I427" s="1"/>
      <c r="J427" s="1"/>
      <c r="K427" s="1"/>
      <c r="M427" s="1"/>
      <c r="N427" s="1"/>
      <c r="O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2"/>
      <c r="AB427" s="1"/>
      <c r="AC427" s="1"/>
      <c r="AD427" s="1"/>
      <c r="AE427" s="1"/>
      <c r="AF427" s="1"/>
      <c r="AG427" s="1"/>
      <c r="AH427" s="2"/>
      <c r="AI427" s="2"/>
      <c r="AJ427" s="2"/>
      <c r="AK427" s="2"/>
      <c r="AL427" s="2"/>
      <c r="AM427" s="1"/>
      <c r="AN427" s="2"/>
      <c r="AP427" s="2"/>
      <c r="AQ427" s="1"/>
      <c r="AR427" s="2"/>
      <c r="AU427" s="1"/>
      <c r="AW427" s="1"/>
      <c r="AY427" s="2"/>
    </row>
    <row r="428">
      <c r="A428" s="1"/>
      <c r="C428" s="1"/>
      <c r="E428" s="1"/>
      <c r="F428" s="1"/>
      <c r="G428" s="2"/>
      <c r="H428" s="1"/>
      <c r="I428" s="1"/>
      <c r="J428" s="1"/>
      <c r="K428" s="1"/>
      <c r="M428" s="1"/>
      <c r="N428" s="1"/>
      <c r="O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2"/>
      <c r="AB428" s="1"/>
      <c r="AC428" s="1"/>
      <c r="AD428" s="1"/>
      <c r="AE428" s="1"/>
      <c r="AF428" s="1"/>
      <c r="AG428" s="1"/>
      <c r="AH428" s="2"/>
      <c r="AI428" s="2"/>
      <c r="AJ428" s="2"/>
      <c r="AK428" s="2"/>
      <c r="AL428" s="2"/>
      <c r="AM428" s="1"/>
      <c r="AN428" s="2"/>
      <c r="AP428" s="2"/>
      <c r="AQ428" s="1"/>
      <c r="AR428" s="2"/>
      <c r="AU428" s="1"/>
      <c r="AW428" s="1"/>
      <c r="AY428" s="2"/>
    </row>
    <row r="429">
      <c r="A429" s="1"/>
      <c r="C429" s="1"/>
      <c r="E429" s="1"/>
      <c r="F429" s="1"/>
      <c r="G429" s="2"/>
      <c r="H429" s="1"/>
      <c r="I429" s="1"/>
      <c r="J429" s="1"/>
      <c r="K429" s="1"/>
      <c r="M429" s="1"/>
      <c r="N429" s="1"/>
      <c r="O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2"/>
      <c r="AB429" s="1"/>
      <c r="AC429" s="1"/>
      <c r="AD429" s="1"/>
      <c r="AE429" s="1"/>
      <c r="AF429" s="1"/>
      <c r="AG429" s="1"/>
      <c r="AH429" s="2"/>
      <c r="AI429" s="2"/>
      <c r="AJ429" s="2"/>
      <c r="AK429" s="2"/>
      <c r="AL429" s="2"/>
      <c r="AM429" s="1"/>
      <c r="AN429" s="2"/>
      <c r="AP429" s="2"/>
      <c r="AQ429" s="1"/>
      <c r="AR429" s="2"/>
      <c r="AU429" s="1"/>
      <c r="AW429" s="1"/>
      <c r="AY429" s="2"/>
    </row>
    <row r="430">
      <c r="A430" s="1"/>
      <c r="C430" s="1"/>
      <c r="E430" s="1"/>
      <c r="F430" s="1"/>
      <c r="G430" s="2"/>
      <c r="H430" s="1"/>
      <c r="I430" s="1"/>
      <c r="J430" s="1"/>
      <c r="K430" s="1"/>
      <c r="M430" s="1"/>
      <c r="N430" s="1"/>
      <c r="O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2"/>
      <c r="AB430" s="1"/>
      <c r="AC430" s="1"/>
      <c r="AD430" s="1"/>
      <c r="AE430" s="1"/>
      <c r="AF430" s="1"/>
      <c r="AG430" s="1"/>
      <c r="AH430" s="2"/>
      <c r="AI430" s="2"/>
      <c r="AJ430" s="2"/>
      <c r="AK430" s="2"/>
      <c r="AL430" s="2"/>
      <c r="AM430" s="1"/>
      <c r="AN430" s="2"/>
      <c r="AP430" s="2"/>
      <c r="AQ430" s="1"/>
      <c r="AR430" s="2"/>
      <c r="AU430" s="1"/>
      <c r="AW430" s="1"/>
      <c r="AY430" s="2"/>
    </row>
    <row r="431">
      <c r="A431" s="1"/>
      <c r="C431" s="1"/>
      <c r="E431" s="1"/>
      <c r="F431" s="1"/>
      <c r="G431" s="2"/>
      <c r="H431" s="1"/>
      <c r="I431" s="1"/>
      <c r="J431" s="1"/>
      <c r="K431" s="1"/>
      <c r="M431" s="1"/>
      <c r="N431" s="1"/>
      <c r="O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2"/>
      <c r="AB431" s="1"/>
      <c r="AC431" s="1"/>
      <c r="AD431" s="1"/>
      <c r="AE431" s="1"/>
      <c r="AF431" s="1"/>
      <c r="AG431" s="1"/>
      <c r="AH431" s="2"/>
      <c r="AI431" s="2"/>
      <c r="AJ431" s="2"/>
      <c r="AK431" s="2"/>
      <c r="AL431" s="2"/>
      <c r="AM431" s="1"/>
      <c r="AN431" s="2"/>
      <c r="AP431" s="2"/>
      <c r="AQ431" s="1"/>
      <c r="AR431" s="2"/>
      <c r="AU431" s="1"/>
      <c r="AW431" s="1"/>
      <c r="AY431" s="2"/>
    </row>
    <row r="432">
      <c r="A432" s="1"/>
      <c r="C432" s="1"/>
      <c r="E432" s="1"/>
      <c r="F432" s="1"/>
      <c r="G432" s="2"/>
      <c r="H432" s="1"/>
      <c r="I432" s="1"/>
      <c r="J432" s="1"/>
      <c r="K432" s="1"/>
      <c r="M432" s="1"/>
      <c r="N432" s="1"/>
      <c r="O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2"/>
      <c r="AB432" s="1"/>
      <c r="AC432" s="1"/>
      <c r="AD432" s="1"/>
      <c r="AE432" s="1"/>
      <c r="AF432" s="1"/>
      <c r="AG432" s="1"/>
      <c r="AH432" s="2"/>
      <c r="AI432" s="2"/>
      <c r="AJ432" s="2"/>
      <c r="AK432" s="2"/>
      <c r="AL432" s="2"/>
      <c r="AM432" s="1"/>
      <c r="AN432" s="2"/>
      <c r="AP432" s="2"/>
      <c r="AQ432" s="1"/>
      <c r="AR432" s="2"/>
      <c r="AU432" s="1"/>
      <c r="AW432" s="1"/>
      <c r="AY432" s="2"/>
    </row>
    <row r="433">
      <c r="A433" s="1"/>
      <c r="C433" s="1"/>
      <c r="E433" s="1"/>
      <c r="F433" s="1"/>
      <c r="G433" s="2"/>
      <c r="H433" s="1"/>
      <c r="I433" s="1"/>
      <c r="J433" s="1"/>
      <c r="K433" s="1"/>
      <c r="M433" s="1"/>
      <c r="N433" s="1"/>
      <c r="O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2"/>
      <c r="AB433" s="1"/>
      <c r="AC433" s="1"/>
      <c r="AD433" s="1"/>
      <c r="AE433" s="1"/>
      <c r="AF433" s="1"/>
      <c r="AG433" s="1"/>
      <c r="AH433" s="2"/>
      <c r="AI433" s="2"/>
      <c r="AJ433" s="2"/>
      <c r="AK433" s="2"/>
      <c r="AL433" s="2"/>
      <c r="AM433" s="1"/>
      <c r="AN433" s="2"/>
      <c r="AP433" s="2"/>
      <c r="AQ433" s="1"/>
      <c r="AR433" s="2"/>
      <c r="AU433" s="1"/>
      <c r="AW433" s="1"/>
      <c r="AY433" s="2"/>
    </row>
    <row r="434">
      <c r="A434" s="1"/>
      <c r="C434" s="1"/>
      <c r="E434" s="1"/>
      <c r="F434" s="1"/>
      <c r="G434" s="2"/>
      <c r="H434" s="1"/>
      <c r="I434" s="1"/>
      <c r="J434" s="1"/>
      <c r="K434" s="1"/>
      <c r="M434" s="1"/>
      <c r="N434" s="1"/>
      <c r="O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2"/>
      <c r="AB434" s="1"/>
      <c r="AC434" s="1"/>
      <c r="AD434" s="1"/>
      <c r="AE434" s="1"/>
      <c r="AF434" s="1"/>
      <c r="AG434" s="1"/>
      <c r="AH434" s="2"/>
      <c r="AI434" s="2"/>
      <c r="AJ434" s="2"/>
      <c r="AK434" s="2"/>
      <c r="AL434" s="2"/>
      <c r="AM434" s="1"/>
      <c r="AN434" s="2"/>
      <c r="AP434" s="2"/>
      <c r="AQ434" s="1"/>
      <c r="AR434" s="2"/>
      <c r="AU434" s="1"/>
      <c r="AW434" s="1"/>
      <c r="AY434" s="2"/>
    </row>
    <row r="435">
      <c r="A435" s="1"/>
      <c r="C435" s="1"/>
      <c r="E435" s="1"/>
      <c r="F435" s="1"/>
      <c r="G435" s="2"/>
      <c r="H435" s="1"/>
      <c r="I435" s="1"/>
      <c r="J435" s="1"/>
      <c r="K435" s="1"/>
      <c r="M435" s="1"/>
      <c r="N435" s="1"/>
      <c r="O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2"/>
      <c r="AB435" s="1"/>
      <c r="AC435" s="1"/>
      <c r="AD435" s="1"/>
      <c r="AE435" s="1"/>
      <c r="AF435" s="1"/>
      <c r="AG435" s="1"/>
      <c r="AH435" s="2"/>
      <c r="AI435" s="2"/>
      <c r="AJ435" s="2"/>
      <c r="AK435" s="2"/>
      <c r="AL435" s="2"/>
      <c r="AM435" s="1"/>
      <c r="AN435" s="2"/>
      <c r="AP435" s="2"/>
      <c r="AQ435" s="1"/>
      <c r="AR435" s="2"/>
      <c r="AU435" s="1"/>
      <c r="AW435" s="1"/>
      <c r="AY435" s="2"/>
    </row>
    <row r="436">
      <c r="A436" s="1"/>
      <c r="C436" s="1"/>
      <c r="E436" s="1"/>
      <c r="F436" s="1"/>
      <c r="G436" s="2"/>
      <c r="H436" s="1"/>
      <c r="I436" s="1"/>
      <c r="J436" s="1"/>
      <c r="K436" s="1"/>
      <c r="M436" s="1"/>
      <c r="N436" s="1"/>
      <c r="O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2"/>
      <c r="AB436" s="1"/>
      <c r="AC436" s="1"/>
      <c r="AD436" s="1"/>
      <c r="AE436" s="1"/>
      <c r="AF436" s="1"/>
      <c r="AG436" s="1"/>
      <c r="AH436" s="2"/>
      <c r="AI436" s="2"/>
      <c r="AJ436" s="2"/>
      <c r="AK436" s="2"/>
      <c r="AL436" s="2"/>
      <c r="AM436" s="1"/>
      <c r="AN436" s="2"/>
      <c r="AP436" s="2"/>
      <c r="AQ436" s="1"/>
      <c r="AR436" s="2"/>
      <c r="AU436" s="1"/>
      <c r="AW436" s="1"/>
      <c r="AY436" s="2"/>
    </row>
    <row r="437">
      <c r="A437" s="1"/>
      <c r="C437" s="1"/>
      <c r="E437" s="1"/>
      <c r="F437" s="1"/>
      <c r="G437" s="2"/>
      <c r="H437" s="1"/>
      <c r="I437" s="1"/>
      <c r="J437" s="1"/>
      <c r="K437" s="1"/>
      <c r="M437" s="1"/>
      <c r="N437" s="1"/>
      <c r="O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2"/>
      <c r="AB437" s="1"/>
      <c r="AC437" s="1"/>
      <c r="AD437" s="1"/>
      <c r="AE437" s="1"/>
      <c r="AF437" s="1"/>
      <c r="AG437" s="1"/>
      <c r="AH437" s="2"/>
      <c r="AI437" s="2"/>
      <c r="AJ437" s="2"/>
      <c r="AK437" s="2"/>
      <c r="AL437" s="2"/>
      <c r="AM437" s="1"/>
      <c r="AN437" s="2"/>
      <c r="AP437" s="2"/>
      <c r="AQ437" s="1"/>
      <c r="AR437" s="2"/>
      <c r="AU437" s="1"/>
      <c r="AW437" s="1"/>
      <c r="AY437" s="2"/>
    </row>
    <row r="438">
      <c r="A438" s="1"/>
      <c r="C438" s="1"/>
      <c r="E438" s="1"/>
      <c r="F438" s="1"/>
      <c r="G438" s="2"/>
      <c r="H438" s="1"/>
      <c r="I438" s="1"/>
      <c r="J438" s="1"/>
      <c r="K438" s="1"/>
      <c r="M438" s="1"/>
      <c r="N438" s="1"/>
      <c r="O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2"/>
      <c r="AB438" s="1"/>
      <c r="AC438" s="1"/>
      <c r="AD438" s="1"/>
      <c r="AE438" s="1"/>
      <c r="AF438" s="1"/>
      <c r="AG438" s="1"/>
      <c r="AH438" s="2"/>
      <c r="AI438" s="2"/>
      <c r="AJ438" s="2"/>
      <c r="AK438" s="2"/>
      <c r="AL438" s="2"/>
      <c r="AM438" s="1"/>
      <c r="AN438" s="2"/>
      <c r="AP438" s="2"/>
      <c r="AQ438" s="1"/>
      <c r="AR438" s="2"/>
      <c r="AU438" s="1"/>
      <c r="AW438" s="1"/>
      <c r="AY438" s="2"/>
    </row>
    <row r="439">
      <c r="A439" s="1"/>
      <c r="C439" s="1"/>
      <c r="E439" s="1"/>
      <c r="F439" s="1"/>
      <c r="G439" s="2"/>
      <c r="H439" s="1"/>
      <c r="I439" s="1"/>
      <c r="J439" s="1"/>
      <c r="K439" s="1"/>
      <c r="M439" s="1"/>
      <c r="N439" s="1"/>
      <c r="O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2"/>
      <c r="AB439" s="1"/>
      <c r="AC439" s="1"/>
      <c r="AD439" s="1"/>
      <c r="AE439" s="1"/>
      <c r="AF439" s="1"/>
      <c r="AG439" s="1"/>
      <c r="AH439" s="2"/>
      <c r="AI439" s="2"/>
      <c r="AJ439" s="2"/>
      <c r="AK439" s="2"/>
      <c r="AL439" s="2"/>
      <c r="AM439" s="1"/>
      <c r="AN439" s="2"/>
      <c r="AP439" s="2"/>
      <c r="AQ439" s="1"/>
      <c r="AR439" s="2"/>
      <c r="AU439" s="1"/>
      <c r="AW439" s="1"/>
      <c r="AY439" s="2"/>
    </row>
    <row r="440">
      <c r="A440" s="1"/>
      <c r="C440" s="1"/>
      <c r="E440" s="1"/>
      <c r="F440" s="1"/>
      <c r="G440" s="2"/>
      <c r="H440" s="1"/>
      <c r="I440" s="1"/>
      <c r="J440" s="1"/>
      <c r="K440" s="1"/>
      <c r="M440" s="1"/>
      <c r="N440" s="1"/>
      <c r="O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2"/>
      <c r="AB440" s="1"/>
      <c r="AC440" s="1"/>
      <c r="AD440" s="1"/>
      <c r="AE440" s="1"/>
      <c r="AF440" s="1"/>
      <c r="AG440" s="1"/>
      <c r="AH440" s="2"/>
      <c r="AI440" s="2"/>
      <c r="AJ440" s="2"/>
      <c r="AK440" s="2"/>
      <c r="AL440" s="2"/>
      <c r="AM440" s="1"/>
      <c r="AN440" s="2"/>
      <c r="AP440" s="2"/>
      <c r="AQ440" s="1"/>
      <c r="AR440" s="2"/>
      <c r="AU440" s="1"/>
      <c r="AW440" s="1"/>
      <c r="AY440" s="2"/>
    </row>
    <row r="441">
      <c r="A441" s="1"/>
      <c r="C441" s="1"/>
      <c r="E441" s="1"/>
      <c r="F441" s="1"/>
      <c r="G441" s="2"/>
      <c r="H441" s="1"/>
      <c r="I441" s="1"/>
      <c r="J441" s="1"/>
      <c r="K441" s="1"/>
      <c r="M441" s="1"/>
      <c r="N441" s="1"/>
      <c r="O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2"/>
      <c r="AB441" s="1"/>
      <c r="AC441" s="1"/>
      <c r="AD441" s="1"/>
      <c r="AE441" s="1"/>
      <c r="AF441" s="1"/>
      <c r="AG441" s="1"/>
      <c r="AH441" s="2"/>
      <c r="AI441" s="2"/>
      <c r="AJ441" s="2"/>
      <c r="AK441" s="2"/>
      <c r="AL441" s="2"/>
      <c r="AM441" s="1"/>
      <c r="AN441" s="2"/>
      <c r="AP441" s="2"/>
      <c r="AQ441" s="1"/>
      <c r="AR441" s="2"/>
      <c r="AU441" s="1"/>
      <c r="AW441" s="1"/>
      <c r="AY441" s="2"/>
    </row>
    <row r="442">
      <c r="A442" s="1"/>
      <c r="C442" s="1"/>
      <c r="E442" s="1"/>
      <c r="F442" s="1"/>
      <c r="G442" s="2"/>
      <c r="H442" s="1"/>
      <c r="I442" s="1"/>
      <c r="J442" s="1"/>
      <c r="K442" s="1"/>
      <c r="M442" s="1"/>
      <c r="N442" s="1"/>
      <c r="O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2"/>
      <c r="AB442" s="1"/>
      <c r="AC442" s="1"/>
      <c r="AD442" s="1"/>
      <c r="AE442" s="1"/>
      <c r="AF442" s="1"/>
      <c r="AG442" s="1"/>
      <c r="AH442" s="2"/>
      <c r="AI442" s="2"/>
      <c r="AJ442" s="2"/>
      <c r="AK442" s="2"/>
      <c r="AL442" s="2"/>
      <c r="AM442" s="1"/>
      <c r="AN442" s="2"/>
      <c r="AP442" s="2"/>
      <c r="AQ442" s="1"/>
      <c r="AR442" s="2"/>
      <c r="AU442" s="1"/>
      <c r="AW442" s="1"/>
      <c r="AY442" s="2"/>
    </row>
    <row r="443">
      <c r="A443" s="1"/>
      <c r="C443" s="1"/>
      <c r="E443" s="1"/>
      <c r="F443" s="1"/>
      <c r="G443" s="2"/>
      <c r="H443" s="1"/>
      <c r="I443" s="1"/>
      <c r="J443" s="1"/>
      <c r="K443" s="1"/>
      <c r="M443" s="1"/>
      <c r="N443" s="1"/>
      <c r="O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2"/>
      <c r="AB443" s="1"/>
      <c r="AC443" s="1"/>
      <c r="AD443" s="1"/>
      <c r="AE443" s="1"/>
      <c r="AF443" s="1"/>
      <c r="AG443" s="1"/>
      <c r="AH443" s="2"/>
      <c r="AI443" s="2"/>
      <c r="AJ443" s="2"/>
      <c r="AK443" s="2"/>
      <c r="AL443" s="2"/>
      <c r="AM443" s="1"/>
      <c r="AN443" s="2"/>
      <c r="AP443" s="2"/>
      <c r="AQ443" s="1"/>
      <c r="AR443" s="2"/>
      <c r="AU443" s="1"/>
      <c r="AW443" s="1"/>
      <c r="AY443" s="2"/>
    </row>
    <row r="444">
      <c r="A444" s="1"/>
      <c r="C444" s="1"/>
      <c r="E444" s="1"/>
      <c r="F444" s="1"/>
      <c r="G444" s="2"/>
      <c r="H444" s="1"/>
      <c r="I444" s="1"/>
      <c r="J444" s="1"/>
      <c r="K444" s="1"/>
      <c r="M444" s="1"/>
      <c r="N444" s="1"/>
      <c r="O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2"/>
      <c r="AB444" s="1"/>
      <c r="AC444" s="1"/>
      <c r="AD444" s="1"/>
      <c r="AE444" s="1"/>
      <c r="AF444" s="1"/>
      <c r="AG444" s="1"/>
      <c r="AH444" s="2"/>
      <c r="AI444" s="2"/>
      <c r="AJ444" s="2"/>
      <c r="AK444" s="2"/>
      <c r="AL444" s="2"/>
      <c r="AM444" s="1"/>
      <c r="AN444" s="2"/>
      <c r="AP444" s="2"/>
      <c r="AQ444" s="1"/>
      <c r="AR444" s="2"/>
      <c r="AU444" s="1"/>
      <c r="AW444" s="1"/>
      <c r="AY444" s="2"/>
    </row>
    <row r="445">
      <c r="A445" s="1"/>
      <c r="C445" s="1"/>
      <c r="E445" s="1"/>
      <c r="F445" s="1"/>
      <c r="G445" s="2"/>
      <c r="H445" s="1"/>
      <c r="I445" s="1"/>
      <c r="J445" s="1"/>
      <c r="K445" s="1"/>
      <c r="M445" s="1"/>
      <c r="N445" s="1"/>
      <c r="O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2"/>
      <c r="AB445" s="1"/>
      <c r="AC445" s="1"/>
      <c r="AD445" s="1"/>
      <c r="AE445" s="1"/>
      <c r="AF445" s="1"/>
      <c r="AG445" s="1"/>
      <c r="AH445" s="2"/>
      <c r="AI445" s="2"/>
      <c r="AJ445" s="2"/>
      <c r="AK445" s="2"/>
      <c r="AL445" s="2"/>
      <c r="AM445" s="1"/>
      <c r="AN445" s="2"/>
      <c r="AP445" s="2"/>
      <c r="AQ445" s="1"/>
      <c r="AR445" s="2"/>
      <c r="AU445" s="1"/>
      <c r="AW445" s="1"/>
      <c r="AY445" s="2"/>
    </row>
    <row r="446">
      <c r="A446" s="1"/>
      <c r="C446" s="1"/>
      <c r="E446" s="1"/>
      <c r="F446" s="1"/>
      <c r="G446" s="2"/>
      <c r="H446" s="1"/>
      <c r="I446" s="1"/>
      <c r="J446" s="1"/>
      <c r="K446" s="1"/>
      <c r="M446" s="1"/>
      <c r="N446" s="1"/>
      <c r="O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2"/>
      <c r="AB446" s="1"/>
      <c r="AC446" s="1"/>
      <c r="AD446" s="1"/>
      <c r="AE446" s="1"/>
      <c r="AF446" s="1"/>
      <c r="AG446" s="1"/>
      <c r="AH446" s="2"/>
      <c r="AI446" s="2"/>
      <c r="AJ446" s="2"/>
      <c r="AK446" s="2"/>
      <c r="AL446" s="2"/>
      <c r="AM446" s="1"/>
      <c r="AN446" s="2"/>
      <c r="AP446" s="2"/>
      <c r="AQ446" s="1"/>
      <c r="AR446" s="2"/>
      <c r="AU446" s="1"/>
      <c r="AW446" s="1"/>
      <c r="AY446" s="2"/>
    </row>
    <row r="447">
      <c r="A447" s="1"/>
      <c r="C447" s="1"/>
      <c r="E447" s="1"/>
      <c r="F447" s="1"/>
      <c r="G447" s="2"/>
      <c r="H447" s="1"/>
      <c r="I447" s="1"/>
      <c r="J447" s="1"/>
      <c r="K447" s="1"/>
      <c r="M447" s="1"/>
      <c r="N447" s="1"/>
      <c r="O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2"/>
      <c r="AB447" s="1"/>
      <c r="AC447" s="1"/>
      <c r="AD447" s="1"/>
      <c r="AE447" s="1"/>
      <c r="AF447" s="1"/>
      <c r="AG447" s="1"/>
      <c r="AH447" s="2"/>
      <c r="AI447" s="2"/>
      <c r="AJ447" s="2"/>
      <c r="AK447" s="2"/>
      <c r="AL447" s="2"/>
      <c r="AM447" s="1"/>
      <c r="AN447" s="2"/>
      <c r="AP447" s="2"/>
      <c r="AQ447" s="1"/>
      <c r="AR447" s="2"/>
      <c r="AU447" s="1"/>
      <c r="AW447" s="1"/>
      <c r="AY447" s="2"/>
    </row>
    <row r="448">
      <c r="A448" s="1"/>
      <c r="C448" s="1"/>
      <c r="E448" s="1"/>
      <c r="F448" s="1"/>
      <c r="G448" s="2"/>
      <c r="H448" s="1"/>
      <c r="I448" s="1"/>
      <c r="J448" s="1"/>
      <c r="K448" s="1"/>
      <c r="M448" s="1"/>
      <c r="N448" s="1"/>
      <c r="O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2"/>
      <c r="AB448" s="1"/>
      <c r="AC448" s="1"/>
      <c r="AD448" s="1"/>
      <c r="AE448" s="1"/>
      <c r="AF448" s="1"/>
      <c r="AG448" s="1"/>
      <c r="AH448" s="2"/>
      <c r="AI448" s="2"/>
      <c r="AJ448" s="2"/>
      <c r="AK448" s="2"/>
      <c r="AL448" s="2"/>
      <c r="AM448" s="1"/>
      <c r="AN448" s="2"/>
      <c r="AP448" s="2"/>
      <c r="AQ448" s="1"/>
      <c r="AR448" s="2"/>
      <c r="AU448" s="1"/>
      <c r="AW448" s="1"/>
      <c r="AY448" s="2"/>
    </row>
    <row r="449">
      <c r="A449" s="1"/>
      <c r="C449" s="1"/>
      <c r="E449" s="1"/>
      <c r="F449" s="1"/>
      <c r="G449" s="2"/>
      <c r="H449" s="1"/>
      <c r="I449" s="1"/>
      <c r="J449" s="1"/>
      <c r="K449" s="1"/>
      <c r="M449" s="1"/>
      <c r="N449" s="1"/>
      <c r="O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2"/>
      <c r="AB449" s="1"/>
      <c r="AC449" s="1"/>
      <c r="AD449" s="1"/>
      <c r="AE449" s="1"/>
      <c r="AF449" s="1"/>
      <c r="AG449" s="1"/>
      <c r="AH449" s="2"/>
      <c r="AI449" s="2"/>
      <c r="AJ449" s="2"/>
      <c r="AK449" s="2"/>
      <c r="AL449" s="2"/>
      <c r="AM449" s="1"/>
      <c r="AN449" s="2"/>
      <c r="AP449" s="2"/>
      <c r="AQ449" s="1"/>
      <c r="AR449" s="2"/>
      <c r="AU449" s="1"/>
      <c r="AW449" s="1"/>
      <c r="AY449" s="2"/>
    </row>
    <row r="450">
      <c r="A450" s="1"/>
      <c r="C450" s="1"/>
      <c r="E450" s="1"/>
      <c r="F450" s="1"/>
      <c r="G450" s="2"/>
      <c r="H450" s="1"/>
      <c r="I450" s="1"/>
      <c r="J450" s="1"/>
      <c r="K450" s="1"/>
      <c r="M450" s="1"/>
      <c r="N450" s="1"/>
      <c r="O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2"/>
      <c r="AB450" s="1"/>
      <c r="AC450" s="1"/>
      <c r="AD450" s="1"/>
      <c r="AE450" s="1"/>
      <c r="AF450" s="1"/>
      <c r="AG450" s="1"/>
      <c r="AH450" s="2"/>
      <c r="AI450" s="2"/>
      <c r="AJ450" s="2"/>
      <c r="AK450" s="2"/>
      <c r="AL450" s="2"/>
      <c r="AM450" s="1"/>
      <c r="AN450" s="2"/>
      <c r="AP450" s="2"/>
      <c r="AQ450" s="1"/>
      <c r="AR450" s="2"/>
      <c r="AU450" s="1"/>
      <c r="AW450" s="1"/>
      <c r="AY450" s="2"/>
    </row>
    <row r="451">
      <c r="A451" s="1"/>
      <c r="C451" s="1"/>
      <c r="E451" s="1"/>
      <c r="F451" s="1"/>
      <c r="G451" s="2"/>
      <c r="H451" s="1"/>
      <c r="I451" s="1"/>
      <c r="J451" s="1"/>
      <c r="K451" s="1"/>
      <c r="M451" s="1"/>
      <c r="N451" s="1"/>
      <c r="O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2"/>
      <c r="AB451" s="1"/>
      <c r="AC451" s="1"/>
      <c r="AD451" s="1"/>
      <c r="AE451" s="1"/>
      <c r="AF451" s="1"/>
      <c r="AG451" s="1"/>
      <c r="AH451" s="2"/>
      <c r="AI451" s="2"/>
      <c r="AJ451" s="2"/>
      <c r="AK451" s="2"/>
      <c r="AL451" s="2"/>
      <c r="AM451" s="1"/>
      <c r="AN451" s="2"/>
      <c r="AP451" s="2"/>
      <c r="AQ451" s="1"/>
      <c r="AR451" s="2"/>
      <c r="AU451" s="1"/>
      <c r="AW451" s="1"/>
      <c r="AY451" s="2"/>
    </row>
    <row r="452">
      <c r="A452" s="1"/>
      <c r="C452" s="1"/>
      <c r="E452" s="1"/>
      <c r="F452" s="1"/>
      <c r="G452" s="2"/>
      <c r="H452" s="1"/>
      <c r="I452" s="1"/>
      <c r="J452" s="1"/>
      <c r="K452" s="1"/>
      <c r="M452" s="1"/>
      <c r="N452" s="1"/>
      <c r="O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2"/>
      <c r="AB452" s="1"/>
      <c r="AC452" s="1"/>
      <c r="AD452" s="1"/>
      <c r="AE452" s="1"/>
      <c r="AF452" s="1"/>
      <c r="AG452" s="1"/>
      <c r="AH452" s="2"/>
      <c r="AI452" s="2"/>
      <c r="AJ452" s="2"/>
      <c r="AK452" s="2"/>
      <c r="AL452" s="2"/>
      <c r="AM452" s="1"/>
      <c r="AN452" s="2"/>
      <c r="AP452" s="2"/>
      <c r="AQ452" s="1"/>
      <c r="AR452" s="2"/>
      <c r="AU452" s="1"/>
      <c r="AW452" s="1"/>
      <c r="AY452" s="2"/>
    </row>
    <row r="453">
      <c r="A453" s="1"/>
      <c r="C453" s="1"/>
      <c r="E453" s="1"/>
      <c r="F453" s="1"/>
      <c r="G453" s="2"/>
      <c r="H453" s="1"/>
      <c r="I453" s="1"/>
      <c r="J453" s="1"/>
      <c r="K453" s="1"/>
      <c r="M453" s="1"/>
      <c r="N453" s="1"/>
      <c r="O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2"/>
      <c r="AB453" s="1"/>
      <c r="AC453" s="1"/>
      <c r="AD453" s="1"/>
      <c r="AE453" s="1"/>
      <c r="AF453" s="1"/>
      <c r="AG453" s="1"/>
      <c r="AH453" s="2"/>
      <c r="AI453" s="2"/>
      <c r="AJ453" s="2"/>
      <c r="AK453" s="2"/>
      <c r="AL453" s="2"/>
      <c r="AM453" s="1"/>
      <c r="AN453" s="2"/>
      <c r="AP453" s="2"/>
      <c r="AQ453" s="1"/>
      <c r="AR453" s="2"/>
      <c r="AU453" s="1"/>
      <c r="AW453" s="1"/>
      <c r="AY453" s="2"/>
    </row>
    <row r="454">
      <c r="A454" s="1"/>
      <c r="C454" s="1"/>
      <c r="E454" s="1"/>
      <c r="F454" s="1"/>
      <c r="G454" s="2"/>
      <c r="H454" s="1"/>
      <c r="I454" s="1"/>
      <c r="J454" s="1"/>
      <c r="K454" s="1"/>
      <c r="M454" s="1"/>
      <c r="N454" s="1"/>
      <c r="O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2"/>
      <c r="AB454" s="1"/>
      <c r="AC454" s="1"/>
      <c r="AD454" s="1"/>
      <c r="AE454" s="1"/>
      <c r="AF454" s="1"/>
      <c r="AG454" s="1"/>
      <c r="AH454" s="2"/>
      <c r="AI454" s="2"/>
      <c r="AJ454" s="2"/>
      <c r="AK454" s="2"/>
      <c r="AL454" s="2"/>
      <c r="AM454" s="1"/>
      <c r="AN454" s="2"/>
      <c r="AP454" s="2"/>
      <c r="AQ454" s="1"/>
      <c r="AR454" s="2"/>
      <c r="AU454" s="1"/>
      <c r="AW454" s="1"/>
      <c r="AY454" s="2"/>
    </row>
    <row r="455">
      <c r="A455" s="1"/>
      <c r="C455" s="1"/>
      <c r="E455" s="1"/>
      <c r="F455" s="1"/>
      <c r="G455" s="2"/>
      <c r="H455" s="1"/>
      <c r="I455" s="1"/>
      <c r="J455" s="1"/>
      <c r="K455" s="1"/>
      <c r="M455" s="1"/>
      <c r="N455" s="1"/>
      <c r="O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2"/>
      <c r="AB455" s="1"/>
      <c r="AC455" s="1"/>
      <c r="AD455" s="1"/>
      <c r="AE455" s="1"/>
      <c r="AF455" s="1"/>
      <c r="AG455" s="1"/>
      <c r="AH455" s="2"/>
      <c r="AI455" s="2"/>
      <c r="AJ455" s="2"/>
      <c r="AK455" s="2"/>
      <c r="AL455" s="2"/>
      <c r="AM455" s="1"/>
      <c r="AN455" s="2"/>
      <c r="AP455" s="2"/>
      <c r="AQ455" s="1"/>
      <c r="AR455" s="2"/>
      <c r="AU455" s="1"/>
      <c r="AW455" s="1"/>
      <c r="AY455" s="2"/>
    </row>
    <row r="456">
      <c r="A456" s="1"/>
      <c r="C456" s="1"/>
      <c r="E456" s="1"/>
      <c r="F456" s="1"/>
      <c r="G456" s="2"/>
      <c r="H456" s="1"/>
      <c r="I456" s="1"/>
      <c r="J456" s="1"/>
      <c r="K456" s="1"/>
      <c r="M456" s="1"/>
      <c r="N456" s="1"/>
      <c r="O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2"/>
      <c r="AB456" s="1"/>
      <c r="AC456" s="1"/>
      <c r="AD456" s="1"/>
      <c r="AE456" s="1"/>
      <c r="AF456" s="1"/>
      <c r="AG456" s="1"/>
      <c r="AH456" s="2"/>
      <c r="AI456" s="2"/>
      <c r="AJ456" s="2"/>
      <c r="AK456" s="2"/>
      <c r="AL456" s="2"/>
      <c r="AM456" s="1"/>
      <c r="AN456" s="2"/>
      <c r="AP456" s="2"/>
      <c r="AQ456" s="1"/>
      <c r="AR456" s="2"/>
      <c r="AU456" s="1"/>
      <c r="AW456" s="1"/>
      <c r="AY456" s="2"/>
    </row>
    <row r="457">
      <c r="A457" s="1"/>
      <c r="C457" s="1"/>
      <c r="E457" s="1"/>
      <c r="F457" s="1"/>
      <c r="G457" s="2"/>
      <c r="H457" s="1"/>
      <c r="I457" s="1"/>
      <c r="J457" s="1"/>
      <c r="K457" s="1"/>
      <c r="M457" s="1"/>
      <c r="N457" s="1"/>
      <c r="O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2"/>
      <c r="AB457" s="1"/>
      <c r="AC457" s="1"/>
      <c r="AD457" s="1"/>
      <c r="AE457" s="1"/>
      <c r="AF457" s="1"/>
      <c r="AG457" s="1"/>
      <c r="AH457" s="2"/>
      <c r="AI457" s="2"/>
      <c r="AJ457" s="2"/>
      <c r="AK457" s="2"/>
      <c r="AL457" s="2"/>
      <c r="AM457" s="1"/>
      <c r="AN457" s="2"/>
      <c r="AP457" s="2"/>
      <c r="AQ457" s="1"/>
      <c r="AR457" s="2"/>
      <c r="AU457" s="1"/>
      <c r="AW457" s="1"/>
      <c r="AY457" s="2"/>
    </row>
    <row r="458">
      <c r="A458" s="1"/>
      <c r="C458" s="1"/>
      <c r="E458" s="1"/>
      <c r="F458" s="1"/>
      <c r="G458" s="2"/>
      <c r="H458" s="1"/>
      <c r="I458" s="1"/>
      <c r="J458" s="1"/>
      <c r="K458" s="1"/>
      <c r="M458" s="1"/>
      <c r="N458" s="1"/>
      <c r="O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2"/>
      <c r="AB458" s="1"/>
      <c r="AC458" s="1"/>
      <c r="AD458" s="1"/>
      <c r="AE458" s="1"/>
      <c r="AF458" s="1"/>
      <c r="AG458" s="1"/>
      <c r="AH458" s="2"/>
      <c r="AI458" s="2"/>
      <c r="AJ458" s="2"/>
      <c r="AK458" s="2"/>
      <c r="AL458" s="2"/>
      <c r="AM458" s="1"/>
      <c r="AN458" s="2"/>
      <c r="AP458" s="2"/>
      <c r="AQ458" s="1"/>
      <c r="AR458" s="2"/>
      <c r="AU458" s="1"/>
      <c r="AW458" s="1"/>
      <c r="AY458" s="2"/>
    </row>
    <row r="459">
      <c r="A459" s="1"/>
      <c r="C459" s="1"/>
      <c r="E459" s="1"/>
      <c r="F459" s="1"/>
      <c r="G459" s="2"/>
      <c r="H459" s="1"/>
      <c r="I459" s="1"/>
      <c r="J459" s="1"/>
      <c r="K459" s="1"/>
      <c r="M459" s="1"/>
      <c r="N459" s="1"/>
      <c r="O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2"/>
      <c r="AB459" s="1"/>
      <c r="AC459" s="1"/>
      <c r="AD459" s="1"/>
      <c r="AE459" s="1"/>
      <c r="AF459" s="1"/>
      <c r="AG459" s="1"/>
      <c r="AH459" s="2"/>
      <c r="AI459" s="2"/>
      <c r="AJ459" s="2"/>
      <c r="AK459" s="2"/>
      <c r="AL459" s="2"/>
      <c r="AM459" s="1"/>
      <c r="AN459" s="2"/>
      <c r="AP459" s="2"/>
      <c r="AQ459" s="1"/>
      <c r="AR459" s="2"/>
      <c r="AU459" s="1"/>
      <c r="AW459" s="1"/>
      <c r="AY459" s="2"/>
    </row>
    <row r="460">
      <c r="A460" s="1"/>
      <c r="C460" s="1"/>
      <c r="E460" s="1"/>
      <c r="F460" s="1"/>
      <c r="G460" s="2"/>
      <c r="H460" s="1"/>
      <c r="I460" s="1"/>
      <c r="J460" s="1"/>
      <c r="K460" s="1"/>
      <c r="M460" s="1"/>
      <c r="N460" s="1"/>
      <c r="O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2"/>
      <c r="AB460" s="1"/>
      <c r="AC460" s="1"/>
      <c r="AD460" s="1"/>
      <c r="AE460" s="1"/>
      <c r="AF460" s="1"/>
      <c r="AG460" s="1"/>
      <c r="AH460" s="2"/>
      <c r="AI460" s="2"/>
      <c r="AJ460" s="2"/>
      <c r="AK460" s="2"/>
      <c r="AL460" s="2"/>
      <c r="AM460" s="1"/>
      <c r="AN460" s="2"/>
      <c r="AP460" s="2"/>
      <c r="AQ460" s="1"/>
      <c r="AR460" s="2"/>
      <c r="AU460" s="1"/>
      <c r="AW460" s="1"/>
      <c r="AY460" s="2"/>
    </row>
    <row r="461">
      <c r="A461" s="1"/>
      <c r="C461" s="1"/>
      <c r="E461" s="1"/>
      <c r="F461" s="1"/>
      <c r="G461" s="2"/>
      <c r="H461" s="1"/>
      <c r="I461" s="1"/>
      <c r="J461" s="1"/>
      <c r="K461" s="1"/>
      <c r="M461" s="1"/>
      <c r="N461" s="1"/>
      <c r="O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2"/>
      <c r="AB461" s="1"/>
      <c r="AC461" s="1"/>
      <c r="AD461" s="1"/>
      <c r="AE461" s="1"/>
      <c r="AF461" s="1"/>
      <c r="AG461" s="1"/>
      <c r="AH461" s="2"/>
      <c r="AI461" s="2"/>
      <c r="AJ461" s="2"/>
      <c r="AK461" s="2"/>
      <c r="AL461" s="2"/>
      <c r="AM461" s="1"/>
      <c r="AN461" s="2"/>
      <c r="AP461" s="2"/>
      <c r="AQ461" s="1"/>
      <c r="AR461" s="2"/>
      <c r="AU461" s="1"/>
      <c r="AW461" s="1"/>
      <c r="AY461" s="2"/>
    </row>
    <row r="462">
      <c r="A462" s="1"/>
      <c r="C462" s="1"/>
      <c r="E462" s="1"/>
      <c r="F462" s="1"/>
      <c r="G462" s="2"/>
      <c r="H462" s="1"/>
      <c r="I462" s="1"/>
      <c r="J462" s="1"/>
      <c r="K462" s="1"/>
      <c r="M462" s="1"/>
      <c r="N462" s="1"/>
      <c r="O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2"/>
      <c r="AB462" s="1"/>
      <c r="AC462" s="1"/>
      <c r="AD462" s="1"/>
      <c r="AE462" s="1"/>
      <c r="AF462" s="1"/>
      <c r="AG462" s="1"/>
      <c r="AH462" s="2"/>
      <c r="AI462" s="2"/>
      <c r="AJ462" s="2"/>
      <c r="AK462" s="2"/>
      <c r="AL462" s="2"/>
      <c r="AM462" s="1"/>
      <c r="AN462" s="2"/>
      <c r="AP462" s="2"/>
      <c r="AQ462" s="1"/>
      <c r="AR462" s="2"/>
      <c r="AU462" s="1"/>
      <c r="AW462" s="1"/>
      <c r="AY462" s="2"/>
    </row>
    <row r="463">
      <c r="A463" s="1"/>
      <c r="C463" s="1"/>
      <c r="E463" s="1"/>
      <c r="F463" s="1"/>
      <c r="G463" s="2"/>
      <c r="H463" s="1"/>
      <c r="I463" s="1"/>
      <c r="J463" s="1"/>
      <c r="K463" s="1"/>
      <c r="M463" s="1"/>
      <c r="N463" s="1"/>
      <c r="O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2"/>
      <c r="AB463" s="1"/>
      <c r="AC463" s="1"/>
      <c r="AD463" s="1"/>
      <c r="AE463" s="1"/>
      <c r="AF463" s="1"/>
      <c r="AG463" s="1"/>
      <c r="AH463" s="2"/>
      <c r="AI463" s="2"/>
      <c r="AJ463" s="2"/>
      <c r="AK463" s="2"/>
      <c r="AL463" s="2"/>
      <c r="AM463" s="1"/>
      <c r="AN463" s="2"/>
      <c r="AP463" s="2"/>
      <c r="AQ463" s="1"/>
      <c r="AR463" s="2"/>
      <c r="AU463" s="1"/>
      <c r="AW463" s="1"/>
      <c r="AY463" s="2"/>
    </row>
    <row r="464">
      <c r="A464" s="1"/>
      <c r="C464" s="1"/>
      <c r="E464" s="1"/>
      <c r="F464" s="1"/>
      <c r="G464" s="2"/>
      <c r="H464" s="1"/>
      <c r="I464" s="1"/>
      <c r="J464" s="1"/>
      <c r="K464" s="1"/>
      <c r="M464" s="1"/>
      <c r="N464" s="1"/>
      <c r="O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2"/>
      <c r="AB464" s="1"/>
      <c r="AC464" s="1"/>
      <c r="AD464" s="1"/>
      <c r="AE464" s="1"/>
      <c r="AF464" s="1"/>
      <c r="AG464" s="1"/>
      <c r="AH464" s="2"/>
      <c r="AI464" s="2"/>
      <c r="AJ464" s="2"/>
      <c r="AK464" s="2"/>
      <c r="AL464" s="2"/>
      <c r="AM464" s="1"/>
      <c r="AN464" s="2"/>
      <c r="AP464" s="2"/>
      <c r="AQ464" s="1"/>
      <c r="AR464" s="2"/>
      <c r="AU464" s="1"/>
      <c r="AW464" s="1"/>
      <c r="AY464" s="2"/>
    </row>
    <row r="465">
      <c r="A465" s="1"/>
      <c r="C465" s="1"/>
      <c r="E465" s="1"/>
      <c r="F465" s="1"/>
      <c r="G465" s="2"/>
      <c r="H465" s="1"/>
      <c r="I465" s="1"/>
      <c r="J465" s="1"/>
      <c r="K465" s="1"/>
      <c r="M465" s="1"/>
      <c r="N465" s="1"/>
      <c r="O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2"/>
      <c r="AB465" s="1"/>
      <c r="AC465" s="1"/>
      <c r="AD465" s="1"/>
      <c r="AE465" s="1"/>
      <c r="AF465" s="1"/>
      <c r="AG465" s="1"/>
      <c r="AH465" s="2"/>
      <c r="AI465" s="2"/>
      <c r="AJ465" s="2"/>
      <c r="AK465" s="2"/>
      <c r="AL465" s="2"/>
      <c r="AM465" s="1"/>
      <c r="AN465" s="2"/>
      <c r="AP465" s="2"/>
      <c r="AQ465" s="1"/>
      <c r="AR465" s="2"/>
      <c r="AU465" s="1"/>
      <c r="AW465" s="1"/>
      <c r="AY465" s="2"/>
    </row>
    <row r="466">
      <c r="A466" s="1"/>
      <c r="C466" s="1"/>
      <c r="E466" s="1"/>
      <c r="F466" s="1"/>
      <c r="G466" s="2"/>
      <c r="H466" s="1"/>
      <c r="I466" s="1"/>
      <c r="J466" s="1"/>
      <c r="K466" s="1"/>
      <c r="M466" s="1"/>
      <c r="N466" s="1"/>
      <c r="O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2"/>
      <c r="AB466" s="1"/>
      <c r="AC466" s="1"/>
      <c r="AD466" s="1"/>
      <c r="AE466" s="1"/>
      <c r="AF466" s="1"/>
      <c r="AG466" s="1"/>
      <c r="AH466" s="2"/>
      <c r="AI466" s="2"/>
      <c r="AJ466" s="2"/>
      <c r="AK466" s="2"/>
      <c r="AL466" s="2"/>
      <c r="AM466" s="1"/>
      <c r="AN466" s="2"/>
      <c r="AP466" s="2"/>
      <c r="AQ466" s="1"/>
      <c r="AR466" s="2"/>
      <c r="AU466" s="1"/>
      <c r="AW466" s="1"/>
      <c r="AY466" s="2"/>
    </row>
    <row r="467">
      <c r="A467" s="1"/>
      <c r="C467" s="1"/>
      <c r="E467" s="1"/>
      <c r="F467" s="1"/>
      <c r="G467" s="2"/>
      <c r="H467" s="1"/>
      <c r="I467" s="1"/>
      <c r="J467" s="1"/>
      <c r="K467" s="1"/>
      <c r="M467" s="1"/>
      <c r="N467" s="1"/>
      <c r="O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2"/>
      <c r="AB467" s="1"/>
      <c r="AC467" s="1"/>
      <c r="AD467" s="1"/>
      <c r="AE467" s="1"/>
      <c r="AF467" s="1"/>
      <c r="AG467" s="1"/>
      <c r="AH467" s="2"/>
      <c r="AI467" s="2"/>
      <c r="AJ467" s="2"/>
      <c r="AK467" s="2"/>
      <c r="AL467" s="2"/>
      <c r="AM467" s="1"/>
      <c r="AN467" s="2"/>
      <c r="AP467" s="2"/>
      <c r="AQ467" s="1"/>
      <c r="AR467" s="2"/>
      <c r="AU467" s="1"/>
      <c r="AW467" s="1"/>
      <c r="AY467" s="2"/>
    </row>
    <row r="468">
      <c r="A468" s="1"/>
      <c r="C468" s="1"/>
      <c r="E468" s="1"/>
      <c r="F468" s="1"/>
      <c r="G468" s="2"/>
      <c r="H468" s="1"/>
      <c r="I468" s="1"/>
      <c r="J468" s="1"/>
      <c r="K468" s="1"/>
      <c r="M468" s="1"/>
      <c r="N468" s="1"/>
      <c r="O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2"/>
      <c r="AB468" s="1"/>
      <c r="AC468" s="1"/>
      <c r="AD468" s="1"/>
      <c r="AE468" s="1"/>
      <c r="AF468" s="1"/>
      <c r="AG468" s="1"/>
      <c r="AH468" s="2"/>
      <c r="AI468" s="2"/>
      <c r="AJ468" s="2"/>
      <c r="AK468" s="2"/>
      <c r="AL468" s="2"/>
      <c r="AM468" s="1"/>
      <c r="AN468" s="2"/>
      <c r="AP468" s="2"/>
      <c r="AQ468" s="1"/>
      <c r="AR468" s="2"/>
      <c r="AU468" s="1"/>
      <c r="AW468" s="1"/>
      <c r="AY468" s="2"/>
    </row>
    <row r="469">
      <c r="A469" s="1"/>
      <c r="C469" s="1"/>
      <c r="E469" s="1"/>
      <c r="F469" s="1"/>
      <c r="G469" s="2"/>
      <c r="H469" s="1"/>
      <c r="I469" s="1"/>
      <c r="J469" s="1"/>
      <c r="K469" s="1"/>
      <c r="M469" s="1"/>
      <c r="N469" s="1"/>
      <c r="O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2"/>
      <c r="AB469" s="1"/>
      <c r="AC469" s="1"/>
      <c r="AD469" s="1"/>
      <c r="AE469" s="1"/>
      <c r="AF469" s="1"/>
      <c r="AG469" s="1"/>
      <c r="AH469" s="2"/>
      <c r="AI469" s="2"/>
      <c r="AJ469" s="2"/>
      <c r="AK469" s="2"/>
      <c r="AL469" s="2"/>
      <c r="AM469" s="1"/>
      <c r="AN469" s="2"/>
      <c r="AP469" s="2"/>
      <c r="AQ469" s="1"/>
      <c r="AR469" s="2"/>
      <c r="AU469" s="1"/>
      <c r="AW469" s="1"/>
      <c r="AY469" s="2"/>
    </row>
    <row r="470">
      <c r="A470" s="1"/>
      <c r="C470" s="1"/>
      <c r="E470" s="1"/>
      <c r="F470" s="1"/>
      <c r="G470" s="2"/>
      <c r="H470" s="1"/>
      <c r="I470" s="1"/>
      <c r="J470" s="1"/>
      <c r="K470" s="1"/>
      <c r="M470" s="1"/>
      <c r="N470" s="1"/>
      <c r="O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2"/>
      <c r="AB470" s="1"/>
      <c r="AC470" s="1"/>
      <c r="AD470" s="1"/>
      <c r="AE470" s="1"/>
      <c r="AF470" s="1"/>
      <c r="AG470" s="1"/>
      <c r="AH470" s="2"/>
      <c r="AI470" s="2"/>
      <c r="AJ470" s="2"/>
      <c r="AK470" s="2"/>
      <c r="AL470" s="2"/>
      <c r="AM470" s="1"/>
      <c r="AN470" s="2"/>
      <c r="AP470" s="2"/>
      <c r="AQ470" s="1"/>
      <c r="AR470" s="2"/>
      <c r="AU470" s="1"/>
      <c r="AW470" s="1"/>
      <c r="AY470" s="2"/>
    </row>
    <row r="471">
      <c r="A471" s="1"/>
      <c r="C471" s="1"/>
      <c r="E471" s="1"/>
      <c r="F471" s="1"/>
      <c r="G471" s="2"/>
      <c r="H471" s="1"/>
      <c r="I471" s="1"/>
      <c r="J471" s="1"/>
      <c r="K471" s="1"/>
      <c r="M471" s="1"/>
      <c r="N471" s="1"/>
      <c r="O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2"/>
      <c r="AB471" s="1"/>
      <c r="AC471" s="1"/>
      <c r="AD471" s="1"/>
      <c r="AE471" s="1"/>
      <c r="AF471" s="1"/>
      <c r="AG471" s="1"/>
      <c r="AH471" s="2"/>
      <c r="AI471" s="2"/>
      <c r="AJ471" s="2"/>
      <c r="AK471" s="2"/>
      <c r="AL471" s="2"/>
      <c r="AM471" s="1"/>
      <c r="AN471" s="2"/>
      <c r="AP471" s="2"/>
      <c r="AQ471" s="1"/>
      <c r="AR471" s="2"/>
      <c r="AU471" s="1"/>
      <c r="AW471" s="1"/>
      <c r="AY471" s="2"/>
    </row>
    <row r="472">
      <c r="A472" s="1"/>
      <c r="C472" s="1"/>
      <c r="E472" s="1"/>
      <c r="F472" s="1"/>
      <c r="G472" s="2"/>
      <c r="H472" s="1"/>
      <c r="I472" s="1"/>
      <c r="J472" s="1"/>
      <c r="K472" s="1"/>
      <c r="M472" s="1"/>
      <c r="N472" s="1"/>
      <c r="O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2"/>
      <c r="AB472" s="1"/>
      <c r="AC472" s="1"/>
      <c r="AD472" s="1"/>
      <c r="AE472" s="1"/>
      <c r="AF472" s="1"/>
      <c r="AG472" s="1"/>
      <c r="AH472" s="2"/>
      <c r="AI472" s="2"/>
      <c r="AJ472" s="2"/>
      <c r="AK472" s="2"/>
      <c r="AL472" s="2"/>
      <c r="AM472" s="1"/>
      <c r="AN472" s="2"/>
      <c r="AP472" s="2"/>
      <c r="AQ472" s="1"/>
      <c r="AR472" s="2"/>
      <c r="AU472" s="1"/>
      <c r="AW472" s="1"/>
      <c r="AY472" s="2"/>
    </row>
    <row r="473">
      <c r="A473" s="1"/>
      <c r="C473" s="1"/>
      <c r="E473" s="1"/>
      <c r="F473" s="1"/>
      <c r="G473" s="2"/>
      <c r="H473" s="1"/>
      <c r="I473" s="1"/>
      <c r="J473" s="1"/>
      <c r="K473" s="1"/>
      <c r="M473" s="1"/>
      <c r="N473" s="1"/>
      <c r="O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2"/>
      <c r="AB473" s="1"/>
      <c r="AC473" s="1"/>
      <c r="AD473" s="1"/>
      <c r="AE473" s="1"/>
      <c r="AF473" s="1"/>
      <c r="AG473" s="1"/>
      <c r="AH473" s="2"/>
      <c r="AI473" s="2"/>
      <c r="AJ473" s="2"/>
      <c r="AK473" s="2"/>
      <c r="AL473" s="2"/>
      <c r="AM473" s="1"/>
      <c r="AN473" s="2"/>
      <c r="AP473" s="2"/>
      <c r="AQ473" s="1"/>
      <c r="AR473" s="2"/>
      <c r="AU473" s="1"/>
      <c r="AW473" s="1"/>
      <c r="AY473" s="2"/>
    </row>
    <row r="474">
      <c r="A474" s="1"/>
      <c r="C474" s="1"/>
      <c r="E474" s="1"/>
      <c r="F474" s="1"/>
      <c r="G474" s="2"/>
      <c r="H474" s="1"/>
      <c r="I474" s="1"/>
      <c r="J474" s="1"/>
      <c r="K474" s="1"/>
      <c r="M474" s="1"/>
      <c r="N474" s="1"/>
      <c r="O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2"/>
      <c r="AB474" s="1"/>
      <c r="AC474" s="1"/>
      <c r="AD474" s="1"/>
      <c r="AE474" s="1"/>
      <c r="AF474" s="1"/>
      <c r="AG474" s="1"/>
      <c r="AH474" s="2"/>
      <c r="AI474" s="2"/>
      <c r="AJ474" s="2"/>
      <c r="AK474" s="2"/>
      <c r="AL474" s="2"/>
      <c r="AM474" s="1"/>
      <c r="AN474" s="2"/>
      <c r="AP474" s="2"/>
      <c r="AQ474" s="1"/>
      <c r="AR474" s="2"/>
      <c r="AU474" s="1"/>
      <c r="AW474" s="1"/>
      <c r="AY474" s="2"/>
    </row>
    <row r="475">
      <c r="A475" s="1"/>
      <c r="C475" s="1"/>
      <c r="E475" s="1"/>
      <c r="F475" s="1"/>
      <c r="G475" s="2"/>
      <c r="H475" s="1"/>
      <c r="I475" s="1"/>
      <c r="J475" s="1"/>
      <c r="K475" s="1"/>
      <c r="M475" s="1"/>
      <c r="N475" s="1"/>
      <c r="O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2"/>
      <c r="AB475" s="1"/>
      <c r="AC475" s="1"/>
      <c r="AD475" s="1"/>
      <c r="AE475" s="1"/>
      <c r="AF475" s="1"/>
      <c r="AG475" s="1"/>
      <c r="AH475" s="2"/>
      <c r="AI475" s="2"/>
      <c r="AJ475" s="2"/>
      <c r="AK475" s="2"/>
      <c r="AL475" s="2"/>
      <c r="AM475" s="1"/>
      <c r="AN475" s="2"/>
      <c r="AP475" s="2"/>
      <c r="AQ475" s="1"/>
      <c r="AR475" s="2"/>
      <c r="AU475" s="1"/>
      <c r="AW475" s="1"/>
      <c r="AY475" s="2"/>
    </row>
    <row r="476">
      <c r="A476" s="1"/>
      <c r="C476" s="1"/>
      <c r="E476" s="1"/>
      <c r="F476" s="1"/>
      <c r="G476" s="2"/>
      <c r="H476" s="1"/>
      <c r="I476" s="1"/>
      <c r="J476" s="1"/>
      <c r="K476" s="1"/>
      <c r="M476" s="1"/>
      <c r="N476" s="1"/>
      <c r="O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2"/>
      <c r="AB476" s="1"/>
      <c r="AC476" s="1"/>
      <c r="AD476" s="1"/>
      <c r="AE476" s="1"/>
      <c r="AF476" s="1"/>
      <c r="AG476" s="1"/>
      <c r="AH476" s="2"/>
      <c r="AI476" s="2"/>
      <c r="AJ476" s="2"/>
      <c r="AK476" s="2"/>
      <c r="AL476" s="2"/>
      <c r="AM476" s="1"/>
      <c r="AN476" s="2"/>
      <c r="AP476" s="2"/>
      <c r="AQ476" s="1"/>
      <c r="AR476" s="2"/>
      <c r="AU476" s="1"/>
      <c r="AW476" s="1"/>
      <c r="AY476" s="2"/>
    </row>
    <row r="477">
      <c r="A477" s="1"/>
      <c r="C477" s="1"/>
      <c r="E477" s="1"/>
      <c r="F477" s="1"/>
      <c r="G477" s="2"/>
      <c r="H477" s="1"/>
      <c r="I477" s="1"/>
      <c r="J477" s="1"/>
      <c r="K477" s="1"/>
      <c r="M477" s="1"/>
      <c r="N477" s="1"/>
      <c r="O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2"/>
      <c r="AB477" s="1"/>
      <c r="AC477" s="1"/>
      <c r="AD477" s="1"/>
      <c r="AE477" s="1"/>
      <c r="AF477" s="1"/>
      <c r="AG477" s="1"/>
      <c r="AH477" s="2"/>
      <c r="AI477" s="2"/>
      <c r="AJ477" s="2"/>
      <c r="AK477" s="2"/>
      <c r="AL477" s="2"/>
      <c r="AM477" s="1"/>
      <c r="AN477" s="2"/>
      <c r="AP477" s="2"/>
      <c r="AQ477" s="1"/>
      <c r="AR477" s="2"/>
      <c r="AU477" s="1"/>
      <c r="AW477" s="1"/>
      <c r="AY477" s="2"/>
    </row>
    <row r="478">
      <c r="A478" s="1"/>
      <c r="C478" s="1"/>
      <c r="E478" s="1"/>
      <c r="F478" s="1"/>
      <c r="G478" s="2"/>
      <c r="H478" s="1"/>
      <c r="I478" s="1"/>
      <c r="J478" s="1"/>
      <c r="K478" s="1"/>
      <c r="M478" s="1"/>
      <c r="N478" s="1"/>
      <c r="O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2"/>
      <c r="AB478" s="1"/>
      <c r="AC478" s="1"/>
      <c r="AD478" s="1"/>
      <c r="AE478" s="1"/>
      <c r="AF478" s="1"/>
      <c r="AG478" s="1"/>
      <c r="AH478" s="2"/>
      <c r="AI478" s="2"/>
      <c r="AJ478" s="2"/>
      <c r="AK478" s="2"/>
      <c r="AL478" s="2"/>
      <c r="AM478" s="1"/>
      <c r="AN478" s="2"/>
      <c r="AP478" s="2"/>
      <c r="AQ478" s="1"/>
      <c r="AR478" s="2"/>
      <c r="AU478" s="1"/>
      <c r="AW478" s="1"/>
      <c r="AY478" s="2"/>
    </row>
    <row r="479">
      <c r="A479" s="1"/>
      <c r="C479" s="1"/>
      <c r="E479" s="1"/>
      <c r="F479" s="1"/>
      <c r="G479" s="2"/>
      <c r="H479" s="1"/>
      <c r="I479" s="1"/>
      <c r="J479" s="1"/>
      <c r="K479" s="1"/>
      <c r="M479" s="1"/>
      <c r="N479" s="1"/>
      <c r="O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2"/>
      <c r="AB479" s="1"/>
      <c r="AC479" s="1"/>
      <c r="AD479" s="1"/>
      <c r="AE479" s="1"/>
      <c r="AF479" s="1"/>
      <c r="AG479" s="1"/>
      <c r="AH479" s="2"/>
      <c r="AI479" s="2"/>
      <c r="AJ479" s="2"/>
      <c r="AK479" s="2"/>
      <c r="AL479" s="2"/>
      <c r="AM479" s="1"/>
      <c r="AN479" s="2"/>
      <c r="AP479" s="2"/>
      <c r="AQ479" s="1"/>
      <c r="AR479" s="2"/>
      <c r="AU479" s="1"/>
      <c r="AW479" s="1"/>
      <c r="AY479" s="2"/>
    </row>
    <row r="480">
      <c r="A480" s="1"/>
      <c r="C480" s="1"/>
      <c r="E480" s="1"/>
      <c r="F480" s="1"/>
      <c r="G480" s="2"/>
      <c r="H480" s="1"/>
      <c r="I480" s="1"/>
      <c r="J480" s="1"/>
      <c r="K480" s="1"/>
      <c r="M480" s="1"/>
      <c r="N480" s="1"/>
      <c r="O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2"/>
      <c r="AB480" s="1"/>
      <c r="AC480" s="1"/>
      <c r="AD480" s="1"/>
      <c r="AE480" s="1"/>
      <c r="AF480" s="1"/>
      <c r="AG480" s="1"/>
      <c r="AH480" s="2"/>
      <c r="AI480" s="2"/>
      <c r="AJ480" s="2"/>
      <c r="AK480" s="2"/>
      <c r="AL480" s="2"/>
      <c r="AM480" s="1"/>
      <c r="AN480" s="2"/>
      <c r="AP480" s="2"/>
      <c r="AQ480" s="1"/>
      <c r="AR480" s="2"/>
      <c r="AU480" s="1"/>
      <c r="AW480" s="1"/>
      <c r="AY480" s="2"/>
    </row>
    <row r="481">
      <c r="A481" s="1"/>
      <c r="C481" s="1"/>
      <c r="E481" s="1"/>
      <c r="F481" s="1"/>
      <c r="G481" s="2"/>
      <c r="H481" s="1"/>
      <c r="I481" s="1"/>
      <c r="J481" s="1"/>
      <c r="K481" s="1"/>
      <c r="M481" s="1"/>
      <c r="N481" s="1"/>
      <c r="O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2"/>
      <c r="AB481" s="1"/>
      <c r="AC481" s="1"/>
      <c r="AD481" s="1"/>
      <c r="AE481" s="1"/>
      <c r="AF481" s="1"/>
      <c r="AG481" s="1"/>
      <c r="AH481" s="2"/>
      <c r="AI481" s="2"/>
      <c r="AJ481" s="2"/>
      <c r="AK481" s="2"/>
      <c r="AL481" s="2"/>
      <c r="AM481" s="1"/>
      <c r="AN481" s="2"/>
      <c r="AP481" s="2"/>
      <c r="AQ481" s="1"/>
      <c r="AR481" s="2"/>
      <c r="AU481" s="1"/>
      <c r="AW481" s="1"/>
      <c r="AY481" s="2"/>
    </row>
    <row r="482">
      <c r="A482" s="1"/>
      <c r="C482" s="1"/>
      <c r="E482" s="1"/>
      <c r="F482" s="1"/>
      <c r="G482" s="2"/>
      <c r="H482" s="1"/>
      <c r="I482" s="1"/>
      <c r="J482" s="1"/>
      <c r="K482" s="1"/>
      <c r="M482" s="1"/>
      <c r="N482" s="1"/>
      <c r="O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2"/>
      <c r="AB482" s="1"/>
      <c r="AC482" s="1"/>
      <c r="AD482" s="1"/>
      <c r="AE482" s="1"/>
      <c r="AF482" s="1"/>
      <c r="AG482" s="1"/>
      <c r="AH482" s="2"/>
      <c r="AI482" s="2"/>
      <c r="AJ482" s="2"/>
      <c r="AK482" s="2"/>
      <c r="AL482" s="2"/>
      <c r="AM482" s="1"/>
      <c r="AN482" s="2"/>
      <c r="AP482" s="2"/>
      <c r="AQ482" s="1"/>
      <c r="AR482" s="2"/>
      <c r="AU482" s="1"/>
      <c r="AW482" s="1"/>
      <c r="AY482" s="2"/>
    </row>
    <row r="483">
      <c r="A483" s="1"/>
      <c r="C483" s="1"/>
      <c r="E483" s="1"/>
      <c r="F483" s="1"/>
      <c r="G483" s="2"/>
      <c r="H483" s="1"/>
      <c r="I483" s="1"/>
      <c r="J483" s="1"/>
      <c r="K483" s="1"/>
      <c r="M483" s="1"/>
      <c r="N483" s="1"/>
      <c r="O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2"/>
      <c r="AB483" s="1"/>
      <c r="AC483" s="1"/>
      <c r="AD483" s="1"/>
      <c r="AE483" s="1"/>
      <c r="AF483" s="1"/>
      <c r="AG483" s="1"/>
      <c r="AH483" s="2"/>
      <c r="AI483" s="2"/>
      <c r="AJ483" s="2"/>
      <c r="AK483" s="2"/>
      <c r="AL483" s="2"/>
      <c r="AM483" s="1"/>
      <c r="AN483" s="2"/>
      <c r="AP483" s="2"/>
      <c r="AQ483" s="1"/>
      <c r="AR483" s="2"/>
      <c r="AU483" s="1"/>
      <c r="AW483" s="1"/>
      <c r="AY483" s="2"/>
    </row>
    <row r="484">
      <c r="A484" s="1"/>
      <c r="C484" s="1"/>
      <c r="E484" s="1"/>
      <c r="F484" s="1"/>
      <c r="G484" s="2"/>
      <c r="H484" s="1"/>
      <c r="I484" s="1"/>
      <c r="J484" s="1"/>
      <c r="K484" s="1"/>
      <c r="M484" s="1"/>
      <c r="N484" s="1"/>
      <c r="O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2"/>
      <c r="AB484" s="1"/>
      <c r="AC484" s="1"/>
      <c r="AD484" s="1"/>
      <c r="AE484" s="1"/>
      <c r="AF484" s="1"/>
      <c r="AG484" s="1"/>
      <c r="AH484" s="2"/>
      <c r="AI484" s="2"/>
      <c r="AJ484" s="2"/>
      <c r="AK484" s="2"/>
      <c r="AL484" s="2"/>
      <c r="AM484" s="1"/>
      <c r="AN484" s="2"/>
      <c r="AP484" s="2"/>
      <c r="AQ484" s="1"/>
      <c r="AR484" s="2"/>
      <c r="AU484" s="1"/>
      <c r="AW484" s="1"/>
      <c r="AY484" s="2"/>
    </row>
    <row r="485">
      <c r="A485" s="1"/>
      <c r="C485" s="1"/>
      <c r="E485" s="1"/>
      <c r="F485" s="1"/>
      <c r="G485" s="2"/>
      <c r="H485" s="1"/>
      <c r="I485" s="1"/>
      <c r="J485" s="1"/>
      <c r="K485" s="1"/>
      <c r="M485" s="1"/>
      <c r="N485" s="1"/>
      <c r="O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2"/>
      <c r="AB485" s="1"/>
      <c r="AC485" s="1"/>
      <c r="AD485" s="1"/>
      <c r="AE485" s="1"/>
      <c r="AF485" s="1"/>
      <c r="AG485" s="1"/>
      <c r="AH485" s="2"/>
      <c r="AI485" s="2"/>
      <c r="AJ485" s="2"/>
      <c r="AK485" s="2"/>
      <c r="AL485" s="2"/>
      <c r="AM485" s="1"/>
      <c r="AN485" s="2"/>
      <c r="AP485" s="2"/>
      <c r="AQ485" s="1"/>
      <c r="AR485" s="2"/>
      <c r="AU485" s="1"/>
      <c r="AW485" s="1"/>
      <c r="AY485" s="2"/>
    </row>
    <row r="486">
      <c r="A486" s="1"/>
      <c r="C486" s="1"/>
      <c r="E486" s="1"/>
      <c r="F486" s="1"/>
      <c r="G486" s="2"/>
      <c r="H486" s="1"/>
      <c r="I486" s="1"/>
      <c r="J486" s="1"/>
      <c r="K486" s="1"/>
      <c r="M486" s="1"/>
      <c r="N486" s="1"/>
      <c r="O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2"/>
      <c r="AB486" s="1"/>
      <c r="AC486" s="1"/>
      <c r="AD486" s="1"/>
      <c r="AE486" s="1"/>
      <c r="AF486" s="1"/>
      <c r="AG486" s="1"/>
      <c r="AH486" s="2"/>
      <c r="AI486" s="2"/>
      <c r="AJ486" s="2"/>
      <c r="AK486" s="2"/>
      <c r="AL486" s="2"/>
      <c r="AM486" s="1"/>
      <c r="AN486" s="2"/>
      <c r="AP486" s="2"/>
      <c r="AQ486" s="1"/>
      <c r="AR486" s="2"/>
      <c r="AU486" s="1"/>
      <c r="AW486" s="1"/>
      <c r="AY486" s="2"/>
    </row>
    <row r="487">
      <c r="A487" s="1"/>
      <c r="C487" s="1"/>
      <c r="E487" s="1"/>
      <c r="F487" s="1"/>
      <c r="G487" s="2"/>
      <c r="H487" s="1"/>
      <c r="I487" s="1"/>
      <c r="J487" s="1"/>
      <c r="K487" s="1"/>
      <c r="M487" s="1"/>
      <c r="N487" s="1"/>
      <c r="O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2"/>
      <c r="AB487" s="1"/>
      <c r="AC487" s="1"/>
      <c r="AD487" s="1"/>
      <c r="AE487" s="1"/>
      <c r="AF487" s="1"/>
      <c r="AG487" s="1"/>
      <c r="AH487" s="2"/>
      <c r="AI487" s="2"/>
      <c r="AJ487" s="2"/>
      <c r="AK487" s="2"/>
      <c r="AL487" s="2"/>
      <c r="AM487" s="1"/>
      <c r="AN487" s="2"/>
      <c r="AP487" s="2"/>
      <c r="AQ487" s="1"/>
      <c r="AR487" s="2"/>
      <c r="AU487" s="1"/>
      <c r="AW487" s="1"/>
      <c r="AY487" s="2"/>
    </row>
    <row r="488">
      <c r="A488" s="1"/>
      <c r="C488" s="1"/>
      <c r="E488" s="1"/>
      <c r="F488" s="1"/>
      <c r="G488" s="2"/>
      <c r="H488" s="1"/>
      <c r="I488" s="1"/>
      <c r="J488" s="1"/>
      <c r="K488" s="1"/>
      <c r="M488" s="1"/>
      <c r="N488" s="1"/>
      <c r="O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2"/>
      <c r="AB488" s="1"/>
      <c r="AC488" s="1"/>
      <c r="AD488" s="1"/>
      <c r="AE488" s="1"/>
      <c r="AF488" s="1"/>
      <c r="AG488" s="1"/>
      <c r="AH488" s="2"/>
      <c r="AI488" s="2"/>
      <c r="AJ488" s="2"/>
      <c r="AK488" s="2"/>
      <c r="AL488" s="2"/>
      <c r="AM488" s="1"/>
      <c r="AN488" s="2"/>
      <c r="AP488" s="2"/>
      <c r="AQ488" s="1"/>
      <c r="AR488" s="2"/>
      <c r="AU488" s="1"/>
      <c r="AW488" s="1"/>
      <c r="AY488" s="2"/>
    </row>
    <row r="489">
      <c r="A489" s="1"/>
      <c r="C489" s="1"/>
      <c r="E489" s="1"/>
      <c r="F489" s="1"/>
      <c r="G489" s="2"/>
      <c r="H489" s="1"/>
      <c r="I489" s="1"/>
      <c r="J489" s="1"/>
      <c r="K489" s="1"/>
      <c r="M489" s="1"/>
      <c r="N489" s="1"/>
      <c r="O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2"/>
      <c r="AB489" s="1"/>
      <c r="AC489" s="1"/>
      <c r="AD489" s="1"/>
      <c r="AE489" s="1"/>
      <c r="AF489" s="1"/>
      <c r="AG489" s="1"/>
      <c r="AH489" s="2"/>
      <c r="AI489" s="2"/>
      <c r="AJ489" s="2"/>
      <c r="AK489" s="2"/>
      <c r="AL489" s="2"/>
      <c r="AM489" s="1"/>
      <c r="AN489" s="2"/>
      <c r="AP489" s="2"/>
      <c r="AQ489" s="1"/>
      <c r="AR489" s="2"/>
      <c r="AU489" s="1"/>
      <c r="AW489" s="1"/>
      <c r="AY489" s="2"/>
    </row>
    <row r="490">
      <c r="A490" s="1"/>
      <c r="C490" s="1"/>
      <c r="E490" s="1"/>
      <c r="F490" s="1"/>
      <c r="G490" s="2"/>
      <c r="H490" s="1"/>
      <c r="I490" s="1"/>
      <c r="J490" s="1"/>
      <c r="K490" s="1"/>
      <c r="M490" s="1"/>
      <c r="N490" s="1"/>
      <c r="O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2"/>
      <c r="AB490" s="1"/>
      <c r="AC490" s="1"/>
      <c r="AD490" s="1"/>
      <c r="AE490" s="1"/>
      <c r="AF490" s="1"/>
      <c r="AG490" s="1"/>
      <c r="AH490" s="2"/>
      <c r="AI490" s="2"/>
      <c r="AJ490" s="2"/>
      <c r="AK490" s="2"/>
      <c r="AL490" s="2"/>
      <c r="AM490" s="1"/>
      <c r="AN490" s="2"/>
      <c r="AP490" s="2"/>
      <c r="AQ490" s="1"/>
      <c r="AR490" s="2"/>
      <c r="AU490" s="1"/>
      <c r="AW490" s="1"/>
      <c r="AY490" s="2"/>
    </row>
    <row r="491">
      <c r="A491" s="1"/>
      <c r="C491" s="1"/>
      <c r="E491" s="1"/>
      <c r="F491" s="1"/>
      <c r="G491" s="2"/>
      <c r="H491" s="1"/>
      <c r="I491" s="1"/>
      <c r="J491" s="1"/>
      <c r="K491" s="1"/>
      <c r="M491" s="1"/>
      <c r="N491" s="1"/>
      <c r="O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2"/>
      <c r="AB491" s="1"/>
      <c r="AC491" s="1"/>
      <c r="AD491" s="1"/>
      <c r="AE491" s="1"/>
      <c r="AF491" s="1"/>
      <c r="AG491" s="1"/>
      <c r="AH491" s="2"/>
      <c r="AI491" s="2"/>
      <c r="AJ491" s="2"/>
      <c r="AK491" s="2"/>
      <c r="AL491" s="2"/>
      <c r="AM491" s="1"/>
      <c r="AN491" s="2"/>
      <c r="AP491" s="2"/>
      <c r="AQ491" s="1"/>
      <c r="AR491" s="2"/>
      <c r="AU491" s="1"/>
      <c r="AW491" s="1"/>
      <c r="AY491" s="2"/>
    </row>
    <row r="492">
      <c r="A492" s="1"/>
      <c r="C492" s="1"/>
      <c r="E492" s="1"/>
      <c r="F492" s="1"/>
      <c r="G492" s="2"/>
      <c r="H492" s="1"/>
      <c r="I492" s="1"/>
      <c r="J492" s="1"/>
      <c r="K492" s="1"/>
      <c r="M492" s="1"/>
      <c r="N492" s="1"/>
      <c r="O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2"/>
      <c r="AB492" s="1"/>
      <c r="AC492" s="1"/>
      <c r="AD492" s="1"/>
      <c r="AE492" s="1"/>
      <c r="AF492" s="1"/>
      <c r="AG492" s="1"/>
      <c r="AH492" s="2"/>
      <c r="AI492" s="2"/>
      <c r="AJ492" s="2"/>
      <c r="AK492" s="2"/>
      <c r="AL492" s="2"/>
      <c r="AM492" s="1"/>
      <c r="AN492" s="2"/>
      <c r="AP492" s="2"/>
      <c r="AQ492" s="1"/>
      <c r="AR492" s="2"/>
      <c r="AU492" s="1"/>
      <c r="AW492" s="1"/>
      <c r="AY492" s="2"/>
    </row>
    <row r="493">
      <c r="A493" s="1"/>
      <c r="C493" s="1"/>
      <c r="E493" s="1"/>
      <c r="F493" s="1"/>
      <c r="G493" s="2"/>
      <c r="H493" s="1"/>
      <c r="I493" s="1"/>
      <c r="J493" s="1"/>
      <c r="K493" s="1"/>
      <c r="M493" s="1"/>
      <c r="N493" s="1"/>
      <c r="O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2"/>
      <c r="AB493" s="1"/>
      <c r="AC493" s="1"/>
      <c r="AD493" s="1"/>
      <c r="AE493" s="1"/>
      <c r="AF493" s="1"/>
      <c r="AG493" s="1"/>
      <c r="AH493" s="2"/>
      <c r="AI493" s="2"/>
      <c r="AJ493" s="2"/>
      <c r="AK493" s="2"/>
      <c r="AL493" s="2"/>
      <c r="AM493" s="1"/>
      <c r="AN493" s="2"/>
      <c r="AP493" s="2"/>
      <c r="AQ493" s="1"/>
      <c r="AR493" s="2"/>
      <c r="AU493" s="1"/>
      <c r="AW493" s="1"/>
      <c r="AY493" s="2"/>
    </row>
    <row r="494">
      <c r="A494" s="1"/>
      <c r="C494" s="1"/>
      <c r="E494" s="1"/>
      <c r="F494" s="1"/>
      <c r="G494" s="2"/>
      <c r="H494" s="1"/>
      <c r="I494" s="1"/>
      <c r="J494" s="1"/>
      <c r="K494" s="1"/>
      <c r="M494" s="1"/>
      <c r="N494" s="1"/>
      <c r="O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2"/>
      <c r="AB494" s="1"/>
      <c r="AC494" s="1"/>
      <c r="AD494" s="1"/>
      <c r="AE494" s="1"/>
      <c r="AF494" s="1"/>
      <c r="AG494" s="1"/>
      <c r="AH494" s="2"/>
      <c r="AI494" s="2"/>
      <c r="AJ494" s="2"/>
      <c r="AK494" s="2"/>
      <c r="AL494" s="2"/>
      <c r="AM494" s="1"/>
      <c r="AN494" s="2"/>
      <c r="AP494" s="2"/>
      <c r="AQ494" s="1"/>
      <c r="AR494" s="2"/>
      <c r="AU494" s="1"/>
      <c r="AW494" s="1"/>
      <c r="AY494" s="2"/>
    </row>
    <row r="495">
      <c r="A495" s="1"/>
      <c r="C495" s="1"/>
      <c r="E495" s="1"/>
      <c r="F495" s="1"/>
      <c r="G495" s="2"/>
      <c r="H495" s="1"/>
      <c r="I495" s="1"/>
      <c r="J495" s="1"/>
      <c r="K495" s="1"/>
      <c r="M495" s="1"/>
      <c r="N495" s="1"/>
      <c r="O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2"/>
      <c r="AB495" s="1"/>
      <c r="AC495" s="1"/>
      <c r="AD495" s="1"/>
      <c r="AE495" s="1"/>
      <c r="AF495" s="1"/>
      <c r="AG495" s="1"/>
      <c r="AH495" s="2"/>
      <c r="AI495" s="2"/>
      <c r="AJ495" s="2"/>
      <c r="AK495" s="2"/>
      <c r="AL495" s="2"/>
      <c r="AM495" s="1"/>
      <c r="AN495" s="2"/>
      <c r="AP495" s="2"/>
      <c r="AQ495" s="1"/>
      <c r="AR495" s="2"/>
      <c r="AU495" s="1"/>
      <c r="AW495" s="1"/>
      <c r="AY495" s="2"/>
    </row>
    <row r="496">
      <c r="A496" s="1"/>
      <c r="C496" s="1"/>
      <c r="E496" s="1"/>
      <c r="F496" s="1"/>
      <c r="G496" s="2"/>
      <c r="H496" s="1"/>
      <c r="I496" s="1"/>
      <c r="J496" s="1"/>
      <c r="K496" s="1"/>
      <c r="M496" s="1"/>
      <c r="N496" s="1"/>
      <c r="O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2"/>
      <c r="AB496" s="1"/>
      <c r="AC496" s="1"/>
      <c r="AD496" s="1"/>
      <c r="AE496" s="1"/>
      <c r="AF496" s="1"/>
      <c r="AG496" s="1"/>
      <c r="AH496" s="2"/>
      <c r="AI496" s="2"/>
      <c r="AJ496" s="2"/>
      <c r="AK496" s="2"/>
      <c r="AL496" s="2"/>
      <c r="AM496" s="1"/>
      <c r="AN496" s="2"/>
      <c r="AP496" s="2"/>
      <c r="AQ496" s="1"/>
      <c r="AR496" s="2"/>
      <c r="AU496" s="1"/>
      <c r="AW496" s="1"/>
      <c r="AY496" s="2"/>
    </row>
    <row r="497">
      <c r="A497" s="1"/>
      <c r="C497" s="1"/>
      <c r="E497" s="1"/>
      <c r="F497" s="1"/>
      <c r="G497" s="2"/>
      <c r="H497" s="1"/>
      <c r="I497" s="1"/>
      <c r="J497" s="1"/>
      <c r="K497" s="1"/>
      <c r="M497" s="1"/>
      <c r="N497" s="1"/>
      <c r="O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2"/>
      <c r="AB497" s="1"/>
      <c r="AC497" s="1"/>
      <c r="AD497" s="1"/>
      <c r="AE497" s="1"/>
      <c r="AF497" s="1"/>
      <c r="AG497" s="1"/>
      <c r="AH497" s="2"/>
      <c r="AI497" s="2"/>
      <c r="AJ497" s="2"/>
      <c r="AK497" s="2"/>
      <c r="AL497" s="2"/>
      <c r="AM497" s="1"/>
      <c r="AN497" s="2"/>
      <c r="AP497" s="2"/>
      <c r="AQ497" s="1"/>
      <c r="AR497" s="2"/>
      <c r="AU497" s="1"/>
      <c r="AW497" s="1"/>
      <c r="AY497" s="2"/>
    </row>
    <row r="498">
      <c r="A498" s="1"/>
      <c r="C498" s="1"/>
      <c r="E498" s="1"/>
      <c r="F498" s="1"/>
      <c r="G498" s="2"/>
      <c r="H498" s="1"/>
      <c r="I498" s="1"/>
      <c r="J498" s="1"/>
      <c r="K498" s="1"/>
      <c r="M498" s="1"/>
      <c r="N498" s="1"/>
      <c r="O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2"/>
      <c r="AB498" s="1"/>
      <c r="AC498" s="1"/>
      <c r="AD498" s="1"/>
      <c r="AE498" s="1"/>
      <c r="AF498" s="1"/>
      <c r="AG498" s="1"/>
      <c r="AH498" s="2"/>
      <c r="AI498" s="2"/>
      <c r="AJ498" s="2"/>
      <c r="AK498" s="2"/>
      <c r="AL498" s="2"/>
      <c r="AM498" s="1"/>
      <c r="AN498" s="2"/>
      <c r="AP498" s="2"/>
      <c r="AQ498" s="1"/>
      <c r="AR498" s="2"/>
      <c r="AU498" s="1"/>
      <c r="AW498" s="1"/>
      <c r="AY498" s="2"/>
    </row>
    <row r="499">
      <c r="A499" s="1"/>
      <c r="C499" s="1"/>
      <c r="E499" s="1"/>
      <c r="F499" s="1"/>
      <c r="G499" s="2"/>
      <c r="H499" s="1"/>
      <c r="I499" s="1"/>
      <c r="J499" s="1"/>
      <c r="K499" s="1"/>
      <c r="M499" s="1"/>
      <c r="N499" s="1"/>
      <c r="O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2"/>
      <c r="AB499" s="1"/>
      <c r="AC499" s="1"/>
      <c r="AD499" s="1"/>
      <c r="AE499" s="1"/>
      <c r="AF499" s="1"/>
      <c r="AG499" s="1"/>
      <c r="AH499" s="2"/>
      <c r="AI499" s="2"/>
      <c r="AJ499" s="2"/>
      <c r="AK499" s="2"/>
      <c r="AL499" s="2"/>
      <c r="AM499" s="1"/>
      <c r="AN499" s="2"/>
      <c r="AP499" s="2"/>
      <c r="AQ499" s="1"/>
      <c r="AR499" s="2"/>
      <c r="AU499" s="1"/>
      <c r="AW499" s="1"/>
      <c r="AY499" s="2"/>
    </row>
    <row r="500">
      <c r="A500" s="1"/>
      <c r="C500" s="1"/>
      <c r="E500" s="1"/>
      <c r="F500" s="1"/>
      <c r="G500" s="2"/>
      <c r="H500" s="1"/>
      <c r="I500" s="1"/>
      <c r="J500" s="1"/>
      <c r="K500" s="1"/>
      <c r="M500" s="1"/>
      <c r="N500" s="1"/>
      <c r="O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2"/>
      <c r="AB500" s="1"/>
      <c r="AC500" s="1"/>
      <c r="AD500" s="1"/>
      <c r="AE500" s="1"/>
      <c r="AF500" s="1"/>
      <c r="AG500" s="1"/>
      <c r="AH500" s="2"/>
      <c r="AI500" s="2"/>
      <c r="AJ500" s="2"/>
      <c r="AK500" s="2"/>
      <c r="AL500" s="2"/>
      <c r="AM500" s="1"/>
      <c r="AN500" s="2"/>
      <c r="AP500" s="2"/>
      <c r="AQ500" s="1"/>
      <c r="AR500" s="2"/>
      <c r="AU500" s="1"/>
      <c r="AW500" s="1"/>
      <c r="AY500" s="2"/>
    </row>
    <row r="501">
      <c r="A501" s="1"/>
      <c r="C501" s="1"/>
      <c r="E501" s="1"/>
      <c r="F501" s="1"/>
      <c r="G501" s="2"/>
      <c r="H501" s="1"/>
      <c r="I501" s="1"/>
      <c r="J501" s="1"/>
      <c r="K501" s="1"/>
      <c r="M501" s="1"/>
      <c r="N501" s="1"/>
      <c r="O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2"/>
      <c r="AB501" s="1"/>
      <c r="AC501" s="1"/>
      <c r="AD501" s="1"/>
      <c r="AE501" s="1"/>
      <c r="AF501" s="1"/>
      <c r="AG501" s="1"/>
      <c r="AH501" s="2"/>
      <c r="AI501" s="2"/>
      <c r="AJ501" s="2"/>
      <c r="AK501" s="2"/>
      <c r="AL501" s="2"/>
      <c r="AM501" s="1"/>
      <c r="AN501" s="2"/>
      <c r="AP501" s="2"/>
      <c r="AQ501" s="1"/>
      <c r="AR501" s="2"/>
      <c r="AU501" s="1"/>
      <c r="AW501" s="1"/>
      <c r="AY501" s="2"/>
    </row>
    <row r="502">
      <c r="A502" s="1"/>
      <c r="C502" s="1"/>
      <c r="E502" s="1"/>
      <c r="F502" s="1"/>
      <c r="G502" s="2"/>
      <c r="H502" s="1"/>
      <c r="I502" s="1"/>
      <c r="J502" s="1"/>
      <c r="K502" s="1"/>
      <c r="M502" s="1"/>
      <c r="N502" s="1"/>
      <c r="O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2"/>
      <c r="AB502" s="1"/>
      <c r="AC502" s="1"/>
      <c r="AD502" s="1"/>
      <c r="AE502" s="1"/>
      <c r="AF502" s="1"/>
      <c r="AG502" s="1"/>
      <c r="AH502" s="2"/>
      <c r="AI502" s="2"/>
      <c r="AJ502" s="2"/>
      <c r="AK502" s="2"/>
      <c r="AL502" s="2"/>
      <c r="AM502" s="1"/>
      <c r="AN502" s="2"/>
      <c r="AP502" s="2"/>
      <c r="AQ502" s="1"/>
      <c r="AR502" s="2"/>
      <c r="AU502" s="1"/>
      <c r="AW502" s="1"/>
      <c r="AY502" s="2"/>
    </row>
    <row r="503">
      <c r="A503" s="1"/>
      <c r="C503" s="1"/>
      <c r="E503" s="1"/>
      <c r="F503" s="1"/>
      <c r="G503" s="2"/>
      <c r="H503" s="1"/>
      <c r="I503" s="1"/>
      <c r="J503" s="1"/>
      <c r="K503" s="1"/>
      <c r="M503" s="1"/>
      <c r="N503" s="1"/>
      <c r="O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2"/>
      <c r="AB503" s="1"/>
      <c r="AC503" s="1"/>
      <c r="AD503" s="1"/>
      <c r="AE503" s="1"/>
      <c r="AF503" s="1"/>
      <c r="AG503" s="1"/>
      <c r="AH503" s="2"/>
      <c r="AI503" s="2"/>
      <c r="AJ503" s="2"/>
      <c r="AK503" s="2"/>
      <c r="AL503" s="2"/>
      <c r="AM503" s="1"/>
      <c r="AN503" s="2"/>
      <c r="AP503" s="2"/>
      <c r="AQ503" s="1"/>
      <c r="AR503" s="2"/>
      <c r="AU503" s="1"/>
      <c r="AW503" s="1"/>
      <c r="AY503" s="2"/>
    </row>
    <row r="504">
      <c r="A504" s="1"/>
      <c r="C504" s="1"/>
      <c r="E504" s="1"/>
      <c r="F504" s="1"/>
      <c r="G504" s="2"/>
      <c r="H504" s="1"/>
      <c r="I504" s="1"/>
      <c r="J504" s="1"/>
      <c r="K504" s="1"/>
      <c r="M504" s="1"/>
      <c r="N504" s="1"/>
      <c r="O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2"/>
      <c r="AB504" s="1"/>
      <c r="AC504" s="1"/>
      <c r="AD504" s="1"/>
      <c r="AE504" s="1"/>
      <c r="AF504" s="1"/>
      <c r="AG504" s="1"/>
      <c r="AH504" s="2"/>
      <c r="AI504" s="2"/>
      <c r="AJ504" s="2"/>
      <c r="AK504" s="2"/>
      <c r="AL504" s="2"/>
      <c r="AM504" s="1"/>
      <c r="AN504" s="2"/>
      <c r="AP504" s="2"/>
      <c r="AQ504" s="1"/>
      <c r="AR504" s="2"/>
      <c r="AU504" s="1"/>
      <c r="AW504" s="1"/>
      <c r="AY504" s="2"/>
    </row>
    <row r="505">
      <c r="A505" s="1"/>
      <c r="C505" s="1"/>
      <c r="E505" s="1"/>
      <c r="F505" s="1"/>
      <c r="G505" s="2"/>
      <c r="H505" s="1"/>
      <c r="I505" s="1"/>
      <c r="J505" s="1"/>
      <c r="K505" s="1"/>
      <c r="M505" s="1"/>
      <c r="N505" s="1"/>
      <c r="O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2"/>
      <c r="AB505" s="1"/>
      <c r="AC505" s="1"/>
      <c r="AD505" s="1"/>
      <c r="AE505" s="1"/>
      <c r="AF505" s="1"/>
      <c r="AG505" s="1"/>
      <c r="AH505" s="2"/>
      <c r="AI505" s="2"/>
      <c r="AJ505" s="2"/>
      <c r="AK505" s="2"/>
      <c r="AL505" s="2"/>
      <c r="AM505" s="1"/>
      <c r="AN505" s="2"/>
      <c r="AP505" s="2"/>
      <c r="AQ505" s="1"/>
      <c r="AR505" s="2"/>
      <c r="AU505" s="1"/>
      <c r="AW505" s="1"/>
      <c r="AY505" s="2"/>
    </row>
    <row r="506">
      <c r="A506" s="1"/>
      <c r="C506" s="1"/>
      <c r="E506" s="1"/>
      <c r="F506" s="1"/>
      <c r="G506" s="2"/>
      <c r="H506" s="1"/>
      <c r="I506" s="1"/>
      <c r="J506" s="1"/>
      <c r="K506" s="1"/>
      <c r="M506" s="1"/>
      <c r="N506" s="1"/>
      <c r="O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2"/>
      <c r="AB506" s="1"/>
      <c r="AC506" s="1"/>
      <c r="AD506" s="1"/>
      <c r="AE506" s="1"/>
      <c r="AF506" s="1"/>
      <c r="AG506" s="1"/>
      <c r="AH506" s="2"/>
      <c r="AI506" s="2"/>
      <c r="AJ506" s="2"/>
      <c r="AK506" s="2"/>
      <c r="AL506" s="2"/>
      <c r="AM506" s="1"/>
      <c r="AN506" s="2"/>
      <c r="AP506" s="2"/>
      <c r="AQ506" s="1"/>
      <c r="AR506" s="2"/>
      <c r="AU506" s="1"/>
      <c r="AW506" s="1"/>
      <c r="AY506" s="2"/>
    </row>
    <row r="507">
      <c r="A507" s="1"/>
      <c r="C507" s="1"/>
      <c r="E507" s="1"/>
      <c r="F507" s="1"/>
      <c r="G507" s="2"/>
      <c r="H507" s="1"/>
      <c r="I507" s="1"/>
      <c r="J507" s="1"/>
      <c r="K507" s="1"/>
      <c r="M507" s="1"/>
      <c r="N507" s="1"/>
      <c r="O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2"/>
      <c r="AB507" s="1"/>
      <c r="AC507" s="1"/>
      <c r="AD507" s="1"/>
      <c r="AE507" s="1"/>
      <c r="AF507" s="1"/>
      <c r="AG507" s="1"/>
      <c r="AH507" s="2"/>
      <c r="AI507" s="2"/>
      <c r="AJ507" s="2"/>
      <c r="AK507" s="2"/>
      <c r="AL507" s="2"/>
      <c r="AM507" s="1"/>
      <c r="AN507" s="2"/>
      <c r="AP507" s="2"/>
      <c r="AQ507" s="1"/>
      <c r="AR507" s="2"/>
      <c r="AU507" s="1"/>
      <c r="AW507" s="1"/>
      <c r="AY507" s="2"/>
    </row>
    <row r="508">
      <c r="A508" s="1"/>
      <c r="C508" s="1"/>
      <c r="E508" s="1"/>
      <c r="F508" s="1"/>
      <c r="G508" s="2"/>
      <c r="H508" s="1"/>
      <c r="I508" s="1"/>
      <c r="J508" s="1"/>
      <c r="K508" s="1"/>
      <c r="M508" s="1"/>
      <c r="N508" s="1"/>
      <c r="O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2"/>
      <c r="AB508" s="1"/>
      <c r="AC508" s="1"/>
      <c r="AD508" s="1"/>
      <c r="AE508" s="1"/>
      <c r="AF508" s="1"/>
      <c r="AG508" s="1"/>
      <c r="AH508" s="2"/>
      <c r="AI508" s="2"/>
      <c r="AJ508" s="2"/>
      <c r="AK508" s="2"/>
      <c r="AL508" s="2"/>
      <c r="AM508" s="1"/>
      <c r="AN508" s="2"/>
      <c r="AP508" s="2"/>
      <c r="AQ508" s="1"/>
      <c r="AR508" s="2"/>
      <c r="AU508" s="1"/>
      <c r="AW508" s="1"/>
      <c r="AY508" s="2"/>
    </row>
    <row r="509">
      <c r="A509" s="1"/>
      <c r="C509" s="1"/>
      <c r="E509" s="1"/>
      <c r="F509" s="1"/>
      <c r="G509" s="2"/>
      <c r="H509" s="1"/>
      <c r="I509" s="1"/>
      <c r="J509" s="1"/>
      <c r="K509" s="1"/>
      <c r="M509" s="1"/>
      <c r="N509" s="1"/>
      <c r="O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2"/>
      <c r="AB509" s="1"/>
      <c r="AC509" s="1"/>
      <c r="AD509" s="1"/>
      <c r="AE509" s="1"/>
      <c r="AF509" s="1"/>
      <c r="AG509" s="1"/>
      <c r="AH509" s="2"/>
      <c r="AI509" s="2"/>
      <c r="AJ509" s="2"/>
      <c r="AK509" s="2"/>
      <c r="AL509" s="2"/>
      <c r="AM509" s="1"/>
      <c r="AN509" s="2"/>
      <c r="AP509" s="2"/>
      <c r="AQ509" s="1"/>
      <c r="AR509" s="2"/>
      <c r="AU509" s="1"/>
      <c r="AW509" s="1"/>
      <c r="AY509" s="2"/>
    </row>
    <row r="510">
      <c r="A510" s="1"/>
      <c r="C510" s="1"/>
      <c r="E510" s="1"/>
      <c r="F510" s="1"/>
      <c r="G510" s="2"/>
      <c r="H510" s="1"/>
      <c r="I510" s="1"/>
      <c r="J510" s="1"/>
      <c r="K510" s="1"/>
      <c r="M510" s="1"/>
      <c r="N510" s="1"/>
      <c r="O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2"/>
      <c r="AB510" s="1"/>
      <c r="AC510" s="1"/>
      <c r="AD510" s="1"/>
      <c r="AE510" s="1"/>
      <c r="AF510" s="1"/>
      <c r="AG510" s="1"/>
      <c r="AH510" s="2"/>
      <c r="AI510" s="2"/>
      <c r="AJ510" s="2"/>
      <c r="AK510" s="2"/>
      <c r="AL510" s="2"/>
      <c r="AM510" s="1"/>
      <c r="AN510" s="2"/>
      <c r="AP510" s="2"/>
      <c r="AQ510" s="1"/>
      <c r="AR510" s="2"/>
      <c r="AU510" s="1"/>
      <c r="AW510" s="1"/>
      <c r="AY510" s="2"/>
    </row>
    <row r="511">
      <c r="A511" s="1"/>
      <c r="C511" s="1"/>
      <c r="E511" s="1"/>
      <c r="F511" s="1"/>
      <c r="G511" s="2"/>
      <c r="H511" s="1"/>
      <c r="I511" s="1"/>
      <c r="J511" s="1"/>
      <c r="K511" s="1"/>
      <c r="M511" s="1"/>
      <c r="N511" s="1"/>
      <c r="O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2"/>
      <c r="AB511" s="1"/>
      <c r="AC511" s="1"/>
      <c r="AD511" s="1"/>
      <c r="AE511" s="1"/>
      <c r="AF511" s="1"/>
      <c r="AG511" s="1"/>
      <c r="AH511" s="2"/>
      <c r="AI511" s="2"/>
      <c r="AJ511" s="2"/>
      <c r="AK511" s="2"/>
      <c r="AL511" s="2"/>
      <c r="AM511" s="1"/>
      <c r="AN511" s="2"/>
      <c r="AP511" s="2"/>
      <c r="AQ511" s="1"/>
      <c r="AR511" s="2"/>
      <c r="AU511" s="1"/>
      <c r="AW511" s="1"/>
      <c r="AY511" s="2"/>
    </row>
    <row r="512">
      <c r="A512" s="1"/>
      <c r="C512" s="1"/>
      <c r="E512" s="1"/>
      <c r="F512" s="1"/>
      <c r="G512" s="2"/>
      <c r="H512" s="1"/>
      <c r="I512" s="1"/>
      <c r="J512" s="1"/>
      <c r="K512" s="1"/>
      <c r="M512" s="1"/>
      <c r="N512" s="1"/>
      <c r="O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2"/>
      <c r="AB512" s="1"/>
      <c r="AC512" s="1"/>
      <c r="AD512" s="1"/>
      <c r="AE512" s="1"/>
      <c r="AF512" s="1"/>
      <c r="AG512" s="1"/>
      <c r="AH512" s="2"/>
      <c r="AI512" s="2"/>
      <c r="AJ512" s="2"/>
      <c r="AK512" s="2"/>
      <c r="AL512" s="2"/>
      <c r="AM512" s="1"/>
      <c r="AN512" s="2"/>
      <c r="AP512" s="2"/>
      <c r="AQ512" s="1"/>
      <c r="AR512" s="2"/>
      <c r="AU512" s="1"/>
      <c r="AW512" s="1"/>
      <c r="AY512" s="2"/>
    </row>
    <row r="513">
      <c r="A513" s="1"/>
      <c r="C513" s="1"/>
      <c r="E513" s="1"/>
      <c r="F513" s="1"/>
      <c r="G513" s="2"/>
      <c r="H513" s="1"/>
      <c r="I513" s="1"/>
      <c r="J513" s="1"/>
      <c r="K513" s="1"/>
      <c r="M513" s="1"/>
      <c r="N513" s="1"/>
      <c r="O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2"/>
      <c r="AB513" s="1"/>
      <c r="AC513" s="1"/>
      <c r="AD513" s="1"/>
      <c r="AE513" s="1"/>
      <c r="AF513" s="1"/>
      <c r="AG513" s="1"/>
      <c r="AH513" s="2"/>
      <c r="AI513" s="2"/>
      <c r="AJ513" s="2"/>
      <c r="AK513" s="2"/>
      <c r="AL513" s="2"/>
      <c r="AM513" s="1"/>
      <c r="AN513" s="2"/>
      <c r="AP513" s="2"/>
      <c r="AQ513" s="1"/>
      <c r="AR513" s="2"/>
      <c r="AU513" s="1"/>
      <c r="AW513" s="1"/>
      <c r="AY513" s="2"/>
    </row>
    <row r="514">
      <c r="A514" s="1"/>
      <c r="C514" s="1"/>
      <c r="E514" s="1"/>
      <c r="F514" s="1"/>
      <c r="G514" s="2"/>
      <c r="H514" s="1"/>
      <c r="I514" s="1"/>
      <c r="J514" s="1"/>
      <c r="K514" s="1"/>
      <c r="M514" s="1"/>
      <c r="N514" s="1"/>
      <c r="O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2"/>
      <c r="AB514" s="1"/>
      <c r="AC514" s="1"/>
      <c r="AD514" s="1"/>
      <c r="AE514" s="1"/>
      <c r="AF514" s="1"/>
      <c r="AG514" s="1"/>
      <c r="AH514" s="2"/>
      <c r="AI514" s="2"/>
      <c r="AJ514" s="2"/>
      <c r="AK514" s="2"/>
      <c r="AL514" s="2"/>
      <c r="AM514" s="1"/>
      <c r="AN514" s="2"/>
      <c r="AP514" s="2"/>
      <c r="AQ514" s="1"/>
      <c r="AR514" s="2"/>
      <c r="AU514" s="1"/>
      <c r="AW514" s="1"/>
      <c r="AY514" s="2"/>
    </row>
    <row r="515">
      <c r="A515" s="1"/>
      <c r="C515" s="1"/>
      <c r="E515" s="1"/>
      <c r="F515" s="1"/>
      <c r="G515" s="2"/>
      <c r="H515" s="1"/>
      <c r="I515" s="1"/>
      <c r="J515" s="1"/>
      <c r="K515" s="1"/>
      <c r="M515" s="1"/>
      <c r="N515" s="1"/>
      <c r="O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2"/>
      <c r="AB515" s="1"/>
      <c r="AC515" s="1"/>
      <c r="AD515" s="1"/>
      <c r="AE515" s="1"/>
      <c r="AF515" s="1"/>
      <c r="AG515" s="1"/>
      <c r="AH515" s="2"/>
      <c r="AI515" s="2"/>
      <c r="AJ515" s="2"/>
      <c r="AK515" s="2"/>
      <c r="AL515" s="2"/>
      <c r="AM515" s="1"/>
      <c r="AN515" s="2"/>
      <c r="AP515" s="2"/>
      <c r="AQ515" s="1"/>
      <c r="AR515" s="2"/>
      <c r="AU515" s="1"/>
      <c r="AW515" s="1"/>
      <c r="AY515" s="2"/>
    </row>
    <row r="516">
      <c r="A516" s="1"/>
      <c r="C516" s="1"/>
      <c r="E516" s="1"/>
      <c r="F516" s="1"/>
      <c r="G516" s="2"/>
      <c r="H516" s="1"/>
      <c r="I516" s="1"/>
      <c r="J516" s="1"/>
      <c r="K516" s="1"/>
      <c r="M516" s="1"/>
      <c r="N516" s="1"/>
      <c r="O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2"/>
      <c r="AB516" s="1"/>
      <c r="AC516" s="1"/>
      <c r="AD516" s="1"/>
      <c r="AE516" s="1"/>
      <c r="AF516" s="1"/>
      <c r="AG516" s="1"/>
      <c r="AH516" s="2"/>
      <c r="AI516" s="2"/>
      <c r="AJ516" s="2"/>
      <c r="AK516" s="2"/>
      <c r="AL516" s="2"/>
      <c r="AM516" s="1"/>
      <c r="AN516" s="2"/>
      <c r="AP516" s="2"/>
      <c r="AQ516" s="1"/>
      <c r="AR516" s="2"/>
      <c r="AU516" s="1"/>
      <c r="AW516" s="1"/>
      <c r="AY516" s="2"/>
    </row>
    <row r="517">
      <c r="A517" s="1"/>
      <c r="C517" s="1"/>
      <c r="E517" s="1"/>
      <c r="F517" s="1"/>
      <c r="G517" s="2"/>
      <c r="H517" s="1"/>
      <c r="I517" s="1"/>
      <c r="J517" s="1"/>
      <c r="K517" s="1"/>
      <c r="M517" s="1"/>
      <c r="N517" s="1"/>
      <c r="O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2"/>
      <c r="AB517" s="1"/>
      <c r="AC517" s="1"/>
      <c r="AD517" s="1"/>
      <c r="AE517" s="1"/>
      <c r="AF517" s="1"/>
      <c r="AG517" s="1"/>
      <c r="AH517" s="2"/>
      <c r="AI517" s="2"/>
      <c r="AJ517" s="2"/>
      <c r="AK517" s="2"/>
      <c r="AL517" s="2"/>
      <c r="AM517" s="1"/>
      <c r="AN517" s="2"/>
      <c r="AP517" s="2"/>
      <c r="AQ517" s="1"/>
      <c r="AR517" s="2"/>
      <c r="AU517" s="1"/>
      <c r="AW517" s="1"/>
      <c r="AY517" s="2"/>
    </row>
    <row r="518">
      <c r="A518" s="1"/>
      <c r="C518" s="1"/>
      <c r="E518" s="1"/>
      <c r="F518" s="1"/>
      <c r="G518" s="2"/>
      <c r="H518" s="1"/>
      <c r="I518" s="1"/>
      <c r="J518" s="1"/>
      <c r="K518" s="1"/>
      <c r="M518" s="1"/>
      <c r="N518" s="1"/>
      <c r="O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2"/>
      <c r="AB518" s="1"/>
      <c r="AC518" s="1"/>
      <c r="AD518" s="1"/>
      <c r="AE518" s="1"/>
      <c r="AF518" s="1"/>
      <c r="AG518" s="1"/>
      <c r="AH518" s="2"/>
      <c r="AI518" s="2"/>
      <c r="AJ518" s="2"/>
      <c r="AK518" s="2"/>
      <c r="AL518" s="2"/>
      <c r="AM518" s="1"/>
      <c r="AN518" s="2"/>
      <c r="AP518" s="2"/>
      <c r="AQ518" s="1"/>
      <c r="AR518" s="2"/>
      <c r="AU518" s="1"/>
      <c r="AW518" s="1"/>
      <c r="AY518" s="2"/>
    </row>
    <row r="519">
      <c r="A519" s="1"/>
      <c r="C519" s="1"/>
      <c r="E519" s="1"/>
      <c r="F519" s="1"/>
      <c r="G519" s="2"/>
      <c r="H519" s="1"/>
      <c r="I519" s="1"/>
      <c r="J519" s="1"/>
      <c r="K519" s="1"/>
      <c r="M519" s="1"/>
      <c r="N519" s="1"/>
      <c r="O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2"/>
      <c r="AB519" s="1"/>
      <c r="AC519" s="1"/>
      <c r="AD519" s="1"/>
      <c r="AE519" s="1"/>
      <c r="AF519" s="1"/>
      <c r="AG519" s="1"/>
      <c r="AH519" s="2"/>
      <c r="AI519" s="2"/>
      <c r="AJ519" s="2"/>
      <c r="AK519" s="2"/>
      <c r="AL519" s="2"/>
      <c r="AM519" s="1"/>
      <c r="AN519" s="2"/>
      <c r="AP519" s="2"/>
      <c r="AQ519" s="1"/>
      <c r="AR519" s="2"/>
      <c r="AU519" s="1"/>
      <c r="AW519" s="1"/>
      <c r="AY519" s="2"/>
    </row>
    <row r="520">
      <c r="A520" s="1"/>
      <c r="C520" s="1"/>
      <c r="E520" s="1"/>
      <c r="F520" s="1"/>
      <c r="G520" s="2"/>
      <c r="H520" s="1"/>
      <c r="I520" s="1"/>
      <c r="J520" s="1"/>
      <c r="K520" s="1"/>
      <c r="M520" s="1"/>
      <c r="N520" s="1"/>
      <c r="O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2"/>
      <c r="AB520" s="1"/>
      <c r="AC520" s="1"/>
      <c r="AD520" s="1"/>
      <c r="AE520" s="1"/>
      <c r="AF520" s="1"/>
      <c r="AG520" s="1"/>
      <c r="AH520" s="2"/>
      <c r="AI520" s="2"/>
      <c r="AJ520" s="2"/>
      <c r="AK520" s="2"/>
      <c r="AL520" s="2"/>
      <c r="AM520" s="1"/>
      <c r="AN520" s="2"/>
      <c r="AP520" s="2"/>
      <c r="AQ520" s="1"/>
      <c r="AR520" s="2"/>
      <c r="AU520" s="1"/>
      <c r="AW520" s="1"/>
      <c r="AY520" s="2"/>
    </row>
    <row r="521">
      <c r="A521" s="1"/>
      <c r="C521" s="1"/>
      <c r="E521" s="1"/>
      <c r="F521" s="1"/>
      <c r="G521" s="2"/>
      <c r="H521" s="1"/>
      <c r="I521" s="1"/>
      <c r="J521" s="1"/>
      <c r="K521" s="1"/>
      <c r="M521" s="1"/>
      <c r="N521" s="1"/>
      <c r="O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2"/>
      <c r="AB521" s="1"/>
      <c r="AC521" s="1"/>
      <c r="AD521" s="1"/>
      <c r="AE521" s="1"/>
      <c r="AF521" s="1"/>
      <c r="AG521" s="1"/>
      <c r="AH521" s="2"/>
      <c r="AI521" s="2"/>
      <c r="AJ521" s="2"/>
      <c r="AK521" s="2"/>
      <c r="AL521" s="2"/>
      <c r="AM521" s="1"/>
      <c r="AN521" s="2"/>
      <c r="AP521" s="2"/>
      <c r="AQ521" s="1"/>
      <c r="AR521" s="2"/>
      <c r="AU521" s="1"/>
      <c r="AW521" s="1"/>
      <c r="AY521" s="2"/>
    </row>
    <row r="522">
      <c r="A522" s="1"/>
      <c r="C522" s="1"/>
      <c r="E522" s="1"/>
      <c r="F522" s="1"/>
      <c r="G522" s="2"/>
      <c r="H522" s="1"/>
      <c r="I522" s="1"/>
      <c r="J522" s="1"/>
      <c r="K522" s="1"/>
      <c r="M522" s="1"/>
      <c r="N522" s="1"/>
      <c r="O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2"/>
      <c r="AB522" s="1"/>
      <c r="AC522" s="1"/>
      <c r="AD522" s="1"/>
      <c r="AE522" s="1"/>
      <c r="AF522" s="1"/>
      <c r="AG522" s="1"/>
      <c r="AH522" s="2"/>
      <c r="AI522" s="2"/>
      <c r="AJ522" s="2"/>
      <c r="AK522" s="2"/>
      <c r="AL522" s="2"/>
      <c r="AM522" s="1"/>
      <c r="AN522" s="2"/>
      <c r="AP522" s="2"/>
      <c r="AQ522" s="1"/>
      <c r="AR522" s="2"/>
      <c r="AU522" s="1"/>
      <c r="AW522" s="1"/>
      <c r="AY522" s="2"/>
    </row>
    <row r="523">
      <c r="A523" s="1"/>
      <c r="C523" s="1"/>
      <c r="E523" s="1"/>
      <c r="F523" s="1"/>
      <c r="G523" s="2"/>
      <c r="H523" s="1"/>
      <c r="I523" s="1"/>
      <c r="J523" s="1"/>
      <c r="K523" s="1"/>
      <c r="M523" s="1"/>
      <c r="N523" s="1"/>
      <c r="O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2"/>
      <c r="AB523" s="1"/>
      <c r="AC523" s="1"/>
      <c r="AD523" s="1"/>
      <c r="AE523" s="1"/>
      <c r="AF523" s="1"/>
      <c r="AG523" s="1"/>
      <c r="AH523" s="2"/>
      <c r="AI523" s="2"/>
      <c r="AJ523" s="2"/>
      <c r="AK523" s="2"/>
      <c r="AL523" s="2"/>
      <c r="AM523" s="1"/>
      <c r="AN523" s="2"/>
      <c r="AP523" s="2"/>
      <c r="AQ523" s="1"/>
      <c r="AR523" s="2"/>
      <c r="AU523" s="1"/>
      <c r="AW523" s="1"/>
      <c r="AY523" s="2"/>
    </row>
    <row r="524">
      <c r="A524" s="1"/>
      <c r="C524" s="1"/>
      <c r="E524" s="1"/>
      <c r="F524" s="1"/>
      <c r="G524" s="2"/>
      <c r="H524" s="1"/>
      <c r="I524" s="1"/>
      <c r="J524" s="1"/>
      <c r="K524" s="1"/>
      <c r="M524" s="1"/>
      <c r="N524" s="1"/>
      <c r="O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2"/>
      <c r="AB524" s="1"/>
      <c r="AC524" s="1"/>
      <c r="AD524" s="1"/>
      <c r="AE524" s="1"/>
      <c r="AF524" s="1"/>
      <c r="AG524" s="1"/>
      <c r="AH524" s="2"/>
      <c r="AI524" s="2"/>
      <c r="AJ524" s="2"/>
      <c r="AK524" s="2"/>
      <c r="AL524" s="2"/>
      <c r="AM524" s="1"/>
      <c r="AN524" s="2"/>
      <c r="AP524" s="2"/>
      <c r="AQ524" s="1"/>
      <c r="AR524" s="2"/>
      <c r="AU524" s="1"/>
      <c r="AW524" s="1"/>
      <c r="AY524" s="2"/>
    </row>
    <row r="525">
      <c r="A525" s="1"/>
      <c r="C525" s="1"/>
      <c r="E525" s="1"/>
      <c r="F525" s="1"/>
      <c r="G525" s="2"/>
      <c r="H525" s="1"/>
      <c r="I525" s="1"/>
      <c r="J525" s="1"/>
      <c r="K525" s="1"/>
      <c r="M525" s="1"/>
      <c r="N525" s="1"/>
      <c r="O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2"/>
      <c r="AB525" s="1"/>
      <c r="AC525" s="1"/>
      <c r="AD525" s="1"/>
      <c r="AE525" s="1"/>
      <c r="AF525" s="1"/>
      <c r="AG525" s="1"/>
      <c r="AH525" s="2"/>
      <c r="AI525" s="2"/>
      <c r="AJ525" s="2"/>
      <c r="AK525" s="2"/>
      <c r="AL525" s="2"/>
      <c r="AM525" s="1"/>
      <c r="AN525" s="2"/>
      <c r="AP525" s="2"/>
      <c r="AQ525" s="1"/>
      <c r="AR525" s="2"/>
      <c r="AU525" s="1"/>
      <c r="AW525" s="1"/>
      <c r="AY525" s="2"/>
    </row>
    <row r="526">
      <c r="A526" s="1"/>
      <c r="C526" s="1"/>
      <c r="E526" s="1"/>
      <c r="F526" s="1"/>
      <c r="G526" s="2"/>
      <c r="H526" s="1"/>
      <c r="I526" s="1"/>
      <c r="J526" s="1"/>
      <c r="K526" s="1"/>
      <c r="M526" s="1"/>
      <c r="N526" s="1"/>
      <c r="O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2"/>
      <c r="AB526" s="1"/>
      <c r="AC526" s="1"/>
      <c r="AD526" s="1"/>
      <c r="AE526" s="1"/>
      <c r="AF526" s="1"/>
      <c r="AG526" s="1"/>
      <c r="AH526" s="2"/>
      <c r="AI526" s="2"/>
      <c r="AJ526" s="2"/>
      <c r="AK526" s="2"/>
      <c r="AL526" s="2"/>
      <c r="AM526" s="1"/>
      <c r="AN526" s="2"/>
      <c r="AP526" s="2"/>
      <c r="AQ526" s="1"/>
      <c r="AR526" s="2"/>
      <c r="AU526" s="1"/>
      <c r="AW526" s="1"/>
      <c r="AY526" s="2"/>
    </row>
    <row r="527">
      <c r="A527" s="1"/>
      <c r="C527" s="1"/>
      <c r="E527" s="1"/>
      <c r="F527" s="1"/>
      <c r="G527" s="2"/>
      <c r="H527" s="1"/>
      <c r="I527" s="1"/>
      <c r="J527" s="1"/>
      <c r="K527" s="1"/>
      <c r="M527" s="1"/>
      <c r="N527" s="1"/>
      <c r="O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2"/>
      <c r="AB527" s="1"/>
      <c r="AC527" s="1"/>
      <c r="AD527" s="1"/>
      <c r="AE527" s="1"/>
      <c r="AF527" s="1"/>
      <c r="AG527" s="1"/>
      <c r="AH527" s="2"/>
      <c r="AI527" s="2"/>
      <c r="AJ527" s="2"/>
      <c r="AK527" s="2"/>
      <c r="AL527" s="2"/>
      <c r="AM527" s="1"/>
      <c r="AN527" s="2"/>
      <c r="AP527" s="2"/>
      <c r="AQ527" s="1"/>
      <c r="AR527" s="2"/>
      <c r="AU527" s="1"/>
      <c r="AW527" s="1"/>
      <c r="AY527" s="2"/>
    </row>
    <row r="528">
      <c r="A528" s="1"/>
      <c r="C528" s="1"/>
      <c r="E528" s="1"/>
      <c r="F528" s="1"/>
      <c r="G528" s="2"/>
      <c r="H528" s="1"/>
      <c r="I528" s="1"/>
      <c r="J528" s="1"/>
      <c r="K528" s="1"/>
      <c r="M528" s="1"/>
      <c r="N528" s="1"/>
      <c r="O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2"/>
      <c r="AB528" s="1"/>
      <c r="AC528" s="1"/>
      <c r="AD528" s="1"/>
      <c r="AE528" s="1"/>
      <c r="AF528" s="1"/>
      <c r="AG528" s="1"/>
      <c r="AH528" s="2"/>
      <c r="AI528" s="2"/>
      <c r="AJ528" s="2"/>
      <c r="AK528" s="2"/>
      <c r="AL528" s="2"/>
      <c r="AM528" s="1"/>
      <c r="AN528" s="2"/>
      <c r="AP528" s="2"/>
      <c r="AQ528" s="1"/>
      <c r="AR528" s="2"/>
      <c r="AU528" s="1"/>
      <c r="AW528" s="1"/>
      <c r="AY528" s="2"/>
    </row>
    <row r="529">
      <c r="A529" s="1"/>
      <c r="C529" s="1"/>
      <c r="E529" s="1"/>
      <c r="F529" s="1"/>
      <c r="G529" s="2"/>
      <c r="H529" s="1"/>
      <c r="I529" s="1"/>
      <c r="J529" s="1"/>
      <c r="K529" s="1"/>
      <c r="M529" s="1"/>
      <c r="N529" s="1"/>
      <c r="O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2"/>
      <c r="AB529" s="1"/>
      <c r="AC529" s="1"/>
      <c r="AD529" s="1"/>
      <c r="AE529" s="1"/>
      <c r="AF529" s="1"/>
      <c r="AG529" s="1"/>
      <c r="AH529" s="2"/>
      <c r="AI529" s="2"/>
      <c r="AJ529" s="2"/>
      <c r="AK529" s="2"/>
      <c r="AL529" s="2"/>
      <c r="AM529" s="1"/>
      <c r="AN529" s="2"/>
      <c r="AP529" s="2"/>
      <c r="AQ529" s="1"/>
      <c r="AR529" s="2"/>
      <c r="AU529" s="1"/>
      <c r="AW529" s="1"/>
      <c r="AY529" s="2"/>
    </row>
    <row r="530">
      <c r="A530" s="1"/>
      <c r="C530" s="1"/>
      <c r="E530" s="1"/>
      <c r="F530" s="1"/>
      <c r="G530" s="2"/>
      <c r="H530" s="1"/>
      <c r="I530" s="1"/>
      <c r="J530" s="1"/>
      <c r="K530" s="1"/>
      <c r="M530" s="1"/>
      <c r="N530" s="1"/>
      <c r="O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2"/>
      <c r="AB530" s="1"/>
      <c r="AC530" s="1"/>
      <c r="AD530" s="1"/>
      <c r="AE530" s="1"/>
      <c r="AF530" s="1"/>
      <c r="AG530" s="1"/>
      <c r="AH530" s="2"/>
      <c r="AI530" s="2"/>
      <c r="AJ530" s="2"/>
      <c r="AK530" s="2"/>
      <c r="AL530" s="2"/>
      <c r="AM530" s="1"/>
      <c r="AN530" s="2"/>
      <c r="AP530" s="2"/>
      <c r="AQ530" s="1"/>
      <c r="AR530" s="2"/>
      <c r="AU530" s="1"/>
      <c r="AW530" s="1"/>
      <c r="AY530" s="2"/>
    </row>
    <row r="531">
      <c r="A531" s="1"/>
      <c r="C531" s="1"/>
      <c r="E531" s="1"/>
      <c r="F531" s="1"/>
      <c r="G531" s="2"/>
      <c r="H531" s="1"/>
      <c r="I531" s="1"/>
      <c r="J531" s="1"/>
      <c r="K531" s="1"/>
      <c r="M531" s="1"/>
      <c r="N531" s="1"/>
      <c r="O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2"/>
      <c r="AB531" s="1"/>
      <c r="AC531" s="1"/>
      <c r="AD531" s="1"/>
      <c r="AE531" s="1"/>
      <c r="AF531" s="1"/>
      <c r="AG531" s="1"/>
      <c r="AH531" s="2"/>
      <c r="AI531" s="2"/>
      <c r="AJ531" s="2"/>
      <c r="AK531" s="2"/>
      <c r="AL531" s="2"/>
      <c r="AM531" s="1"/>
      <c r="AN531" s="2"/>
      <c r="AP531" s="2"/>
      <c r="AQ531" s="1"/>
      <c r="AR531" s="2"/>
      <c r="AU531" s="1"/>
      <c r="AW531" s="1"/>
      <c r="AY531" s="2"/>
    </row>
    <row r="532">
      <c r="A532" s="1"/>
      <c r="C532" s="1"/>
      <c r="E532" s="1"/>
      <c r="F532" s="1"/>
      <c r="G532" s="2"/>
      <c r="H532" s="1"/>
      <c r="I532" s="1"/>
      <c r="J532" s="1"/>
      <c r="K532" s="1"/>
      <c r="M532" s="1"/>
      <c r="N532" s="1"/>
      <c r="O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2"/>
      <c r="AB532" s="1"/>
      <c r="AC532" s="1"/>
      <c r="AD532" s="1"/>
      <c r="AE532" s="1"/>
      <c r="AF532" s="1"/>
      <c r="AG532" s="1"/>
      <c r="AH532" s="2"/>
      <c r="AI532" s="2"/>
      <c r="AJ532" s="2"/>
      <c r="AK532" s="2"/>
      <c r="AL532" s="2"/>
      <c r="AM532" s="1"/>
      <c r="AN532" s="2"/>
      <c r="AP532" s="2"/>
      <c r="AQ532" s="1"/>
      <c r="AR532" s="2"/>
      <c r="AU532" s="1"/>
      <c r="AW532" s="1"/>
      <c r="AY532" s="2"/>
    </row>
    <row r="533">
      <c r="A533" s="1"/>
      <c r="C533" s="1"/>
      <c r="E533" s="1"/>
      <c r="F533" s="1"/>
      <c r="G533" s="2"/>
      <c r="H533" s="1"/>
      <c r="I533" s="1"/>
      <c r="J533" s="1"/>
      <c r="K533" s="1"/>
      <c r="M533" s="1"/>
      <c r="N533" s="1"/>
      <c r="O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2"/>
      <c r="AB533" s="1"/>
      <c r="AC533" s="1"/>
      <c r="AD533" s="1"/>
      <c r="AE533" s="1"/>
      <c r="AF533" s="1"/>
      <c r="AG533" s="1"/>
      <c r="AH533" s="2"/>
      <c r="AI533" s="2"/>
      <c r="AJ533" s="2"/>
      <c r="AK533" s="2"/>
      <c r="AL533" s="2"/>
      <c r="AM533" s="1"/>
      <c r="AN533" s="2"/>
      <c r="AP533" s="2"/>
      <c r="AQ533" s="1"/>
      <c r="AR533" s="2"/>
      <c r="AU533" s="1"/>
      <c r="AW533" s="1"/>
      <c r="AY533" s="2"/>
    </row>
    <row r="534">
      <c r="A534" s="1"/>
      <c r="C534" s="1"/>
      <c r="E534" s="1"/>
      <c r="F534" s="1"/>
      <c r="G534" s="2"/>
      <c r="H534" s="1"/>
      <c r="I534" s="1"/>
      <c r="J534" s="1"/>
      <c r="K534" s="1"/>
      <c r="M534" s="1"/>
      <c r="N534" s="1"/>
      <c r="O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2"/>
      <c r="AB534" s="1"/>
      <c r="AC534" s="1"/>
      <c r="AD534" s="1"/>
      <c r="AE534" s="1"/>
      <c r="AF534" s="1"/>
      <c r="AG534" s="1"/>
      <c r="AH534" s="2"/>
      <c r="AI534" s="2"/>
      <c r="AJ534" s="2"/>
      <c r="AK534" s="2"/>
      <c r="AL534" s="2"/>
      <c r="AM534" s="1"/>
      <c r="AN534" s="2"/>
      <c r="AP534" s="2"/>
      <c r="AQ534" s="1"/>
      <c r="AR534" s="2"/>
      <c r="AU534" s="1"/>
      <c r="AW534" s="1"/>
      <c r="AY534" s="2"/>
    </row>
    <row r="535">
      <c r="A535" s="1"/>
      <c r="C535" s="1"/>
      <c r="E535" s="1"/>
      <c r="F535" s="1"/>
      <c r="G535" s="2"/>
      <c r="H535" s="1"/>
      <c r="I535" s="1"/>
      <c r="J535" s="1"/>
      <c r="K535" s="1"/>
      <c r="M535" s="1"/>
      <c r="N535" s="1"/>
      <c r="O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2"/>
      <c r="AB535" s="1"/>
      <c r="AC535" s="1"/>
      <c r="AD535" s="1"/>
      <c r="AE535" s="1"/>
      <c r="AF535" s="1"/>
      <c r="AG535" s="1"/>
      <c r="AH535" s="2"/>
      <c r="AI535" s="2"/>
      <c r="AJ535" s="2"/>
      <c r="AK535" s="2"/>
      <c r="AL535" s="2"/>
      <c r="AM535" s="1"/>
      <c r="AN535" s="2"/>
      <c r="AP535" s="2"/>
      <c r="AQ535" s="1"/>
      <c r="AR535" s="2"/>
      <c r="AU535" s="1"/>
      <c r="AW535" s="1"/>
      <c r="AY535" s="2"/>
    </row>
    <row r="536">
      <c r="A536" s="1"/>
      <c r="C536" s="1"/>
      <c r="E536" s="1"/>
      <c r="F536" s="1"/>
      <c r="G536" s="2"/>
      <c r="H536" s="1"/>
      <c r="I536" s="1"/>
      <c r="J536" s="1"/>
      <c r="K536" s="1"/>
      <c r="M536" s="1"/>
      <c r="N536" s="1"/>
      <c r="O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2"/>
      <c r="AB536" s="1"/>
      <c r="AC536" s="1"/>
      <c r="AD536" s="1"/>
      <c r="AE536" s="1"/>
      <c r="AF536" s="1"/>
      <c r="AG536" s="1"/>
      <c r="AH536" s="2"/>
      <c r="AI536" s="2"/>
      <c r="AJ536" s="2"/>
      <c r="AK536" s="2"/>
      <c r="AL536" s="2"/>
      <c r="AM536" s="1"/>
      <c r="AN536" s="2"/>
      <c r="AP536" s="2"/>
      <c r="AQ536" s="1"/>
      <c r="AR536" s="2"/>
      <c r="AU536" s="1"/>
      <c r="AW536" s="1"/>
      <c r="AY536" s="2"/>
    </row>
    <row r="537">
      <c r="A537" s="1"/>
      <c r="C537" s="1"/>
      <c r="E537" s="1"/>
      <c r="F537" s="1"/>
      <c r="G537" s="2"/>
      <c r="H537" s="1"/>
      <c r="I537" s="1"/>
      <c r="J537" s="1"/>
      <c r="K537" s="1"/>
      <c r="M537" s="1"/>
      <c r="N537" s="1"/>
      <c r="O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2"/>
      <c r="AB537" s="1"/>
      <c r="AC537" s="1"/>
      <c r="AD537" s="1"/>
      <c r="AE537" s="1"/>
      <c r="AF537" s="1"/>
      <c r="AG537" s="1"/>
      <c r="AH537" s="2"/>
      <c r="AI537" s="2"/>
      <c r="AJ537" s="2"/>
      <c r="AK537" s="2"/>
      <c r="AL537" s="2"/>
      <c r="AM537" s="1"/>
      <c r="AN537" s="2"/>
      <c r="AP537" s="2"/>
      <c r="AQ537" s="1"/>
      <c r="AR537" s="2"/>
      <c r="AU537" s="1"/>
      <c r="AW537" s="1"/>
      <c r="AY537" s="2"/>
    </row>
    <row r="538">
      <c r="A538" s="1"/>
      <c r="C538" s="1"/>
      <c r="E538" s="1"/>
      <c r="F538" s="1"/>
      <c r="G538" s="2"/>
      <c r="H538" s="1"/>
      <c r="I538" s="1"/>
      <c r="J538" s="1"/>
      <c r="K538" s="1"/>
      <c r="M538" s="1"/>
      <c r="N538" s="1"/>
      <c r="O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2"/>
      <c r="AB538" s="1"/>
      <c r="AC538" s="1"/>
      <c r="AD538" s="1"/>
      <c r="AE538" s="1"/>
      <c r="AF538" s="1"/>
      <c r="AG538" s="1"/>
      <c r="AH538" s="2"/>
      <c r="AI538" s="2"/>
      <c r="AJ538" s="2"/>
      <c r="AK538" s="2"/>
      <c r="AL538" s="2"/>
      <c r="AM538" s="1"/>
      <c r="AN538" s="2"/>
      <c r="AP538" s="2"/>
      <c r="AQ538" s="1"/>
      <c r="AR538" s="2"/>
      <c r="AU538" s="1"/>
      <c r="AW538" s="1"/>
      <c r="AY538" s="2"/>
    </row>
    <row r="539">
      <c r="A539" s="1"/>
      <c r="C539" s="1"/>
      <c r="E539" s="1"/>
      <c r="F539" s="1"/>
      <c r="G539" s="2"/>
      <c r="H539" s="1"/>
      <c r="I539" s="1"/>
      <c r="J539" s="1"/>
      <c r="K539" s="1"/>
      <c r="M539" s="1"/>
      <c r="N539" s="1"/>
      <c r="O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2"/>
      <c r="AB539" s="1"/>
      <c r="AC539" s="1"/>
      <c r="AD539" s="1"/>
      <c r="AE539" s="1"/>
      <c r="AF539" s="1"/>
      <c r="AG539" s="1"/>
      <c r="AH539" s="2"/>
      <c r="AI539" s="2"/>
      <c r="AJ539" s="2"/>
      <c r="AK539" s="2"/>
      <c r="AL539" s="2"/>
      <c r="AM539" s="1"/>
      <c r="AN539" s="2"/>
      <c r="AP539" s="2"/>
      <c r="AQ539" s="1"/>
      <c r="AR539" s="2"/>
      <c r="AU539" s="1"/>
      <c r="AW539" s="1"/>
      <c r="AY539" s="2"/>
    </row>
    <row r="540">
      <c r="A540" s="1"/>
      <c r="C540" s="1"/>
      <c r="E540" s="1"/>
      <c r="F540" s="1"/>
      <c r="G540" s="2"/>
      <c r="H540" s="1"/>
      <c r="I540" s="1"/>
      <c r="J540" s="1"/>
      <c r="K540" s="1"/>
      <c r="M540" s="1"/>
      <c r="N540" s="1"/>
      <c r="O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2"/>
      <c r="AB540" s="1"/>
      <c r="AC540" s="1"/>
      <c r="AD540" s="1"/>
      <c r="AE540" s="1"/>
      <c r="AF540" s="1"/>
      <c r="AG540" s="1"/>
      <c r="AH540" s="2"/>
      <c r="AI540" s="2"/>
      <c r="AJ540" s="2"/>
      <c r="AK540" s="2"/>
      <c r="AL540" s="2"/>
      <c r="AM540" s="1"/>
      <c r="AN540" s="2"/>
      <c r="AP540" s="2"/>
      <c r="AQ540" s="1"/>
      <c r="AR540" s="2"/>
      <c r="AU540" s="1"/>
      <c r="AW540" s="1"/>
      <c r="AY540" s="2"/>
    </row>
    <row r="541">
      <c r="A541" s="1"/>
      <c r="C541" s="1"/>
      <c r="E541" s="1"/>
      <c r="F541" s="1"/>
      <c r="G541" s="2"/>
      <c r="H541" s="1"/>
      <c r="I541" s="1"/>
      <c r="J541" s="1"/>
      <c r="K541" s="1"/>
      <c r="M541" s="1"/>
      <c r="N541" s="1"/>
      <c r="O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2"/>
      <c r="AB541" s="1"/>
      <c r="AC541" s="1"/>
      <c r="AD541" s="1"/>
      <c r="AE541" s="1"/>
      <c r="AF541" s="1"/>
      <c r="AG541" s="1"/>
      <c r="AH541" s="2"/>
      <c r="AI541" s="2"/>
      <c r="AJ541" s="2"/>
      <c r="AK541" s="2"/>
      <c r="AL541" s="2"/>
      <c r="AM541" s="1"/>
      <c r="AN541" s="2"/>
      <c r="AP541" s="2"/>
      <c r="AQ541" s="1"/>
      <c r="AR541" s="2"/>
      <c r="AU541" s="1"/>
      <c r="AW541" s="1"/>
      <c r="AY541" s="2"/>
    </row>
    <row r="542">
      <c r="A542" s="1"/>
      <c r="C542" s="1"/>
      <c r="E542" s="1"/>
      <c r="F542" s="1"/>
      <c r="G542" s="2"/>
      <c r="H542" s="1"/>
      <c r="I542" s="1"/>
      <c r="J542" s="1"/>
      <c r="K542" s="1"/>
      <c r="M542" s="1"/>
      <c r="N542" s="1"/>
      <c r="O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2"/>
      <c r="AB542" s="1"/>
      <c r="AC542" s="1"/>
      <c r="AD542" s="1"/>
      <c r="AE542" s="1"/>
      <c r="AF542" s="1"/>
      <c r="AG542" s="1"/>
      <c r="AH542" s="2"/>
      <c r="AI542" s="2"/>
      <c r="AJ542" s="2"/>
      <c r="AK542" s="2"/>
      <c r="AL542" s="2"/>
      <c r="AM542" s="1"/>
      <c r="AN542" s="2"/>
      <c r="AP542" s="2"/>
      <c r="AQ542" s="1"/>
      <c r="AR542" s="2"/>
      <c r="AU542" s="1"/>
      <c r="AW542" s="1"/>
      <c r="AY542" s="2"/>
    </row>
    <row r="543">
      <c r="A543" s="1"/>
      <c r="C543" s="1"/>
      <c r="E543" s="1"/>
      <c r="F543" s="1"/>
      <c r="G543" s="2"/>
      <c r="H543" s="1"/>
      <c r="I543" s="1"/>
      <c r="J543" s="1"/>
      <c r="K543" s="1"/>
      <c r="M543" s="1"/>
      <c r="N543" s="1"/>
      <c r="O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2"/>
      <c r="AB543" s="1"/>
      <c r="AC543" s="1"/>
      <c r="AD543" s="1"/>
      <c r="AE543" s="1"/>
      <c r="AF543" s="1"/>
      <c r="AG543" s="1"/>
      <c r="AH543" s="2"/>
      <c r="AI543" s="2"/>
      <c r="AJ543" s="2"/>
      <c r="AK543" s="2"/>
      <c r="AL543" s="2"/>
      <c r="AM543" s="1"/>
      <c r="AN543" s="2"/>
      <c r="AP543" s="2"/>
      <c r="AQ543" s="1"/>
      <c r="AR543" s="2"/>
      <c r="AU543" s="1"/>
      <c r="AW543" s="1"/>
      <c r="AY543" s="2"/>
    </row>
    <row r="544">
      <c r="A544" s="1"/>
      <c r="C544" s="1"/>
      <c r="E544" s="1"/>
      <c r="F544" s="1"/>
      <c r="G544" s="2"/>
      <c r="H544" s="1"/>
      <c r="I544" s="1"/>
      <c r="J544" s="1"/>
      <c r="K544" s="1"/>
      <c r="M544" s="1"/>
      <c r="N544" s="1"/>
      <c r="O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2"/>
      <c r="AB544" s="1"/>
      <c r="AC544" s="1"/>
      <c r="AD544" s="1"/>
      <c r="AE544" s="1"/>
      <c r="AF544" s="1"/>
      <c r="AG544" s="1"/>
      <c r="AH544" s="2"/>
      <c r="AI544" s="2"/>
      <c r="AJ544" s="2"/>
      <c r="AK544" s="2"/>
      <c r="AL544" s="2"/>
      <c r="AM544" s="1"/>
      <c r="AN544" s="2"/>
      <c r="AP544" s="2"/>
      <c r="AQ544" s="1"/>
      <c r="AR544" s="2"/>
      <c r="AU544" s="1"/>
      <c r="AW544" s="1"/>
      <c r="AY544" s="2"/>
    </row>
    <row r="545">
      <c r="A545" s="1"/>
      <c r="C545" s="1"/>
      <c r="E545" s="1"/>
      <c r="F545" s="1"/>
      <c r="G545" s="2"/>
      <c r="H545" s="1"/>
      <c r="I545" s="1"/>
      <c r="J545" s="1"/>
      <c r="K545" s="1"/>
      <c r="M545" s="1"/>
      <c r="N545" s="1"/>
      <c r="O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2"/>
      <c r="AB545" s="1"/>
      <c r="AC545" s="1"/>
      <c r="AD545" s="1"/>
      <c r="AE545" s="1"/>
      <c r="AF545" s="1"/>
      <c r="AG545" s="1"/>
      <c r="AH545" s="2"/>
      <c r="AI545" s="2"/>
      <c r="AJ545" s="2"/>
      <c r="AK545" s="2"/>
      <c r="AL545" s="2"/>
      <c r="AM545" s="1"/>
      <c r="AN545" s="2"/>
      <c r="AP545" s="2"/>
      <c r="AQ545" s="1"/>
      <c r="AR545" s="2"/>
      <c r="AU545" s="1"/>
      <c r="AW545" s="1"/>
      <c r="AY545" s="2"/>
    </row>
    <row r="546">
      <c r="A546" s="1"/>
      <c r="C546" s="1"/>
      <c r="E546" s="1"/>
      <c r="F546" s="1"/>
      <c r="G546" s="2"/>
      <c r="H546" s="1"/>
      <c r="I546" s="1"/>
      <c r="J546" s="1"/>
      <c r="K546" s="1"/>
      <c r="M546" s="1"/>
      <c r="N546" s="1"/>
      <c r="O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2"/>
      <c r="AB546" s="1"/>
      <c r="AC546" s="1"/>
      <c r="AD546" s="1"/>
      <c r="AE546" s="1"/>
      <c r="AF546" s="1"/>
      <c r="AG546" s="1"/>
      <c r="AH546" s="2"/>
      <c r="AI546" s="2"/>
      <c r="AJ546" s="2"/>
      <c r="AK546" s="2"/>
      <c r="AL546" s="2"/>
      <c r="AM546" s="1"/>
      <c r="AN546" s="2"/>
      <c r="AP546" s="2"/>
      <c r="AQ546" s="1"/>
      <c r="AR546" s="2"/>
      <c r="AU546" s="1"/>
      <c r="AW546" s="1"/>
      <c r="AY546" s="2"/>
    </row>
    <row r="547">
      <c r="A547" s="1"/>
      <c r="C547" s="1"/>
      <c r="E547" s="1"/>
      <c r="F547" s="1"/>
      <c r="G547" s="2"/>
      <c r="H547" s="1"/>
      <c r="I547" s="1"/>
      <c r="J547" s="1"/>
      <c r="K547" s="1"/>
      <c r="M547" s="1"/>
      <c r="N547" s="1"/>
      <c r="O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2"/>
      <c r="AB547" s="1"/>
      <c r="AC547" s="1"/>
      <c r="AD547" s="1"/>
      <c r="AE547" s="1"/>
      <c r="AF547" s="1"/>
      <c r="AG547" s="1"/>
      <c r="AH547" s="2"/>
      <c r="AI547" s="2"/>
      <c r="AJ547" s="2"/>
      <c r="AK547" s="2"/>
      <c r="AL547" s="2"/>
      <c r="AM547" s="1"/>
      <c r="AN547" s="2"/>
      <c r="AP547" s="2"/>
      <c r="AQ547" s="1"/>
      <c r="AR547" s="2"/>
      <c r="AU547" s="1"/>
      <c r="AW547" s="1"/>
      <c r="AY547" s="2"/>
    </row>
    <row r="548">
      <c r="A548" s="1"/>
      <c r="C548" s="1"/>
      <c r="E548" s="1"/>
      <c r="F548" s="1"/>
      <c r="G548" s="2"/>
      <c r="H548" s="1"/>
      <c r="I548" s="1"/>
      <c r="J548" s="1"/>
      <c r="K548" s="1"/>
      <c r="M548" s="1"/>
      <c r="N548" s="1"/>
      <c r="O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2"/>
      <c r="AB548" s="1"/>
      <c r="AC548" s="1"/>
      <c r="AD548" s="1"/>
      <c r="AE548" s="1"/>
      <c r="AF548" s="1"/>
      <c r="AG548" s="1"/>
      <c r="AH548" s="2"/>
      <c r="AI548" s="2"/>
      <c r="AJ548" s="2"/>
      <c r="AK548" s="2"/>
      <c r="AL548" s="2"/>
      <c r="AM548" s="1"/>
      <c r="AN548" s="2"/>
      <c r="AP548" s="2"/>
      <c r="AQ548" s="1"/>
      <c r="AR548" s="2"/>
      <c r="AU548" s="1"/>
      <c r="AW548" s="1"/>
      <c r="AY548" s="2"/>
    </row>
    <row r="549">
      <c r="A549" s="1"/>
      <c r="C549" s="1"/>
      <c r="E549" s="1"/>
      <c r="F549" s="1"/>
      <c r="G549" s="2"/>
      <c r="H549" s="1"/>
      <c r="I549" s="1"/>
      <c r="J549" s="1"/>
      <c r="K549" s="1"/>
      <c r="M549" s="1"/>
      <c r="N549" s="1"/>
      <c r="O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2"/>
      <c r="AB549" s="1"/>
      <c r="AC549" s="1"/>
      <c r="AD549" s="1"/>
      <c r="AE549" s="1"/>
      <c r="AF549" s="1"/>
      <c r="AG549" s="1"/>
      <c r="AH549" s="2"/>
      <c r="AI549" s="2"/>
      <c r="AJ549" s="2"/>
      <c r="AK549" s="2"/>
      <c r="AL549" s="2"/>
      <c r="AM549" s="1"/>
      <c r="AN549" s="2"/>
      <c r="AP549" s="2"/>
      <c r="AQ549" s="1"/>
      <c r="AR549" s="2"/>
      <c r="AU549" s="1"/>
      <c r="AW549" s="1"/>
      <c r="AY549" s="2"/>
    </row>
    <row r="550">
      <c r="A550" s="1"/>
      <c r="C550" s="1"/>
      <c r="E550" s="1"/>
      <c r="F550" s="1"/>
      <c r="G550" s="2"/>
      <c r="H550" s="1"/>
      <c r="I550" s="1"/>
      <c r="J550" s="1"/>
      <c r="K550" s="1"/>
      <c r="M550" s="1"/>
      <c r="N550" s="1"/>
      <c r="O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2"/>
      <c r="AB550" s="1"/>
      <c r="AC550" s="1"/>
      <c r="AD550" s="1"/>
      <c r="AE550" s="1"/>
      <c r="AF550" s="1"/>
      <c r="AG550" s="1"/>
      <c r="AH550" s="2"/>
      <c r="AI550" s="2"/>
      <c r="AJ550" s="2"/>
      <c r="AK550" s="2"/>
      <c r="AL550" s="2"/>
      <c r="AM550" s="1"/>
      <c r="AN550" s="2"/>
      <c r="AP550" s="2"/>
      <c r="AQ550" s="1"/>
      <c r="AR550" s="2"/>
      <c r="AU550" s="1"/>
      <c r="AW550" s="1"/>
      <c r="AY550" s="2"/>
    </row>
    <row r="551">
      <c r="A551" s="1"/>
      <c r="C551" s="1"/>
      <c r="E551" s="1"/>
      <c r="F551" s="1"/>
      <c r="G551" s="2"/>
      <c r="H551" s="1"/>
      <c r="I551" s="1"/>
      <c r="J551" s="1"/>
      <c r="K551" s="1"/>
      <c r="M551" s="1"/>
      <c r="N551" s="1"/>
      <c r="O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2"/>
      <c r="AB551" s="1"/>
      <c r="AC551" s="1"/>
      <c r="AD551" s="1"/>
      <c r="AE551" s="1"/>
      <c r="AF551" s="1"/>
      <c r="AG551" s="1"/>
      <c r="AH551" s="2"/>
      <c r="AI551" s="2"/>
      <c r="AJ551" s="2"/>
      <c r="AK551" s="2"/>
      <c r="AL551" s="2"/>
      <c r="AM551" s="1"/>
      <c r="AN551" s="2"/>
      <c r="AP551" s="2"/>
      <c r="AQ551" s="1"/>
      <c r="AR551" s="2"/>
      <c r="AU551" s="1"/>
      <c r="AW551" s="1"/>
      <c r="AY551" s="2"/>
    </row>
    <row r="552">
      <c r="A552" s="1"/>
      <c r="C552" s="1"/>
      <c r="E552" s="1"/>
      <c r="F552" s="1"/>
      <c r="G552" s="2"/>
      <c r="H552" s="1"/>
      <c r="I552" s="1"/>
      <c r="J552" s="1"/>
      <c r="K552" s="1"/>
      <c r="M552" s="1"/>
      <c r="N552" s="1"/>
      <c r="O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2"/>
      <c r="AB552" s="1"/>
      <c r="AC552" s="1"/>
      <c r="AD552" s="1"/>
      <c r="AE552" s="1"/>
      <c r="AF552" s="1"/>
      <c r="AG552" s="1"/>
      <c r="AH552" s="2"/>
      <c r="AI552" s="2"/>
      <c r="AJ552" s="2"/>
      <c r="AK552" s="2"/>
      <c r="AL552" s="2"/>
      <c r="AM552" s="1"/>
      <c r="AN552" s="2"/>
      <c r="AP552" s="2"/>
      <c r="AQ552" s="1"/>
      <c r="AR552" s="2"/>
      <c r="AU552" s="1"/>
      <c r="AW552" s="1"/>
      <c r="AY552" s="2"/>
    </row>
    <row r="553">
      <c r="A553" s="1"/>
      <c r="C553" s="1"/>
      <c r="E553" s="1"/>
      <c r="F553" s="1"/>
      <c r="G553" s="2"/>
      <c r="H553" s="1"/>
      <c r="I553" s="1"/>
      <c r="J553" s="1"/>
      <c r="K553" s="1"/>
      <c r="M553" s="1"/>
      <c r="N553" s="1"/>
      <c r="O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2"/>
      <c r="AI553" s="2"/>
      <c r="AJ553" s="2"/>
      <c r="AK553" s="2"/>
      <c r="AL553" s="2"/>
      <c r="AM553" s="1"/>
      <c r="AN553" s="2"/>
      <c r="AP553" s="2"/>
      <c r="AQ553" s="1"/>
      <c r="AR553" s="2"/>
      <c r="AU553" s="1"/>
      <c r="AW553" s="1"/>
      <c r="AY553" s="2"/>
    </row>
    <row r="554">
      <c r="A554" s="1"/>
      <c r="C554" s="1"/>
      <c r="E554" s="1"/>
      <c r="F554" s="1"/>
      <c r="G554" s="2"/>
      <c r="H554" s="1"/>
      <c r="I554" s="1"/>
      <c r="J554" s="1"/>
      <c r="K554" s="1"/>
      <c r="M554" s="1"/>
      <c r="N554" s="1"/>
      <c r="O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2"/>
      <c r="AB554" s="1"/>
      <c r="AC554" s="1"/>
      <c r="AD554" s="1"/>
      <c r="AE554" s="1"/>
      <c r="AF554" s="1"/>
      <c r="AG554" s="1"/>
      <c r="AH554" s="2"/>
      <c r="AI554" s="2"/>
      <c r="AJ554" s="2"/>
      <c r="AK554" s="2"/>
      <c r="AL554" s="2"/>
      <c r="AM554" s="1"/>
      <c r="AN554" s="2"/>
      <c r="AP554" s="2"/>
      <c r="AQ554" s="1"/>
      <c r="AR554" s="2"/>
      <c r="AU554" s="1"/>
      <c r="AW554" s="1"/>
      <c r="AY554" s="2"/>
    </row>
    <row r="555">
      <c r="A555" s="1"/>
      <c r="C555" s="1"/>
      <c r="E555" s="1"/>
      <c r="F555" s="1"/>
      <c r="G555" s="2"/>
      <c r="H555" s="1"/>
      <c r="I555" s="1"/>
      <c r="J555" s="1"/>
      <c r="K555" s="1"/>
      <c r="M555" s="1"/>
      <c r="N555" s="1"/>
      <c r="O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2"/>
      <c r="AB555" s="1"/>
      <c r="AC555" s="1"/>
      <c r="AD555" s="1"/>
      <c r="AE555" s="1"/>
      <c r="AF555" s="1"/>
      <c r="AG555" s="1"/>
      <c r="AH555" s="2"/>
      <c r="AI555" s="2"/>
      <c r="AJ555" s="2"/>
      <c r="AK555" s="2"/>
      <c r="AL555" s="2"/>
      <c r="AM555" s="1"/>
      <c r="AN555" s="2"/>
      <c r="AP555" s="2"/>
      <c r="AQ555" s="1"/>
      <c r="AR555" s="2"/>
      <c r="AU555" s="1"/>
      <c r="AW555" s="1"/>
      <c r="AY555" s="2"/>
    </row>
    <row r="556">
      <c r="A556" s="1"/>
      <c r="C556" s="1"/>
      <c r="E556" s="1"/>
      <c r="F556" s="1"/>
      <c r="G556" s="2"/>
      <c r="H556" s="1"/>
      <c r="I556" s="1"/>
      <c r="J556" s="1"/>
      <c r="K556" s="1"/>
      <c r="M556" s="1"/>
      <c r="N556" s="1"/>
      <c r="O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2"/>
      <c r="AB556" s="1"/>
      <c r="AC556" s="1"/>
      <c r="AD556" s="1"/>
      <c r="AE556" s="1"/>
      <c r="AF556" s="1"/>
      <c r="AG556" s="1"/>
      <c r="AH556" s="2"/>
      <c r="AI556" s="2"/>
      <c r="AJ556" s="2"/>
      <c r="AK556" s="2"/>
      <c r="AL556" s="2"/>
      <c r="AM556" s="1"/>
      <c r="AN556" s="2"/>
      <c r="AP556" s="2"/>
      <c r="AQ556" s="1"/>
      <c r="AR556" s="2"/>
      <c r="AU556" s="1"/>
      <c r="AW556" s="1"/>
      <c r="AY556" s="2"/>
    </row>
    <row r="557">
      <c r="A557" s="1"/>
      <c r="C557" s="1"/>
      <c r="E557" s="1"/>
      <c r="F557" s="1"/>
      <c r="G557" s="2"/>
      <c r="H557" s="1"/>
      <c r="I557" s="1"/>
      <c r="J557" s="1"/>
      <c r="K557" s="1"/>
      <c r="M557" s="1"/>
      <c r="N557" s="1"/>
      <c r="O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2"/>
      <c r="AB557" s="1"/>
      <c r="AC557" s="1"/>
      <c r="AD557" s="1"/>
      <c r="AE557" s="1"/>
      <c r="AF557" s="1"/>
      <c r="AG557" s="1"/>
      <c r="AH557" s="2"/>
      <c r="AI557" s="2"/>
      <c r="AJ557" s="2"/>
      <c r="AK557" s="2"/>
      <c r="AL557" s="2"/>
      <c r="AM557" s="1"/>
      <c r="AN557" s="2"/>
      <c r="AP557" s="2"/>
      <c r="AQ557" s="1"/>
      <c r="AR557" s="2"/>
      <c r="AU557" s="1"/>
      <c r="AW557" s="1"/>
      <c r="AY557" s="2"/>
    </row>
    <row r="558">
      <c r="A558" s="1"/>
      <c r="C558" s="1"/>
      <c r="E558" s="1"/>
      <c r="F558" s="1"/>
      <c r="G558" s="2"/>
      <c r="H558" s="1"/>
      <c r="I558" s="1"/>
      <c r="J558" s="1"/>
      <c r="K558" s="1"/>
      <c r="M558" s="1"/>
      <c r="N558" s="1"/>
      <c r="O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2"/>
      <c r="AB558" s="1"/>
      <c r="AC558" s="1"/>
      <c r="AD558" s="1"/>
      <c r="AE558" s="1"/>
      <c r="AF558" s="1"/>
      <c r="AG558" s="1"/>
      <c r="AH558" s="2"/>
      <c r="AI558" s="2"/>
      <c r="AJ558" s="2"/>
      <c r="AK558" s="2"/>
      <c r="AL558" s="2"/>
      <c r="AM558" s="1"/>
      <c r="AN558" s="2"/>
      <c r="AP558" s="2"/>
      <c r="AQ558" s="1"/>
      <c r="AR558" s="2"/>
      <c r="AU558" s="1"/>
      <c r="AW558" s="1"/>
      <c r="AY558" s="2"/>
    </row>
    <row r="559">
      <c r="A559" s="1"/>
      <c r="C559" s="1"/>
      <c r="E559" s="1"/>
      <c r="F559" s="1"/>
      <c r="G559" s="2"/>
      <c r="H559" s="1"/>
      <c r="I559" s="1"/>
      <c r="J559" s="1"/>
      <c r="K559" s="1"/>
      <c r="M559" s="1"/>
      <c r="N559" s="1"/>
      <c r="O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2"/>
      <c r="AB559" s="1"/>
      <c r="AC559" s="1"/>
      <c r="AD559" s="1"/>
      <c r="AE559" s="1"/>
      <c r="AF559" s="1"/>
      <c r="AG559" s="1"/>
      <c r="AH559" s="2"/>
      <c r="AI559" s="2"/>
      <c r="AJ559" s="2"/>
      <c r="AK559" s="2"/>
      <c r="AL559" s="2"/>
      <c r="AM559" s="1"/>
      <c r="AN559" s="2"/>
      <c r="AP559" s="2"/>
      <c r="AQ559" s="1"/>
      <c r="AR559" s="2"/>
      <c r="AU559" s="1"/>
      <c r="AW559" s="1"/>
      <c r="AY559" s="2"/>
    </row>
    <row r="560">
      <c r="A560" s="1"/>
      <c r="C560" s="1"/>
      <c r="E560" s="1"/>
      <c r="F560" s="1"/>
      <c r="G560" s="2"/>
      <c r="H560" s="1"/>
      <c r="I560" s="1"/>
      <c r="J560" s="1"/>
      <c r="K560" s="1"/>
      <c r="M560" s="1"/>
      <c r="N560" s="1"/>
      <c r="O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2"/>
      <c r="AB560" s="1"/>
      <c r="AC560" s="1"/>
      <c r="AD560" s="1"/>
      <c r="AE560" s="1"/>
      <c r="AF560" s="1"/>
      <c r="AG560" s="1"/>
      <c r="AH560" s="2"/>
      <c r="AI560" s="2"/>
      <c r="AJ560" s="2"/>
      <c r="AK560" s="2"/>
      <c r="AL560" s="2"/>
      <c r="AM560" s="1"/>
      <c r="AN560" s="2"/>
      <c r="AP560" s="2"/>
      <c r="AQ560" s="1"/>
      <c r="AR560" s="2"/>
      <c r="AU560" s="1"/>
      <c r="AW560" s="1"/>
      <c r="AY560" s="2"/>
    </row>
    <row r="561">
      <c r="A561" s="1"/>
      <c r="C561" s="1"/>
      <c r="E561" s="1"/>
      <c r="F561" s="1"/>
      <c r="G561" s="2"/>
      <c r="H561" s="1"/>
      <c r="I561" s="1"/>
      <c r="J561" s="1"/>
      <c r="K561" s="1"/>
      <c r="M561" s="1"/>
      <c r="N561" s="1"/>
      <c r="O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2"/>
      <c r="AB561" s="1"/>
      <c r="AC561" s="1"/>
      <c r="AD561" s="1"/>
      <c r="AE561" s="1"/>
      <c r="AF561" s="1"/>
      <c r="AG561" s="1"/>
      <c r="AH561" s="2"/>
      <c r="AI561" s="2"/>
      <c r="AJ561" s="2"/>
      <c r="AK561" s="2"/>
      <c r="AL561" s="2"/>
      <c r="AM561" s="1"/>
      <c r="AN561" s="2"/>
      <c r="AP561" s="2"/>
      <c r="AQ561" s="1"/>
      <c r="AR561" s="2"/>
      <c r="AU561" s="1"/>
      <c r="AW561" s="1"/>
      <c r="AY561" s="2"/>
    </row>
    <row r="562">
      <c r="A562" s="1"/>
      <c r="C562" s="1"/>
      <c r="E562" s="1"/>
      <c r="F562" s="1"/>
      <c r="G562" s="2"/>
      <c r="H562" s="1"/>
      <c r="I562" s="1"/>
      <c r="J562" s="1"/>
      <c r="K562" s="1"/>
      <c r="M562" s="1"/>
      <c r="N562" s="1"/>
      <c r="O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2"/>
      <c r="AB562" s="1"/>
      <c r="AC562" s="1"/>
      <c r="AD562" s="1"/>
      <c r="AE562" s="1"/>
      <c r="AF562" s="1"/>
      <c r="AG562" s="1"/>
      <c r="AH562" s="2"/>
      <c r="AI562" s="2"/>
      <c r="AJ562" s="2"/>
      <c r="AK562" s="2"/>
      <c r="AL562" s="2"/>
      <c r="AM562" s="1"/>
      <c r="AN562" s="2"/>
      <c r="AP562" s="2"/>
      <c r="AQ562" s="1"/>
      <c r="AR562" s="2"/>
      <c r="AU562" s="1"/>
      <c r="AW562" s="1"/>
      <c r="AY562" s="2"/>
    </row>
    <row r="563">
      <c r="A563" s="1"/>
      <c r="C563" s="1"/>
      <c r="E563" s="1"/>
      <c r="F563" s="1"/>
      <c r="G563" s="2"/>
      <c r="H563" s="1"/>
      <c r="I563" s="1"/>
      <c r="J563" s="1"/>
      <c r="K563" s="1"/>
      <c r="M563" s="1"/>
      <c r="N563" s="1"/>
      <c r="O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2"/>
      <c r="AB563" s="1"/>
      <c r="AC563" s="1"/>
      <c r="AD563" s="1"/>
      <c r="AE563" s="1"/>
      <c r="AF563" s="1"/>
      <c r="AG563" s="1"/>
      <c r="AH563" s="2"/>
      <c r="AI563" s="2"/>
      <c r="AJ563" s="2"/>
      <c r="AK563" s="2"/>
      <c r="AL563" s="2"/>
      <c r="AM563" s="1"/>
      <c r="AN563" s="2"/>
      <c r="AP563" s="2"/>
      <c r="AQ563" s="1"/>
      <c r="AR563" s="2"/>
      <c r="AU563" s="1"/>
      <c r="AW563" s="1"/>
      <c r="AY563" s="2"/>
    </row>
    <row r="564">
      <c r="A564" s="1"/>
      <c r="C564" s="1"/>
      <c r="E564" s="1"/>
      <c r="F564" s="1"/>
      <c r="G564" s="2"/>
      <c r="H564" s="1"/>
      <c r="I564" s="1"/>
      <c r="J564" s="1"/>
      <c r="K564" s="1"/>
      <c r="M564" s="1"/>
      <c r="N564" s="1"/>
      <c r="O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2"/>
      <c r="AB564" s="1"/>
      <c r="AC564" s="1"/>
      <c r="AD564" s="1"/>
      <c r="AE564" s="1"/>
      <c r="AF564" s="1"/>
      <c r="AG564" s="1"/>
      <c r="AH564" s="2"/>
      <c r="AI564" s="2"/>
      <c r="AJ564" s="2"/>
      <c r="AK564" s="2"/>
      <c r="AL564" s="2"/>
      <c r="AM564" s="1"/>
      <c r="AN564" s="2"/>
      <c r="AP564" s="2"/>
      <c r="AQ564" s="1"/>
      <c r="AR564" s="2"/>
      <c r="AU564" s="1"/>
      <c r="AW564" s="1"/>
      <c r="AY564" s="2"/>
    </row>
    <row r="565">
      <c r="A565" s="1"/>
      <c r="C565" s="1"/>
      <c r="E565" s="1"/>
      <c r="F565" s="1"/>
      <c r="G565" s="2"/>
      <c r="H565" s="1"/>
      <c r="I565" s="1"/>
      <c r="J565" s="1"/>
      <c r="K565" s="1"/>
      <c r="M565" s="1"/>
      <c r="N565" s="1"/>
      <c r="O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2"/>
      <c r="AB565" s="1"/>
      <c r="AC565" s="1"/>
      <c r="AD565" s="1"/>
      <c r="AE565" s="1"/>
      <c r="AF565" s="1"/>
      <c r="AG565" s="1"/>
      <c r="AH565" s="2"/>
      <c r="AI565" s="2"/>
      <c r="AJ565" s="2"/>
      <c r="AK565" s="2"/>
      <c r="AL565" s="2"/>
      <c r="AM565" s="1"/>
      <c r="AN565" s="2"/>
      <c r="AP565" s="2"/>
      <c r="AQ565" s="1"/>
      <c r="AR565" s="2"/>
      <c r="AU565" s="1"/>
      <c r="AW565" s="1"/>
      <c r="AY565" s="2"/>
    </row>
    <row r="566">
      <c r="A566" s="1"/>
      <c r="C566" s="1"/>
      <c r="E566" s="1"/>
      <c r="F566" s="1"/>
      <c r="G566" s="2"/>
      <c r="H566" s="1"/>
      <c r="I566" s="1"/>
      <c r="J566" s="1"/>
      <c r="K566" s="1"/>
      <c r="M566" s="1"/>
      <c r="N566" s="1"/>
      <c r="O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2"/>
      <c r="AB566" s="1"/>
      <c r="AC566" s="1"/>
      <c r="AD566" s="1"/>
      <c r="AE566" s="1"/>
      <c r="AF566" s="1"/>
      <c r="AG566" s="1"/>
      <c r="AH566" s="2"/>
      <c r="AI566" s="2"/>
      <c r="AJ566" s="2"/>
      <c r="AK566" s="2"/>
      <c r="AL566" s="2"/>
      <c r="AM566" s="1"/>
      <c r="AN566" s="2"/>
      <c r="AP566" s="2"/>
      <c r="AQ566" s="1"/>
      <c r="AR566" s="2"/>
      <c r="AU566" s="1"/>
      <c r="AW566" s="1"/>
      <c r="AY566" s="2"/>
    </row>
    <row r="567">
      <c r="A567" s="1"/>
      <c r="C567" s="1"/>
      <c r="E567" s="1"/>
      <c r="F567" s="1"/>
      <c r="G567" s="2"/>
      <c r="H567" s="1"/>
      <c r="I567" s="1"/>
      <c r="J567" s="1"/>
      <c r="K567" s="1"/>
      <c r="M567" s="1"/>
      <c r="N567" s="1"/>
      <c r="O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2"/>
      <c r="AB567" s="1"/>
      <c r="AC567" s="1"/>
      <c r="AD567" s="1"/>
      <c r="AE567" s="1"/>
      <c r="AF567" s="1"/>
      <c r="AG567" s="1"/>
      <c r="AH567" s="2"/>
      <c r="AI567" s="2"/>
      <c r="AJ567" s="2"/>
      <c r="AK567" s="2"/>
      <c r="AL567" s="2"/>
      <c r="AM567" s="1"/>
      <c r="AN567" s="2"/>
      <c r="AP567" s="2"/>
      <c r="AQ567" s="1"/>
      <c r="AR567" s="2"/>
      <c r="AU567" s="1"/>
      <c r="AW567" s="1"/>
      <c r="AY567" s="2"/>
    </row>
    <row r="568">
      <c r="A568" s="1"/>
      <c r="C568" s="1"/>
      <c r="E568" s="1"/>
      <c r="F568" s="1"/>
      <c r="G568" s="2"/>
      <c r="H568" s="1"/>
      <c r="I568" s="1"/>
      <c r="J568" s="1"/>
      <c r="K568" s="1"/>
      <c r="M568" s="1"/>
      <c r="N568" s="1"/>
      <c r="O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2"/>
      <c r="AB568" s="1"/>
      <c r="AC568" s="1"/>
      <c r="AD568" s="1"/>
      <c r="AE568" s="1"/>
      <c r="AF568" s="1"/>
      <c r="AG568" s="1"/>
      <c r="AH568" s="2"/>
      <c r="AI568" s="2"/>
      <c r="AJ568" s="2"/>
      <c r="AK568" s="2"/>
      <c r="AL568" s="2"/>
      <c r="AM568" s="1"/>
      <c r="AN568" s="2"/>
      <c r="AP568" s="2"/>
      <c r="AQ568" s="1"/>
      <c r="AR568" s="2"/>
      <c r="AU568" s="1"/>
      <c r="AW568" s="1"/>
      <c r="AY568" s="2"/>
    </row>
    <row r="569">
      <c r="A569" s="1"/>
      <c r="C569" s="1"/>
      <c r="E569" s="1"/>
      <c r="F569" s="1"/>
      <c r="G569" s="2"/>
      <c r="H569" s="1"/>
      <c r="I569" s="1"/>
      <c r="J569" s="1"/>
      <c r="K569" s="1"/>
      <c r="M569" s="1"/>
      <c r="N569" s="1"/>
      <c r="O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2"/>
      <c r="AB569" s="1"/>
      <c r="AC569" s="1"/>
      <c r="AD569" s="1"/>
      <c r="AE569" s="1"/>
      <c r="AF569" s="1"/>
      <c r="AG569" s="1"/>
      <c r="AH569" s="2"/>
      <c r="AI569" s="2"/>
      <c r="AJ569" s="2"/>
      <c r="AK569" s="2"/>
      <c r="AL569" s="2"/>
      <c r="AM569" s="1"/>
      <c r="AN569" s="2"/>
      <c r="AP569" s="2"/>
      <c r="AQ569" s="1"/>
      <c r="AR569" s="2"/>
      <c r="AU569" s="1"/>
      <c r="AW569" s="1"/>
      <c r="AY569" s="2"/>
    </row>
    <row r="570">
      <c r="A570" s="1"/>
      <c r="C570" s="1"/>
      <c r="E570" s="1"/>
      <c r="F570" s="1"/>
      <c r="G570" s="2"/>
      <c r="H570" s="1"/>
      <c r="I570" s="1"/>
      <c r="J570" s="1"/>
      <c r="K570" s="1"/>
      <c r="M570" s="1"/>
      <c r="N570" s="1"/>
      <c r="O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2"/>
      <c r="AB570" s="1"/>
      <c r="AC570" s="1"/>
      <c r="AD570" s="1"/>
      <c r="AE570" s="1"/>
      <c r="AF570" s="1"/>
      <c r="AG570" s="1"/>
      <c r="AH570" s="2"/>
      <c r="AI570" s="2"/>
      <c r="AJ570" s="2"/>
      <c r="AK570" s="2"/>
      <c r="AL570" s="2"/>
      <c r="AM570" s="1"/>
      <c r="AN570" s="2"/>
      <c r="AP570" s="2"/>
      <c r="AQ570" s="1"/>
      <c r="AR570" s="2"/>
      <c r="AU570" s="1"/>
      <c r="AW570" s="1"/>
      <c r="AY570" s="2"/>
    </row>
    <row r="571">
      <c r="A571" s="1"/>
      <c r="C571" s="1"/>
      <c r="E571" s="1"/>
      <c r="F571" s="1"/>
      <c r="G571" s="2"/>
      <c r="H571" s="1"/>
      <c r="I571" s="1"/>
      <c r="J571" s="1"/>
      <c r="K571" s="1"/>
      <c r="M571" s="1"/>
      <c r="N571" s="1"/>
      <c r="O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2"/>
      <c r="AB571" s="1"/>
      <c r="AC571" s="1"/>
      <c r="AD571" s="1"/>
      <c r="AE571" s="1"/>
      <c r="AF571" s="1"/>
      <c r="AG571" s="1"/>
      <c r="AH571" s="2"/>
      <c r="AI571" s="2"/>
      <c r="AJ571" s="2"/>
      <c r="AK571" s="2"/>
      <c r="AL571" s="2"/>
      <c r="AM571" s="1"/>
      <c r="AN571" s="2"/>
      <c r="AP571" s="2"/>
      <c r="AQ571" s="1"/>
      <c r="AR571" s="2"/>
      <c r="AU571" s="1"/>
      <c r="AW571" s="1"/>
      <c r="AY571" s="2"/>
    </row>
    <row r="572">
      <c r="A572" s="1"/>
      <c r="C572" s="1"/>
      <c r="E572" s="1"/>
      <c r="F572" s="1"/>
      <c r="G572" s="2"/>
      <c r="H572" s="1"/>
      <c r="I572" s="1"/>
      <c r="J572" s="1"/>
      <c r="K572" s="1"/>
      <c r="M572" s="1"/>
      <c r="N572" s="1"/>
      <c r="O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2"/>
      <c r="AB572" s="1"/>
      <c r="AC572" s="1"/>
      <c r="AD572" s="1"/>
      <c r="AE572" s="1"/>
      <c r="AF572" s="1"/>
      <c r="AG572" s="1"/>
      <c r="AH572" s="2"/>
      <c r="AI572" s="2"/>
      <c r="AJ572" s="2"/>
      <c r="AK572" s="2"/>
      <c r="AL572" s="2"/>
      <c r="AM572" s="1"/>
      <c r="AN572" s="2"/>
      <c r="AP572" s="2"/>
      <c r="AQ572" s="1"/>
      <c r="AR572" s="2"/>
      <c r="AU572" s="1"/>
      <c r="AW572" s="1"/>
      <c r="AY572" s="2"/>
    </row>
    <row r="573">
      <c r="A573" s="1"/>
      <c r="C573" s="1"/>
      <c r="E573" s="1"/>
      <c r="F573" s="1"/>
      <c r="G573" s="2"/>
      <c r="H573" s="1"/>
      <c r="I573" s="1"/>
      <c r="J573" s="1"/>
      <c r="K573" s="1"/>
      <c r="M573" s="1"/>
      <c r="N573" s="1"/>
      <c r="O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2"/>
      <c r="AB573" s="1"/>
      <c r="AC573" s="1"/>
      <c r="AD573" s="1"/>
      <c r="AE573" s="1"/>
      <c r="AF573" s="1"/>
      <c r="AG573" s="1"/>
      <c r="AH573" s="2"/>
      <c r="AI573" s="2"/>
      <c r="AJ573" s="2"/>
      <c r="AK573" s="2"/>
      <c r="AL573" s="2"/>
      <c r="AM573" s="1"/>
      <c r="AN573" s="2"/>
      <c r="AP573" s="2"/>
      <c r="AQ573" s="1"/>
      <c r="AR573" s="2"/>
      <c r="AU573" s="1"/>
      <c r="AW573" s="1"/>
      <c r="AY573" s="2"/>
    </row>
    <row r="574">
      <c r="A574" s="1"/>
      <c r="C574" s="1"/>
      <c r="E574" s="1"/>
      <c r="F574" s="1"/>
      <c r="G574" s="2"/>
      <c r="H574" s="1"/>
      <c r="I574" s="1"/>
      <c r="J574" s="1"/>
      <c r="K574" s="1"/>
      <c r="M574" s="1"/>
      <c r="N574" s="1"/>
      <c r="O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2"/>
      <c r="AB574" s="1"/>
      <c r="AC574" s="1"/>
      <c r="AD574" s="1"/>
      <c r="AE574" s="1"/>
      <c r="AF574" s="1"/>
      <c r="AG574" s="1"/>
      <c r="AH574" s="2"/>
      <c r="AI574" s="2"/>
      <c r="AJ574" s="2"/>
      <c r="AK574" s="2"/>
      <c r="AL574" s="2"/>
      <c r="AM574" s="1"/>
      <c r="AN574" s="2"/>
      <c r="AP574" s="2"/>
      <c r="AQ574" s="1"/>
      <c r="AR574" s="2"/>
      <c r="AU574" s="1"/>
      <c r="AW574" s="1"/>
      <c r="AY574" s="2"/>
    </row>
    <row r="575">
      <c r="A575" s="1"/>
      <c r="C575" s="1"/>
      <c r="E575" s="1"/>
      <c r="F575" s="1"/>
      <c r="G575" s="2"/>
      <c r="H575" s="1"/>
      <c r="I575" s="1"/>
      <c r="J575" s="1"/>
      <c r="K575" s="1"/>
      <c r="M575" s="1"/>
      <c r="N575" s="1"/>
      <c r="O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2"/>
      <c r="AB575" s="1"/>
      <c r="AC575" s="1"/>
      <c r="AD575" s="1"/>
      <c r="AE575" s="1"/>
      <c r="AF575" s="1"/>
      <c r="AG575" s="1"/>
      <c r="AH575" s="2"/>
      <c r="AI575" s="2"/>
      <c r="AJ575" s="2"/>
      <c r="AK575" s="2"/>
      <c r="AL575" s="2"/>
      <c r="AM575" s="1"/>
      <c r="AN575" s="2"/>
      <c r="AP575" s="2"/>
      <c r="AQ575" s="1"/>
      <c r="AR575" s="2"/>
      <c r="AU575" s="1"/>
      <c r="AW575" s="1"/>
      <c r="AY575" s="2"/>
    </row>
    <row r="576">
      <c r="A576" s="1"/>
      <c r="C576" s="1"/>
      <c r="E576" s="1"/>
      <c r="F576" s="1"/>
      <c r="G576" s="2"/>
      <c r="H576" s="1"/>
      <c r="I576" s="1"/>
      <c r="J576" s="1"/>
      <c r="K576" s="1"/>
      <c r="M576" s="1"/>
      <c r="N576" s="1"/>
      <c r="O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2"/>
      <c r="AB576" s="1"/>
      <c r="AC576" s="1"/>
      <c r="AD576" s="1"/>
      <c r="AE576" s="1"/>
      <c r="AF576" s="1"/>
      <c r="AG576" s="1"/>
      <c r="AH576" s="2"/>
      <c r="AI576" s="2"/>
      <c r="AJ576" s="2"/>
      <c r="AK576" s="2"/>
      <c r="AL576" s="2"/>
      <c r="AM576" s="1"/>
      <c r="AN576" s="2"/>
      <c r="AP576" s="2"/>
      <c r="AQ576" s="1"/>
      <c r="AR576" s="2"/>
      <c r="AU576" s="1"/>
      <c r="AW576" s="1"/>
      <c r="AY576" s="2"/>
    </row>
    <row r="577">
      <c r="A577" s="1"/>
      <c r="C577" s="1"/>
      <c r="E577" s="1"/>
      <c r="F577" s="1"/>
      <c r="G577" s="2"/>
      <c r="H577" s="1"/>
      <c r="I577" s="1"/>
      <c r="J577" s="1"/>
      <c r="K577" s="1"/>
      <c r="M577" s="1"/>
      <c r="N577" s="1"/>
      <c r="O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2"/>
      <c r="AB577" s="1"/>
      <c r="AC577" s="1"/>
      <c r="AD577" s="1"/>
      <c r="AE577" s="1"/>
      <c r="AF577" s="1"/>
      <c r="AG577" s="1"/>
      <c r="AH577" s="2"/>
      <c r="AI577" s="2"/>
      <c r="AJ577" s="2"/>
      <c r="AK577" s="2"/>
      <c r="AL577" s="2"/>
      <c r="AM577" s="1"/>
      <c r="AN577" s="2"/>
      <c r="AP577" s="2"/>
      <c r="AQ577" s="1"/>
      <c r="AR577" s="2"/>
      <c r="AU577" s="1"/>
      <c r="AW577" s="1"/>
      <c r="AY577" s="2"/>
    </row>
    <row r="578">
      <c r="A578" s="1"/>
      <c r="C578" s="1"/>
      <c r="E578" s="1"/>
      <c r="F578" s="1"/>
      <c r="G578" s="2"/>
      <c r="H578" s="1"/>
      <c r="I578" s="1"/>
      <c r="J578" s="1"/>
      <c r="K578" s="1"/>
      <c r="M578" s="1"/>
      <c r="N578" s="1"/>
      <c r="O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2"/>
      <c r="AB578" s="1"/>
      <c r="AC578" s="1"/>
      <c r="AD578" s="1"/>
      <c r="AE578" s="1"/>
      <c r="AF578" s="1"/>
      <c r="AG578" s="1"/>
      <c r="AH578" s="2"/>
      <c r="AI578" s="2"/>
      <c r="AJ578" s="2"/>
      <c r="AK578" s="2"/>
      <c r="AL578" s="2"/>
      <c r="AM578" s="1"/>
      <c r="AN578" s="2"/>
      <c r="AP578" s="2"/>
      <c r="AQ578" s="1"/>
      <c r="AR578" s="2"/>
      <c r="AU578" s="1"/>
      <c r="AW578" s="1"/>
      <c r="AY578" s="2"/>
    </row>
    <row r="579">
      <c r="A579" s="1"/>
      <c r="C579" s="1"/>
      <c r="E579" s="1"/>
      <c r="F579" s="1"/>
      <c r="G579" s="2"/>
      <c r="H579" s="1"/>
      <c r="I579" s="1"/>
      <c r="J579" s="1"/>
      <c r="K579" s="1"/>
      <c r="M579" s="1"/>
      <c r="N579" s="1"/>
      <c r="O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2"/>
      <c r="AB579" s="1"/>
      <c r="AC579" s="1"/>
      <c r="AD579" s="1"/>
      <c r="AE579" s="1"/>
      <c r="AF579" s="1"/>
      <c r="AG579" s="1"/>
      <c r="AH579" s="2"/>
      <c r="AI579" s="2"/>
      <c r="AJ579" s="2"/>
      <c r="AK579" s="2"/>
      <c r="AL579" s="2"/>
      <c r="AM579" s="1"/>
      <c r="AN579" s="2"/>
      <c r="AP579" s="2"/>
      <c r="AQ579" s="1"/>
      <c r="AR579" s="2"/>
      <c r="AU579" s="1"/>
      <c r="AW579" s="1"/>
      <c r="AY579" s="2"/>
    </row>
    <row r="580">
      <c r="A580" s="1"/>
      <c r="C580" s="1"/>
      <c r="E580" s="1"/>
      <c r="F580" s="1"/>
      <c r="G580" s="2"/>
      <c r="H580" s="1"/>
      <c r="I580" s="1"/>
      <c r="J580" s="1"/>
      <c r="K580" s="1"/>
      <c r="M580" s="1"/>
      <c r="N580" s="1"/>
      <c r="O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2"/>
      <c r="AB580" s="1"/>
      <c r="AC580" s="1"/>
      <c r="AD580" s="1"/>
      <c r="AE580" s="1"/>
      <c r="AF580" s="1"/>
      <c r="AG580" s="1"/>
      <c r="AH580" s="2"/>
      <c r="AI580" s="2"/>
      <c r="AJ580" s="2"/>
      <c r="AK580" s="2"/>
      <c r="AL580" s="2"/>
      <c r="AM580" s="1"/>
      <c r="AN580" s="2"/>
      <c r="AP580" s="2"/>
      <c r="AQ580" s="1"/>
      <c r="AR580" s="2"/>
      <c r="AU580" s="1"/>
      <c r="AW580" s="1"/>
      <c r="AY580" s="2"/>
    </row>
    <row r="581">
      <c r="A581" s="1"/>
      <c r="C581" s="1"/>
      <c r="E581" s="1"/>
      <c r="F581" s="1"/>
      <c r="G581" s="2"/>
      <c r="H581" s="1"/>
      <c r="I581" s="1"/>
      <c r="J581" s="1"/>
      <c r="K581" s="1"/>
      <c r="M581" s="1"/>
      <c r="N581" s="1"/>
      <c r="O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2"/>
      <c r="AB581" s="1"/>
      <c r="AC581" s="1"/>
      <c r="AD581" s="1"/>
      <c r="AE581" s="1"/>
      <c r="AF581" s="1"/>
      <c r="AG581" s="1"/>
      <c r="AH581" s="2"/>
      <c r="AI581" s="2"/>
      <c r="AJ581" s="2"/>
      <c r="AK581" s="2"/>
      <c r="AL581" s="2"/>
      <c r="AM581" s="1"/>
      <c r="AN581" s="2"/>
      <c r="AP581" s="2"/>
      <c r="AQ581" s="1"/>
      <c r="AR581" s="2"/>
      <c r="AU581" s="1"/>
      <c r="AW581" s="1"/>
      <c r="AY581" s="2"/>
    </row>
    <row r="582">
      <c r="A582" s="1"/>
      <c r="C582" s="1"/>
      <c r="E582" s="1"/>
      <c r="F582" s="1"/>
      <c r="G582" s="2"/>
      <c r="H582" s="1"/>
      <c r="I582" s="1"/>
      <c r="J582" s="1"/>
      <c r="K582" s="1"/>
      <c r="M582" s="1"/>
      <c r="N582" s="1"/>
      <c r="O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2"/>
      <c r="AB582" s="1"/>
      <c r="AC582" s="1"/>
      <c r="AD582" s="1"/>
      <c r="AE582" s="1"/>
      <c r="AF582" s="1"/>
      <c r="AG582" s="1"/>
      <c r="AH582" s="2"/>
      <c r="AI582" s="2"/>
      <c r="AJ582" s="2"/>
      <c r="AK582" s="2"/>
      <c r="AL582" s="2"/>
      <c r="AM582" s="1"/>
      <c r="AN582" s="2"/>
      <c r="AP582" s="2"/>
      <c r="AQ582" s="1"/>
      <c r="AR582" s="2"/>
      <c r="AU582" s="1"/>
      <c r="AW582" s="1"/>
      <c r="AY582" s="2"/>
    </row>
    <row r="583">
      <c r="A583" s="1"/>
      <c r="C583" s="1"/>
      <c r="E583" s="1"/>
      <c r="F583" s="1"/>
      <c r="G583" s="2"/>
      <c r="H583" s="1"/>
      <c r="I583" s="1"/>
      <c r="J583" s="1"/>
      <c r="K583" s="1"/>
      <c r="M583" s="1"/>
      <c r="N583" s="1"/>
      <c r="O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2"/>
      <c r="AB583" s="1"/>
      <c r="AC583" s="1"/>
      <c r="AD583" s="1"/>
      <c r="AE583" s="1"/>
      <c r="AF583" s="1"/>
      <c r="AG583" s="1"/>
      <c r="AH583" s="2"/>
      <c r="AI583" s="2"/>
      <c r="AJ583" s="2"/>
      <c r="AK583" s="2"/>
      <c r="AL583" s="2"/>
      <c r="AM583" s="1"/>
      <c r="AN583" s="2"/>
      <c r="AP583" s="2"/>
      <c r="AQ583" s="1"/>
      <c r="AR583" s="2"/>
      <c r="AU583" s="1"/>
      <c r="AW583" s="1"/>
      <c r="AY583" s="2"/>
    </row>
    <row r="584">
      <c r="A584" s="1"/>
      <c r="C584" s="1"/>
      <c r="E584" s="1"/>
      <c r="F584" s="1"/>
      <c r="G584" s="2"/>
      <c r="H584" s="1"/>
      <c r="I584" s="1"/>
      <c r="J584" s="1"/>
      <c r="K584" s="1"/>
      <c r="M584" s="1"/>
      <c r="N584" s="1"/>
      <c r="O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2"/>
      <c r="AB584" s="1"/>
      <c r="AC584" s="1"/>
      <c r="AD584" s="1"/>
      <c r="AE584" s="1"/>
      <c r="AF584" s="1"/>
      <c r="AG584" s="1"/>
      <c r="AH584" s="2"/>
      <c r="AI584" s="2"/>
      <c r="AJ584" s="2"/>
      <c r="AK584" s="2"/>
      <c r="AL584" s="2"/>
      <c r="AM584" s="1"/>
      <c r="AN584" s="2"/>
      <c r="AP584" s="2"/>
      <c r="AQ584" s="1"/>
      <c r="AR584" s="2"/>
      <c r="AU584" s="1"/>
      <c r="AW584" s="1"/>
      <c r="AY584" s="2"/>
    </row>
    <row r="585">
      <c r="A585" s="1"/>
      <c r="C585" s="1"/>
      <c r="E585" s="1"/>
      <c r="F585" s="1"/>
      <c r="G585" s="2"/>
      <c r="H585" s="1"/>
      <c r="I585" s="1"/>
      <c r="J585" s="1"/>
      <c r="K585" s="1"/>
      <c r="M585" s="1"/>
      <c r="N585" s="1"/>
      <c r="O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2"/>
      <c r="AB585" s="1"/>
      <c r="AC585" s="1"/>
      <c r="AD585" s="1"/>
      <c r="AE585" s="1"/>
      <c r="AF585" s="1"/>
      <c r="AG585" s="1"/>
      <c r="AH585" s="2"/>
      <c r="AI585" s="2"/>
      <c r="AJ585" s="2"/>
      <c r="AK585" s="2"/>
      <c r="AL585" s="2"/>
      <c r="AM585" s="1"/>
      <c r="AN585" s="2"/>
      <c r="AP585" s="2"/>
      <c r="AQ585" s="1"/>
      <c r="AR585" s="2"/>
      <c r="AU585" s="1"/>
      <c r="AW585" s="1"/>
      <c r="AY585" s="2"/>
    </row>
    <row r="586">
      <c r="A586" s="1"/>
      <c r="C586" s="1"/>
      <c r="E586" s="1"/>
      <c r="F586" s="1"/>
      <c r="G586" s="2"/>
      <c r="H586" s="1"/>
      <c r="I586" s="1"/>
      <c r="J586" s="1"/>
      <c r="K586" s="1"/>
      <c r="M586" s="1"/>
      <c r="N586" s="1"/>
      <c r="O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2"/>
      <c r="AB586" s="1"/>
      <c r="AC586" s="1"/>
      <c r="AD586" s="1"/>
      <c r="AE586" s="1"/>
      <c r="AF586" s="1"/>
      <c r="AG586" s="1"/>
      <c r="AH586" s="2"/>
      <c r="AI586" s="2"/>
      <c r="AJ586" s="2"/>
      <c r="AK586" s="2"/>
      <c r="AL586" s="2"/>
      <c r="AM586" s="1"/>
      <c r="AN586" s="2"/>
      <c r="AP586" s="2"/>
      <c r="AQ586" s="1"/>
      <c r="AR586" s="2"/>
      <c r="AU586" s="1"/>
      <c r="AW586" s="1"/>
      <c r="AY586" s="2"/>
    </row>
    <row r="587">
      <c r="A587" s="1"/>
      <c r="C587" s="1"/>
      <c r="E587" s="1"/>
      <c r="F587" s="1"/>
      <c r="G587" s="2"/>
      <c r="H587" s="1"/>
      <c r="I587" s="1"/>
      <c r="J587" s="1"/>
      <c r="K587" s="1"/>
      <c r="M587" s="1"/>
      <c r="N587" s="1"/>
      <c r="O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2"/>
      <c r="AB587" s="1"/>
      <c r="AC587" s="1"/>
      <c r="AD587" s="1"/>
      <c r="AE587" s="1"/>
      <c r="AF587" s="1"/>
      <c r="AG587" s="1"/>
      <c r="AH587" s="2"/>
      <c r="AI587" s="2"/>
      <c r="AJ587" s="2"/>
      <c r="AK587" s="2"/>
      <c r="AL587" s="2"/>
      <c r="AM587" s="1"/>
      <c r="AN587" s="2"/>
      <c r="AP587" s="2"/>
      <c r="AQ587" s="1"/>
      <c r="AR587" s="2"/>
      <c r="AU587" s="1"/>
      <c r="AW587" s="1"/>
      <c r="AY587" s="2"/>
    </row>
    <row r="588">
      <c r="A588" s="1"/>
      <c r="C588" s="1"/>
      <c r="E588" s="1"/>
      <c r="F588" s="1"/>
      <c r="G588" s="2"/>
      <c r="H588" s="1"/>
      <c r="I588" s="1"/>
      <c r="J588" s="1"/>
      <c r="K588" s="1"/>
      <c r="M588" s="1"/>
      <c r="N588" s="1"/>
      <c r="O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2"/>
      <c r="AB588" s="1"/>
      <c r="AC588" s="1"/>
      <c r="AD588" s="1"/>
      <c r="AE588" s="1"/>
      <c r="AF588" s="1"/>
      <c r="AG588" s="1"/>
      <c r="AH588" s="2"/>
      <c r="AI588" s="2"/>
      <c r="AJ588" s="2"/>
      <c r="AK588" s="2"/>
      <c r="AL588" s="2"/>
      <c r="AM588" s="1"/>
      <c r="AN588" s="2"/>
      <c r="AP588" s="2"/>
      <c r="AQ588" s="1"/>
      <c r="AR588" s="2"/>
      <c r="AU588" s="1"/>
      <c r="AW588" s="1"/>
      <c r="AY588" s="2"/>
    </row>
    <row r="589">
      <c r="A589" s="1"/>
      <c r="C589" s="1"/>
      <c r="E589" s="1"/>
      <c r="F589" s="1"/>
      <c r="G589" s="2"/>
      <c r="H589" s="1"/>
      <c r="I589" s="1"/>
      <c r="J589" s="1"/>
      <c r="K589" s="1"/>
      <c r="M589" s="1"/>
      <c r="N589" s="1"/>
      <c r="O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2"/>
      <c r="AB589" s="1"/>
      <c r="AC589" s="1"/>
      <c r="AD589" s="1"/>
      <c r="AE589" s="1"/>
      <c r="AF589" s="1"/>
      <c r="AG589" s="1"/>
      <c r="AH589" s="2"/>
      <c r="AI589" s="2"/>
      <c r="AJ589" s="2"/>
      <c r="AK589" s="2"/>
      <c r="AL589" s="2"/>
      <c r="AM589" s="1"/>
      <c r="AN589" s="2"/>
      <c r="AP589" s="2"/>
      <c r="AQ589" s="1"/>
      <c r="AR589" s="2"/>
      <c r="AU589" s="1"/>
      <c r="AW589" s="1"/>
      <c r="AY589" s="2"/>
    </row>
    <row r="590">
      <c r="A590" s="1"/>
      <c r="C590" s="1"/>
      <c r="E590" s="1"/>
      <c r="F590" s="1"/>
      <c r="G590" s="2"/>
      <c r="H590" s="1"/>
      <c r="I590" s="1"/>
      <c r="J590" s="1"/>
      <c r="K590" s="1"/>
      <c r="M590" s="1"/>
      <c r="N590" s="1"/>
      <c r="O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2"/>
      <c r="AB590" s="1"/>
      <c r="AC590" s="1"/>
      <c r="AD590" s="1"/>
      <c r="AE590" s="1"/>
      <c r="AF590" s="1"/>
      <c r="AG590" s="1"/>
      <c r="AH590" s="2"/>
      <c r="AI590" s="2"/>
      <c r="AJ590" s="2"/>
      <c r="AK590" s="2"/>
      <c r="AL590" s="2"/>
      <c r="AM590" s="1"/>
      <c r="AN590" s="2"/>
      <c r="AP590" s="2"/>
      <c r="AQ590" s="1"/>
      <c r="AR590" s="2"/>
      <c r="AU590" s="1"/>
      <c r="AW590" s="1"/>
      <c r="AY590" s="2"/>
    </row>
    <row r="591">
      <c r="A591" s="1"/>
      <c r="C591" s="1"/>
      <c r="E591" s="1"/>
      <c r="F591" s="1"/>
      <c r="G591" s="2"/>
      <c r="H591" s="1"/>
      <c r="I591" s="1"/>
      <c r="J591" s="1"/>
      <c r="K591" s="1"/>
      <c r="M591" s="1"/>
      <c r="N591" s="1"/>
      <c r="O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2"/>
      <c r="AB591" s="1"/>
      <c r="AC591" s="1"/>
      <c r="AD591" s="1"/>
      <c r="AE591" s="1"/>
      <c r="AF591" s="1"/>
      <c r="AG591" s="1"/>
      <c r="AH591" s="2"/>
      <c r="AI591" s="2"/>
      <c r="AJ591" s="2"/>
      <c r="AK591" s="2"/>
      <c r="AL591" s="2"/>
      <c r="AM591" s="1"/>
      <c r="AN591" s="2"/>
      <c r="AP591" s="2"/>
      <c r="AQ591" s="1"/>
      <c r="AR591" s="2"/>
      <c r="AU591" s="1"/>
      <c r="AW591" s="1"/>
      <c r="AY591" s="2"/>
    </row>
    <row r="592">
      <c r="A592" s="1"/>
      <c r="C592" s="1"/>
      <c r="E592" s="1"/>
      <c r="F592" s="1"/>
      <c r="G592" s="2"/>
      <c r="H592" s="1"/>
      <c r="I592" s="1"/>
      <c r="J592" s="1"/>
      <c r="K592" s="1"/>
      <c r="M592" s="1"/>
      <c r="N592" s="1"/>
      <c r="O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2"/>
      <c r="AB592" s="1"/>
      <c r="AC592" s="1"/>
      <c r="AD592" s="1"/>
      <c r="AE592" s="1"/>
      <c r="AF592" s="1"/>
      <c r="AG592" s="1"/>
      <c r="AH592" s="2"/>
      <c r="AI592" s="2"/>
      <c r="AJ592" s="2"/>
      <c r="AK592" s="2"/>
      <c r="AL592" s="2"/>
      <c r="AM592" s="1"/>
      <c r="AN592" s="2"/>
      <c r="AP592" s="2"/>
      <c r="AQ592" s="1"/>
      <c r="AR592" s="2"/>
      <c r="AU592" s="1"/>
      <c r="AW592" s="1"/>
      <c r="AY592" s="2"/>
    </row>
    <row r="593">
      <c r="A593" s="1"/>
      <c r="C593" s="1"/>
      <c r="E593" s="1"/>
      <c r="F593" s="1"/>
      <c r="G593" s="2"/>
      <c r="H593" s="1"/>
      <c r="I593" s="1"/>
      <c r="J593" s="1"/>
      <c r="K593" s="1"/>
      <c r="M593" s="1"/>
      <c r="N593" s="1"/>
      <c r="O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2"/>
      <c r="AB593" s="1"/>
      <c r="AC593" s="1"/>
      <c r="AD593" s="1"/>
      <c r="AE593" s="1"/>
      <c r="AF593" s="1"/>
      <c r="AG593" s="1"/>
      <c r="AH593" s="2"/>
      <c r="AI593" s="2"/>
      <c r="AJ593" s="2"/>
      <c r="AK593" s="2"/>
      <c r="AL593" s="2"/>
      <c r="AM593" s="1"/>
      <c r="AN593" s="2"/>
      <c r="AP593" s="2"/>
      <c r="AQ593" s="1"/>
      <c r="AR593" s="2"/>
      <c r="AU593" s="1"/>
      <c r="AW593" s="1"/>
      <c r="AY593" s="2"/>
    </row>
    <row r="594">
      <c r="A594" s="1"/>
      <c r="C594" s="1"/>
      <c r="E594" s="1"/>
      <c r="F594" s="1"/>
      <c r="G594" s="2"/>
      <c r="H594" s="1"/>
      <c r="I594" s="1"/>
      <c r="J594" s="1"/>
      <c r="K594" s="1"/>
      <c r="M594" s="1"/>
      <c r="N594" s="1"/>
      <c r="O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2"/>
      <c r="AB594" s="1"/>
      <c r="AC594" s="1"/>
      <c r="AD594" s="1"/>
      <c r="AE594" s="1"/>
      <c r="AF594" s="1"/>
      <c r="AG594" s="1"/>
      <c r="AH594" s="2"/>
      <c r="AI594" s="2"/>
      <c r="AJ594" s="2"/>
      <c r="AK594" s="2"/>
      <c r="AL594" s="2"/>
      <c r="AM594" s="1"/>
      <c r="AN594" s="2"/>
      <c r="AP594" s="2"/>
      <c r="AQ594" s="1"/>
      <c r="AR594" s="2"/>
      <c r="AU594" s="1"/>
      <c r="AW594" s="1"/>
      <c r="AY594" s="2"/>
    </row>
    <row r="595">
      <c r="A595" s="1"/>
      <c r="C595" s="1"/>
      <c r="E595" s="1"/>
      <c r="F595" s="1"/>
      <c r="G595" s="2"/>
      <c r="H595" s="1"/>
      <c r="I595" s="1"/>
      <c r="J595" s="1"/>
      <c r="K595" s="1"/>
      <c r="M595" s="1"/>
      <c r="N595" s="1"/>
      <c r="O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2"/>
      <c r="AB595" s="1"/>
      <c r="AC595" s="1"/>
      <c r="AD595" s="1"/>
      <c r="AE595" s="1"/>
      <c r="AF595" s="1"/>
      <c r="AG595" s="1"/>
      <c r="AH595" s="2"/>
      <c r="AI595" s="2"/>
      <c r="AJ595" s="2"/>
      <c r="AK595" s="2"/>
      <c r="AL595" s="2"/>
      <c r="AM595" s="1"/>
      <c r="AN595" s="2"/>
      <c r="AP595" s="2"/>
      <c r="AQ595" s="1"/>
      <c r="AR595" s="2"/>
      <c r="AU595" s="1"/>
      <c r="AW595" s="1"/>
      <c r="AY595" s="2"/>
    </row>
    <row r="596">
      <c r="A596" s="1"/>
      <c r="C596" s="1"/>
      <c r="E596" s="1"/>
      <c r="F596" s="1"/>
      <c r="G596" s="2"/>
      <c r="H596" s="1"/>
      <c r="I596" s="1"/>
      <c r="J596" s="1"/>
      <c r="K596" s="1"/>
      <c r="M596" s="1"/>
      <c r="N596" s="1"/>
      <c r="O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2"/>
      <c r="AB596" s="1"/>
      <c r="AC596" s="1"/>
      <c r="AD596" s="1"/>
      <c r="AE596" s="1"/>
      <c r="AF596" s="1"/>
      <c r="AG596" s="1"/>
      <c r="AH596" s="2"/>
      <c r="AI596" s="2"/>
      <c r="AJ596" s="2"/>
      <c r="AK596" s="2"/>
      <c r="AL596" s="2"/>
      <c r="AM596" s="1"/>
      <c r="AN596" s="2"/>
      <c r="AP596" s="2"/>
      <c r="AQ596" s="1"/>
      <c r="AR596" s="2"/>
      <c r="AU596" s="1"/>
      <c r="AW596" s="1"/>
      <c r="AY596" s="2"/>
    </row>
    <row r="597">
      <c r="A597" s="1"/>
      <c r="C597" s="1"/>
      <c r="E597" s="1"/>
      <c r="F597" s="1"/>
      <c r="G597" s="2"/>
      <c r="H597" s="1"/>
      <c r="I597" s="1"/>
      <c r="J597" s="1"/>
      <c r="K597" s="1"/>
      <c r="M597" s="1"/>
      <c r="N597" s="1"/>
      <c r="O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2"/>
      <c r="AB597" s="1"/>
      <c r="AC597" s="1"/>
      <c r="AD597" s="1"/>
      <c r="AE597" s="1"/>
      <c r="AF597" s="1"/>
      <c r="AG597" s="1"/>
      <c r="AH597" s="2"/>
      <c r="AI597" s="2"/>
      <c r="AJ597" s="2"/>
      <c r="AK597" s="2"/>
      <c r="AL597" s="2"/>
      <c r="AM597" s="1"/>
      <c r="AN597" s="2"/>
      <c r="AP597" s="2"/>
      <c r="AQ597" s="1"/>
      <c r="AR597" s="2"/>
      <c r="AU597" s="1"/>
      <c r="AW597" s="1"/>
      <c r="AY597" s="2"/>
    </row>
    <row r="598">
      <c r="A598" s="1"/>
      <c r="C598" s="1"/>
      <c r="E598" s="1"/>
      <c r="F598" s="1"/>
      <c r="G598" s="2"/>
      <c r="H598" s="1"/>
      <c r="I598" s="1"/>
      <c r="J598" s="1"/>
      <c r="K598" s="1"/>
      <c r="M598" s="1"/>
      <c r="N598" s="1"/>
      <c r="O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2"/>
      <c r="AB598" s="1"/>
      <c r="AC598" s="1"/>
      <c r="AD598" s="1"/>
      <c r="AE598" s="1"/>
      <c r="AF598" s="1"/>
      <c r="AG598" s="1"/>
      <c r="AH598" s="2"/>
      <c r="AI598" s="2"/>
      <c r="AJ598" s="2"/>
      <c r="AK598" s="2"/>
      <c r="AL598" s="2"/>
      <c r="AM598" s="1"/>
      <c r="AN598" s="2"/>
      <c r="AP598" s="2"/>
      <c r="AQ598" s="1"/>
      <c r="AR598" s="2"/>
      <c r="AU598" s="1"/>
      <c r="AW598" s="1"/>
      <c r="AY598" s="2"/>
    </row>
    <row r="599">
      <c r="A599" s="1"/>
      <c r="C599" s="1"/>
      <c r="E599" s="1"/>
      <c r="F599" s="1"/>
      <c r="G599" s="2"/>
      <c r="H599" s="1"/>
      <c r="I599" s="1"/>
      <c r="J599" s="1"/>
      <c r="K599" s="1"/>
      <c r="M599" s="1"/>
      <c r="N599" s="1"/>
      <c r="O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2"/>
      <c r="AB599" s="1"/>
      <c r="AC599" s="1"/>
      <c r="AD599" s="1"/>
      <c r="AE599" s="1"/>
      <c r="AF599" s="1"/>
      <c r="AG599" s="1"/>
      <c r="AH599" s="2"/>
      <c r="AI599" s="2"/>
      <c r="AJ599" s="2"/>
      <c r="AK599" s="2"/>
      <c r="AL599" s="2"/>
      <c r="AM599" s="1"/>
      <c r="AN599" s="2"/>
      <c r="AP599" s="2"/>
      <c r="AQ599" s="1"/>
      <c r="AR599" s="2"/>
      <c r="AU599" s="1"/>
      <c r="AW599" s="1"/>
      <c r="AY599" s="2"/>
    </row>
    <row r="600">
      <c r="A600" s="1"/>
      <c r="C600" s="1"/>
      <c r="E600" s="1"/>
      <c r="F600" s="1"/>
      <c r="G600" s="2"/>
      <c r="H600" s="1"/>
      <c r="I600" s="1"/>
      <c r="J600" s="1"/>
      <c r="K600" s="1"/>
      <c r="M600" s="1"/>
      <c r="N600" s="1"/>
      <c r="O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2"/>
      <c r="AB600" s="1"/>
      <c r="AC600" s="1"/>
      <c r="AD600" s="1"/>
      <c r="AE600" s="1"/>
      <c r="AF600" s="1"/>
      <c r="AG600" s="1"/>
      <c r="AH600" s="2"/>
      <c r="AI600" s="2"/>
      <c r="AJ600" s="2"/>
      <c r="AK600" s="2"/>
      <c r="AL600" s="2"/>
      <c r="AM600" s="1"/>
      <c r="AN600" s="2"/>
      <c r="AP600" s="2"/>
      <c r="AQ600" s="1"/>
      <c r="AR600" s="2"/>
      <c r="AU600" s="1"/>
      <c r="AW600" s="1"/>
      <c r="AY600" s="2"/>
    </row>
    <row r="601">
      <c r="A601" s="1"/>
      <c r="C601" s="1"/>
      <c r="E601" s="1"/>
      <c r="F601" s="1"/>
      <c r="G601" s="2"/>
      <c r="H601" s="1"/>
      <c r="I601" s="1"/>
      <c r="J601" s="1"/>
      <c r="K601" s="1"/>
      <c r="M601" s="1"/>
      <c r="N601" s="1"/>
      <c r="O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2"/>
      <c r="AB601" s="1"/>
      <c r="AC601" s="1"/>
      <c r="AD601" s="1"/>
      <c r="AE601" s="1"/>
      <c r="AF601" s="1"/>
      <c r="AG601" s="1"/>
      <c r="AH601" s="2"/>
      <c r="AI601" s="2"/>
      <c r="AJ601" s="2"/>
      <c r="AK601" s="2"/>
      <c r="AL601" s="2"/>
      <c r="AM601" s="1"/>
      <c r="AN601" s="2"/>
      <c r="AP601" s="2"/>
      <c r="AQ601" s="1"/>
      <c r="AR601" s="2"/>
      <c r="AU601" s="1"/>
      <c r="AW601" s="1"/>
      <c r="AY601" s="2"/>
    </row>
    <row r="602">
      <c r="A602" s="1"/>
      <c r="C602" s="1"/>
      <c r="E602" s="1"/>
      <c r="F602" s="1"/>
      <c r="G602" s="2"/>
      <c r="H602" s="1"/>
      <c r="I602" s="1"/>
      <c r="J602" s="1"/>
      <c r="K602" s="1"/>
      <c r="M602" s="1"/>
      <c r="N602" s="1"/>
      <c r="O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2"/>
      <c r="AB602" s="1"/>
      <c r="AC602" s="1"/>
      <c r="AD602" s="1"/>
      <c r="AE602" s="1"/>
      <c r="AF602" s="1"/>
      <c r="AG602" s="1"/>
      <c r="AH602" s="2"/>
      <c r="AI602" s="2"/>
      <c r="AJ602" s="2"/>
      <c r="AK602" s="2"/>
      <c r="AL602" s="2"/>
      <c r="AM602" s="1"/>
      <c r="AN602" s="2"/>
      <c r="AP602" s="2"/>
      <c r="AQ602" s="1"/>
      <c r="AR602" s="2"/>
      <c r="AU602" s="1"/>
      <c r="AW602" s="1"/>
      <c r="AY602" s="2"/>
    </row>
    <row r="603">
      <c r="A603" s="1"/>
      <c r="C603" s="1"/>
      <c r="E603" s="1"/>
      <c r="F603" s="1"/>
      <c r="G603" s="2"/>
      <c r="H603" s="1"/>
      <c r="I603" s="1"/>
      <c r="J603" s="1"/>
      <c r="K603" s="1"/>
      <c r="M603" s="1"/>
      <c r="N603" s="1"/>
      <c r="O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2"/>
      <c r="AB603" s="1"/>
      <c r="AC603" s="1"/>
      <c r="AD603" s="1"/>
      <c r="AE603" s="1"/>
      <c r="AF603" s="1"/>
      <c r="AG603" s="1"/>
      <c r="AH603" s="2"/>
      <c r="AI603" s="2"/>
      <c r="AJ603" s="2"/>
      <c r="AK603" s="2"/>
      <c r="AL603" s="2"/>
      <c r="AM603" s="1"/>
      <c r="AN603" s="2"/>
      <c r="AP603" s="2"/>
      <c r="AQ603" s="1"/>
      <c r="AR603" s="2"/>
      <c r="AU603" s="1"/>
      <c r="AW603" s="1"/>
      <c r="AY603" s="2"/>
    </row>
    <row r="604">
      <c r="A604" s="1"/>
      <c r="C604" s="1"/>
      <c r="E604" s="1"/>
      <c r="F604" s="1"/>
      <c r="G604" s="2"/>
      <c r="H604" s="1"/>
      <c r="I604" s="1"/>
      <c r="J604" s="1"/>
      <c r="K604" s="1"/>
      <c r="M604" s="1"/>
      <c r="N604" s="1"/>
      <c r="O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2"/>
      <c r="AB604" s="1"/>
      <c r="AC604" s="1"/>
      <c r="AD604" s="1"/>
      <c r="AE604" s="1"/>
      <c r="AF604" s="1"/>
      <c r="AG604" s="1"/>
      <c r="AH604" s="2"/>
      <c r="AI604" s="2"/>
      <c r="AJ604" s="2"/>
      <c r="AK604" s="2"/>
      <c r="AL604" s="2"/>
      <c r="AM604" s="1"/>
      <c r="AN604" s="2"/>
      <c r="AP604" s="2"/>
      <c r="AQ604" s="1"/>
      <c r="AR604" s="2"/>
      <c r="AU604" s="1"/>
      <c r="AW604" s="1"/>
      <c r="AY604" s="2"/>
    </row>
    <row r="605">
      <c r="A605" s="1"/>
      <c r="C605" s="1"/>
      <c r="E605" s="1"/>
      <c r="F605" s="1"/>
      <c r="G605" s="2"/>
      <c r="H605" s="1"/>
      <c r="I605" s="1"/>
      <c r="J605" s="1"/>
      <c r="K605" s="1"/>
      <c r="M605" s="1"/>
      <c r="N605" s="1"/>
      <c r="O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2"/>
      <c r="AB605" s="1"/>
      <c r="AC605" s="1"/>
      <c r="AD605" s="1"/>
      <c r="AE605" s="1"/>
      <c r="AF605" s="1"/>
      <c r="AG605" s="1"/>
      <c r="AH605" s="2"/>
      <c r="AI605" s="2"/>
      <c r="AJ605" s="2"/>
      <c r="AK605" s="2"/>
      <c r="AL605" s="2"/>
      <c r="AM605" s="1"/>
      <c r="AN605" s="2"/>
      <c r="AP605" s="2"/>
      <c r="AQ605" s="1"/>
      <c r="AR605" s="2"/>
      <c r="AU605" s="1"/>
      <c r="AW605" s="1"/>
      <c r="AY605" s="2"/>
    </row>
    <row r="606">
      <c r="A606" s="1"/>
      <c r="C606" s="1"/>
      <c r="E606" s="1"/>
      <c r="F606" s="1"/>
      <c r="G606" s="2"/>
      <c r="H606" s="1"/>
      <c r="I606" s="1"/>
      <c r="J606" s="1"/>
      <c r="K606" s="1"/>
      <c r="M606" s="1"/>
      <c r="N606" s="1"/>
      <c r="O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2"/>
      <c r="AB606" s="1"/>
      <c r="AC606" s="1"/>
      <c r="AD606" s="1"/>
      <c r="AE606" s="1"/>
      <c r="AF606" s="1"/>
      <c r="AG606" s="1"/>
      <c r="AH606" s="2"/>
      <c r="AI606" s="2"/>
      <c r="AJ606" s="2"/>
      <c r="AK606" s="2"/>
      <c r="AL606" s="2"/>
      <c r="AM606" s="1"/>
      <c r="AN606" s="2"/>
      <c r="AP606" s="2"/>
      <c r="AQ606" s="1"/>
      <c r="AR606" s="2"/>
      <c r="AU606" s="1"/>
      <c r="AW606" s="1"/>
      <c r="AY606" s="2"/>
    </row>
    <row r="607">
      <c r="A607" s="1"/>
      <c r="C607" s="1"/>
      <c r="E607" s="1"/>
      <c r="F607" s="1"/>
      <c r="G607" s="2"/>
      <c r="H607" s="1"/>
      <c r="I607" s="1"/>
      <c r="J607" s="1"/>
      <c r="K607" s="1"/>
      <c r="M607" s="1"/>
      <c r="N607" s="1"/>
      <c r="O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2"/>
      <c r="AB607" s="1"/>
      <c r="AC607" s="1"/>
      <c r="AD607" s="1"/>
      <c r="AE607" s="1"/>
      <c r="AF607" s="1"/>
      <c r="AG607" s="1"/>
      <c r="AH607" s="2"/>
      <c r="AI607" s="2"/>
      <c r="AJ607" s="2"/>
      <c r="AK607" s="2"/>
      <c r="AL607" s="2"/>
      <c r="AM607" s="1"/>
      <c r="AN607" s="2"/>
      <c r="AP607" s="2"/>
      <c r="AQ607" s="1"/>
      <c r="AR607" s="2"/>
      <c r="AU607" s="1"/>
      <c r="AW607" s="1"/>
      <c r="AY607" s="2"/>
    </row>
    <row r="608">
      <c r="A608" s="1"/>
      <c r="C608" s="1"/>
      <c r="E608" s="1"/>
      <c r="F608" s="1"/>
      <c r="G608" s="2"/>
      <c r="H608" s="1"/>
      <c r="I608" s="1"/>
      <c r="J608" s="1"/>
      <c r="K608" s="1"/>
      <c r="M608" s="1"/>
      <c r="N608" s="1"/>
      <c r="O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2"/>
      <c r="AB608" s="1"/>
      <c r="AC608" s="1"/>
      <c r="AD608" s="1"/>
      <c r="AE608" s="1"/>
      <c r="AF608" s="1"/>
      <c r="AG608" s="1"/>
      <c r="AH608" s="2"/>
      <c r="AI608" s="2"/>
      <c r="AJ608" s="2"/>
      <c r="AK608" s="2"/>
      <c r="AL608" s="2"/>
      <c r="AM608" s="1"/>
      <c r="AN608" s="2"/>
      <c r="AP608" s="2"/>
      <c r="AQ608" s="1"/>
      <c r="AR608" s="2"/>
      <c r="AU608" s="1"/>
      <c r="AW608" s="1"/>
      <c r="AY608" s="2"/>
    </row>
    <row r="609">
      <c r="A609" s="1"/>
      <c r="C609" s="1"/>
      <c r="E609" s="1"/>
      <c r="F609" s="1"/>
      <c r="G609" s="2"/>
      <c r="H609" s="1"/>
      <c r="I609" s="1"/>
      <c r="J609" s="1"/>
      <c r="K609" s="1"/>
      <c r="M609" s="1"/>
      <c r="N609" s="1"/>
      <c r="O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2"/>
      <c r="AB609" s="1"/>
      <c r="AC609" s="1"/>
      <c r="AD609" s="1"/>
      <c r="AE609" s="1"/>
      <c r="AF609" s="1"/>
      <c r="AG609" s="1"/>
      <c r="AH609" s="2"/>
      <c r="AI609" s="2"/>
      <c r="AJ609" s="2"/>
      <c r="AK609" s="2"/>
      <c r="AL609" s="2"/>
      <c r="AM609" s="1"/>
      <c r="AN609" s="2"/>
      <c r="AP609" s="2"/>
      <c r="AQ609" s="1"/>
      <c r="AR609" s="2"/>
      <c r="AU609" s="1"/>
      <c r="AW609" s="1"/>
      <c r="AY609" s="2"/>
    </row>
    <row r="610">
      <c r="A610" s="1"/>
      <c r="C610" s="1"/>
      <c r="E610" s="1"/>
      <c r="F610" s="1"/>
      <c r="G610" s="2"/>
      <c r="H610" s="1"/>
      <c r="I610" s="1"/>
      <c r="J610" s="1"/>
      <c r="K610" s="1"/>
      <c r="M610" s="1"/>
      <c r="N610" s="1"/>
      <c r="O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2"/>
      <c r="AB610" s="1"/>
      <c r="AC610" s="1"/>
      <c r="AD610" s="1"/>
      <c r="AE610" s="1"/>
      <c r="AF610" s="1"/>
      <c r="AG610" s="1"/>
      <c r="AH610" s="2"/>
      <c r="AI610" s="2"/>
      <c r="AJ610" s="2"/>
      <c r="AK610" s="2"/>
      <c r="AL610" s="2"/>
      <c r="AM610" s="1"/>
      <c r="AN610" s="2"/>
      <c r="AP610" s="2"/>
      <c r="AQ610" s="1"/>
      <c r="AR610" s="2"/>
      <c r="AU610" s="1"/>
      <c r="AW610" s="1"/>
      <c r="AY610" s="2"/>
    </row>
    <row r="611">
      <c r="A611" s="1"/>
      <c r="C611" s="1"/>
      <c r="E611" s="1"/>
      <c r="F611" s="1"/>
      <c r="G611" s="2"/>
      <c r="H611" s="1"/>
      <c r="I611" s="1"/>
      <c r="J611" s="1"/>
      <c r="K611" s="1"/>
      <c r="M611" s="1"/>
      <c r="N611" s="1"/>
      <c r="O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2"/>
      <c r="AB611" s="1"/>
      <c r="AC611" s="1"/>
      <c r="AD611" s="1"/>
      <c r="AE611" s="1"/>
      <c r="AF611" s="1"/>
      <c r="AG611" s="1"/>
      <c r="AH611" s="2"/>
      <c r="AI611" s="2"/>
      <c r="AJ611" s="2"/>
      <c r="AK611" s="2"/>
      <c r="AL611" s="2"/>
      <c r="AM611" s="1"/>
      <c r="AN611" s="2"/>
      <c r="AP611" s="2"/>
      <c r="AQ611" s="1"/>
      <c r="AR611" s="2"/>
      <c r="AU611" s="1"/>
      <c r="AW611" s="1"/>
      <c r="AY611" s="2"/>
    </row>
    <row r="612">
      <c r="A612" s="1"/>
      <c r="C612" s="1"/>
      <c r="E612" s="1"/>
      <c r="F612" s="1"/>
      <c r="G612" s="2"/>
      <c r="H612" s="1"/>
      <c r="I612" s="1"/>
      <c r="J612" s="1"/>
      <c r="K612" s="1"/>
      <c r="M612" s="1"/>
      <c r="N612" s="1"/>
      <c r="O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2"/>
      <c r="AB612" s="1"/>
      <c r="AC612" s="1"/>
      <c r="AD612" s="1"/>
      <c r="AE612" s="1"/>
      <c r="AF612" s="1"/>
      <c r="AG612" s="1"/>
      <c r="AH612" s="2"/>
      <c r="AI612" s="2"/>
      <c r="AJ612" s="2"/>
      <c r="AK612" s="2"/>
      <c r="AL612" s="2"/>
      <c r="AM612" s="1"/>
      <c r="AN612" s="2"/>
      <c r="AP612" s="2"/>
      <c r="AQ612" s="1"/>
      <c r="AR612" s="2"/>
      <c r="AU612" s="1"/>
      <c r="AW612" s="1"/>
      <c r="AY612" s="2"/>
    </row>
    <row r="613">
      <c r="A613" s="1"/>
      <c r="C613" s="1"/>
      <c r="E613" s="1"/>
      <c r="F613" s="1"/>
      <c r="G613" s="2"/>
      <c r="H613" s="1"/>
      <c r="I613" s="1"/>
      <c r="J613" s="1"/>
      <c r="K613" s="1"/>
      <c r="M613" s="1"/>
      <c r="N613" s="1"/>
      <c r="O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2"/>
      <c r="AB613" s="1"/>
      <c r="AC613" s="1"/>
      <c r="AD613" s="1"/>
      <c r="AE613" s="1"/>
      <c r="AF613" s="1"/>
      <c r="AG613" s="1"/>
      <c r="AH613" s="2"/>
      <c r="AI613" s="2"/>
      <c r="AJ613" s="2"/>
      <c r="AK613" s="2"/>
      <c r="AL613" s="2"/>
      <c r="AM613" s="1"/>
      <c r="AN613" s="2"/>
      <c r="AP613" s="2"/>
      <c r="AQ613" s="1"/>
      <c r="AR613" s="2"/>
      <c r="AU613" s="1"/>
      <c r="AW613" s="1"/>
      <c r="AY613" s="2"/>
    </row>
    <row r="614">
      <c r="A614" s="1"/>
      <c r="C614" s="1"/>
      <c r="E614" s="1"/>
      <c r="F614" s="1"/>
      <c r="G614" s="2"/>
      <c r="H614" s="1"/>
      <c r="I614" s="1"/>
      <c r="J614" s="1"/>
      <c r="K614" s="1"/>
      <c r="M614" s="1"/>
      <c r="N614" s="1"/>
      <c r="O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2"/>
      <c r="AB614" s="1"/>
      <c r="AC614" s="1"/>
      <c r="AD614" s="1"/>
      <c r="AE614" s="1"/>
      <c r="AF614" s="1"/>
      <c r="AG614" s="1"/>
      <c r="AH614" s="2"/>
      <c r="AI614" s="2"/>
      <c r="AJ614" s="2"/>
      <c r="AK614" s="2"/>
      <c r="AL614" s="2"/>
      <c r="AM614" s="1"/>
      <c r="AN614" s="2"/>
      <c r="AP614" s="2"/>
      <c r="AQ614" s="1"/>
      <c r="AR614" s="2"/>
      <c r="AU614" s="1"/>
      <c r="AW614" s="1"/>
      <c r="AY614" s="2"/>
    </row>
    <row r="615">
      <c r="A615" s="1"/>
      <c r="C615" s="1"/>
      <c r="E615" s="1"/>
      <c r="F615" s="1"/>
      <c r="G615" s="2"/>
      <c r="H615" s="1"/>
      <c r="I615" s="1"/>
      <c r="J615" s="1"/>
      <c r="K615" s="1"/>
      <c r="M615" s="1"/>
      <c r="N615" s="1"/>
      <c r="O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2"/>
      <c r="AB615" s="1"/>
      <c r="AC615" s="1"/>
      <c r="AD615" s="1"/>
      <c r="AE615" s="1"/>
      <c r="AF615" s="1"/>
      <c r="AG615" s="1"/>
      <c r="AH615" s="2"/>
      <c r="AI615" s="2"/>
      <c r="AJ615" s="2"/>
      <c r="AK615" s="2"/>
      <c r="AL615" s="2"/>
      <c r="AM615" s="1"/>
      <c r="AN615" s="2"/>
      <c r="AP615" s="2"/>
      <c r="AQ615" s="1"/>
      <c r="AR615" s="2"/>
      <c r="AU615" s="1"/>
      <c r="AW615" s="1"/>
      <c r="AY615" s="2"/>
    </row>
    <row r="616">
      <c r="A616" s="1"/>
      <c r="C616" s="1"/>
      <c r="E616" s="1"/>
      <c r="F616" s="1"/>
      <c r="G616" s="2"/>
      <c r="H616" s="1"/>
      <c r="I616" s="1"/>
      <c r="J616" s="1"/>
      <c r="K616" s="1"/>
      <c r="M616" s="1"/>
      <c r="N616" s="1"/>
      <c r="O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2"/>
      <c r="AB616" s="1"/>
      <c r="AC616" s="1"/>
      <c r="AD616" s="1"/>
      <c r="AE616" s="1"/>
      <c r="AF616" s="1"/>
      <c r="AG616" s="1"/>
      <c r="AH616" s="2"/>
      <c r="AI616" s="2"/>
      <c r="AJ616" s="2"/>
      <c r="AK616" s="2"/>
      <c r="AL616" s="2"/>
      <c r="AM616" s="1"/>
      <c r="AN616" s="2"/>
      <c r="AP616" s="2"/>
      <c r="AQ616" s="1"/>
      <c r="AR616" s="2"/>
      <c r="AU616" s="1"/>
      <c r="AW616" s="1"/>
      <c r="AY616" s="2"/>
    </row>
    <row r="617">
      <c r="A617" s="1"/>
      <c r="C617" s="1"/>
      <c r="E617" s="1"/>
      <c r="F617" s="1"/>
      <c r="G617" s="2"/>
      <c r="H617" s="1"/>
      <c r="I617" s="1"/>
      <c r="J617" s="1"/>
      <c r="K617" s="1"/>
      <c r="M617" s="1"/>
      <c r="N617" s="1"/>
      <c r="O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2"/>
      <c r="AB617" s="1"/>
      <c r="AC617" s="1"/>
      <c r="AD617" s="1"/>
      <c r="AE617" s="1"/>
      <c r="AF617" s="1"/>
      <c r="AG617" s="1"/>
      <c r="AH617" s="2"/>
      <c r="AI617" s="2"/>
      <c r="AJ617" s="2"/>
      <c r="AK617" s="2"/>
      <c r="AL617" s="2"/>
      <c r="AM617" s="1"/>
      <c r="AN617" s="2"/>
      <c r="AP617" s="2"/>
      <c r="AQ617" s="1"/>
      <c r="AR617" s="2"/>
      <c r="AU617" s="1"/>
      <c r="AW617" s="1"/>
      <c r="AY617" s="2"/>
    </row>
    <row r="618">
      <c r="A618" s="1"/>
      <c r="C618" s="1"/>
      <c r="E618" s="1"/>
      <c r="F618" s="1"/>
      <c r="G618" s="2"/>
      <c r="H618" s="1"/>
      <c r="I618" s="1"/>
      <c r="J618" s="1"/>
      <c r="K618" s="1"/>
      <c r="M618" s="1"/>
      <c r="N618" s="1"/>
      <c r="O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2"/>
      <c r="AB618" s="1"/>
      <c r="AC618" s="1"/>
      <c r="AD618" s="1"/>
      <c r="AE618" s="1"/>
      <c r="AF618" s="1"/>
      <c r="AG618" s="1"/>
      <c r="AH618" s="2"/>
      <c r="AI618" s="2"/>
      <c r="AJ618" s="2"/>
      <c r="AK618" s="2"/>
      <c r="AL618" s="2"/>
      <c r="AM618" s="1"/>
      <c r="AN618" s="2"/>
      <c r="AP618" s="2"/>
      <c r="AQ618" s="1"/>
      <c r="AR618" s="2"/>
      <c r="AU618" s="1"/>
      <c r="AW618" s="1"/>
      <c r="AY618" s="2"/>
    </row>
    <row r="619">
      <c r="A619" s="1"/>
      <c r="C619" s="1"/>
      <c r="E619" s="1"/>
      <c r="F619" s="1"/>
      <c r="G619" s="2"/>
      <c r="H619" s="1"/>
      <c r="I619" s="1"/>
      <c r="J619" s="1"/>
      <c r="K619" s="1"/>
      <c r="M619" s="1"/>
      <c r="N619" s="1"/>
      <c r="O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2"/>
      <c r="AB619" s="1"/>
      <c r="AC619" s="1"/>
      <c r="AD619" s="1"/>
      <c r="AE619" s="1"/>
      <c r="AF619" s="1"/>
      <c r="AG619" s="1"/>
      <c r="AH619" s="2"/>
      <c r="AI619" s="2"/>
      <c r="AJ619" s="2"/>
      <c r="AK619" s="2"/>
      <c r="AL619" s="2"/>
      <c r="AM619" s="1"/>
      <c r="AN619" s="2"/>
      <c r="AP619" s="2"/>
      <c r="AQ619" s="1"/>
      <c r="AR619" s="2"/>
      <c r="AU619" s="1"/>
      <c r="AW619" s="1"/>
      <c r="AY619" s="2"/>
    </row>
    <row r="620">
      <c r="A620" s="1"/>
      <c r="C620" s="1"/>
      <c r="E620" s="1"/>
      <c r="F620" s="1"/>
      <c r="G620" s="2"/>
      <c r="H620" s="1"/>
      <c r="I620" s="1"/>
      <c r="J620" s="1"/>
      <c r="K620" s="1"/>
      <c r="M620" s="1"/>
      <c r="N620" s="1"/>
      <c r="O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2"/>
      <c r="AB620" s="1"/>
      <c r="AC620" s="1"/>
      <c r="AD620" s="1"/>
      <c r="AE620" s="1"/>
      <c r="AF620" s="1"/>
      <c r="AG620" s="1"/>
      <c r="AH620" s="2"/>
      <c r="AI620" s="2"/>
      <c r="AJ620" s="2"/>
      <c r="AK620" s="2"/>
      <c r="AL620" s="2"/>
      <c r="AM620" s="1"/>
      <c r="AN620" s="2"/>
      <c r="AP620" s="2"/>
      <c r="AQ620" s="1"/>
      <c r="AR620" s="2"/>
      <c r="AU620" s="1"/>
      <c r="AW620" s="1"/>
      <c r="AY620" s="2"/>
    </row>
    <row r="621">
      <c r="A621" s="1"/>
      <c r="C621" s="1"/>
      <c r="E621" s="1"/>
      <c r="F621" s="1"/>
      <c r="G621" s="2"/>
      <c r="H621" s="1"/>
      <c r="I621" s="1"/>
      <c r="J621" s="1"/>
      <c r="K621" s="1"/>
      <c r="M621" s="1"/>
      <c r="N621" s="1"/>
      <c r="O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2"/>
      <c r="AB621" s="1"/>
      <c r="AC621" s="1"/>
      <c r="AD621" s="1"/>
      <c r="AE621" s="1"/>
      <c r="AF621" s="1"/>
      <c r="AG621" s="1"/>
      <c r="AH621" s="2"/>
      <c r="AI621" s="2"/>
      <c r="AJ621" s="2"/>
      <c r="AK621" s="2"/>
      <c r="AL621" s="2"/>
      <c r="AM621" s="1"/>
      <c r="AN621" s="2"/>
      <c r="AP621" s="2"/>
      <c r="AQ621" s="1"/>
      <c r="AR621" s="2"/>
      <c r="AU621" s="1"/>
      <c r="AW621" s="1"/>
      <c r="AY621" s="2"/>
    </row>
    <row r="622">
      <c r="A622" s="1"/>
      <c r="C622" s="1"/>
      <c r="E622" s="1"/>
      <c r="F622" s="1"/>
      <c r="G622" s="2"/>
      <c r="H622" s="1"/>
      <c r="I622" s="1"/>
      <c r="J622" s="1"/>
      <c r="K622" s="1"/>
      <c r="M622" s="1"/>
      <c r="N622" s="1"/>
      <c r="O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2"/>
      <c r="AB622" s="1"/>
      <c r="AC622" s="1"/>
      <c r="AD622" s="1"/>
      <c r="AE622" s="1"/>
      <c r="AF622" s="1"/>
      <c r="AG622" s="1"/>
      <c r="AH622" s="2"/>
      <c r="AI622" s="2"/>
      <c r="AJ622" s="2"/>
      <c r="AK622" s="2"/>
      <c r="AL622" s="2"/>
      <c r="AM622" s="1"/>
      <c r="AN622" s="2"/>
      <c r="AP622" s="2"/>
      <c r="AQ622" s="1"/>
      <c r="AR622" s="2"/>
      <c r="AU622" s="1"/>
      <c r="AW622" s="1"/>
      <c r="AY622" s="2"/>
    </row>
    <row r="623">
      <c r="A623" s="1"/>
      <c r="C623" s="1"/>
      <c r="E623" s="1"/>
      <c r="F623" s="1"/>
      <c r="G623" s="2"/>
      <c r="H623" s="1"/>
      <c r="I623" s="1"/>
      <c r="J623" s="1"/>
      <c r="K623" s="1"/>
      <c r="M623" s="1"/>
      <c r="N623" s="1"/>
      <c r="O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2"/>
      <c r="AB623" s="1"/>
      <c r="AC623" s="1"/>
      <c r="AD623" s="1"/>
      <c r="AE623" s="1"/>
      <c r="AF623" s="1"/>
      <c r="AG623" s="1"/>
      <c r="AH623" s="2"/>
      <c r="AI623" s="2"/>
      <c r="AJ623" s="2"/>
      <c r="AK623" s="2"/>
      <c r="AL623" s="2"/>
      <c r="AM623" s="1"/>
      <c r="AN623" s="2"/>
      <c r="AP623" s="2"/>
      <c r="AQ623" s="1"/>
      <c r="AR623" s="2"/>
      <c r="AU623" s="1"/>
      <c r="AW623" s="1"/>
      <c r="AY623" s="2"/>
    </row>
    <row r="624">
      <c r="A624" s="1"/>
      <c r="C624" s="1"/>
      <c r="E624" s="1"/>
      <c r="F624" s="1"/>
      <c r="G624" s="2"/>
      <c r="H624" s="1"/>
      <c r="I624" s="1"/>
      <c r="J624" s="1"/>
      <c r="K624" s="1"/>
      <c r="M624" s="1"/>
      <c r="N624" s="1"/>
      <c r="O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2"/>
      <c r="AB624" s="1"/>
      <c r="AC624" s="1"/>
      <c r="AD624" s="1"/>
      <c r="AE624" s="1"/>
      <c r="AF624" s="1"/>
      <c r="AG624" s="1"/>
      <c r="AH624" s="2"/>
      <c r="AI624" s="2"/>
      <c r="AJ624" s="2"/>
      <c r="AK624" s="2"/>
      <c r="AL624" s="2"/>
      <c r="AM624" s="1"/>
      <c r="AN624" s="2"/>
      <c r="AP624" s="2"/>
      <c r="AQ624" s="1"/>
      <c r="AR624" s="2"/>
      <c r="AU624" s="1"/>
      <c r="AW624" s="1"/>
      <c r="AY624" s="2"/>
    </row>
    <row r="625">
      <c r="A625" s="1"/>
      <c r="C625" s="1"/>
      <c r="E625" s="1"/>
      <c r="F625" s="1"/>
      <c r="G625" s="2"/>
      <c r="H625" s="1"/>
      <c r="I625" s="1"/>
      <c r="J625" s="1"/>
      <c r="K625" s="1"/>
      <c r="M625" s="1"/>
      <c r="N625" s="1"/>
      <c r="O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2"/>
      <c r="AB625" s="1"/>
      <c r="AC625" s="1"/>
      <c r="AD625" s="1"/>
      <c r="AE625" s="1"/>
      <c r="AF625" s="1"/>
      <c r="AG625" s="1"/>
      <c r="AH625" s="2"/>
      <c r="AI625" s="2"/>
      <c r="AJ625" s="2"/>
      <c r="AK625" s="2"/>
      <c r="AL625" s="2"/>
      <c r="AM625" s="1"/>
      <c r="AN625" s="2"/>
      <c r="AP625" s="2"/>
      <c r="AQ625" s="1"/>
      <c r="AR625" s="2"/>
      <c r="AU625" s="1"/>
      <c r="AW625" s="1"/>
      <c r="AY625" s="2"/>
    </row>
    <row r="626">
      <c r="A626" s="1"/>
      <c r="C626" s="1"/>
      <c r="E626" s="1"/>
      <c r="F626" s="1"/>
      <c r="G626" s="2"/>
      <c r="H626" s="1"/>
      <c r="I626" s="1"/>
      <c r="J626" s="1"/>
      <c r="K626" s="1"/>
      <c r="M626" s="1"/>
      <c r="N626" s="1"/>
      <c r="O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2"/>
      <c r="AB626" s="1"/>
      <c r="AC626" s="1"/>
      <c r="AD626" s="1"/>
      <c r="AE626" s="1"/>
      <c r="AF626" s="1"/>
      <c r="AG626" s="1"/>
      <c r="AH626" s="2"/>
      <c r="AI626" s="2"/>
      <c r="AJ626" s="2"/>
      <c r="AK626" s="2"/>
      <c r="AL626" s="2"/>
      <c r="AM626" s="1"/>
      <c r="AN626" s="2"/>
      <c r="AP626" s="2"/>
      <c r="AQ626" s="1"/>
      <c r="AR626" s="2"/>
      <c r="AU626" s="1"/>
      <c r="AW626" s="1"/>
      <c r="AY626" s="2"/>
    </row>
    <row r="627">
      <c r="A627" s="1"/>
      <c r="C627" s="1"/>
      <c r="E627" s="1"/>
      <c r="F627" s="1"/>
      <c r="G627" s="2"/>
      <c r="H627" s="1"/>
      <c r="I627" s="1"/>
      <c r="J627" s="1"/>
      <c r="K627" s="1"/>
      <c r="M627" s="1"/>
      <c r="N627" s="1"/>
      <c r="O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2"/>
      <c r="AB627" s="1"/>
      <c r="AC627" s="1"/>
      <c r="AD627" s="1"/>
      <c r="AE627" s="1"/>
      <c r="AF627" s="1"/>
      <c r="AG627" s="1"/>
      <c r="AH627" s="2"/>
      <c r="AI627" s="2"/>
      <c r="AJ627" s="2"/>
      <c r="AK627" s="2"/>
      <c r="AL627" s="2"/>
      <c r="AM627" s="1"/>
      <c r="AN627" s="2"/>
      <c r="AP627" s="2"/>
      <c r="AQ627" s="1"/>
      <c r="AR627" s="2"/>
      <c r="AU627" s="1"/>
      <c r="AW627" s="1"/>
      <c r="AY627" s="2"/>
    </row>
    <row r="628">
      <c r="A628" s="1"/>
      <c r="C628" s="1"/>
      <c r="E628" s="1"/>
      <c r="F628" s="1"/>
      <c r="G628" s="2"/>
      <c r="H628" s="1"/>
      <c r="I628" s="1"/>
      <c r="J628" s="1"/>
      <c r="K628" s="1"/>
      <c r="M628" s="1"/>
      <c r="N628" s="1"/>
      <c r="O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2"/>
      <c r="AB628" s="1"/>
      <c r="AC628" s="1"/>
      <c r="AD628" s="1"/>
      <c r="AE628" s="1"/>
      <c r="AF628" s="1"/>
      <c r="AG628" s="1"/>
      <c r="AH628" s="2"/>
      <c r="AI628" s="2"/>
      <c r="AJ628" s="2"/>
      <c r="AK628" s="2"/>
      <c r="AL628" s="2"/>
      <c r="AM628" s="1"/>
      <c r="AN628" s="2"/>
      <c r="AP628" s="2"/>
      <c r="AQ628" s="1"/>
      <c r="AR628" s="2"/>
      <c r="AU628" s="1"/>
      <c r="AW628" s="1"/>
      <c r="AY628" s="2"/>
    </row>
    <row r="629">
      <c r="A629" s="1"/>
      <c r="C629" s="1"/>
      <c r="E629" s="1"/>
      <c r="F629" s="1"/>
      <c r="G629" s="2"/>
      <c r="H629" s="1"/>
      <c r="I629" s="1"/>
      <c r="J629" s="1"/>
      <c r="K629" s="1"/>
      <c r="M629" s="1"/>
      <c r="N629" s="1"/>
      <c r="O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2"/>
      <c r="AB629" s="1"/>
      <c r="AC629" s="1"/>
      <c r="AD629" s="1"/>
      <c r="AE629" s="1"/>
      <c r="AF629" s="1"/>
      <c r="AG629" s="1"/>
      <c r="AH629" s="2"/>
      <c r="AI629" s="2"/>
      <c r="AJ629" s="2"/>
      <c r="AK629" s="2"/>
      <c r="AL629" s="2"/>
      <c r="AM629" s="1"/>
      <c r="AN629" s="2"/>
      <c r="AP629" s="2"/>
      <c r="AQ629" s="1"/>
      <c r="AR629" s="2"/>
      <c r="AU629" s="1"/>
      <c r="AW629" s="1"/>
      <c r="AY629" s="2"/>
    </row>
    <row r="630">
      <c r="A630" s="1"/>
      <c r="C630" s="1"/>
      <c r="E630" s="1"/>
      <c r="F630" s="1"/>
      <c r="G630" s="2"/>
      <c r="H630" s="1"/>
      <c r="I630" s="1"/>
      <c r="J630" s="1"/>
      <c r="K630" s="1"/>
      <c r="M630" s="1"/>
      <c r="N630" s="1"/>
      <c r="O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2"/>
      <c r="AB630" s="1"/>
      <c r="AC630" s="1"/>
      <c r="AD630" s="1"/>
      <c r="AE630" s="1"/>
      <c r="AF630" s="1"/>
      <c r="AG630" s="1"/>
      <c r="AH630" s="2"/>
      <c r="AI630" s="2"/>
      <c r="AJ630" s="2"/>
      <c r="AK630" s="2"/>
      <c r="AL630" s="2"/>
      <c r="AM630" s="1"/>
      <c r="AN630" s="2"/>
      <c r="AP630" s="2"/>
      <c r="AQ630" s="1"/>
      <c r="AR630" s="2"/>
      <c r="AU630" s="1"/>
      <c r="AW630" s="1"/>
      <c r="AY630" s="2"/>
    </row>
    <row r="631">
      <c r="A631" s="1"/>
      <c r="C631" s="1"/>
      <c r="E631" s="1"/>
      <c r="F631" s="1"/>
      <c r="G631" s="2"/>
      <c r="H631" s="1"/>
      <c r="I631" s="1"/>
      <c r="J631" s="1"/>
      <c r="K631" s="1"/>
      <c r="M631" s="1"/>
      <c r="N631" s="1"/>
      <c r="O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2"/>
      <c r="AB631" s="1"/>
      <c r="AC631" s="1"/>
      <c r="AD631" s="1"/>
      <c r="AE631" s="1"/>
      <c r="AF631" s="1"/>
      <c r="AG631" s="1"/>
      <c r="AH631" s="2"/>
      <c r="AI631" s="2"/>
      <c r="AJ631" s="2"/>
      <c r="AK631" s="2"/>
      <c r="AL631" s="2"/>
      <c r="AM631" s="1"/>
      <c r="AN631" s="2"/>
      <c r="AP631" s="2"/>
      <c r="AQ631" s="1"/>
      <c r="AR631" s="2"/>
      <c r="AU631" s="1"/>
      <c r="AW631" s="1"/>
      <c r="AY631" s="2"/>
    </row>
    <row r="632">
      <c r="A632" s="1"/>
      <c r="C632" s="1"/>
      <c r="E632" s="1"/>
      <c r="F632" s="1"/>
      <c r="G632" s="2"/>
      <c r="H632" s="1"/>
      <c r="I632" s="1"/>
      <c r="J632" s="1"/>
      <c r="K632" s="1"/>
      <c r="M632" s="1"/>
      <c r="N632" s="1"/>
      <c r="O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2"/>
      <c r="AB632" s="1"/>
      <c r="AC632" s="1"/>
      <c r="AD632" s="1"/>
      <c r="AE632" s="1"/>
      <c r="AF632" s="1"/>
      <c r="AG632" s="1"/>
      <c r="AH632" s="2"/>
      <c r="AI632" s="2"/>
      <c r="AJ632" s="2"/>
      <c r="AK632" s="2"/>
      <c r="AL632" s="2"/>
      <c r="AM632" s="1"/>
      <c r="AN632" s="2"/>
      <c r="AP632" s="2"/>
      <c r="AQ632" s="1"/>
      <c r="AR632" s="2"/>
      <c r="AU632" s="1"/>
      <c r="AW632" s="1"/>
      <c r="AY632" s="2"/>
    </row>
    <row r="633">
      <c r="A633" s="1"/>
      <c r="C633" s="1"/>
      <c r="E633" s="1"/>
      <c r="F633" s="1"/>
      <c r="G633" s="2"/>
      <c r="H633" s="1"/>
      <c r="I633" s="1"/>
      <c r="J633" s="1"/>
      <c r="K633" s="1"/>
      <c r="M633" s="1"/>
      <c r="N633" s="1"/>
      <c r="O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2"/>
      <c r="AB633" s="1"/>
      <c r="AC633" s="1"/>
      <c r="AD633" s="1"/>
      <c r="AE633" s="1"/>
      <c r="AF633" s="1"/>
      <c r="AG633" s="1"/>
      <c r="AH633" s="2"/>
      <c r="AI633" s="2"/>
      <c r="AJ633" s="2"/>
      <c r="AK633" s="2"/>
      <c r="AL633" s="2"/>
      <c r="AM633" s="1"/>
      <c r="AN633" s="2"/>
      <c r="AP633" s="2"/>
      <c r="AQ633" s="1"/>
      <c r="AR633" s="2"/>
      <c r="AU633" s="1"/>
      <c r="AW633" s="1"/>
      <c r="AY633" s="2"/>
    </row>
    <row r="634">
      <c r="A634" s="1"/>
      <c r="C634" s="1"/>
      <c r="E634" s="1"/>
      <c r="F634" s="1"/>
      <c r="G634" s="2"/>
      <c r="H634" s="1"/>
      <c r="I634" s="1"/>
      <c r="J634" s="1"/>
      <c r="K634" s="1"/>
      <c r="M634" s="1"/>
      <c r="N634" s="1"/>
      <c r="O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2"/>
      <c r="AB634" s="1"/>
      <c r="AC634" s="1"/>
      <c r="AD634" s="1"/>
      <c r="AE634" s="1"/>
      <c r="AF634" s="1"/>
      <c r="AG634" s="1"/>
      <c r="AH634" s="2"/>
      <c r="AI634" s="2"/>
      <c r="AJ634" s="2"/>
      <c r="AK634" s="2"/>
      <c r="AL634" s="2"/>
      <c r="AM634" s="1"/>
      <c r="AN634" s="2"/>
      <c r="AP634" s="2"/>
      <c r="AQ634" s="1"/>
      <c r="AR634" s="2"/>
      <c r="AU634" s="1"/>
      <c r="AW634" s="1"/>
      <c r="AY634" s="2"/>
    </row>
    <row r="635">
      <c r="A635" s="1"/>
      <c r="C635" s="1"/>
      <c r="E635" s="1"/>
      <c r="F635" s="1"/>
      <c r="G635" s="2"/>
      <c r="H635" s="1"/>
      <c r="I635" s="1"/>
      <c r="J635" s="1"/>
      <c r="K635" s="1"/>
      <c r="M635" s="1"/>
      <c r="N635" s="1"/>
      <c r="O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2"/>
      <c r="AB635" s="1"/>
      <c r="AC635" s="1"/>
      <c r="AD635" s="1"/>
      <c r="AE635" s="1"/>
      <c r="AF635" s="1"/>
      <c r="AG635" s="1"/>
      <c r="AH635" s="2"/>
      <c r="AI635" s="2"/>
      <c r="AJ635" s="2"/>
      <c r="AK635" s="2"/>
      <c r="AL635" s="2"/>
      <c r="AM635" s="1"/>
      <c r="AN635" s="2"/>
      <c r="AP635" s="2"/>
      <c r="AQ635" s="1"/>
      <c r="AR635" s="2"/>
      <c r="AU635" s="1"/>
      <c r="AW635" s="1"/>
      <c r="AY635" s="2"/>
    </row>
    <row r="636">
      <c r="A636" s="1"/>
      <c r="C636" s="1"/>
      <c r="E636" s="1"/>
      <c r="F636" s="1"/>
      <c r="G636" s="2"/>
      <c r="H636" s="1"/>
      <c r="I636" s="1"/>
      <c r="J636" s="1"/>
      <c r="K636" s="1"/>
      <c r="M636" s="1"/>
      <c r="N636" s="1"/>
      <c r="O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2"/>
      <c r="AB636" s="1"/>
      <c r="AC636" s="1"/>
      <c r="AD636" s="1"/>
      <c r="AE636" s="1"/>
      <c r="AF636" s="1"/>
      <c r="AG636" s="1"/>
      <c r="AH636" s="2"/>
      <c r="AI636" s="2"/>
      <c r="AJ636" s="2"/>
      <c r="AK636" s="2"/>
      <c r="AL636" s="2"/>
      <c r="AM636" s="1"/>
      <c r="AN636" s="2"/>
      <c r="AP636" s="2"/>
      <c r="AQ636" s="1"/>
      <c r="AR636" s="2"/>
      <c r="AU636" s="1"/>
      <c r="AW636" s="1"/>
      <c r="AY636" s="2"/>
    </row>
    <row r="637">
      <c r="A637" s="1"/>
      <c r="C637" s="1"/>
      <c r="E637" s="1"/>
      <c r="F637" s="1"/>
      <c r="G637" s="2"/>
      <c r="H637" s="1"/>
      <c r="I637" s="1"/>
      <c r="J637" s="1"/>
      <c r="K637" s="1"/>
      <c r="M637" s="1"/>
      <c r="N637" s="1"/>
      <c r="O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2"/>
      <c r="AB637" s="1"/>
      <c r="AC637" s="1"/>
      <c r="AD637" s="1"/>
      <c r="AE637" s="1"/>
      <c r="AF637" s="1"/>
      <c r="AG637" s="1"/>
      <c r="AH637" s="2"/>
      <c r="AI637" s="2"/>
      <c r="AJ637" s="2"/>
      <c r="AK637" s="2"/>
      <c r="AL637" s="2"/>
      <c r="AM637" s="1"/>
      <c r="AN637" s="2"/>
      <c r="AP637" s="2"/>
      <c r="AQ637" s="1"/>
      <c r="AR637" s="2"/>
      <c r="AU637" s="1"/>
      <c r="AW637" s="1"/>
      <c r="AY637" s="2"/>
    </row>
    <row r="638">
      <c r="A638" s="1"/>
      <c r="C638" s="1"/>
      <c r="E638" s="1"/>
      <c r="F638" s="1"/>
      <c r="G638" s="2"/>
      <c r="H638" s="1"/>
      <c r="I638" s="1"/>
      <c r="J638" s="1"/>
      <c r="K638" s="1"/>
      <c r="M638" s="1"/>
      <c r="N638" s="1"/>
      <c r="O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2"/>
      <c r="AB638" s="1"/>
      <c r="AC638" s="1"/>
      <c r="AD638" s="1"/>
      <c r="AE638" s="1"/>
      <c r="AF638" s="1"/>
      <c r="AG638" s="1"/>
      <c r="AH638" s="2"/>
      <c r="AI638" s="2"/>
      <c r="AJ638" s="2"/>
      <c r="AK638" s="2"/>
      <c r="AL638" s="2"/>
      <c r="AM638" s="1"/>
      <c r="AN638" s="2"/>
      <c r="AP638" s="2"/>
      <c r="AQ638" s="1"/>
      <c r="AR638" s="2"/>
      <c r="AU638" s="1"/>
      <c r="AW638" s="1"/>
      <c r="AY638" s="2"/>
    </row>
    <row r="639">
      <c r="A639" s="1"/>
      <c r="C639" s="1"/>
      <c r="E639" s="1"/>
      <c r="F639" s="1"/>
      <c r="G639" s="2"/>
      <c r="H639" s="1"/>
      <c r="I639" s="1"/>
      <c r="J639" s="1"/>
      <c r="K639" s="1"/>
      <c r="M639" s="1"/>
      <c r="N639" s="1"/>
      <c r="O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2"/>
      <c r="AB639" s="1"/>
      <c r="AC639" s="1"/>
      <c r="AD639" s="1"/>
      <c r="AE639" s="1"/>
      <c r="AF639" s="1"/>
      <c r="AG639" s="1"/>
      <c r="AH639" s="2"/>
      <c r="AI639" s="2"/>
      <c r="AJ639" s="2"/>
      <c r="AK639" s="2"/>
      <c r="AL639" s="2"/>
      <c r="AM639" s="1"/>
      <c r="AN639" s="2"/>
      <c r="AP639" s="2"/>
      <c r="AQ639" s="1"/>
      <c r="AR639" s="2"/>
      <c r="AU639" s="1"/>
      <c r="AW639" s="1"/>
      <c r="AY639" s="2"/>
    </row>
    <row r="640">
      <c r="A640" s="1"/>
      <c r="C640" s="1"/>
      <c r="E640" s="1"/>
      <c r="F640" s="1"/>
      <c r="G640" s="2"/>
      <c r="H640" s="1"/>
      <c r="I640" s="1"/>
      <c r="J640" s="1"/>
      <c r="K640" s="1"/>
      <c r="M640" s="1"/>
      <c r="N640" s="1"/>
      <c r="O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2"/>
      <c r="AB640" s="1"/>
      <c r="AC640" s="1"/>
      <c r="AD640" s="1"/>
      <c r="AE640" s="1"/>
      <c r="AF640" s="1"/>
      <c r="AG640" s="1"/>
      <c r="AH640" s="2"/>
      <c r="AI640" s="2"/>
      <c r="AJ640" s="2"/>
      <c r="AK640" s="2"/>
      <c r="AL640" s="2"/>
      <c r="AM640" s="1"/>
      <c r="AN640" s="2"/>
      <c r="AP640" s="2"/>
      <c r="AQ640" s="1"/>
      <c r="AR640" s="2"/>
      <c r="AU640" s="1"/>
      <c r="AW640" s="1"/>
      <c r="AY640" s="2"/>
    </row>
    <row r="641">
      <c r="A641" s="1"/>
      <c r="C641" s="1"/>
      <c r="E641" s="1"/>
      <c r="F641" s="1"/>
      <c r="G641" s="2"/>
      <c r="H641" s="1"/>
      <c r="I641" s="1"/>
      <c r="J641" s="1"/>
      <c r="K641" s="1"/>
      <c r="M641" s="1"/>
      <c r="N641" s="1"/>
      <c r="O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2"/>
      <c r="AB641" s="1"/>
      <c r="AC641" s="1"/>
      <c r="AD641" s="1"/>
      <c r="AE641" s="1"/>
      <c r="AF641" s="1"/>
      <c r="AG641" s="1"/>
      <c r="AH641" s="2"/>
      <c r="AI641" s="2"/>
      <c r="AJ641" s="2"/>
      <c r="AK641" s="2"/>
      <c r="AL641" s="2"/>
      <c r="AM641" s="1"/>
      <c r="AN641" s="2"/>
      <c r="AP641" s="2"/>
      <c r="AQ641" s="1"/>
      <c r="AR641" s="2"/>
      <c r="AU641" s="1"/>
      <c r="AW641" s="1"/>
      <c r="AY641" s="2"/>
    </row>
    <row r="642">
      <c r="A642" s="1"/>
      <c r="C642" s="1"/>
      <c r="E642" s="1"/>
      <c r="F642" s="1"/>
      <c r="G642" s="2"/>
      <c r="H642" s="1"/>
      <c r="I642" s="1"/>
      <c r="J642" s="1"/>
      <c r="K642" s="1"/>
      <c r="M642" s="1"/>
      <c r="N642" s="1"/>
      <c r="O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2"/>
      <c r="AB642" s="1"/>
      <c r="AC642" s="1"/>
      <c r="AD642" s="1"/>
      <c r="AE642" s="1"/>
      <c r="AF642" s="1"/>
      <c r="AG642" s="1"/>
      <c r="AH642" s="2"/>
      <c r="AI642" s="2"/>
      <c r="AJ642" s="2"/>
      <c r="AK642" s="2"/>
      <c r="AL642" s="2"/>
      <c r="AM642" s="1"/>
      <c r="AN642" s="2"/>
      <c r="AP642" s="2"/>
      <c r="AQ642" s="1"/>
      <c r="AR642" s="2"/>
      <c r="AU642" s="1"/>
      <c r="AW642" s="1"/>
      <c r="AY642" s="2"/>
    </row>
    <row r="643">
      <c r="A643" s="1"/>
      <c r="C643" s="1"/>
      <c r="E643" s="1"/>
      <c r="F643" s="1"/>
      <c r="G643" s="2"/>
      <c r="H643" s="1"/>
      <c r="I643" s="1"/>
      <c r="J643" s="1"/>
      <c r="K643" s="1"/>
      <c r="M643" s="1"/>
      <c r="N643" s="1"/>
      <c r="O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2"/>
      <c r="AB643" s="1"/>
      <c r="AC643" s="1"/>
      <c r="AD643" s="1"/>
      <c r="AE643" s="1"/>
      <c r="AF643" s="1"/>
      <c r="AG643" s="1"/>
      <c r="AH643" s="2"/>
      <c r="AI643" s="2"/>
      <c r="AJ643" s="2"/>
      <c r="AK643" s="2"/>
      <c r="AL643" s="2"/>
      <c r="AM643" s="1"/>
      <c r="AN643" s="2"/>
      <c r="AP643" s="2"/>
      <c r="AQ643" s="1"/>
      <c r="AR643" s="2"/>
      <c r="AU643" s="1"/>
      <c r="AW643" s="1"/>
      <c r="AY643" s="2"/>
    </row>
    <row r="644">
      <c r="A644" s="1"/>
      <c r="C644" s="1"/>
      <c r="E644" s="1"/>
      <c r="F644" s="1"/>
      <c r="G644" s="2"/>
      <c r="H644" s="1"/>
      <c r="I644" s="1"/>
      <c r="J644" s="1"/>
      <c r="K644" s="1"/>
      <c r="M644" s="1"/>
      <c r="N644" s="1"/>
      <c r="O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2"/>
      <c r="AB644" s="1"/>
      <c r="AC644" s="1"/>
      <c r="AD644" s="1"/>
      <c r="AE644" s="1"/>
      <c r="AF644" s="1"/>
      <c r="AG644" s="1"/>
      <c r="AH644" s="2"/>
      <c r="AI644" s="2"/>
      <c r="AJ644" s="2"/>
      <c r="AK644" s="2"/>
      <c r="AL644" s="2"/>
      <c r="AM644" s="1"/>
      <c r="AN644" s="2"/>
      <c r="AP644" s="2"/>
      <c r="AQ644" s="1"/>
      <c r="AR644" s="2"/>
      <c r="AU644" s="1"/>
      <c r="AW644" s="1"/>
      <c r="AY644" s="2"/>
    </row>
    <row r="645">
      <c r="A645" s="1"/>
      <c r="C645" s="1"/>
      <c r="E645" s="1"/>
      <c r="F645" s="1"/>
      <c r="G645" s="2"/>
      <c r="H645" s="1"/>
      <c r="I645" s="1"/>
      <c r="J645" s="1"/>
      <c r="K645" s="1"/>
      <c r="M645" s="1"/>
      <c r="N645" s="1"/>
      <c r="O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2"/>
      <c r="AB645" s="1"/>
      <c r="AC645" s="1"/>
      <c r="AD645" s="1"/>
      <c r="AE645" s="1"/>
      <c r="AF645" s="1"/>
      <c r="AG645" s="1"/>
      <c r="AH645" s="2"/>
      <c r="AI645" s="2"/>
      <c r="AJ645" s="2"/>
      <c r="AK645" s="2"/>
      <c r="AL645" s="2"/>
      <c r="AM645" s="1"/>
      <c r="AN645" s="2"/>
      <c r="AP645" s="2"/>
      <c r="AQ645" s="1"/>
      <c r="AR645" s="2"/>
      <c r="AU645" s="1"/>
      <c r="AW645" s="1"/>
      <c r="AY645" s="2"/>
    </row>
    <row r="646">
      <c r="A646" s="1"/>
      <c r="C646" s="1"/>
      <c r="E646" s="1"/>
      <c r="F646" s="1"/>
      <c r="G646" s="2"/>
      <c r="H646" s="1"/>
      <c r="I646" s="1"/>
      <c r="J646" s="1"/>
      <c r="K646" s="1"/>
      <c r="M646" s="1"/>
      <c r="N646" s="1"/>
      <c r="O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2"/>
      <c r="AB646" s="1"/>
      <c r="AC646" s="1"/>
      <c r="AD646" s="1"/>
      <c r="AE646" s="1"/>
      <c r="AF646" s="1"/>
      <c r="AG646" s="1"/>
      <c r="AH646" s="2"/>
      <c r="AI646" s="2"/>
      <c r="AJ646" s="2"/>
      <c r="AK646" s="2"/>
      <c r="AL646" s="2"/>
      <c r="AM646" s="1"/>
      <c r="AN646" s="2"/>
      <c r="AP646" s="2"/>
      <c r="AQ646" s="1"/>
      <c r="AR646" s="2"/>
      <c r="AU646" s="1"/>
      <c r="AW646" s="1"/>
      <c r="AY646" s="2"/>
    </row>
    <row r="647">
      <c r="A647" s="1"/>
      <c r="C647" s="1"/>
      <c r="E647" s="1"/>
      <c r="F647" s="1"/>
      <c r="G647" s="2"/>
      <c r="H647" s="1"/>
      <c r="I647" s="1"/>
      <c r="J647" s="1"/>
      <c r="K647" s="1"/>
      <c r="M647" s="1"/>
      <c r="N647" s="1"/>
      <c r="O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2"/>
      <c r="AB647" s="1"/>
      <c r="AC647" s="1"/>
      <c r="AD647" s="1"/>
      <c r="AE647" s="1"/>
      <c r="AF647" s="1"/>
      <c r="AG647" s="1"/>
      <c r="AH647" s="2"/>
      <c r="AI647" s="2"/>
      <c r="AJ647" s="2"/>
      <c r="AK647" s="2"/>
      <c r="AL647" s="2"/>
      <c r="AM647" s="1"/>
      <c r="AN647" s="2"/>
      <c r="AP647" s="2"/>
      <c r="AQ647" s="1"/>
      <c r="AR647" s="2"/>
      <c r="AU647" s="1"/>
      <c r="AW647" s="1"/>
      <c r="AY647" s="2"/>
    </row>
    <row r="648">
      <c r="A648" s="1"/>
      <c r="C648" s="1"/>
      <c r="E648" s="1"/>
      <c r="F648" s="1"/>
      <c r="G648" s="2"/>
      <c r="H648" s="1"/>
      <c r="I648" s="1"/>
      <c r="J648" s="1"/>
      <c r="K648" s="1"/>
      <c r="M648" s="1"/>
      <c r="N648" s="1"/>
      <c r="O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2"/>
      <c r="AB648" s="1"/>
      <c r="AC648" s="1"/>
      <c r="AD648" s="1"/>
      <c r="AE648" s="1"/>
      <c r="AF648" s="1"/>
      <c r="AG648" s="1"/>
      <c r="AH648" s="2"/>
      <c r="AI648" s="2"/>
      <c r="AJ648" s="2"/>
      <c r="AK648" s="2"/>
      <c r="AL648" s="2"/>
      <c r="AM648" s="1"/>
      <c r="AN648" s="2"/>
      <c r="AP648" s="2"/>
      <c r="AQ648" s="1"/>
      <c r="AR648" s="2"/>
      <c r="AU648" s="1"/>
      <c r="AW648" s="1"/>
      <c r="AY648" s="2"/>
    </row>
    <row r="649">
      <c r="A649" s="1"/>
      <c r="C649" s="1"/>
      <c r="E649" s="1"/>
      <c r="F649" s="1"/>
      <c r="G649" s="2"/>
      <c r="H649" s="1"/>
      <c r="I649" s="1"/>
      <c r="J649" s="1"/>
      <c r="K649" s="1"/>
      <c r="M649" s="1"/>
      <c r="N649" s="1"/>
      <c r="O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2"/>
      <c r="AB649" s="1"/>
      <c r="AC649" s="1"/>
      <c r="AD649" s="1"/>
      <c r="AE649" s="1"/>
      <c r="AF649" s="1"/>
      <c r="AG649" s="1"/>
      <c r="AH649" s="2"/>
      <c r="AI649" s="2"/>
      <c r="AJ649" s="2"/>
      <c r="AK649" s="2"/>
      <c r="AL649" s="2"/>
      <c r="AM649" s="1"/>
      <c r="AN649" s="2"/>
      <c r="AP649" s="2"/>
      <c r="AQ649" s="1"/>
      <c r="AR649" s="2"/>
      <c r="AU649" s="1"/>
      <c r="AW649" s="1"/>
      <c r="AY649" s="2"/>
    </row>
    <row r="650">
      <c r="A650" s="1"/>
      <c r="C650" s="1"/>
      <c r="E650" s="1"/>
      <c r="F650" s="1"/>
      <c r="G650" s="2"/>
      <c r="H650" s="1"/>
      <c r="I650" s="1"/>
      <c r="J650" s="1"/>
      <c r="K650" s="1"/>
      <c r="M650" s="1"/>
      <c r="N650" s="1"/>
      <c r="O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2"/>
      <c r="AB650" s="1"/>
      <c r="AC650" s="1"/>
      <c r="AD650" s="1"/>
      <c r="AE650" s="1"/>
      <c r="AF650" s="1"/>
      <c r="AG650" s="1"/>
      <c r="AH650" s="2"/>
      <c r="AI650" s="2"/>
      <c r="AJ650" s="2"/>
      <c r="AK650" s="2"/>
      <c r="AL650" s="2"/>
      <c r="AM650" s="1"/>
      <c r="AN650" s="2"/>
      <c r="AP650" s="2"/>
      <c r="AQ650" s="1"/>
      <c r="AR650" s="2"/>
      <c r="AU650" s="1"/>
      <c r="AW650" s="1"/>
      <c r="AY650" s="2"/>
    </row>
    <row r="651">
      <c r="A651" s="1"/>
      <c r="C651" s="1"/>
      <c r="E651" s="1"/>
      <c r="F651" s="1"/>
      <c r="G651" s="2"/>
      <c r="H651" s="1"/>
      <c r="I651" s="1"/>
      <c r="J651" s="1"/>
      <c r="K651" s="1"/>
      <c r="M651" s="1"/>
      <c r="N651" s="1"/>
      <c r="O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2"/>
      <c r="AB651" s="1"/>
      <c r="AC651" s="1"/>
      <c r="AD651" s="1"/>
      <c r="AE651" s="1"/>
      <c r="AF651" s="1"/>
      <c r="AG651" s="1"/>
      <c r="AH651" s="2"/>
      <c r="AI651" s="2"/>
      <c r="AJ651" s="2"/>
      <c r="AK651" s="2"/>
      <c r="AL651" s="2"/>
      <c r="AM651" s="1"/>
      <c r="AN651" s="2"/>
      <c r="AP651" s="2"/>
      <c r="AQ651" s="1"/>
      <c r="AR651" s="2"/>
      <c r="AU651" s="1"/>
      <c r="AW651" s="1"/>
      <c r="AY651" s="2"/>
    </row>
    <row r="652">
      <c r="A652" s="1"/>
      <c r="C652" s="1"/>
      <c r="E652" s="1"/>
      <c r="F652" s="1"/>
      <c r="G652" s="2"/>
      <c r="H652" s="1"/>
      <c r="I652" s="1"/>
      <c r="J652" s="1"/>
      <c r="K652" s="1"/>
      <c r="M652" s="1"/>
      <c r="N652" s="1"/>
      <c r="O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2"/>
      <c r="AB652" s="1"/>
      <c r="AC652" s="1"/>
      <c r="AD652" s="1"/>
      <c r="AE652" s="1"/>
      <c r="AF652" s="1"/>
      <c r="AG652" s="1"/>
      <c r="AH652" s="2"/>
      <c r="AI652" s="2"/>
      <c r="AJ652" s="2"/>
      <c r="AK652" s="2"/>
      <c r="AL652" s="2"/>
      <c r="AM652" s="1"/>
      <c r="AN652" s="2"/>
      <c r="AP652" s="2"/>
      <c r="AQ652" s="1"/>
      <c r="AR652" s="2"/>
      <c r="AU652" s="1"/>
      <c r="AW652" s="1"/>
      <c r="AY652" s="2"/>
    </row>
    <row r="653">
      <c r="A653" s="1"/>
      <c r="C653" s="1"/>
      <c r="E653" s="1"/>
      <c r="F653" s="1"/>
      <c r="G653" s="2"/>
      <c r="H653" s="1"/>
      <c r="I653" s="1"/>
      <c r="J653" s="1"/>
      <c r="K653" s="1"/>
      <c r="M653" s="1"/>
      <c r="N653" s="1"/>
      <c r="O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2"/>
      <c r="AB653" s="1"/>
      <c r="AC653" s="1"/>
      <c r="AD653" s="1"/>
      <c r="AE653" s="1"/>
      <c r="AF653" s="1"/>
      <c r="AG653" s="1"/>
      <c r="AH653" s="2"/>
      <c r="AI653" s="2"/>
      <c r="AJ653" s="2"/>
      <c r="AK653" s="2"/>
      <c r="AL653" s="2"/>
      <c r="AM653" s="1"/>
      <c r="AN653" s="2"/>
      <c r="AP653" s="2"/>
      <c r="AQ653" s="1"/>
      <c r="AR653" s="2"/>
      <c r="AU653" s="1"/>
      <c r="AW653" s="1"/>
      <c r="AY653" s="2"/>
    </row>
    <row r="654">
      <c r="A654" s="1"/>
      <c r="C654" s="1"/>
      <c r="E654" s="1"/>
      <c r="F654" s="1"/>
      <c r="G654" s="2"/>
      <c r="H654" s="1"/>
      <c r="I654" s="1"/>
      <c r="J654" s="1"/>
      <c r="K654" s="1"/>
      <c r="M654" s="1"/>
      <c r="N654" s="1"/>
      <c r="O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2"/>
      <c r="AB654" s="1"/>
      <c r="AC654" s="1"/>
      <c r="AD654" s="1"/>
      <c r="AE654" s="1"/>
      <c r="AF654" s="1"/>
      <c r="AG654" s="1"/>
      <c r="AH654" s="2"/>
      <c r="AI654" s="2"/>
      <c r="AJ654" s="2"/>
      <c r="AK654" s="2"/>
      <c r="AL654" s="2"/>
      <c r="AM654" s="1"/>
      <c r="AN654" s="2"/>
      <c r="AP654" s="2"/>
      <c r="AQ654" s="1"/>
      <c r="AR654" s="2"/>
      <c r="AU654" s="1"/>
      <c r="AW654" s="1"/>
      <c r="AY654" s="2"/>
    </row>
    <row r="655">
      <c r="A655" s="1"/>
      <c r="C655" s="1"/>
      <c r="E655" s="1"/>
      <c r="F655" s="1"/>
      <c r="G655" s="2"/>
      <c r="H655" s="1"/>
      <c r="I655" s="1"/>
      <c r="J655" s="1"/>
      <c r="K655" s="1"/>
      <c r="M655" s="1"/>
      <c r="N655" s="1"/>
      <c r="O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2"/>
      <c r="AB655" s="1"/>
      <c r="AC655" s="1"/>
      <c r="AD655" s="1"/>
      <c r="AE655" s="1"/>
      <c r="AF655" s="1"/>
      <c r="AG655" s="1"/>
      <c r="AH655" s="2"/>
      <c r="AI655" s="2"/>
      <c r="AJ655" s="2"/>
      <c r="AK655" s="2"/>
      <c r="AL655" s="2"/>
      <c r="AM655" s="1"/>
      <c r="AN655" s="2"/>
      <c r="AP655" s="2"/>
      <c r="AQ655" s="1"/>
      <c r="AR655" s="2"/>
      <c r="AU655" s="1"/>
      <c r="AW655" s="1"/>
      <c r="AY655" s="2"/>
    </row>
    <row r="656">
      <c r="A656" s="1"/>
      <c r="C656" s="1"/>
      <c r="E656" s="1"/>
      <c r="F656" s="1"/>
      <c r="G656" s="2"/>
      <c r="H656" s="1"/>
      <c r="I656" s="1"/>
      <c r="J656" s="1"/>
      <c r="K656" s="1"/>
      <c r="M656" s="1"/>
      <c r="N656" s="1"/>
      <c r="O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2"/>
      <c r="AI656" s="2"/>
      <c r="AJ656" s="2"/>
      <c r="AK656" s="2"/>
      <c r="AL656" s="2"/>
      <c r="AM656" s="1"/>
      <c r="AN656" s="2"/>
      <c r="AP656" s="2"/>
      <c r="AQ656" s="1"/>
      <c r="AR656" s="2"/>
      <c r="AU656" s="1"/>
      <c r="AW656" s="1"/>
      <c r="AY656" s="2"/>
    </row>
    <row r="657">
      <c r="A657" s="1"/>
      <c r="C657" s="1"/>
      <c r="E657" s="1"/>
      <c r="F657" s="1"/>
      <c r="G657" s="2"/>
      <c r="H657" s="1"/>
      <c r="I657" s="1"/>
      <c r="J657" s="1"/>
      <c r="K657" s="1"/>
      <c r="M657" s="1"/>
      <c r="N657" s="1"/>
      <c r="O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2"/>
      <c r="AB657" s="1"/>
      <c r="AC657" s="1"/>
      <c r="AD657" s="1"/>
      <c r="AE657" s="1"/>
      <c r="AF657" s="1"/>
      <c r="AG657" s="1"/>
      <c r="AH657" s="2"/>
      <c r="AI657" s="2"/>
      <c r="AJ657" s="2"/>
      <c r="AK657" s="2"/>
      <c r="AL657" s="2"/>
      <c r="AM657" s="1"/>
      <c r="AN657" s="2"/>
      <c r="AP657" s="2"/>
      <c r="AQ657" s="1"/>
      <c r="AR657" s="2"/>
      <c r="AU657" s="1"/>
      <c r="AW657" s="1"/>
      <c r="AY657" s="2"/>
    </row>
    <row r="658">
      <c r="A658" s="1"/>
      <c r="C658" s="1"/>
      <c r="E658" s="1"/>
      <c r="F658" s="1"/>
      <c r="G658" s="2"/>
      <c r="H658" s="1"/>
      <c r="I658" s="1"/>
      <c r="J658" s="1"/>
      <c r="K658" s="1"/>
      <c r="M658" s="1"/>
      <c r="N658" s="1"/>
      <c r="O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2"/>
      <c r="AB658" s="1"/>
      <c r="AC658" s="1"/>
      <c r="AD658" s="1"/>
      <c r="AE658" s="1"/>
      <c r="AF658" s="1"/>
      <c r="AG658" s="1"/>
      <c r="AH658" s="2"/>
      <c r="AI658" s="2"/>
      <c r="AJ658" s="2"/>
      <c r="AK658" s="2"/>
      <c r="AL658" s="2"/>
      <c r="AM658" s="1"/>
      <c r="AN658" s="2"/>
      <c r="AP658" s="2"/>
      <c r="AQ658" s="1"/>
      <c r="AR658" s="2"/>
      <c r="AU658" s="1"/>
      <c r="AW658" s="1"/>
      <c r="AY658" s="2"/>
    </row>
    <row r="659">
      <c r="A659" s="1"/>
      <c r="C659" s="1"/>
      <c r="E659" s="1"/>
      <c r="F659" s="1"/>
      <c r="G659" s="2"/>
      <c r="H659" s="1"/>
      <c r="I659" s="1"/>
      <c r="J659" s="1"/>
      <c r="K659" s="1"/>
      <c r="M659" s="1"/>
      <c r="N659" s="1"/>
      <c r="O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2"/>
      <c r="AB659" s="1"/>
      <c r="AC659" s="1"/>
      <c r="AD659" s="1"/>
      <c r="AE659" s="1"/>
      <c r="AF659" s="1"/>
      <c r="AG659" s="1"/>
      <c r="AH659" s="2"/>
      <c r="AI659" s="2"/>
      <c r="AJ659" s="2"/>
      <c r="AK659" s="2"/>
      <c r="AL659" s="2"/>
      <c r="AM659" s="1"/>
      <c r="AN659" s="2"/>
      <c r="AP659" s="2"/>
      <c r="AQ659" s="1"/>
      <c r="AR659" s="2"/>
      <c r="AU659" s="1"/>
      <c r="AW659" s="1"/>
      <c r="AY659" s="2"/>
    </row>
    <row r="660">
      <c r="A660" s="1"/>
      <c r="C660" s="1"/>
      <c r="E660" s="1"/>
      <c r="F660" s="1"/>
      <c r="G660" s="2"/>
      <c r="H660" s="1"/>
      <c r="I660" s="1"/>
      <c r="J660" s="1"/>
      <c r="K660" s="1"/>
      <c r="M660" s="1"/>
      <c r="N660" s="1"/>
      <c r="O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2"/>
      <c r="AB660" s="1"/>
      <c r="AC660" s="1"/>
      <c r="AD660" s="1"/>
      <c r="AE660" s="1"/>
      <c r="AF660" s="1"/>
      <c r="AG660" s="1"/>
      <c r="AH660" s="2"/>
      <c r="AI660" s="2"/>
      <c r="AJ660" s="2"/>
      <c r="AK660" s="2"/>
      <c r="AL660" s="2"/>
      <c r="AM660" s="1"/>
      <c r="AN660" s="2"/>
      <c r="AP660" s="2"/>
      <c r="AQ660" s="1"/>
      <c r="AR660" s="2"/>
      <c r="AU660" s="1"/>
      <c r="AW660" s="1"/>
      <c r="AY660" s="2"/>
    </row>
    <row r="661">
      <c r="A661" s="1"/>
      <c r="C661" s="1"/>
      <c r="E661" s="1"/>
      <c r="F661" s="1"/>
      <c r="G661" s="2"/>
      <c r="H661" s="1"/>
      <c r="I661" s="1"/>
      <c r="J661" s="1"/>
      <c r="K661" s="1"/>
      <c r="M661" s="1"/>
      <c r="N661" s="1"/>
      <c r="O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2"/>
      <c r="AB661" s="1"/>
      <c r="AC661" s="1"/>
      <c r="AD661" s="1"/>
      <c r="AE661" s="1"/>
      <c r="AF661" s="1"/>
      <c r="AG661" s="1"/>
      <c r="AH661" s="2"/>
      <c r="AI661" s="2"/>
      <c r="AJ661" s="2"/>
      <c r="AK661" s="2"/>
      <c r="AL661" s="2"/>
      <c r="AM661" s="1"/>
      <c r="AN661" s="2"/>
      <c r="AP661" s="2"/>
      <c r="AQ661" s="1"/>
      <c r="AR661" s="2"/>
      <c r="AU661" s="1"/>
      <c r="AW661" s="1"/>
      <c r="AY661" s="2"/>
    </row>
    <row r="662">
      <c r="A662" s="1"/>
      <c r="C662" s="1"/>
      <c r="E662" s="1"/>
      <c r="F662" s="1"/>
      <c r="G662" s="2"/>
      <c r="H662" s="1"/>
      <c r="I662" s="1"/>
      <c r="J662" s="1"/>
      <c r="K662" s="1"/>
      <c r="M662" s="1"/>
      <c r="N662" s="1"/>
      <c r="O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2"/>
      <c r="AB662" s="1"/>
      <c r="AC662" s="1"/>
      <c r="AD662" s="1"/>
      <c r="AE662" s="1"/>
      <c r="AF662" s="1"/>
      <c r="AG662" s="1"/>
      <c r="AH662" s="2"/>
      <c r="AI662" s="2"/>
      <c r="AJ662" s="2"/>
      <c r="AK662" s="2"/>
      <c r="AL662" s="2"/>
      <c r="AM662" s="1"/>
      <c r="AN662" s="2"/>
      <c r="AP662" s="2"/>
      <c r="AQ662" s="1"/>
      <c r="AR662" s="2"/>
      <c r="AU662" s="1"/>
      <c r="AW662" s="1"/>
      <c r="AY662" s="2"/>
    </row>
    <row r="663">
      <c r="A663" s="1"/>
      <c r="C663" s="1"/>
      <c r="E663" s="1"/>
      <c r="F663" s="1"/>
      <c r="G663" s="2"/>
      <c r="H663" s="1"/>
      <c r="I663" s="1"/>
      <c r="J663" s="1"/>
      <c r="K663" s="1"/>
      <c r="M663" s="1"/>
      <c r="N663" s="1"/>
      <c r="O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2"/>
      <c r="AB663" s="1"/>
      <c r="AC663" s="1"/>
      <c r="AD663" s="1"/>
      <c r="AE663" s="1"/>
      <c r="AF663" s="1"/>
      <c r="AG663" s="1"/>
      <c r="AH663" s="2"/>
      <c r="AI663" s="2"/>
      <c r="AJ663" s="2"/>
      <c r="AK663" s="2"/>
      <c r="AL663" s="2"/>
      <c r="AM663" s="1"/>
      <c r="AN663" s="2"/>
      <c r="AP663" s="2"/>
      <c r="AQ663" s="1"/>
      <c r="AR663" s="2"/>
      <c r="AU663" s="1"/>
      <c r="AW663" s="1"/>
      <c r="AY663" s="2"/>
    </row>
    <row r="664">
      <c r="A664" s="1"/>
      <c r="C664" s="1"/>
      <c r="E664" s="1"/>
      <c r="F664" s="1"/>
      <c r="G664" s="2"/>
      <c r="H664" s="1"/>
      <c r="I664" s="1"/>
      <c r="J664" s="1"/>
      <c r="K664" s="1"/>
      <c r="M664" s="1"/>
      <c r="N664" s="1"/>
      <c r="O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2"/>
      <c r="AB664" s="1"/>
      <c r="AC664" s="1"/>
      <c r="AD664" s="1"/>
      <c r="AE664" s="1"/>
      <c r="AF664" s="1"/>
      <c r="AG664" s="1"/>
      <c r="AH664" s="2"/>
      <c r="AI664" s="2"/>
      <c r="AJ664" s="2"/>
      <c r="AK664" s="2"/>
      <c r="AL664" s="2"/>
      <c r="AM664" s="1"/>
      <c r="AN664" s="2"/>
      <c r="AP664" s="2"/>
      <c r="AQ664" s="1"/>
      <c r="AR664" s="2"/>
      <c r="AU664" s="1"/>
      <c r="AW664" s="1"/>
      <c r="AY664" s="2"/>
    </row>
    <row r="665">
      <c r="A665" s="1"/>
      <c r="C665" s="1"/>
      <c r="E665" s="1"/>
      <c r="F665" s="1"/>
      <c r="G665" s="2"/>
      <c r="H665" s="1"/>
      <c r="I665" s="1"/>
      <c r="J665" s="1"/>
      <c r="K665" s="1"/>
      <c r="M665" s="1"/>
      <c r="N665" s="1"/>
      <c r="O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2"/>
      <c r="AB665" s="1"/>
      <c r="AC665" s="1"/>
      <c r="AD665" s="1"/>
      <c r="AE665" s="1"/>
      <c r="AF665" s="1"/>
      <c r="AG665" s="1"/>
      <c r="AH665" s="2"/>
      <c r="AI665" s="2"/>
      <c r="AJ665" s="2"/>
      <c r="AK665" s="2"/>
      <c r="AL665" s="2"/>
      <c r="AM665" s="1"/>
      <c r="AN665" s="2"/>
      <c r="AP665" s="2"/>
      <c r="AQ665" s="1"/>
      <c r="AR665" s="2"/>
      <c r="AU665" s="1"/>
      <c r="AW665" s="1"/>
      <c r="AY665" s="2"/>
    </row>
    <row r="666">
      <c r="A666" s="1"/>
      <c r="C666" s="1"/>
      <c r="E666" s="1"/>
      <c r="F666" s="1"/>
      <c r="G666" s="2"/>
      <c r="H666" s="1"/>
      <c r="I666" s="1"/>
      <c r="J666" s="1"/>
      <c r="K666" s="1"/>
      <c r="M666" s="1"/>
      <c r="N666" s="1"/>
      <c r="O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2"/>
      <c r="AB666" s="1"/>
      <c r="AC666" s="1"/>
      <c r="AD666" s="1"/>
      <c r="AE666" s="1"/>
      <c r="AF666" s="1"/>
      <c r="AG666" s="1"/>
      <c r="AH666" s="2"/>
      <c r="AI666" s="2"/>
      <c r="AJ666" s="2"/>
      <c r="AK666" s="2"/>
      <c r="AL666" s="2"/>
      <c r="AM666" s="1"/>
      <c r="AN666" s="2"/>
      <c r="AP666" s="2"/>
      <c r="AQ666" s="1"/>
      <c r="AR666" s="2"/>
      <c r="AU666" s="1"/>
      <c r="AW666" s="1"/>
      <c r="AY666" s="2"/>
    </row>
    <row r="667">
      <c r="A667" s="1"/>
      <c r="C667" s="1"/>
      <c r="E667" s="1"/>
      <c r="F667" s="1"/>
      <c r="G667" s="2"/>
      <c r="H667" s="1"/>
      <c r="I667" s="1"/>
      <c r="J667" s="1"/>
      <c r="K667" s="1"/>
      <c r="M667" s="1"/>
      <c r="N667" s="1"/>
      <c r="O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2"/>
      <c r="AB667" s="1"/>
      <c r="AC667" s="1"/>
      <c r="AD667" s="1"/>
      <c r="AE667" s="1"/>
      <c r="AF667" s="1"/>
      <c r="AG667" s="1"/>
      <c r="AH667" s="2"/>
      <c r="AI667" s="2"/>
      <c r="AJ667" s="2"/>
      <c r="AK667" s="2"/>
      <c r="AL667" s="2"/>
      <c r="AM667" s="1"/>
      <c r="AN667" s="2"/>
      <c r="AP667" s="2"/>
      <c r="AQ667" s="1"/>
      <c r="AR667" s="2"/>
      <c r="AU667" s="1"/>
      <c r="AW667" s="1"/>
      <c r="AY667" s="2"/>
    </row>
    <row r="668">
      <c r="A668" s="1"/>
      <c r="C668" s="1"/>
      <c r="E668" s="1"/>
      <c r="F668" s="1"/>
      <c r="G668" s="2"/>
      <c r="H668" s="1"/>
      <c r="I668" s="1"/>
      <c r="J668" s="1"/>
      <c r="K668" s="1"/>
      <c r="M668" s="1"/>
      <c r="N668" s="1"/>
      <c r="O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2"/>
      <c r="AB668" s="1"/>
      <c r="AC668" s="1"/>
      <c r="AD668" s="1"/>
      <c r="AE668" s="1"/>
      <c r="AF668" s="1"/>
      <c r="AG668" s="1"/>
      <c r="AH668" s="2"/>
      <c r="AI668" s="2"/>
      <c r="AJ668" s="2"/>
      <c r="AK668" s="2"/>
      <c r="AL668" s="2"/>
      <c r="AM668" s="1"/>
      <c r="AN668" s="2"/>
      <c r="AP668" s="2"/>
      <c r="AQ668" s="1"/>
      <c r="AR668" s="2"/>
      <c r="AU668" s="1"/>
      <c r="AW668" s="1"/>
      <c r="AY668" s="2"/>
    </row>
    <row r="669">
      <c r="A669" s="1"/>
      <c r="C669" s="1"/>
      <c r="E669" s="1"/>
      <c r="F669" s="1"/>
      <c r="G669" s="2"/>
      <c r="H669" s="1"/>
      <c r="I669" s="1"/>
      <c r="J669" s="1"/>
      <c r="K669" s="1"/>
      <c r="M669" s="1"/>
      <c r="N669" s="1"/>
      <c r="O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2"/>
      <c r="AB669" s="1"/>
      <c r="AC669" s="1"/>
      <c r="AD669" s="1"/>
      <c r="AE669" s="1"/>
      <c r="AF669" s="1"/>
      <c r="AG669" s="1"/>
      <c r="AH669" s="2"/>
      <c r="AI669" s="2"/>
      <c r="AJ669" s="2"/>
      <c r="AK669" s="2"/>
      <c r="AL669" s="2"/>
      <c r="AM669" s="1"/>
      <c r="AN669" s="2"/>
      <c r="AP669" s="2"/>
      <c r="AQ669" s="1"/>
      <c r="AR669" s="2"/>
      <c r="AU669" s="1"/>
      <c r="AW669" s="1"/>
      <c r="AY669" s="2"/>
    </row>
    <row r="670">
      <c r="A670" s="1"/>
      <c r="C670" s="1"/>
      <c r="E670" s="1"/>
      <c r="F670" s="1"/>
      <c r="G670" s="2"/>
      <c r="H670" s="1"/>
      <c r="I670" s="1"/>
      <c r="J670" s="1"/>
      <c r="K670" s="1"/>
      <c r="M670" s="1"/>
      <c r="N670" s="1"/>
      <c r="O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2"/>
      <c r="AB670" s="1"/>
      <c r="AC670" s="1"/>
      <c r="AD670" s="1"/>
      <c r="AE670" s="1"/>
      <c r="AF670" s="1"/>
      <c r="AG670" s="1"/>
      <c r="AH670" s="2"/>
      <c r="AI670" s="2"/>
      <c r="AJ670" s="2"/>
      <c r="AK670" s="2"/>
      <c r="AL670" s="2"/>
      <c r="AM670" s="1"/>
      <c r="AN670" s="2"/>
      <c r="AP670" s="2"/>
      <c r="AQ670" s="1"/>
      <c r="AR670" s="2"/>
      <c r="AU670" s="1"/>
      <c r="AW670" s="1"/>
      <c r="AY670" s="2"/>
    </row>
    <row r="671">
      <c r="A671" s="1"/>
      <c r="C671" s="1"/>
      <c r="E671" s="1"/>
      <c r="F671" s="1"/>
      <c r="G671" s="2"/>
      <c r="H671" s="1"/>
      <c r="I671" s="1"/>
      <c r="J671" s="1"/>
      <c r="K671" s="1"/>
      <c r="M671" s="1"/>
      <c r="N671" s="1"/>
      <c r="O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2"/>
      <c r="AB671" s="1"/>
      <c r="AC671" s="1"/>
      <c r="AD671" s="1"/>
      <c r="AE671" s="1"/>
      <c r="AF671" s="1"/>
      <c r="AG671" s="1"/>
      <c r="AH671" s="2"/>
      <c r="AI671" s="2"/>
      <c r="AJ671" s="2"/>
      <c r="AK671" s="2"/>
      <c r="AL671" s="2"/>
      <c r="AM671" s="1"/>
      <c r="AN671" s="2"/>
      <c r="AP671" s="2"/>
      <c r="AQ671" s="1"/>
      <c r="AR671" s="2"/>
      <c r="AU671" s="1"/>
      <c r="AW671" s="1"/>
      <c r="AY671" s="2"/>
    </row>
    <row r="672">
      <c r="A672" s="1"/>
      <c r="C672" s="1"/>
      <c r="E672" s="1"/>
      <c r="F672" s="1"/>
      <c r="G672" s="2"/>
      <c r="H672" s="1"/>
      <c r="I672" s="1"/>
      <c r="J672" s="1"/>
      <c r="K672" s="1"/>
      <c r="M672" s="1"/>
      <c r="N672" s="1"/>
      <c r="O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2"/>
      <c r="AB672" s="1"/>
      <c r="AC672" s="1"/>
      <c r="AD672" s="1"/>
      <c r="AE672" s="1"/>
      <c r="AF672" s="1"/>
      <c r="AG672" s="1"/>
      <c r="AH672" s="2"/>
      <c r="AI672" s="2"/>
      <c r="AJ672" s="2"/>
      <c r="AK672" s="2"/>
      <c r="AL672" s="2"/>
      <c r="AM672" s="1"/>
      <c r="AN672" s="2"/>
      <c r="AP672" s="2"/>
      <c r="AQ672" s="1"/>
      <c r="AR672" s="2"/>
      <c r="AU672" s="1"/>
      <c r="AW672" s="1"/>
      <c r="AY672" s="2"/>
    </row>
    <row r="673">
      <c r="A673" s="1"/>
      <c r="C673" s="1"/>
      <c r="E673" s="1"/>
      <c r="F673" s="1"/>
      <c r="G673" s="2"/>
      <c r="H673" s="1"/>
      <c r="I673" s="1"/>
      <c r="J673" s="1"/>
      <c r="K673" s="1"/>
      <c r="M673" s="1"/>
      <c r="N673" s="1"/>
      <c r="O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2"/>
      <c r="AB673" s="1"/>
      <c r="AC673" s="1"/>
      <c r="AD673" s="1"/>
      <c r="AE673" s="1"/>
      <c r="AF673" s="1"/>
      <c r="AG673" s="1"/>
      <c r="AH673" s="2"/>
      <c r="AI673" s="2"/>
      <c r="AJ673" s="2"/>
      <c r="AK673" s="2"/>
      <c r="AL673" s="2"/>
      <c r="AM673" s="1"/>
      <c r="AN673" s="2"/>
      <c r="AP673" s="2"/>
      <c r="AQ673" s="1"/>
      <c r="AR673" s="2"/>
      <c r="AU673" s="1"/>
      <c r="AW673" s="1"/>
      <c r="AY673" s="2"/>
    </row>
    <row r="674">
      <c r="A674" s="1"/>
      <c r="C674" s="1"/>
      <c r="E674" s="1"/>
      <c r="F674" s="1"/>
      <c r="G674" s="2"/>
      <c r="H674" s="1"/>
      <c r="I674" s="1"/>
      <c r="J674" s="1"/>
      <c r="K674" s="1"/>
      <c r="M674" s="1"/>
      <c r="N674" s="1"/>
      <c r="O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2"/>
      <c r="AB674" s="1"/>
      <c r="AC674" s="1"/>
      <c r="AD674" s="1"/>
      <c r="AE674" s="1"/>
      <c r="AF674" s="1"/>
      <c r="AG674" s="1"/>
      <c r="AH674" s="2"/>
      <c r="AI674" s="2"/>
      <c r="AJ674" s="2"/>
      <c r="AK674" s="2"/>
      <c r="AL674" s="2"/>
      <c r="AM674" s="1"/>
      <c r="AN674" s="2"/>
      <c r="AP674" s="2"/>
      <c r="AQ674" s="1"/>
      <c r="AR674" s="2"/>
      <c r="AU674" s="1"/>
      <c r="AW674" s="1"/>
      <c r="AY674" s="2"/>
    </row>
    <row r="675">
      <c r="A675" s="1"/>
      <c r="C675" s="1"/>
      <c r="E675" s="1"/>
      <c r="F675" s="1"/>
      <c r="G675" s="2"/>
      <c r="H675" s="1"/>
      <c r="I675" s="1"/>
      <c r="J675" s="1"/>
      <c r="K675" s="1"/>
      <c r="M675" s="1"/>
      <c r="N675" s="1"/>
      <c r="O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2"/>
      <c r="AB675" s="1"/>
      <c r="AC675" s="1"/>
      <c r="AD675" s="1"/>
      <c r="AE675" s="1"/>
      <c r="AF675" s="1"/>
      <c r="AG675" s="1"/>
      <c r="AH675" s="2"/>
      <c r="AI675" s="2"/>
      <c r="AJ675" s="2"/>
      <c r="AK675" s="2"/>
      <c r="AL675" s="2"/>
      <c r="AM675" s="1"/>
      <c r="AN675" s="2"/>
      <c r="AP675" s="2"/>
      <c r="AQ675" s="1"/>
      <c r="AR675" s="2"/>
      <c r="AU675" s="1"/>
      <c r="AW675" s="1"/>
      <c r="AY675" s="2"/>
    </row>
    <row r="676">
      <c r="A676" s="1"/>
      <c r="C676" s="1"/>
      <c r="E676" s="1"/>
      <c r="F676" s="1"/>
      <c r="G676" s="2"/>
      <c r="H676" s="1"/>
      <c r="I676" s="1"/>
      <c r="J676" s="1"/>
      <c r="K676" s="1"/>
      <c r="M676" s="1"/>
      <c r="N676" s="1"/>
      <c r="O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2"/>
      <c r="AB676" s="1"/>
      <c r="AC676" s="1"/>
      <c r="AD676" s="1"/>
      <c r="AE676" s="1"/>
      <c r="AF676" s="1"/>
      <c r="AG676" s="1"/>
      <c r="AH676" s="2"/>
      <c r="AI676" s="2"/>
      <c r="AJ676" s="2"/>
      <c r="AK676" s="2"/>
      <c r="AL676" s="2"/>
      <c r="AM676" s="1"/>
      <c r="AN676" s="2"/>
      <c r="AP676" s="2"/>
      <c r="AQ676" s="1"/>
      <c r="AR676" s="2"/>
      <c r="AU676" s="1"/>
      <c r="AW676" s="1"/>
      <c r="AY676" s="2"/>
    </row>
    <row r="677">
      <c r="A677" s="1"/>
      <c r="C677" s="1"/>
      <c r="E677" s="1"/>
      <c r="F677" s="1"/>
      <c r="G677" s="2"/>
      <c r="H677" s="1"/>
      <c r="I677" s="1"/>
      <c r="J677" s="1"/>
      <c r="K677" s="1"/>
      <c r="M677" s="1"/>
      <c r="N677" s="1"/>
      <c r="O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2"/>
      <c r="AB677" s="1"/>
      <c r="AC677" s="1"/>
      <c r="AD677" s="1"/>
      <c r="AE677" s="1"/>
      <c r="AF677" s="1"/>
      <c r="AG677" s="1"/>
      <c r="AH677" s="2"/>
      <c r="AI677" s="2"/>
      <c r="AJ677" s="2"/>
      <c r="AK677" s="2"/>
      <c r="AL677" s="2"/>
      <c r="AM677" s="1"/>
      <c r="AN677" s="2"/>
      <c r="AP677" s="2"/>
      <c r="AQ677" s="1"/>
      <c r="AR677" s="2"/>
      <c r="AU677" s="1"/>
      <c r="AW677" s="1"/>
      <c r="AY677" s="2"/>
    </row>
    <row r="678">
      <c r="A678" s="1"/>
      <c r="C678" s="1"/>
      <c r="E678" s="1"/>
      <c r="F678" s="1"/>
      <c r="G678" s="2"/>
      <c r="H678" s="1"/>
      <c r="I678" s="1"/>
      <c r="J678" s="1"/>
      <c r="K678" s="1"/>
      <c r="M678" s="1"/>
      <c r="N678" s="1"/>
      <c r="O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2"/>
      <c r="AB678" s="1"/>
      <c r="AC678" s="1"/>
      <c r="AD678" s="1"/>
      <c r="AE678" s="1"/>
      <c r="AF678" s="1"/>
      <c r="AG678" s="1"/>
      <c r="AH678" s="2"/>
      <c r="AI678" s="2"/>
      <c r="AJ678" s="2"/>
      <c r="AK678" s="2"/>
      <c r="AL678" s="2"/>
      <c r="AM678" s="1"/>
      <c r="AN678" s="2"/>
      <c r="AP678" s="2"/>
      <c r="AQ678" s="1"/>
      <c r="AR678" s="2"/>
      <c r="AU678" s="1"/>
      <c r="AW678" s="1"/>
      <c r="AY678" s="2"/>
    </row>
    <row r="679">
      <c r="A679" s="1"/>
      <c r="C679" s="1"/>
      <c r="E679" s="1"/>
      <c r="F679" s="1"/>
      <c r="G679" s="2"/>
      <c r="H679" s="1"/>
      <c r="I679" s="1"/>
      <c r="J679" s="1"/>
      <c r="K679" s="1"/>
      <c r="M679" s="1"/>
      <c r="N679" s="1"/>
      <c r="O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2"/>
      <c r="AB679" s="1"/>
      <c r="AC679" s="1"/>
      <c r="AD679" s="1"/>
      <c r="AE679" s="1"/>
      <c r="AF679" s="1"/>
      <c r="AG679" s="1"/>
      <c r="AH679" s="2"/>
      <c r="AI679" s="2"/>
      <c r="AJ679" s="2"/>
      <c r="AK679" s="2"/>
      <c r="AL679" s="2"/>
      <c r="AM679" s="1"/>
      <c r="AN679" s="2"/>
      <c r="AP679" s="2"/>
      <c r="AQ679" s="1"/>
      <c r="AR679" s="2"/>
      <c r="AU679" s="1"/>
      <c r="AW679" s="1"/>
      <c r="AY679" s="2"/>
    </row>
    <row r="680">
      <c r="A680" s="1"/>
      <c r="C680" s="1"/>
      <c r="E680" s="1"/>
      <c r="F680" s="1"/>
      <c r="G680" s="2"/>
      <c r="H680" s="1"/>
      <c r="I680" s="1"/>
      <c r="J680" s="1"/>
      <c r="K680" s="1"/>
      <c r="M680" s="1"/>
      <c r="N680" s="1"/>
      <c r="O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2"/>
      <c r="AB680" s="1"/>
      <c r="AC680" s="1"/>
      <c r="AD680" s="1"/>
      <c r="AE680" s="1"/>
      <c r="AF680" s="1"/>
      <c r="AG680" s="1"/>
      <c r="AH680" s="2"/>
      <c r="AI680" s="2"/>
      <c r="AJ680" s="2"/>
      <c r="AK680" s="2"/>
      <c r="AL680" s="2"/>
      <c r="AM680" s="1"/>
      <c r="AN680" s="2"/>
      <c r="AP680" s="2"/>
      <c r="AQ680" s="1"/>
      <c r="AR680" s="2"/>
      <c r="AU680" s="1"/>
      <c r="AW680" s="1"/>
      <c r="AY680" s="2"/>
    </row>
    <row r="681">
      <c r="A681" s="1"/>
      <c r="C681" s="1"/>
      <c r="E681" s="1"/>
      <c r="F681" s="1"/>
      <c r="G681" s="2"/>
      <c r="H681" s="1"/>
      <c r="I681" s="1"/>
      <c r="J681" s="1"/>
      <c r="K681" s="1"/>
      <c r="M681" s="1"/>
      <c r="N681" s="1"/>
      <c r="O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2"/>
      <c r="AB681" s="1"/>
      <c r="AC681" s="1"/>
      <c r="AD681" s="1"/>
      <c r="AE681" s="1"/>
      <c r="AF681" s="1"/>
      <c r="AG681" s="1"/>
      <c r="AH681" s="2"/>
      <c r="AI681" s="2"/>
      <c r="AJ681" s="2"/>
      <c r="AK681" s="2"/>
      <c r="AL681" s="2"/>
      <c r="AM681" s="1"/>
      <c r="AN681" s="2"/>
      <c r="AP681" s="2"/>
      <c r="AQ681" s="1"/>
      <c r="AR681" s="2"/>
      <c r="AU681" s="1"/>
      <c r="AW681" s="1"/>
      <c r="AY681" s="2"/>
    </row>
    <row r="682">
      <c r="A682" s="1"/>
      <c r="C682" s="1"/>
      <c r="E682" s="1"/>
      <c r="F682" s="1"/>
      <c r="G682" s="2"/>
      <c r="H682" s="1"/>
      <c r="I682" s="1"/>
      <c r="J682" s="1"/>
      <c r="K682" s="1"/>
      <c r="M682" s="1"/>
      <c r="N682" s="1"/>
      <c r="O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2"/>
      <c r="AB682" s="1"/>
      <c r="AC682" s="1"/>
      <c r="AD682" s="1"/>
      <c r="AE682" s="1"/>
      <c r="AF682" s="1"/>
      <c r="AG682" s="1"/>
      <c r="AH682" s="2"/>
      <c r="AI682" s="2"/>
      <c r="AJ682" s="2"/>
      <c r="AK682" s="2"/>
      <c r="AL682" s="2"/>
      <c r="AM682" s="1"/>
      <c r="AN682" s="2"/>
      <c r="AP682" s="2"/>
      <c r="AQ682" s="1"/>
      <c r="AR682" s="2"/>
      <c r="AU682" s="1"/>
      <c r="AW682" s="1"/>
      <c r="AY682" s="2"/>
    </row>
    <row r="683">
      <c r="A683" s="1"/>
      <c r="C683" s="1"/>
      <c r="E683" s="1"/>
      <c r="F683" s="1"/>
      <c r="G683" s="2"/>
      <c r="H683" s="1"/>
      <c r="I683" s="1"/>
      <c r="J683" s="1"/>
      <c r="K683" s="1"/>
      <c r="M683" s="1"/>
      <c r="N683" s="1"/>
      <c r="O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2"/>
      <c r="AB683" s="1"/>
      <c r="AC683" s="1"/>
      <c r="AD683" s="1"/>
      <c r="AE683" s="1"/>
      <c r="AF683" s="1"/>
      <c r="AG683" s="1"/>
      <c r="AH683" s="2"/>
      <c r="AI683" s="2"/>
      <c r="AJ683" s="2"/>
      <c r="AK683" s="2"/>
      <c r="AL683" s="2"/>
      <c r="AM683" s="1"/>
      <c r="AN683" s="2"/>
      <c r="AP683" s="2"/>
      <c r="AQ683" s="1"/>
      <c r="AR683" s="2"/>
      <c r="AU683" s="1"/>
      <c r="AW683" s="1"/>
      <c r="AY683" s="2"/>
    </row>
    <row r="684">
      <c r="A684" s="1"/>
      <c r="C684" s="1"/>
      <c r="E684" s="1"/>
      <c r="F684" s="1"/>
      <c r="G684" s="2"/>
      <c r="H684" s="1"/>
      <c r="I684" s="1"/>
      <c r="J684" s="1"/>
      <c r="K684" s="1"/>
      <c r="M684" s="1"/>
      <c r="N684" s="1"/>
      <c r="O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2"/>
      <c r="AB684" s="1"/>
      <c r="AC684" s="1"/>
      <c r="AD684" s="1"/>
      <c r="AE684" s="1"/>
      <c r="AF684" s="1"/>
      <c r="AG684" s="1"/>
      <c r="AH684" s="2"/>
      <c r="AI684" s="2"/>
      <c r="AJ684" s="2"/>
      <c r="AK684" s="2"/>
      <c r="AL684" s="2"/>
      <c r="AM684" s="1"/>
      <c r="AN684" s="2"/>
      <c r="AP684" s="2"/>
      <c r="AQ684" s="1"/>
      <c r="AR684" s="2"/>
      <c r="AU684" s="1"/>
      <c r="AW684" s="1"/>
      <c r="AY684" s="2"/>
    </row>
    <row r="685">
      <c r="A685" s="1"/>
      <c r="C685" s="1"/>
      <c r="E685" s="1"/>
      <c r="F685" s="1"/>
      <c r="G685" s="2"/>
      <c r="H685" s="1"/>
      <c r="I685" s="1"/>
      <c r="J685" s="1"/>
      <c r="K685" s="1"/>
      <c r="M685" s="1"/>
      <c r="N685" s="1"/>
      <c r="O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2"/>
      <c r="AB685" s="1"/>
      <c r="AC685" s="1"/>
      <c r="AD685" s="1"/>
      <c r="AE685" s="1"/>
      <c r="AF685" s="1"/>
      <c r="AG685" s="1"/>
      <c r="AH685" s="2"/>
      <c r="AI685" s="2"/>
      <c r="AJ685" s="2"/>
      <c r="AK685" s="2"/>
      <c r="AL685" s="2"/>
      <c r="AM685" s="1"/>
      <c r="AN685" s="2"/>
      <c r="AP685" s="2"/>
      <c r="AQ685" s="1"/>
      <c r="AR685" s="2"/>
      <c r="AU685" s="1"/>
      <c r="AW685" s="1"/>
      <c r="AY685" s="2"/>
    </row>
    <row r="686">
      <c r="A686" s="1"/>
      <c r="C686" s="1"/>
      <c r="E686" s="1"/>
      <c r="F686" s="1"/>
      <c r="G686" s="2"/>
      <c r="H686" s="1"/>
      <c r="I686" s="1"/>
      <c r="J686" s="1"/>
      <c r="K686" s="1"/>
      <c r="M686" s="1"/>
      <c r="N686" s="1"/>
      <c r="O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2"/>
      <c r="AB686" s="1"/>
      <c r="AC686" s="1"/>
      <c r="AD686" s="1"/>
      <c r="AE686" s="1"/>
      <c r="AF686" s="1"/>
      <c r="AG686" s="1"/>
      <c r="AH686" s="2"/>
      <c r="AI686" s="2"/>
      <c r="AJ686" s="2"/>
      <c r="AK686" s="2"/>
      <c r="AL686" s="2"/>
      <c r="AM686" s="1"/>
      <c r="AN686" s="2"/>
      <c r="AP686" s="2"/>
      <c r="AQ686" s="1"/>
      <c r="AR686" s="2"/>
      <c r="AU686" s="1"/>
      <c r="AW686" s="1"/>
      <c r="AY686" s="2"/>
    </row>
    <row r="687">
      <c r="A687" s="1"/>
      <c r="C687" s="1"/>
      <c r="E687" s="1"/>
      <c r="F687" s="1"/>
      <c r="G687" s="2"/>
      <c r="H687" s="1"/>
      <c r="I687" s="1"/>
      <c r="J687" s="1"/>
      <c r="K687" s="1"/>
      <c r="M687" s="1"/>
      <c r="N687" s="1"/>
      <c r="O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2"/>
      <c r="AB687" s="1"/>
      <c r="AC687" s="1"/>
      <c r="AD687" s="1"/>
      <c r="AE687" s="1"/>
      <c r="AF687" s="1"/>
      <c r="AG687" s="1"/>
      <c r="AH687" s="2"/>
      <c r="AI687" s="2"/>
      <c r="AJ687" s="2"/>
      <c r="AK687" s="2"/>
      <c r="AL687" s="2"/>
      <c r="AM687" s="1"/>
      <c r="AN687" s="2"/>
      <c r="AP687" s="2"/>
      <c r="AQ687" s="1"/>
      <c r="AR687" s="2"/>
      <c r="AU687" s="1"/>
      <c r="AW687" s="1"/>
      <c r="AY687" s="2"/>
    </row>
    <row r="688">
      <c r="A688" s="1"/>
      <c r="C688" s="1"/>
      <c r="E688" s="1"/>
      <c r="F688" s="1"/>
      <c r="G688" s="2"/>
      <c r="H688" s="1"/>
      <c r="I688" s="1"/>
      <c r="J688" s="1"/>
      <c r="K688" s="1"/>
      <c r="M688" s="1"/>
      <c r="N688" s="1"/>
      <c r="O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2"/>
      <c r="AB688" s="1"/>
      <c r="AC688" s="1"/>
      <c r="AD688" s="1"/>
      <c r="AE688" s="1"/>
      <c r="AF688" s="1"/>
      <c r="AG688" s="1"/>
      <c r="AH688" s="2"/>
      <c r="AI688" s="2"/>
      <c r="AJ688" s="2"/>
      <c r="AK688" s="2"/>
      <c r="AL688" s="2"/>
      <c r="AM688" s="1"/>
      <c r="AN688" s="2"/>
      <c r="AP688" s="2"/>
      <c r="AQ688" s="1"/>
      <c r="AR688" s="2"/>
      <c r="AU688" s="1"/>
      <c r="AW688" s="1"/>
      <c r="AY688" s="2"/>
    </row>
    <row r="689">
      <c r="A689" s="1"/>
      <c r="C689" s="1"/>
      <c r="E689" s="1"/>
      <c r="F689" s="1"/>
      <c r="G689" s="2"/>
      <c r="H689" s="1"/>
      <c r="I689" s="1"/>
      <c r="J689" s="1"/>
      <c r="K689" s="1"/>
      <c r="M689" s="1"/>
      <c r="N689" s="1"/>
      <c r="O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2"/>
      <c r="AB689" s="1"/>
      <c r="AC689" s="1"/>
      <c r="AD689" s="1"/>
      <c r="AE689" s="1"/>
      <c r="AF689" s="1"/>
      <c r="AG689" s="1"/>
      <c r="AH689" s="2"/>
      <c r="AI689" s="2"/>
      <c r="AJ689" s="2"/>
      <c r="AK689" s="2"/>
      <c r="AL689" s="2"/>
      <c r="AM689" s="1"/>
      <c r="AN689" s="2"/>
      <c r="AP689" s="2"/>
      <c r="AQ689" s="1"/>
      <c r="AR689" s="2"/>
      <c r="AU689" s="1"/>
      <c r="AW689" s="1"/>
      <c r="AY689" s="2"/>
    </row>
    <row r="690">
      <c r="A690" s="1"/>
      <c r="C690" s="1"/>
      <c r="E690" s="1"/>
      <c r="F690" s="1"/>
      <c r="G690" s="2"/>
      <c r="H690" s="1"/>
      <c r="I690" s="1"/>
      <c r="J690" s="1"/>
      <c r="K690" s="1"/>
      <c r="M690" s="1"/>
      <c r="N690" s="1"/>
      <c r="O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2"/>
      <c r="AB690" s="1"/>
      <c r="AC690" s="1"/>
      <c r="AD690" s="1"/>
      <c r="AE690" s="1"/>
      <c r="AF690" s="1"/>
      <c r="AG690" s="1"/>
      <c r="AH690" s="2"/>
      <c r="AI690" s="2"/>
      <c r="AJ690" s="2"/>
      <c r="AK690" s="2"/>
      <c r="AL690" s="2"/>
      <c r="AM690" s="1"/>
      <c r="AN690" s="2"/>
      <c r="AP690" s="2"/>
      <c r="AQ690" s="1"/>
      <c r="AR690" s="2"/>
      <c r="AU690" s="1"/>
      <c r="AW690" s="1"/>
      <c r="AY690" s="2"/>
    </row>
    <row r="691">
      <c r="A691" s="1"/>
      <c r="C691" s="1"/>
      <c r="E691" s="1"/>
      <c r="F691" s="1"/>
      <c r="G691" s="2"/>
      <c r="H691" s="1"/>
      <c r="I691" s="1"/>
      <c r="J691" s="1"/>
      <c r="K691" s="1"/>
      <c r="M691" s="1"/>
      <c r="N691" s="1"/>
      <c r="O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2"/>
      <c r="AB691" s="1"/>
      <c r="AC691" s="1"/>
      <c r="AD691" s="1"/>
      <c r="AE691" s="1"/>
      <c r="AF691" s="1"/>
      <c r="AG691" s="1"/>
      <c r="AH691" s="2"/>
      <c r="AI691" s="2"/>
      <c r="AJ691" s="2"/>
      <c r="AK691" s="2"/>
      <c r="AL691" s="2"/>
      <c r="AM691" s="1"/>
      <c r="AN691" s="2"/>
      <c r="AP691" s="2"/>
      <c r="AQ691" s="1"/>
      <c r="AR691" s="2"/>
      <c r="AU691" s="1"/>
      <c r="AW691" s="1"/>
      <c r="AY691" s="2"/>
    </row>
    <row r="692">
      <c r="A692" s="1"/>
      <c r="C692" s="1"/>
      <c r="E692" s="1"/>
      <c r="F692" s="1"/>
      <c r="G692" s="2"/>
      <c r="H692" s="1"/>
      <c r="I692" s="1"/>
      <c r="J692" s="1"/>
      <c r="K692" s="1"/>
      <c r="M692" s="1"/>
      <c r="N692" s="1"/>
      <c r="O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2"/>
      <c r="AB692" s="1"/>
      <c r="AC692" s="1"/>
      <c r="AD692" s="1"/>
      <c r="AE692" s="1"/>
      <c r="AF692" s="1"/>
      <c r="AG692" s="1"/>
      <c r="AH692" s="2"/>
      <c r="AI692" s="2"/>
      <c r="AJ692" s="2"/>
      <c r="AK692" s="2"/>
      <c r="AL692" s="2"/>
      <c r="AM692" s="1"/>
      <c r="AN692" s="2"/>
      <c r="AP692" s="2"/>
      <c r="AQ692" s="1"/>
      <c r="AR692" s="2"/>
      <c r="AU692" s="1"/>
      <c r="AW692" s="1"/>
      <c r="AY692" s="2"/>
    </row>
    <row r="693">
      <c r="A693" s="1"/>
      <c r="C693" s="1"/>
      <c r="E693" s="1"/>
      <c r="F693" s="1"/>
      <c r="G693" s="2"/>
      <c r="H693" s="1"/>
      <c r="I693" s="1"/>
      <c r="J693" s="1"/>
      <c r="K693" s="1"/>
      <c r="M693" s="1"/>
      <c r="N693" s="1"/>
      <c r="O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2"/>
      <c r="AB693" s="1"/>
      <c r="AC693" s="1"/>
      <c r="AD693" s="1"/>
      <c r="AE693" s="1"/>
      <c r="AF693" s="1"/>
      <c r="AG693" s="1"/>
      <c r="AH693" s="2"/>
      <c r="AI693" s="2"/>
      <c r="AJ693" s="2"/>
      <c r="AK693" s="2"/>
      <c r="AL693" s="2"/>
      <c r="AM693" s="1"/>
      <c r="AN693" s="2"/>
      <c r="AP693" s="2"/>
      <c r="AQ693" s="1"/>
      <c r="AR693" s="2"/>
      <c r="AU693" s="1"/>
      <c r="AW693" s="1"/>
      <c r="AY693" s="2"/>
    </row>
    <row r="694">
      <c r="A694" s="1"/>
      <c r="C694" s="1"/>
      <c r="E694" s="1"/>
      <c r="F694" s="1"/>
      <c r="G694" s="2"/>
      <c r="H694" s="1"/>
      <c r="I694" s="1"/>
      <c r="J694" s="1"/>
      <c r="K694" s="1"/>
      <c r="M694" s="1"/>
      <c r="N694" s="1"/>
      <c r="O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2"/>
      <c r="AB694" s="1"/>
      <c r="AC694" s="1"/>
      <c r="AD694" s="1"/>
      <c r="AE694" s="1"/>
      <c r="AF694" s="1"/>
      <c r="AG694" s="1"/>
      <c r="AH694" s="2"/>
      <c r="AI694" s="2"/>
      <c r="AJ694" s="2"/>
      <c r="AK694" s="2"/>
      <c r="AL694" s="2"/>
      <c r="AM694" s="1"/>
      <c r="AN694" s="2"/>
      <c r="AP694" s="2"/>
      <c r="AQ694" s="1"/>
      <c r="AR694" s="2"/>
      <c r="AU694" s="1"/>
      <c r="AW694" s="1"/>
      <c r="AY694" s="2"/>
    </row>
    <row r="695">
      <c r="A695" s="1"/>
      <c r="C695" s="1"/>
      <c r="E695" s="1"/>
      <c r="F695" s="1"/>
      <c r="G695" s="2"/>
      <c r="H695" s="1"/>
      <c r="I695" s="1"/>
      <c r="J695" s="1"/>
      <c r="K695" s="1"/>
      <c r="M695" s="1"/>
      <c r="N695" s="1"/>
      <c r="O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2"/>
      <c r="AB695" s="1"/>
      <c r="AC695" s="1"/>
      <c r="AD695" s="1"/>
      <c r="AE695" s="1"/>
      <c r="AF695" s="1"/>
      <c r="AG695" s="1"/>
      <c r="AH695" s="2"/>
      <c r="AI695" s="2"/>
      <c r="AJ695" s="2"/>
      <c r="AK695" s="2"/>
      <c r="AL695" s="2"/>
      <c r="AM695" s="1"/>
      <c r="AN695" s="2"/>
      <c r="AP695" s="2"/>
      <c r="AQ695" s="1"/>
      <c r="AR695" s="2"/>
      <c r="AU695" s="1"/>
      <c r="AW695" s="1"/>
      <c r="AY695" s="2"/>
    </row>
    <row r="696">
      <c r="A696" s="1"/>
      <c r="C696" s="1"/>
      <c r="E696" s="1"/>
      <c r="F696" s="1"/>
      <c r="G696" s="2"/>
      <c r="H696" s="1"/>
      <c r="I696" s="1"/>
      <c r="J696" s="1"/>
      <c r="K696" s="1"/>
      <c r="M696" s="1"/>
      <c r="N696" s="1"/>
      <c r="O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2"/>
      <c r="AB696" s="1"/>
      <c r="AC696" s="1"/>
      <c r="AD696" s="1"/>
      <c r="AE696" s="1"/>
      <c r="AF696" s="1"/>
      <c r="AG696" s="1"/>
      <c r="AH696" s="2"/>
      <c r="AI696" s="2"/>
      <c r="AJ696" s="2"/>
      <c r="AK696" s="2"/>
      <c r="AL696" s="2"/>
      <c r="AM696" s="1"/>
      <c r="AN696" s="2"/>
      <c r="AP696" s="2"/>
      <c r="AQ696" s="1"/>
      <c r="AR696" s="2"/>
      <c r="AU696" s="1"/>
      <c r="AW696" s="1"/>
      <c r="AY696" s="2"/>
    </row>
    <row r="697">
      <c r="A697" s="1"/>
      <c r="C697" s="1"/>
      <c r="E697" s="1"/>
      <c r="F697" s="1"/>
      <c r="G697" s="2"/>
      <c r="H697" s="1"/>
      <c r="I697" s="1"/>
      <c r="J697" s="1"/>
      <c r="K697" s="1"/>
      <c r="M697" s="1"/>
      <c r="N697" s="1"/>
      <c r="O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2"/>
      <c r="AB697" s="1"/>
      <c r="AC697" s="1"/>
      <c r="AD697" s="1"/>
      <c r="AE697" s="1"/>
      <c r="AF697" s="1"/>
      <c r="AG697" s="1"/>
      <c r="AH697" s="2"/>
      <c r="AI697" s="2"/>
      <c r="AJ697" s="2"/>
      <c r="AK697" s="2"/>
      <c r="AL697" s="2"/>
      <c r="AM697" s="1"/>
      <c r="AN697" s="2"/>
      <c r="AP697" s="2"/>
      <c r="AQ697" s="1"/>
      <c r="AR697" s="2"/>
      <c r="AU697" s="1"/>
      <c r="AW697" s="1"/>
      <c r="AY697" s="2"/>
    </row>
    <row r="698">
      <c r="A698" s="1"/>
      <c r="C698" s="1"/>
      <c r="E698" s="1"/>
      <c r="F698" s="1"/>
      <c r="G698" s="2"/>
      <c r="H698" s="1"/>
      <c r="I698" s="1"/>
      <c r="J698" s="1"/>
      <c r="K698" s="1"/>
      <c r="M698" s="1"/>
      <c r="N698" s="1"/>
      <c r="O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2"/>
      <c r="AB698" s="1"/>
      <c r="AC698" s="1"/>
      <c r="AD698" s="1"/>
      <c r="AE698" s="1"/>
      <c r="AF698" s="1"/>
      <c r="AG698" s="1"/>
      <c r="AH698" s="2"/>
      <c r="AI698" s="2"/>
      <c r="AJ698" s="2"/>
      <c r="AK698" s="2"/>
      <c r="AL698" s="2"/>
      <c r="AM698" s="1"/>
      <c r="AN698" s="2"/>
      <c r="AP698" s="2"/>
      <c r="AQ698" s="1"/>
      <c r="AR698" s="2"/>
      <c r="AU698" s="1"/>
      <c r="AW698" s="1"/>
      <c r="AY698" s="2"/>
    </row>
    <row r="699">
      <c r="A699" s="1"/>
      <c r="C699" s="1"/>
      <c r="E699" s="1"/>
      <c r="F699" s="1"/>
      <c r="G699" s="2"/>
      <c r="H699" s="1"/>
      <c r="I699" s="1"/>
      <c r="J699" s="1"/>
      <c r="K699" s="1"/>
      <c r="M699" s="1"/>
      <c r="N699" s="1"/>
      <c r="O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2"/>
      <c r="AB699" s="1"/>
      <c r="AC699" s="1"/>
      <c r="AD699" s="1"/>
      <c r="AE699" s="1"/>
      <c r="AF699" s="1"/>
      <c r="AG699" s="1"/>
      <c r="AH699" s="2"/>
      <c r="AI699" s="2"/>
      <c r="AJ699" s="2"/>
      <c r="AK699" s="2"/>
      <c r="AL699" s="2"/>
      <c r="AM699" s="1"/>
      <c r="AN699" s="2"/>
      <c r="AP699" s="2"/>
      <c r="AQ699" s="1"/>
      <c r="AR699" s="2"/>
      <c r="AU699" s="1"/>
      <c r="AW699" s="1"/>
      <c r="AY699" s="2"/>
    </row>
    <row r="700">
      <c r="A700" s="1"/>
      <c r="C700" s="1"/>
      <c r="E700" s="1"/>
      <c r="F700" s="1"/>
      <c r="G700" s="2"/>
      <c r="H700" s="1"/>
      <c r="I700" s="1"/>
      <c r="J700" s="1"/>
      <c r="K700" s="1"/>
      <c r="M700" s="1"/>
      <c r="N700" s="1"/>
      <c r="O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2"/>
      <c r="AB700" s="1"/>
      <c r="AC700" s="1"/>
      <c r="AD700" s="1"/>
      <c r="AE700" s="1"/>
      <c r="AF700" s="1"/>
      <c r="AG700" s="1"/>
      <c r="AH700" s="2"/>
      <c r="AI700" s="2"/>
      <c r="AJ700" s="2"/>
      <c r="AK700" s="2"/>
      <c r="AL700" s="2"/>
      <c r="AM700" s="1"/>
      <c r="AN700" s="2"/>
      <c r="AP700" s="2"/>
      <c r="AQ700" s="1"/>
      <c r="AR700" s="2"/>
      <c r="AU700" s="1"/>
      <c r="AW700" s="1"/>
      <c r="AY700" s="2"/>
    </row>
    <row r="701">
      <c r="A701" s="1"/>
      <c r="C701" s="1"/>
      <c r="E701" s="1"/>
      <c r="F701" s="1"/>
      <c r="G701" s="2"/>
      <c r="H701" s="1"/>
      <c r="I701" s="1"/>
      <c r="J701" s="1"/>
      <c r="K701" s="1"/>
      <c r="M701" s="1"/>
      <c r="N701" s="1"/>
      <c r="O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2"/>
      <c r="AB701" s="1"/>
      <c r="AC701" s="1"/>
      <c r="AD701" s="1"/>
      <c r="AE701" s="1"/>
      <c r="AF701" s="1"/>
      <c r="AG701" s="1"/>
      <c r="AH701" s="2"/>
      <c r="AI701" s="2"/>
      <c r="AJ701" s="2"/>
      <c r="AK701" s="2"/>
      <c r="AL701" s="2"/>
      <c r="AM701" s="1"/>
      <c r="AN701" s="2"/>
      <c r="AP701" s="2"/>
      <c r="AQ701" s="1"/>
      <c r="AR701" s="2"/>
      <c r="AU701" s="1"/>
      <c r="AW701" s="1"/>
      <c r="AY701" s="2"/>
    </row>
    <row r="702">
      <c r="A702" s="1"/>
      <c r="C702" s="1"/>
      <c r="E702" s="1"/>
      <c r="F702" s="1"/>
      <c r="G702" s="2"/>
      <c r="H702" s="1"/>
      <c r="I702" s="1"/>
      <c r="J702" s="1"/>
      <c r="K702" s="1"/>
      <c r="M702" s="1"/>
      <c r="N702" s="1"/>
      <c r="O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2"/>
      <c r="AB702" s="1"/>
      <c r="AC702" s="1"/>
      <c r="AD702" s="1"/>
      <c r="AE702" s="1"/>
      <c r="AF702" s="1"/>
      <c r="AG702" s="1"/>
      <c r="AH702" s="2"/>
      <c r="AI702" s="2"/>
      <c r="AJ702" s="2"/>
      <c r="AK702" s="2"/>
      <c r="AL702" s="2"/>
      <c r="AM702" s="1"/>
      <c r="AN702" s="2"/>
      <c r="AP702" s="2"/>
      <c r="AQ702" s="1"/>
      <c r="AR702" s="2"/>
      <c r="AU702" s="1"/>
      <c r="AW702" s="1"/>
      <c r="AY702" s="2"/>
    </row>
    <row r="703">
      <c r="A703" s="1"/>
      <c r="C703" s="1"/>
      <c r="E703" s="1"/>
      <c r="F703" s="1"/>
      <c r="G703" s="2"/>
      <c r="H703" s="1"/>
      <c r="I703" s="1"/>
      <c r="J703" s="1"/>
      <c r="K703" s="1"/>
      <c r="M703" s="1"/>
      <c r="N703" s="1"/>
      <c r="O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2"/>
      <c r="AB703" s="1"/>
      <c r="AC703" s="1"/>
      <c r="AD703" s="1"/>
      <c r="AE703" s="1"/>
      <c r="AF703" s="1"/>
      <c r="AG703" s="1"/>
      <c r="AH703" s="2"/>
      <c r="AI703" s="2"/>
      <c r="AJ703" s="2"/>
      <c r="AK703" s="2"/>
      <c r="AL703" s="2"/>
      <c r="AM703" s="1"/>
      <c r="AN703" s="2"/>
      <c r="AP703" s="2"/>
      <c r="AQ703" s="1"/>
      <c r="AR703" s="2"/>
      <c r="AU703" s="1"/>
      <c r="AW703" s="1"/>
      <c r="AY703" s="2"/>
    </row>
    <row r="704">
      <c r="A704" s="1"/>
      <c r="C704" s="1"/>
      <c r="E704" s="1"/>
      <c r="F704" s="1"/>
      <c r="G704" s="2"/>
      <c r="H704" s="1"/>
      <c r="I704" s="1"/>
      <c r="J704" s="1"/>
      <c r="K704" s="1"/>
      <c r="M704" s="1"/>
      <c r="N704" s="1"/>
      <c r="O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2"/>
      <c r="AB704" s="1"/>
      <c r="AC704" s="1"/>
      <c r="AD704" s="1"/>
      <c r="AE704" s="1"/>
      <c r="AF704" s="1"/>
      <c r="AG704" s="1"/>
      <c r="AH704" s="2"/>
      <c r="AI704" s="2"/>
      <c r="AJ704" s="2"/>
      <c r="AK704" s="2"/>
      <c r="AL704" s="2"/>
      <c r="AM704" s="1"/>
      <c r="AN704" s="2"/>
      <c r="AP704" s="2"/>
      <c r="AQ704" s="1"/>
      <c r="AR704" s="2"/>
      <c r="AU704" s="1"/>
      <c r="AW704" s="1"/>
      <c r="AY704" s="2"/>
    </row>
    <row r="705">
      <c r="A705" s="1"/>
      <c r="C705" s="1"/>
      <c r="E705" s="1"/>
      <c r="F705" s="1"/>
      <c r="G705" s="2"/>
      <c r="H705" s="1"/>
      <c r="I705" s="1"/>
      <c r="J705" s="1"/>
      <c r="K705" s="1"/>
      <c r="M705" s="1"/>
      <c r="N705" s="1"/>
      <c r="O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2"/>
      <c r="AB705" s="1"/>
      <c r="AC705" s="1"/>
      <c r="AD705" s="1"/>
      <c r="AE705" s="1"/>
      <c r="AF705" s="1"/>
      <c r="AG705" s="1"/>
      <c r="AH705" s="2"/>
      <c r="AI705" s="2"/>
      <c r="AJ705" s="2"/>
      <c r="AK705" s="2"/>
      <c r="AL705" s="2"/>
      <c r="AM705" s="1"/>
      <c r="AN705" s="2"/>
      <c r="AP705" s="2"/>
      <c r="AQ705" s="1"/>
      <c r="AR705" s="2"/>
      <c r="AU705" s="1"/>
      <c r="AW705" s="1"/>
      <c r="AY705" s="2"/>
    </row>
    <row r="706">
      <c r="A706" s="1"/>
      <c r="C706" s="1"/>
      <c r="E706" s="1"/>
      <c r="F706" s="1"/>
      <c r="G706" s="2"/>
      <c r="H706" s="1"/>
      <c r="I706" s="1"/>
      <c r="J706" s="1"/>
      <c r="K706" s="1"/>
      <c r="M706" s="1"/>
      <c r="N706" s="1"/>
      <c r="O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2"/>
      <c r="AB706" s="1"/>
      <c r="AC706" s="1"/>
      <c r="AD706" s="1"/>
      <c r="AE706" s="1"/>
      <c r="AF706" s="1"/>
      <c r="AG706" s="1"/>
      <c r="AH706" s="2"/>
      <c r="AI706" s="2"/>
      <c r="AJ706" s="2"/>
      <c r="AK706" s="2"/>
      <c r="AL706" s="2"/>
      <c r="AM706" s="1"/>
      <c r="AN706" s="2"/>
      <c r="AP706" s="2"/>
      <c r="AQ706" s="1"/>
      <c r="AR706" s="2"/>
      <c r="AU706" s="1"/>
      <c r="AW706" s="1"/>
      <c r="AY706" s="2"/>
    </row>
    <row r="707">
      <c r="A707" s="1"/>
      <c r="C707" s="1"/>
      <c r="E707" s="1"/>
      <c r="F707" s="1"/>
      <c r="G707" s="2"/>
      <c r="H707" s="1"/>
      <c r="I707" s="1"/>
      <c r="J707" s="1"/>
      <c r="K707" s="1"/>
      <c r="M707" s="1"/>
      <c r="N707" s="1"/>
      <c r="O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2"/>
      <c r="AI707" s="2"/>
      <c r="AJ707" s="2"/>
      <c r="AK707" s="2"/>
      <c r="AL707" s="2"/>
      <c r="AM707" s="1"/>
      <c r="AN707" s="2"/>
      <c r="AP707" s="2"/>
      <c r="AQ707" s="1"/>
      <c r="AR707" s="2"/>
      <c r="AU707" s="1"/>
      <c r="AW707" s="1"/>
      <c r="AY707" s="2"/>
    </row>
    <row r="708">
      <c r="A708" s="1"/>
      <c r="C708" s="1"/>
      <c r="E708" s="1"/>
      <c r="F708" s="1"/>
      <c r="G708" s="2"/>
      <c r="H708" s="1"/>
      <c r="I708" s="1"/>
      <c r="J708" s="1"/>
      <c r="K708" s="1"/>
      <c r="M708" s="1"/>
      <c r="N708" s="1"/>
      <c r="O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2"/>
      <c r="AB708" s="1"/>
      <c r="AC708" s="1"/>
      <c r="AD708" s="1"/>
      <c r="AE708" s="1"/>
      <c r="AF708" s="1"/>
      <c r="AG708" s="1"/>
      <c r="AH708" s="2"/>
      <c r="AI708" s="2"/>
      <c r="AJ708" s="2"/>
      <c r="AK708" s="2"/>
      <c r="AL708" s="2"/>
      <c r="AM708" s="1"/>
      <c r="AN708" s="2"/>
      <c r="AP708" s="2"/>
      <c r="AQ708" s="1"/>
      <c r="AR708" s="2"/>
      <c r="AU708" s="1"/>
      <c r="AW708" s="1"/>
      <c r="AY708" s="2"/>
    </row>
    <row r="709">
      <c r="A709" s="1"/>
      <c r="C709" s="1"/>
      <c r="E709" s="1"/>
      <c r="F709" s="1"/>
      <c r="G709" s="2"/>
      <c r="H709" s="1"/>
      <c r="I709" s="1"/>
      <c r="J709" s="1"/>
      <c r="K709" s="1"/>
      <c r="M709" s="1"/>
      <c r="N709" s="1"/>
      <c r="O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2"/>
      <c r="AB709" s="1"/>
      <c r="AC709" s="1"/>
      <c r="AD709" s="1"/>
      <c r="AE709" s="1"/>
      <c r="AF709" s="1"/>
      <c r="AG709" s="1"/>
      <c r="AH709" s="2"/>
      <c r="AI709" s="2"/>
      <c r="AJ709" s="2"/>
      <c r="AK709" s="2"/>
      <c r="AL709" s="2"/>
      <c r="AM709" s="1"/>
      <c r="AN709" s="2"/>
      <c r="AP709" s="2"/>
      <c r="AQ709" s="1"/>
      <c r="AR709" s="2"/>
      <c r="AU709" s="1"/>
      <c r="AW709" s="1"/>
      <c r="AY709" s="2"/>
    </row>
    <row r="710">
      <c r="A710" s="1"/>
      <c r="C710" s="1"/>
      <c r="E710" s="1"/>
      <c r="F710" s="1"/>
      <c r="G710" s="2"/>
      <c r="H710" s="1"/>
      <c r="I710" s="1"/>
      <c r="J710" s="1"/>
      <c r="K710" s="1"/>
      <c r="M710" s="1"/>
      <c r="N710" s="1"/>
      <c r="O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2"/>
      <c r="AB710" s="1"/>
      <c r="AC710" s="1"/>
      <c r="AD710" s="1"/>
      <c r="AE710" s="1"/>
      <c r="AF710" s="1"/>
      <c r="AG710" s="1"/>
      <c r="AH710" s="2"/>
      <c r="AI710" s="2"/>
      <c r="AJ710" s="2"/>
      <c r="AK710" s="2"/>
      <c r="AL710" s="2"/>
      <c r="AM710" s="1"/>
      <c r="AN710" s="2"/>
      <c r="AP710" s="2"/>
      <c r="AQ710" s="1"/>
      <c r="AR710" s="2"/>
      <c r="AU710" s="1"/>
      <c r="AW710" s="1"/>
      <c r="AY710" s="2"/>
    </row>
    <row r="711">
      <c r="A711" s="1"/>
      <c r="C711" s="1"/>
      <c r="E711" s="1"/>
      <c r="F711" s="1"/>
      <c r="G711" s="2"/>
      <c r="H711" s="1"/>
      <c r="I711" s="1"/>
      <c r="J711" s="1"/>
      <c r="K711" s="1"/>
      <c r="M711" s="1"/>
      <c r="N711" s="1"/>
      <c r="O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2"/>
      <c r="AB711" s="1"/>
      <c r="AC711" s="1"/>
      <c r="AD711" s="1"/>
      <c r="AE711" s="1"/>
      <c r="AF711" s="1"/>
      <c r="AG711" s="1"/>
      <c r="AH711" s="2"/>
      <c r="AI711" s="2"/>
      <c r="AJ711" s="2"/>
      <c r="AK711" s="2"/>
      <c r="AL711" s="2"/>
      <c r="AM711" s="1"/>
      <c r="AN711" s="2"/>
      <c r="AP711" s="2"/>
      <c r="AQ711" s="1"/>
      <c r="AR711" s="2"/>
      <c r="AU711" s="1"/>
      <c r="AW711" s="1"/>
      <c r="AY711" s="2"/>
    </row>
    <row r="712">
      <c r="A712" s="1"/>
      <c r="C712" s="1"/>
      <c r="E712" s="1"/>
      <c r="F712" s="1"/>
      <c r="G712" s="2"/>
      <c r="H712" s="1"/>
      <c r="I712" s="1"/>
      <c r="J712" s="1"/>
      <c r="K712" s="1"/>
      <c r="M712" s="1"/>
      <c r="N712" s="1"/>
      <c r="O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2"/>
      <c r="AB712" s="1"/>
      <c r="AC712" s="1"/>
      <c r="AD712" s="1"/>
      <c r="AE712" s="1"/>
      <c r="AF712" s="1"/>
      <c r="AG712" s="1"/>
      <c r="AH712" s="2"/>
      <c r="AI712" s="2"/>
      <c r="AJ712" s="2"/>
      <c r="AK712" s="2"/>
      <c r="AL712" s="2"/>
      <c r="AM712" s="1"/>
      <c r="AN712" s="2"/>
      <c r="AP712" s="2"/>
      <c r="AQ712" s="1"/>
      <c r="AR712" s="2"/>
      <c r="AU712" s="1"/>
      <c r="AW712" s="1"/>
      <c r="AY712" s="2"/>
    </row>
    <row r="713">
      <c r="A713" s="1"/>
      <c r="C713" s="1"/>
      <c r="E713" s="1"/>
      <c r="F713" s="1"/>
      <c r="G713" s="2"/>
      <c r="H713" s="1"/>
      <c r="I713" s="1"/>
      <c r="J713" s="1"/>
      <c r="K713" s="1"/>
      <c r="M713" s="1"/>
      <c r="N713" s="1"/>
      <c r="O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2"/>
      <c r="AB713" s="1"/>
      <c r="AC713" s="1"/>
      <c r="AD713" s="1"/>
      <c r="AE713" s="1"/>
      <c r="AF713" s="1"/>
      <c r="AG713" s="1"/>
      <c r="AH713" s="2"/>
      <c r="AI713" s="2"/>
      <c r="AJ713" s="2"/>
      <c r="AK713" s="2"/>
      <c r="AL713" s="2"/>
      <c r="AM713" s="1"/>
      <c r="AN713" s="2"/>
      <c r="AP713" s="2"/>
      <c r="AQ713" s="1"/>
      <c r="AR713" s="2"/>
      <c r="AU713" s="1"/>
      <c r="AW713" s="1"/>
      <c r="AY713" s="2"/>
    </row>
    <row r="714">
      <c r="A714" s="1"/>
      <c r="C714" s="1"/>
      <c r="E714" s="1"/>
      <c r="F714" s="1"/>
      <c r="G714" s="2"/>
      <c r="H714" s="1"/>
      <c r="I714" s="1"/>
      <c r="J714" s="1"/>
      <c r="K714" s="1"/>
      <c r="M714" s="1"/>
      <c r="N714" s="1"/>
      <c r="O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2"/>
      <c r="AB714" s="1"/>
      <c r="AC714" s="1"/>
      <c r="AD714" s="1"/>
      <c r="AE714" s="1"/>
      <c r="AF714" s="1"/>
      <c r="AG714" s="1"/>
      <c r="AH714" s="2"/>
      <c r="AI714" s="2"/>
      <c r="AJ714" s="2"/>
      <c r="AK714" s="2"/>
      <c r="AL714" s="2"/>
      <c r="AM714" s="1"/>
      <c r="AN714" s="2"/>
      <c r="AP714" s="2"/>
      <c r="AQ714" s="1"/>
      <c r="AR714" s="2"/>
      <c r="AU714" s="1"/>
      <c r="AW714" s="1"/>
      <c r="AY714" s="2"/>
    </row>
    <row r="715">
      <c r="A715" s="1"/>
      <c r="C715" s="1"/>
      <c r="E715" s="1"/>
      <c r="F715" s="1"/>
      <c r="G715" s="2"/>
      <c r="H715" s="1"/>
      <c r="I715" s="1"/>
      <c r="J715" s="1"/>
      <c r="K715" s="1"/>
      <c r="M715" s="1"/>
      <c r="N715" s="1"/>
      <c r="O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2"/>
      <c r="AB715" s="1"/>
      <c r="AC715" s="1"/>
      <c r="AD715" s="1"/>
      <c r="AE715" s="1"/>
      <c r="AF715" s="1"/>
      <c r="AG715" s="1"/>
      <c r="AH715" s="2"/>
      <c r="AI715" s="2"/>
      <c r="AJ715" s="2"/>
      <c r="AK715" s="2"/>
      <c r="AL715" s="2"/>
      <c r="AM715" s="1"/>
      <c r="AN715" s="2"/>
      <c r="AP715" s="2"/>
      <c r="AQ715" s="1"/>
      <c r="AR715" s="2"/>
      <c r="AU715" s="1"/>
      <c r="AW715" s="1"/>
      <c r="AY715" s="2"/>
    </row>
    <row r="716">
      <c r="A716" s="1"/>
      <c r="C716" s="1"/>
      <c r="E716" s="1"/>
      <c r="F716" s="1"/>
      <c r="G716" s="2"/>
      <c r="H716" s="1"/>
      <c r="I716" s="1"/>
      <c r="J716" s="1"/>
      <c r="K716" s="1"/>
      <c r="M716" s="1"/>
      <c r="N716" s="1"/>
      <c r="O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2"/>
      <c r="AB716" s="1"/>
      <c r="AC716" s="1"/>
      <c r="AD716" s="1"/>
      <c r="AE716" s="1"/>
      <c r="AF716" s="1"/>
      <c r="AG716" s="1"/>
      <c r="AH716" s="2"/>
      <c r="AI716" s="2"/>
      <c r="AJ716" s="2"/>
      <c r="AK716" s="2"/>
      <c r="AL716" s="2"/>
      <c r="AM716" s="1"/>
      <c r="AN716" s="2"/>
      <c r="AP716" s="2"/>
      <c r="AQ716" s="1"/>
      <c r="AR716" s="2"/>
      <c r="AU716" s="1"/>
      <c r="AW716" s="1"/>
      <c r="AY716" s="2"/>
    </row>
    <row r="717">
      <c r="A717" s="1"/>
      <c r="C717" s="1"/>
      <c r="E717" s="1"/>
      <c r="F717" s="1"/>
      <c r="G717" s="2"/>
      <c r="H717" s="1"/>
      <c r="I717" s="1"/>
      <c r="J717" s="1"/>
      <c r="K717" s="1"/>
      <c r="M717" s="1"/>
      <c r="N717" s="1"/>
      <c r="O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2"/>
      <c r="AB717" s="1"/>
      <c r="AC717" s="1"/>
      <c r="AD717" s="1"/>
      <c r="AE717" s="1"/>
      <c r="AF717" s="1"/>
      <c r="AG717" s="1"/>
      <c r="AH717" s="2"/>
      <c r="AI717" s="2"/>
      <c r="AJ717" s="2"/>
      <c r="AK717" s="2"/>
      <c r="AL717" s="2"/>
      <c r="AM717" s="1"/>
      <c r="AN717" s="2"/>
      <c r="AP717" s="2"/>
      <c r="AQ717" s="1"/>
      <c r="AR717" s="2"/>
      <c r="AU717" s="1"/>
      <c r="AW717" s="1"/>
      <c r="AY717" s="2"/>
    </row>
    <row r="718">
      <c r="A718" s="1"/>
      <c r="C718" s="1"/>
      <c r="E718" s="1"/>
      <c r="F718" s="1"/>
      <c r="G718" s="2"/>
      <c r="H718" s="1"/>
      <c r="I718" s="1"/>
      <c r="J718" s="1"/>
      <c r="K718" s="1"/>
      <c r="M718" s="1"/>
      <c r="N718" s="1"/>
      <c r="O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2"/>
      <c r="AB718" s="1"/>
      <c r="AC718" s="1"/>
      <c r="AD718" s="1"/>
      <c r="AE718" s="1"/>
      <c r="AF718" s="1"/>
      <c r="AG718" s="1"/>
      <c r="AH718" s="2"/>
      <c r="AI718" s="2"/>
      <c r="AJ718" s="2"/>
      <c r="AK718" s="2"/>
      <c r="AL718" s="2"/>
      <c r="AM718" s="1"/>
      <c r="AN718" s="2"/>
      <c r="AP718" s="2"/>
      <c r="AQ718" s="1"/>
      <c r="AR718" s="2"/>
      <c r="AU718" s="1"/>
      <c r="AW718" s="1"/>
      <c r="AY718" s="2"/>
    </row>
    <row r="719">
      <c r="A719" s="1"/>
      <c r="C719" s="1"/>
      <c r="E719" s="1"/>
      <c r="F719" s="1"/>
      <c r="G719" s="2"/>
      <c r="H719" s="1"/>
      <c r="I719" s="1"/>
      <c r="J719" s="1"/>
      <c r="K719" s="1"/>
      <c r="M719" s="1"/>
      <c r="N719" s="1"/>
      <c r="O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2"/>
      <c r="AB719" s="1"/>
      <c r="AC719" s="1"/>
      <c r="AD719" s="1"/>
      <c r="AE719" s="1"/>
      <c r="AF719" s="1"/>
      <c r="AG719" s="1"/>
      <c r="AH719" s="2"/>
      <c r="AI719" s="2"/>
      <c r="AJ719" s="2"/>
      <c r="AK719" s="2"/>
      <c r="AL719" s="2"/>
      <c r="AM719" s="1"/>
      <c r="AN719" s="2"/>
      <c r="AP719" s="2"/>
      <c r="AQ719" s="1"/>
      <c r="AR719" s="2"/>
      <c r="AU719" s="1"/>
      <c r="AW719" s="1"/>
      <c r="AY719" s="2"/>
    </row>
    <row r="720">
      <c r="A720" s="1"/>
      <c r="C720" s="1"/>
      <c r="E720" s="1"/>
      <c r="F720" s="1"/>
      <c r="G720" s="2"/>
      <c r="H720" s="1"/>
      <c r="I720" s="1"/>
      <c r="J720" s="1"/>
      <c r="K720" s="1"/>
      <c r="M720" s="1"/>
      <c r="N720" s="1"/>
      <c r="O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2"/>
      <c r="AB720" s="1"/>
      <c r="AC720" s="1"/>
      <c r="AD720" s="1"/>
      <c r="AE720" s="1"/>
      <c r="AF720" s="1"/>
      <c r="AG720" s="1"/>
      <c r="AH720" s="2"/>
      <c r="AI720" s="2"/>
      <c r="AJ720" s="2"/>
      <c r="AK720" s="2"/>
      <c r="AL720" s="2"/>
      <c r="AM720" s="1"/>
      <c r="AN720" s="2"/>
      <c r="AP720" s="2"/>
      <c r="AQ720" s="1"/>
      <c r="AR720" s="2"/>
      <c r="AU720" s="1"/>
      <c r="AW720" s="1"/>
      <c r="AY720" s="2"/>
    </row>
    <row r="721">
      <c r="A721" s="1"/>
      <c r="C721" s="1"/>
      <c r="E721" s="1"/>
      <c r="F721" s="1"/>
      <c r="G721" s="2"/>
      <c r="H721" s="1"/>
      <c r="I721" s="1"/>
      <c r="J721" s="1"/>
      <c r="K721" s="1"/>
      <c r="M721" s="1"/>
      <c r="N721" s="1"/>
      <c r="O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2"/>
      <c r="AB721" s="1"/>
      <c r="AC721" s="1"/>
      <c r="AD721" s="1"/>
      <c r="AE721" s="1"/>
      <c r="AF721" s="1"/>
      <c r="AG721" s="1"/>
      <c r="AH721" s="2"/>
      <c r="AI721" s="2"/>
      <c r="AJ721" s="2"/>
      <c r="AK721" s="2"/>
      <c r="AL721" s="2"/>
      <c r="AM721" s="1"/>
      <c r="AN721" s="2"/>
      <c r="AP721" s="2"/>
      <c r="AQ721" s="1"/>
      <c r="AR721" s="2"/>
      <c r="AU721" s="1"/>
      <c r="AW721" s="1"/>
      <c r="AY721" s="2"/>
    </row>
    <row r="722">
      <c r="A722" s="1"/>
      <c r="C722" s="1"/>
      <c r="E722" s="1"/>
      <c r="F722" s="1"/>
      <c r="G722" s="2"/>
      <c r="H722" s="1"/>
      <c r="I722" s="1"/>
      <c r="J722" s="1"/>
      <c r="K722" s="1"/>
      <c r="M722" s="1"/>
      <c r="N722" s="1"/>
      <c r="O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2"/>
      <c r="AB722" s="1"/>
      <c r="AC722" s="1"/>
      <c r="AD722" s="1"/>
      <c r="AE722" s="1"/>
      <c r="AF722" s="1"/>
      <c r="AG722" s="1"/>
      <c r="AH722" s="2"/>
      <c r="AI722" s="2"/>
      <c r="AJ722" s="2"/>
      <c r="AK722" s="2"/>
      <c r="AL722" s="2"/>
      <c r="AM722" s="1"/>
      <c r="AN722" s="2"/>
      <c r="AP722" s="2"/>
      <c r="AQ722" s="1"/>
      <c r="AR722" s="2"/>
      <c r="AU722" s="1"/>
      <c r="AW722" s="1"/>
      <c r="AY722" s="2"/>
    </row>
    <row r="723">
      <c r="A723" s="1"/>
      <c r="C723" s="1"/>
      <c r="E723" s="1"/>
      <c r="F723" s="1"/>
      <c r="G723" s="2"/>
      <c r="H723" s="1"/>
      <c r="I723" s="1"/>
      <c r="J723" s="1"/>
      <c r="K723" s="1"/>
      <c r="M723" s="1"/>
      <c r="N723" s="1"/>
      <c r="O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2"/>
      <c r="AB723" s="1"/>
      <c r="AC723" s="1"/>
      <c r="AD723" s="1"/>
      <c r="AE723" s="1"/>
      <c r="AF723" s="1"/>
      <c r="AG723" s="1"/>
      <c r="AH723" s="2"/>
      <c r="AI723" s="2"/>
      <c r="AJ723" s="2"/>
      <c r="AK723" s="2"/>
      <c r="AL723" s="2"/>
      <c r="AM723" s="1"/>
      <c r="AN723" s="2"/>
      <c r="AP723" s="2"/>
      <c r="AQ723" s="1"/>
      <c r="AR723" s="2"/>
      <c r="AU723" s="1"/>
      <c r="AW723" s="1"/>
      <c r="AY723" s="2"/>
    </row>
    <row r="724">
      <c r="A724" s="1"/>
      <c r="C724" s="1"/>
      <c r="E724" s="1"/>
      <c r="F724" s="1"/>
      <c r="G724" s="2"/>
      <c r="H724" s="1"/>
      <c r="I724" s="1"/>
      <c r="J724" s="1"/>
      <c r="K724" s="1"/>
      <c r="M724" s="1"/>
      <c r="N724" s="1"/>
      <c r="O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2"/>
      <c r="AB724" s="1"/>
      <c r="AC724" s="1"/>
      <c r="AD724" s="1"/>
      <c r="AE724" s="1"/>
      <c r="AF724" s="1"/>
      <c r="AG724" s="1"/>
      <c r="AH724" s="2"/>
      <c r="AI724" s="2"/>
      <c r="AJ724" s="2"/>
      <c r="AK724" s="2"/>
      <c r="AL724" s="2"/>
      <c r="AM724" s="1"/>
      <c r="AN724" s="2"/>
      <c r="AP724" s="2"/>
      <c r="AQ724" s="1"/>
      <c r="AR724" s="2"/>
      <c r="AU724" s="1"/>
      <c r="AW724" s="1"/>
      <c r="AY724" s="2"/>
    </row>
    <row r="725">
      <c r="A725" s="1"/>
      <c r="C725" s="1"/>
      <c r="E725" s="1"/>
      <c r="F725" s="1"/>
      <c r="G725" s="2"/>
      <c r="H725" s="1"/>
      <c r="I725" s="1"/>
      <c r="J725" s="1"/>
      <c r="K725" s="1"/>
      <c r="M725" s="1"/>
      <c r="N725" s="1"/>
      <c r="O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2"/>
      <c r="AB725" s="1"/>
      <c r="AC725" s="1"/>
      <c r="AD725" s="1"/>
      <c r="AE725" s="1"/>
      <c r="AF725" s="1"/>
      <c r="AG725" s="1"/>
      <c r="AH725" s="2"/>
      <c r="AI725" s="2"/>
      <c r="AJ725" s="2"/>
      <c r="AK725" s="2"/>
      <c r="AL725" s="2"/>
      <c r="AM725" s="1"/>
      <c r="AN725" s="2"/>
      <c r="AP725" s="2"/>
      <c r="AQ725" s="1"/>
      <c r="AR725" s="2"/>
      <c r="AU725" s="1"/>
      <c r="AW725" s="1"/>
      <c r="AY725" s="2"/>
    </row>
    <row r="726">
      <c r="A726" s="1"/>
      <c r="C726" s="1"/>
      <c r="E726" s="1"/>
      <c r="F726" s="1"/>
      <c r="G726" s="2"/>
      <c r="H726" s="1"/>
      <c r="I726" s="1"/>
      <c r="J726" s="1"/>
      <c r="K726" s="1"/>
      <c r="M726" s="1"/>
      <c r="N726" s="1"/>
      <c r="O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2"/>
      <c r="AB726" s="1"/>
      <c r="AC726" s="1"/>
      <c r="AD726" s="1"/>
      <c r="AE726" s="1"/>
      <c r="AF726" s="1"/>
      <c r="AG726" s="1"/>
      <c r="AH726" s="2"/>
      <c r="AI726" s="2"/>
      <c r="AJ726" s="2"/>
      <c r="AK726" s="2"/>
      <c r="AL726" s="2"/>
      <c r="AM726" s="1"/>
      <c r="AN726" s="2"/>
      <c r="AP726" s="2"/>
      <c r="AQ726" s="1"/>
      <c r="AR726" s="2"/>
      <c r="AU726" s="1"/>
      <c r="AW726" s="1"/>
      <c r="AY726" s="2"/>
    </row>
    <row r="727">
      <c r="A727" s="1"/>
      <c r="C727" s="1"/>
      <c r="E727" s="1"/>
      <c r="F727" s="1"/>
      <c r="G727" s="2"/>
      <c r="H727" s="1"/>
      <c r="I727" s="1"/>
      <c r="J727" s="1"/>
      <c r="K727" s="1"/>
      <c r="M727" s="1"/>
      <c r="N727" s="1"/>
      <c r="O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2"/>
      <c r="AB727" s="1"/>
      <c r="AC727" s="1"/>
      <c r="AD727" s="1"/>
      <c r="AE727" s="1"/>
      <c r="AF727" s="1"/>
      <c r="AG727" s="1"/>
      <c r="AH727" s="2"/>
      <c r="AI727" s="2"/>
      <c r="AJ727" s="2"/>
      <c r="AK727" s="2"/>
      <c r="AL727" s="2"/>
      <c r="AM727" s="1"/>
      <c r="AN727" s="2"/>
      <c r="AP727" s="2"/>
      <c r="AQ727" s="1"/>
      <c r="AR727" s="2"/>
      <c r="AU727" s="1"/>
      <c r="AW727" s="1"/>
      <c r="AY727" s="2"/>
    </row>
    <row r="728">
      <c r="A728" s="1"/>
      <c r="C728" s="1"/>
      <c r="E728" s="1"/>
      <c r="F728" s="1"/>
      <c r="G728" s="2"/>
      <c r="H728" s="1"/>
      <c r="I728" s="1"/>
      <c r="J728" s="1"/>
      <c r="K728" s="1"/>
      <c r="M728" s="1"/>
      <c r="N728" s="1"/>
      <c r="O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2"/>
      <c r="AB728" s="1"/>
      <c r="AC728" s="1"/>
      <c r="AD728" s="1"/>
      <c r="AE728" s="1"/>
      <c r="AF728" s="1"/>
      <c r="AG728" s="1"/>
      <c r="AH728" s="2"/>
      <c r="AI728" s="2"/>
      <c r="AJ728" s="2"/>
      <c r="AK728" s="2"/>
      <c r="AL728" s="2"/>
      <c r="AM728" s="1"/>
      <c r="AN728" s="2"/>
      <c r="AP728" s="2"/>
      <c r="AQ728" s="1"/>
      <c r="AR728" s="2"/>
      <c r="AU728" s="1"/>
      <c r="AW728" s="1"/>
      <c r="AY728" s="2"/>
    </row>
    <row r="729">
      <c r="A729" s="1"/>
      <c r="C729" s="1"/>
      <c r="E729" s="1"/>
      <c r="F729" s="1"/>
      <c r="G729" s="2"/>
      <c r="H729" s="1"/>
      <c r="I729" s="1"/>
      <c r="J729" s="1"/>
      <c r="K729" s="1"/>
      <c r="M729" s="1"/>
      <c r="N729" s="1"/>
      <c r="O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2"/>
      <c r="AB729" s="1"/>
      <c r="AC729" s="1"/>
      <c r="AD729" s="1"/>
      <c r="AE729" s="1"/>
      <c r="AF729" s="1"/>
      <c r="AG729" s="1"/>
      <c r="AH729" s="2"/>
      <c r="AI729" s="2"/>
      <c r="AJ729" s="2"/>
      <c r="AK729" s="2"/>
      <c r="AL729" s="2"/>
      <c r="AM729" s="1"/>
      <c r="AN729" s="2"/>
      <c r="AP729" s="2"/>
      <c r="AQ729" s="1"/>
      <c r="AR729" s="2"/>
      <c r="AU729" s="1"/>
      <c r="AW729" s="1"/>
      <c r="AY729" s="2"/>
    </row>
    <row r="730">
      <c r="A730" s="1"/>
      <c r="C730" s="1"/>
      <c r="E730" s="1"/>
      <c r="F730" s="1"/>
      <c r="G730" s="2"/>
      <c r="H730" s="1"/>
      <c r="I730" s="1"/>
      <c r="J730" s="1"/>
      <c r="K730" s="1"/>
      <c r="M730" s="1"/>
      <c r="N730" s="1"/>
      <c r="O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2"/>
      <c r="AB730" s="1"/>
      <c r="AC730" s="1"/>
      <c r="AD730" s="1"/>
      <c r="AE730" s="1"/>
      <c r="AF730" s="1"/>
      <c r="AG730" s="1"/>
      <c r="AH730" s="2"/>
      <c r="AI730" s="2"/>
      <c r="AJ730" s="2"/>
      <c r="AK730" s="2"/>
      <c r="AL730" s="2"/>
      <c r="AM730" s="1"/>
      <c r="AN730" s="2"/>
      <c r="AP730" s="2"/>
      <c r="AQ730" s="1"/>
      <c r="AR730" s="2"/>
      <c r="AU730" s="1"/>
      <c r="AW730" s="1"/>
      <c r="AY730" s="2"/>
    </row>
    <row r="731">
      <c r="A731" s="1"/>
      <c r="C731" s="1"/>
      <c r="E731" s="1"/>
      <c r="F731" s="1"/>
      <c r="G731" s="2"/>
      <c r="H731" s="1"/>
      <c r="I731" s="1"/>
      <c r="J731" s="1"/>
      <c r="K731" s="1"/>
      <c r="M731" s="1"/>
      <c r="N731" s="1"/>
      <c r="O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2"/>
      <c r="AB731" s="1"/>
      <c r="AC731" s="1"/>
      <c r="AD731" s="1"/>
      <c r="AE731" s="1"/>
      <c r="AF731" s="1"/>
      <c r="AG731" s="1"/>
      <c r="AH731" s="2"/>
      <c r="AI731" s="2"/>
      <c r="AJ731" s="2"/>
      <c r="AK731" s="2"/>
      <c r="AL731" s="2"/>
      <c r="AM731" s="1"/>
      <c r="AN731" s="2"/>
      <c r="AP731" s="2"/>
      <c r="AQ731" s="1"/>
      <c r="AR731" s="2"/>
      <c r="AU731" s="1"/>
      <c r="AW731" s="1"/>
      <c r="AY731" s="2"/>
    </row>
    <row r="732">
      <c r="A732" s="1"/>
      <c r="C732" s="1"/>
      <c r="E732" s="1"/>
      <c r="F732" s="1"/>
      <c r="G732" s="2"/>
      <c r="H732" s="1"/>
      <c r="I732" s="1"/>
      <c r="J732" s="1"/>
      <c r="K732" s="1"/>
      <c r="M732" s="1"/>
      <c r="N732" s="1"/>
      <c r="O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2"/>
      <c r="AB732" s="1"/>
      <c r="AC732" s="1"/>
      <c r="AD732" s="1"/>
      <c r="AE732" s="1"/>
      <c r="AF732" s="1"/>
      <c r="AG732" s="1"/>
      <c r="AH732" s="2"/>
      <c r="AI732" s="2"/>
      <c r="AJ732" s="2"/>
      <c r="AK732" s="2"/>
      <c r="AL732" s="2"/>
      <c r="AM732" s="1"/>
      <c r="AN732" s="2"/>
      <c r="AP732" s="2"/>
      <c r="AQ732" s="1"/>
      <c r="AR732" s="2"/>
      <c r="AU732" s="1"/>
      <c r="AW732" s="1"/>
      <c r="AY732" s="2"/>
    </row>
    <row r="733">
      <c r="A733" s="1"/>
      <c r="C733" s="1"/>
      <c r="E733" s="1"/>
      <c r="F733" s="1"/>
      <c r="G733" s="2"/>
      <c r="H733" s="1"/>
      <c r="I733" s="1"/>
      <c r="J733" s="1"/>
      <c r="K733" s="1"/>
      <c r="M733" s="1"/>
      <c r="N733" s="1"/>
      <c r="O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2"/>
      <c r="AB733" s="1"/>
      <c r="AC733" s="1"/>
      <c r="AD733" s="1"/>
      <c r="AE733" s="1"/>
      <c r="AF733" s="1"/>
      <c r="AG733" s="1"/>
      <c r="AH733" s="2"/>
      <c r="AI733" s="2"/>
      <c r="AJ733" s="2"/>
      <c r="AK733" s="2"/>
      <c r="AL733" s="2"/>
      <c r="AM733" s="1"/>
      <c r="AN733" s="2"/>
      <c r="AP733" s="2"/>
      <c r="AQ733" s="1"/>
      <c r="AR733" s="2"/>
      <c r="AU733" s="1"/>
      <c r="AW733" s="1"/>
      <c r="AY733" s="2"/>
    </row>
    <row r="734">
      <c r="A734" s="1"/>
      <c r="C734" s="1"/>
      <c r="E734" s="1"/>
      <c r="F734" s="1"/>
      <c r="G734" s="2"/>
      <c r="H734" s="1"/>
      <c r="I734" s="1"/>
      <c r="J734" s="1"/>
      <c r="K734" s="1"/>
      <c r="M734" s="1"/>
      <c r="N734" s="1"/>
      <c r="O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2"/>
      <c r="AB734" s="1"/>
      <c r="AC734" s="1"/>
      <c r="AD734" s="1"/>
      <c r="AE734" s="1"/>
      <c r="AF734" s="1"/>
      <c r="AG734" s="1"/>
      <c r="AH734" s="2"/>
      <c r="AI734" s="2"/>
      <c r="AJ734" s="2"/>
      <c r="AK734" s="2"/>
      <c r="AL734" s="2"/>
      <c r="AM734" s="1"/>
      <c r="AN734" s="2"/>
      <c r="AP734" s="2"/>
      <c r="AQ734" s="1"/>
      <c r="AR734" s="2"/>
      <c r="AU734" s="1"/>
      <c r="AW734" s="1"/>
      <c r="AY734" s="2"/>
    </row>
    <row r="735">
      <c r="A735" s="1"/>
      <c r="C735" s="1"/>
      <c r="E735" s="1"/>
      <c r="F735" s="1"/>
      <c r="G735" s="2"/>
      <c r="H735" s="1"/>
      <c r="I735" s="1"/>
      <c r="J735" s="1"/>
      <c r="K735" s="1"/>
      <c r="M735" s="1"/>
      <c r="N735" s="1"/>
      <c r="O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2"/>
      <c r="AB735" s="1"/>
      <c r="AC735" s="1"/>
      <c r="AD735" s="1"/>
      <c r="AE735" s="1"/>
      <c r="AF735" s="1"/>
      <c r="AG735" s="1"/>
      <c r="AH735" s="2"/>
      <c r="AI735" s="2"/>
      <c r="AJ735" s="2"/>
      <c r="AK735" s="2"/>
      <c r="AL735" s="2"/>
      <c r="AM735" s="1"/>
      <c r="AN735" s="2"/>
      <c r="AP735" s="2"/>
      <c r="AQ735" s="1"/>
      <c r="AR735" s="2"/>
      <c r="AU735" s="1"/>
      <c r="AW735" s="1"/>
      <c r="AY735" s="2"/>
    </row>
    <row r="736">
      <c r="A736" s="1"/>
      <c r="C736" s="1"/>
      <c r="E736" s="1"/>
      <c r="F736" s="1"/>
      <c r="G736" s="2"/>
      <c r="H736" s="1"/>
      <c r="I736" s="1"/>
      <c r="J736" s="1"/>
      <c r="K736" s="1"/>
      <c r="M736" s="1"/>
      <c r="N736" s="1"/>
      <c r="O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2"/>
      <c r="AB736" s="1"/>
      <c r="AC736" s="1"/>
      <c r="AD736" s="1"/>
      <c r="AE736" s="1"/>
      <c r="AF736" s="1"/>
      <c r="AG736" s="1"/>
      <c r="AH736" s="2"/>
      <c r="AI736" s="2"/>
      <c r="AJ736" s="2"/>
      <c r="AK736" s="2"/>
      <c r="AL736" s="2"/>
      <c r="AM736" s="1"/>
      <c r="AN736" s="2"/>
      <c r="AP736" s="2"/>
      <c r="AQ736" s="1"/>
      <c r="AR736" s="2"/>
      <c r="AU736" s="1"/>
      <c r="AW736" s="1"/>
      <c r="AY736" s="2"/>
    </row>
    <row r="737">
      <c r="A737" s="1"/>
      <c r="C737" s="1"/>
      <c r="E737" s="1"/>
      <c r="F737" s="1"/>
      <c r="G737" s="2"/>
      <c r="H737" s="1"/>
      <c r="I737" s="1"/>
      <c r="J737" s="1"/>
      <c r="K737" s="1"/>
      <c r="M737" s="1"/>
      <c r="N737" s="1"/>
      <c r="O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2"/>
      <c r="AB737" s="1"/>
      <c r="AC737" s="1"/>
      <c r="AD737" s="1"/>
      <c r="AE737" s="1"/>
      <c r="AF737" s="1"/>
      <c r="AG737" s="1"/>
      <c r="AH737" s="2"/>
      <c r="AI737" s="2"/>
      <c r="AJ737" s="2"/>
      <c r="AK737" s="2"/>
      <c r="AL737" s="2"/>
      <c r="AM737" s="1"/>
      <c r="AN737" s="2"/>
      <c r="AP737" s="2"/>
      <c r="AQ737" s="1"/>
      <c r="AR737" s="2"/>
      <c r="AU737" s="1"/>
      <c r="AW737" s="1"/>
      <c r="AY737" s="2"/>
    </row>
    <row r="738">
      <c r="A738" s="1"/>
      <c r="C738" s="1"/>
      <c r="E738" s="1"/>
      <c r="F738" s="1"/>
      <c r="G738" s="2"/>
      <c r="H738" s="1"/>
      <c r="I738" s="1"/>
      <c r="J738" s="1"/>
      <c r="K738" s="1"/>
      <c r="M738" s="1"/>
      <c r="N738" s="1"/>
      <c r="O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2"/>
      <c r="AB738" s="1"/>
      <c r="AC738" s="1"/>
      <c r="AD738" s="1"/>
      <c r="AE738" s="1"/>
      <c r="AF738" s="1"/>
      <c r="AG738" s="1"/>
      <c r="AH738" s="2"/>
      <c r="AI738" s="2"/>
      <c r="AJ738" s="2"/>
      <c r="AK738" s="2"/>
      <c r="AL738" s="2"/>
      <c r="AM738" s="1"/>
      <c r="AN738" s="2"/>
      <c r="AP738" s="2"/>
      <c r="AQ738" s="1"/>
      <c r="AR738" s="2"/>
      <c r="AU738" s="1"/>
      <c r="AW738" s="1"/>
      <c r="AY738" s="2"/>
    </row>
    <row r="739">
      <c r="A739" s="1"/>
      <c r="C739" s="1"/>
      <c r="E739" s="1"/>
      <c r="F739" s="1"/>
      <c r="G739" s="2"/>
      <c r="H739" s="1"/>
      <c r="I739" s="1"/>
      <c r="J739" s="1"/>
      <c r="K739" s="1"/>
      <c r="M739" s="1"/>
      <c r="N739" s="1"/>
      <c r="O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2"/>
      <c r="AB739" s="1"/>
      <c r="AC739" s="1"/>
      <c r="AD739" s="1"/>
      <c r="AE739" s="1"/>
      <c r="AF739" s="1"/>
      <c r="AG739" s="1"/>
      <c r="AH739" s="2"/>
      <c r="AI739" s="2"/>
      <c r="AJ739" s="2"/>
      <c r="AK739" s="2"/>
      <c r="AL739" s="2"/>
      <c r="AM739" s="1"/>
      <c r="AN739" s="2"/>
      <c r="AP739" s="2"/>
      <c r="AQ739" s="1"/>
      <c r="AR739" s="2"/>
      <c r="AU739" s="1"/>
      <c r="AW739" s="1"/>
      <c r="AY739" s="2"/>
    </row>
    <row r="740">
      <c r="A740" s="1"/>
      <c r="C740" s="1"/>
      <c r="E740" s="1"/>
      <c r="F740" s="1"/>
      <c r="G740" s="2"/>
      <c r="H740" s="1"/>
      <c r="I740" s="1"/>
      <c r="J740" s="1"/>
      <c r="K740" s="1"/>
      <c r="M740" s="1"/>
      <c r="N740" s="1"/>
      <c r="O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2"/>
      <c r="AB740" s="1"/>
      <c r="AC740" s="1"/>
      <c r="AD740" s="1"/>
      <c r="AE740" s="1"/>
      <c r="AF740" s="1"/>
      <c r="AG740" s="1"/>
      <c r="AH740" s="2"/>
      <c r="AI740" s="2"/>
      <c r="AJ740" s="2"/>
      <c r="AK740" s="2"/>
      <c r="AL740" s="2"/>
      <c r="AM740" s="1"/>
      <c r="AN740" s="2"/>
      <c r="AP740" s="2"/>
      <c r="AQ740" s="1"/>
      <c r="AR740" s="2"/>
      <c r="AU740" s="1"/>
      <c r="AW740" s="1"/>
      <c r="AY740" s="2"/>
    </row>
    <row r="741">
      <c r="A741" s="1"/>
      <c r="C741" s="1"/>
      <c r="E741" s="1"/>
      <c r="F741" s="1"/>
      <c r="G741" s="2"/>
      <c r="H741" s="1"/>
      <c r="I741" s="1"/>
      <c r="J741" s="1"/>
      <c r="K741" s="1"/>
      <c r="M741" s="1"/>
      <c r="N741" s="1"/>
      <c r="O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2"/>
      <c r="AB741" s="1"/>
      <c r="AC741" s="1"/>
      <c r="AD741" s="1"/>
      <c r="AE741" s="1"/>
      <c r="AF741" s="1"/>
      <c r="AG741" s="1"/>
      <c r="AH741" s="2"/>
      <c r="AI741" s="2"/>
      <c r="AJ741" s="2"/>
      <c r="AK741" s="2"/>
      <c r="AL741" s="2"/>
      <c r="AM741" s="1"/>
      <c r="AN741" s="2"/>
      <c r="AP741" s="2"/>
      <c r="AQ741" s="1"/>
      <c r="AR741" s="2"/>
      <c r="AU741" s="1"/>
      <c r="AW741" s="1"/>
      <c r="AY741" s="2"/>
    </row>
    <row r="742">
      <c r="A742" s="1"/>
      <c r="C742" s="1"/>
      <c r="E742" s="1"/>
      <c r="F742" s="1"/>
      <c r="G742" s="2"/>
      <c r="H742" s="1"/>
      <c r="I742" s="1"/>
      <c r="J742" s="1"/>
      <c r="K742" s="1"/>
      <c r="M742" s="1"/>
      <c r="N742" s="1"/>
      <c r="O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2"/>
      <c r="AB742" s="1"/>
      <c r="AC742" s="1"/>
      <c r="AD742" s="1"/>
      <c r="AE742" s="1"/>
      <c r="AF742" s="1"/>
      <c r="AG742" s="1"/>
      <c r="AH742" s="2"/>
      <c r="AI742" s="2"/>
      <c r="AJ742" s="2"/>
      <c r="AK742" s="2"/>
      <c r="AL742" s="2"/>
      <c r="AM742" s="1"/>
      <c r="AN742" s="2"/>
      <c r="AP742" s="2"/>
      <c r="AQ742" s="1"/>
      <c r="AR742" s="2"/>
      <c r="AU742" s="1"/>
      <c r="AW742" s="1"/>
      <c r="AY742" s="2"/>
    </row>
    <row r="743">
      <c r="A743" s="1"/>
      <c r="C743" s="1"/>
      <c r="E743" s="1"/>
      <c r="F743" s="1"/>
      <c r="G743" s="2"/>
      <c r="H743" s="1"/>
      <c r="I743" s="1"/>
      <c r="J743" s="1"/>
      <c r="K743" s="1"/>
      <c r="M743" s="1"/>
      <c r="N743" s="1"/>
      <c r="O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2"/>
      <c r="AB743" s="1"/>
      <c r="AC743" s="1"/>
      <c r="AD743" s="1"/>
      <c r="AE743" s="1"/>
      <c r="AF743" s="1"/>
      <c r="AG743" s="1"/>
      <c r="AH743" s="2"/>
      <c r="AI743" s="2"/>
      <c r="AJ743" s="2"/>
      <c r="AK743" s="2"/>
      <c r="AL743" s="2"/>
      <c r="AM743" s="1"/>
      <c r="AN743" s="2"/>
      <c r="AP743" s="2"/>
      <c r="AQ743" s="1"/>
      <c r="AR743" s="2"/>
      <c r="AU743" s="1"/>
      <c r="AW743" s="1"/>
      <c r="AY743" s="2"/>
    </row>
    <row r="744">
      <c r="A744" s="1"/>
      <c r="C744" s="1"/>
      <c r="E744" s="1"/>
      <c r="F744" s="1"/>
      <c r="G744" s="2"/>
      <c r="H744" s="1"/>
      <c r="I744" s="1"/>
      <c r="J744" s="1"/>
      <c r="K744" s="1"/>
      <c r="M744" s="1"/>
      <c r="N744" s="1"/>
      <c r="O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2"/>
      <c r="AB744" s="1"/>
      <c r="AC744" s="1"/>
      <c r="AD744" s="1"/>
      <c r="AE744" s="1"/>
      <c r="AF744" s="1"/>
      <c r="AG744" s="1"/>
      <c r="AH744" s="2"/>
      <c r="AI744" s="2"/>
      <c r="AJ744" s="2"/>
      <c r="AK744" s="2"/>
      <c r="AL744" s="2"/>
      <c r="AM744" s="1"/>
      <c r="AN744" s="2"/>
      <c r="AP744" s="2"/>
      <c r="AQ744" s="1"/>
      <c r="AR744" s="2"/>
      <c r="AU744" s="1"/>
      <c r="AW744" s="1"/>
      <c r="AY744" s="2"/>
    </row>
    <row r="745">
      <c r="A745" s="1"/>
      <c r="C745" s="1"/>
      <c r="E745" s="1"/>
      <c r="F745" s="1"/>
      <c r="G745" s="2"/>
      <c r="H745" s="1"/>
      <c r="I745" s="1"/>
      <c r="J745" s="1"/>
      <c r="K745" s="1"/>
      <c r="M745" s="1"/>
      <c r="N745" s="1"/>
      <c r="O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2"/>
      <c r="AB745" s="1"/>
      <c r="AC745" s="1"/>
      <c r="AD745" s="1"/>
      <c r="AE745" s="1"/>
      <c r="AF745" s="1"/>
      <c r="AG745" s="1"/>
      <c r="AH745" s="2"/>
      <c r="AI745" s="2"/>
      <c r="AJ745" s="2"/>
      <c r="AK745" s="2"/>
      <c r="AL745" s="2"/>
      <c r="AM745" s="1"/>
      <c r="AN745" s="2"/>
      <c r="AP745" s="2"/>
      <c r="AQ745" s="1"/>
      <c r="AR745" s="2"/>
      <c r="AU745" s="1"/>
      <c r="AW745" s="1"/>
      <c r="AY745" s="2"/>
    </row>
    <row r="746">
      <c r="A746" s="1"/>
      <c r="C746" s="1"/>
      <c r="E746" s="1"/>
      <c r="F746" s="1"/>
      <c r="G746" s="2"/>
      <c r="H746" s="1"/>
      <c r="I746" s="1"/>
      <c r="J746" s="1"/>
      <c r="K746" s="1"/>
      <c r="M746" s="1"/>
      <c r="N746" s="1"/>
      <c r="O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2"/>
      <c r="AB746" s="1"/>
      <c r="AC746" s="1"/>
      <c r="AD746" s="1"/>
      <c r="AE746" s="1"/>
      <c r="AF746" s="1"/>
      <c r="AG746" s="1"/>
      <c r="AH746" s="2"/>
      <c r="AI746" s="2"/>
      <c r="AJ746" s="2"/>
      <c r="AK746" s="2"/>
      <c r="AL746" s="2"/>
      <c r="AM746" s="1"/>
      <c r="AN746" s="2"/>
      <c r="AP746" s="2"/>
      <c r="AQ746" s="1"/>
      <c r="AR746" s="2"/>
      <c r="AU746" s="1"/>
      <c r="AW746" s="1"/>
      <c r="AY746" s="2"/>
    </row>
    <row r="747">
      <c r="A747" s="1"/>
      <c r="C747" s="1"/>
      <c r="E747" s="1"/>
      <c r="F747" s="1"/>
      <c r="G747" s="2"/>
      <c r="H747" s="1"/>
      <c r="I747" s="1"/>
      <c r="J747" s="1"/>
      <c r="K747" s="1"/>
      <c r="M747" s="1"/>
      <c r="N747" s="1"/>
      <c r="O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2"/>
      <c r="AB747" s="1"/>
      <c r="AC747" s="1"/>
      <c r="AD747" s="1"/>
      <c r="AE747" s="1"/>
      <c r="AF747" s="1"/>
      <c r="AG747" s="1"/>
      <c r="AH747" s="2"/>
      <c r="AI747" s="2"/>
      <c r="AJ747" s="2"/>
      <c r="AK747" s="2"/>
      <c r="AL747" s="2"/>
      <c r="AM747" s="1"/>
      <c r="AN747" s="2"/>
      <c r="AP747" s="2"/>
      <c r="AQ747" s="1"/>
      <c r="AR747" s="2"/>
      <c r="AU747" s="1"/>
      <c r="AW747" s="1"/>
      <c r="AY747" s="2"/>
    </row>
    <row r="748">
      <c r="A748" s="1"/>
      <c r="C748" s="1"/>
      <c r="E748" s="1"/>
      <c r="F748" s="1"/>
      <c r="G748" s="2"/>
      <c r="H748" s="1"/>
      <c r="I748" s="1"/>
      <c r="J748" s="1"/>
      <c r="K748" s="1"/>
      <c r="M748" s="1"/>
      <c r="N748" s="1"/>
      <c r="O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2"/>
      <c r="AB748" s="1"/>
      <c r="AC748" s="1"/>
      <c r="AD748" s="1"/>
      <c r="AE748" s="1"/>
      <c r="AF748" s="1"/>
      <c r="AG748" s="1"/>
      <c r="AH748" s="2"/>
      <c r="AI748" s="2"/>
      <c r="AJ748" s="2"/>
      <c r="AK748" s="2"/>
      <c r="AL748" s="2"/>
      <c r="AM748" s="1"/>
      <c r="AN748" s="2"/>
      <c r="AP748" s="2"/>
      <c r="AQ748" s="1"/>
      <c r="AR748" s="2"/>
      <c r="AU748" s="1"/>
      <c r="AW748" s="1"/>
      <c r="AY748" s="2"/>
    </row>
    <row r="749">
      <c r="A749" s="1"/>
      <c r="C749" s="1"/>
      <c r="E749" s="1"/>
      <c r="F749" s="1"/>
      <c r="G749" s="2"/>
      <c r="H749" s="1"/>
      <c r="I749" s="1"/>
      <c r="J749" s="1"/>
      <c r="K749" s="1"/>
      <c r="M749" s="1"/>
      <c r="N749" s="1"/>
      <c r="O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2"/>
      <c r="AB749" s="1"/>
      <c r="AC749" s="1"/>
      <c r="AD749" s="1"/>
      <c r="AE749" s="1"/>
      <c r="AF749" s="1"/>
      <c r="AG749" s="1"/>
      <c r="AH749" s="2"/>
      <c r="AI749" s="2"/>
      <c r="AJ749" s="2"/>
      <c r="AK749" s="2"/>
      <c r="AL749" s="2"/>
      <c r="AM749" s="1"/>
      <c r="AN749" s="2"/>
      <c r="AP749" s="2"/>
      <c r="AQ749" s="1"/>
      <c r="AR749" s="2"/>
      <c r="AU749" s="1"/>
      <c r="AW749" s="1"/>
      <c r="AY749" s="2"/>
    </row>
    <row r="750">
      <c r="A750" s="1"/>
      <c r="C750" s="1"/>
      <c r="E750" s="1"/>
      <c r="F750" s="1"/>
      <c r="G750" s="2"/>
      <c r="H750" s="1"/>
      <c r="I750" s="1"/>
      <c r="J750" s="1"/>
      <c r="K750" s="1"/>
      <c r="M750" s="1"/>
      <c r="N750" s="1"/>
      <c r="O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2"/>
      <c r="AB750" s="1"/>
      <c r="AC750" s="1"/>
      <c r="AD750" s="1"/>
      <c r="AE750" s="1"/>
      <c r="AF750" s="1"/>
      <c r="AG750" s="1"/>
      <c r="AH750" s="2"/>
      <c r="AI750" s="2"/>
      <c r="AJ750" s="2"/>
      <c r="AK750" s="2"/>
      <c r="AL750" s="2"/>
      <c r="AM750" s="1"/>
      <c r="AN750" s="2"/>
      <c r="AP750" s="2"/>
      <c r="AQ750" s="1"/>
      <c r="AR750" s="2"/>
      <c r="AU750" s="1"/>
      <c r="AW750" s="1"/>
      <c r="AY750" s="2"/>
    </row>
    <row r="751">
      <c r="A751" s="1"/>
      <c r="C751" s="1"/>
      <c r="E751" s="1"/>
      <c r="F751" s="1"/>
      <c r="G751" s="2"/>
      <c r="H751" s="1"/>
      <c r="I751" s="1"/>
      <c r="J751" s="1"/>
      <c r="K751" s="1"/>
      <c r="M751" s="1"/>
      <c r="N751" s="1"/>
      <c r="O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2"/>
      <c r="AB751" s="1"/>
      <c r="AC751" s="1"/>
      <c r="AD751" s="1"/>
      <c r="AE751" s="1"/>
      <c r="AF751" s="1"/>
      <c r="AG751" s="1"/>
      <c r="AH751" s="2"/>
      <c r="AI751" s="2"/>
      <c r="AJ751" s="2"/>
      <c r="AK751" s="2"/>
      <c r="AL751" s="2"/>
      <c r="AM751" s="1"/>
      <c r="AN751" s="2"/>
      <c r="AP751" s="2"/>
      <c r="AQ751" s="1"/>
      <c r="AR751" s="2"/>
      <c r="AU751" s="1"/>
      <c r="AW751" s="1"/>
      <c r="AY751" s="2"/>
    </row>
    <row r="752">
      <c r="A752" s="1"/>
      <c r="C752" s="1"/>
      <c r="E752" s="1"/>
      <c r="F752" s="1"/>
      <c r="G752" s="2"/>
      <c r="H752" s="1"/>
      <c r="I752" s="1"/>
      <c r="J752" s="1"/>
      <c r="K752" s="1"/>
      <c r="M752" s="1"/>
      <c r="N752" s="1"/>
      <c r="O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2"/>
      <c r="AB752" s="1"/>
      <c r="AC752" s="1"/>
      <c r="AD752" s="1"/>
      <c r="AE752" s="1"/>
      <c r="AF752" s="1"/>
      <c r="AG752" s="1"/>
      <c r="AH752" s="2"/>
      <c r="AI752" s="2"/>
      <c r="AJ752" s="2"/>
      <c r="AK752" s="2"/>
      <c r="AL752" s="2"/>
      <c r="AM752" s="1"/>
      <c r="AN752" s="2"/>
      <c r="AP752" s="2"/>
      <c r="AQ752" s="1"/>
      <c r="AR752" s="2"/>
      <c r="AU752" s="1"/>
      <c r="AW752" s="1"/>
      <c r="AY752" s="2"/>
    </row>
    <row r="753">
      <c r="A753" s="1"/>
      <c r="C753" s="1"/>
      <c r="E753" s="1"/>
      <c r="F753" s="1"/>
      <c r="G753" s="2"/>
      <c r="H753" s="1"/>
      <c r="I753" s="1"/>
      <c r="J753" s="1"/>
      <c r="K753" s="1"/>
      <c r="M753" s="1"/>
      <c r="N753" s="1"/>
      <c r="O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2"/>
      <c r="AB753" s="1"/>
      <c r="AC753" s="1"/>
      <c r="AD753" s="1"/>
      <c r="AE753" s="1"/>
      <c r="AF753" s="1"/>
      <c r="AG753" s="1"/>
      <c r="AH753" s="2"/>
      <c r="AI753" s="2"/>
      <c r="AJ753" s="2"/>
      <c r="AK753" s="2"/>
      <c r="AL753" s="2"/>
      <c r="AM753" s="1"/>
      <c r="AN753" s="2"/>
      <c r="AP753" s="2"/>
      <c r="AQ753" s="1"/>
      <c r="AR753" s="2"/>
      <c r="AU753" s="1"/>
      <c r="AW753" s="1"/>
      <c r="AY753" s="2"/>
    </row>
    <row r="754">
      <c r="A754" s="1"/>
      <c r="C754" s="1"/>
      <c r="E754" s="1"/>
      <c r="F754" s="1"/>
      <c r="G754" s="2"/>
      <c r="H754" s="1"/>
      <c r="I754" s="1"/>
      <c r="J754" s="1"/>
      <c r="K754" s="1"/>
      <c r="M754" s="1"/>
      <c r="N754" s="1"/>
      <c r="O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2"/>
      <c r="AB754" s="1"/>
      <c r="AC754" s="1"/>
      <c r="AD754" s="1"/>
      <c r="AE754" s="1"/>
      <c r="AF754" s="1"/>
      <c r="AG754" s="1"/>
      <c r="AH754" s="2"/>
      <c r="AI754" s="2"/>
      <c r="AJ754" s="2"/>
      <c r="AK754" s="2"/>
      <c r="AL754" s="2"/>
      <c r="AM754" s="1"/>
      <c r="AN754" s="2"/>
      <c r="AP754" s="2"/>
      <c r="AQ754" s="1"/>
      <c r="AR754" s="2"/>
      <c r="AU754" s="1"/>
      <c r="AW754" s="1"/>
      <c r="AY754" s="2"/>
    </row>
    <row r="755">
      <c r="A755" s="1"/>
      <c r="C755" s="1"/>
      <c r="E755" s="1"/>
      <c r="F755" s="1"/>
      <c r="G755" s="2"/>
      <c r="H755" s="1"/>
      <c r="I755" s="1"/>
      <c r="J755" s="1"/>
      <c r="K755" s="1"/>
      <c r="M755" s="1"/>
      <c r="N755" s="1"/>
      <c r="O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2"/>
      <c r="AB755" s="1"/>
      <c r="AC755" s="1"/>
      <c r="AD755" s="1"/>
      <c r="AE755" s="1"/>
      <c r="AF755" s="1"/>
      <c r="AG755" s="1"/>
      <c r="AH755" s="2"/>
      <c r="AI755" s="2"/>
      <c r="AJ755" s="2"/>
      <c r="AK755" s="2"/>
      <c r="AL755" s="2"/>
      <c r="AM755" s="1"/>
      <c r="AN755" s="2"/>
      <c r="AP755" s="2"/>
      <c r="AQ755" s="1"/>
      <c r="AR755" s="2"/>
      <c r="AU755" s="1"/>
      <c r="AW755" s="1"/>
      <c r="AY755" s="2"/>
    </row>
    <row r="756">
      <c r="A756" s="1"/>
      <c r="C756" s="1"/>
      <c r="E756" s="1"/>
      <c r="F756" s="1"/>
      <c r="G756" s="2"/>
      <c r="H756" s="1"/>
      <c r="I756" s="1"/>
      <c r="J756" s="1"/>
      <c r="K756" s="1"/>
      <c r="M756" s="1"/>
      <c r="N756" s="1"/>
      <c r="O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2"/>
      <c r="AB756" s="1"/>
      <c r="AC756" s="1"/>
      <c r="AD756" s="1"/>
      <c r="AE756" s="1"/>
      <c r="AF756" s="1"/>
      <c r="AG756" s="1"/>
      <c r="AH756" s="2"/>
      <c r="AI756" s="2"/>
      <c r="AJ756" s="2"/>
      <c r="AK756" s="2"/>
      <c r="AL756" s="2"/>
      <c r="AM756" s="1"/>
      <c r="AN756" s="2"/>
      <c r="AP756" s="2"/>
      <c r="AQ756" s="1"/>
      <c r="AR756" s="2"/>
      <c r="AU756" s="1"/>
      <c r="AW756" s="1"/>
      <c r="AY756" s="2"/>
    </row>
    <row r="757">
      <c r="A757" s="1"/>
      <c r="C757" s="1"/>
      <c r="E757" s="1"/>
      <c r="F757" s="1"/>
      <c r="G757" s="2"/>
      <c r="H757" s="1"/>
      <c r="I757" s="1"/>
      <c r="J757" s="1"/>
      <c r="K757" s="1"/>
      <c r="M757" s="1"/>
      <c r="N757" s="1"/>
      <c r="O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2"/>
      <c r="AB757" s="1"/>
      <c r="AC757" s="1"/>
      <c r="AD757" s="1"/>
      <c r="AE757" s="1"/>
      <c r="AF757" s="1"/>
      <c r="AG757" s="1"/>
      <c r="AH757" s="2"/>
      <c r="AI757" s="2"/>
      <c r="AJ757" s="2"/>
      <c r="AK757" s="2"/>
      <c r="AL757" s="2"/>
      <c r="AM757" s="1"/>
      <c r="AN757" s="2"/>
      <c r="AP757" s="2"/>
      <c r="AQ757" s="1"/>
      <c r="AR757" s="2"/>
      <c r="AU757" s="1"/>
      <c r="AW757" s="1"/>
      <c r="AY757" s="2"/>
    </row>
    <row r="758">
      <c r="A758" s="1"/>
      <c r="C758" s="1"/>
      <c r="E758" s="1"/>
      <c r="F758" s="1"/>
      <c r="G758" s="2"/>
      <c r="H758" s="1"/>
      <c r="I758" s="1"/>
      <c r="J758" s="1"/>
      <c r="K758" s="1"/>
      <c r="M758" s="1"/>
      <c r="N758" s="1"/>
      <c r="O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2"/>
      <c r="AB758" s="1"/>
      <c r="AC758" s="1"/>
      <c r="AD758" s="1"/>
      <c r="AE758" s="1"/>
      <c r="AF758" s="1"/>
      <c r="AG758" s="1"/>
      <c r="AH758" s="2"/>
      <c r="AI758" s="2"/>
      <c r="AJ758" s="2"/>
      <c r="AK758" s="2"/>
      <c r="AL758" s="2"/>
      <c r="AM758" s="1"/>
      <c r="AN758" s="2"/>
      <c r="AP758" s="2"/>
      <c r="AQ758" s="1"/>
      <c r="AR758" s="2"/>
      <c r="AU758" s="1"/>
      <c r="AW758" s="1"/>
      <c r="AY758" s="2"/>
    </row>
    <row r="759">
      <c r="A759" s="1"/>
      <c r="C759" s="1"/>
      <c r="E759" s="1"/>
      <c r="F759" s="1"/>
      <c r="G759" s="2"/>
      <c r="H759" s="1"/>
      <c r="I759" s="1"/>
      <c r="J759" s="1"/>
      <c r="K759" s="1"/>
      <c r="M759" s="1"/>
      <c r="N759" s="1"/>
      <c r="O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2"/>
      <c r="AB759" s="1"/>
      <c r="AC759" s="1"/>
      <c r="AD759" s="1"/>
      <c r="AE759" s="1"/>
      <c r="AF759" s="1"/>
      <c r="AG759" s="1"/>
      <c r="AH759" s="2"/>
      <c r="AI759" s="2"/>
      <c r="AJ759" s="2"/>
      <c r="AK759" s="2"/>
      <c r="AL759" s="2"/>
      <c r="AM759" s="1"/>
      <c r="AN759" s="2"/>
      <c r="AP759" s="2"/>
      <c r="AQ759" s="1"/>
      <c r="AR759" s="2"/>
      <c r="AU759" s="1"/>
      <c r="AW759" s="1"/>
      <c r="AY759" s="2"/>
    </row>
    <row r="760">
      <c r="A760" s="1"/>
      <c r="C760" s="1"/>
      <c r="E760" s="1"/>
      <c r="F760" s="1"/>
      <c r="G760" s="2"/>
      <c r="H760" s="1"/>
      <c r="I760" s="1"/>
      <c r="J760" s="1"/>
      <c r="K760" s="1"/>
      <c r="M760" s="1"/>
      <c r="N760" s="1"/>
      <c r="O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2"/>
      <c r="AB760" s="1"/>
      <c r="AC760" s="1"/>
      <c r="AD760" s="1"/>
      <c r="AE760" s="1"/>
      <c r="AF760" s="1"/>
      <c r="AG760" s="1"/>
      <c r="AH760" s="2"/>
      <c r="AI760" s="2"/>
      <c r="AJ760" s="2"/>
      <c r="AK760" s="2"/>
      <c r="AL760" s="2"/>
      <c r="AM760" s="1"/>
      <c r="AN760" s="2"/>
      <c r="AP760" s="2"/>
      <c r="AQ760" s="1"/>
      <c r="AR760" s="2"/>
      <c r="AU760" s="1"/>
      <c r="AW760" s="1"/>
      <c r="AY760" s="2"/>
    </row>
    <row r="761">
      <c r="A761" s="1"/>
      <c r="C761" s="1"/>
      <c r="E761" s="1"/>
      <c r="F761" s="1"/>
      <c r="G761" s="2"/>
      <c r="H761" s="1"/>
      <c r="I761" s="1"/>
      <c r="J761" s="1"/>
      <c r="K761" s="1"/>
      <c r="M761" s="1"/>
      <c r="N761" s="1"/>
      <c r="O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2"/>
      <c r="AB761" s="1"/>
      <c r="AC761" s="1"/>
      <c r="AD761" s="1"/>
      <c r="AE761" s="1"/>
      <c r="AF761" s="1"/>
      <c r="AG761" s="1"/>
      <c r="AH761" s="2"/>
      <c r="AI761" s="2"/>
      <c r="AJ761" s="2"/>
      <c r="AK761" s="2"/>
      <c r="AL761" s="2"/>
      <c r="AM761" s="1"/>
      <c r="AN761" s="2"/>
      <c r="AP761" s="2"/>
      <c r="AQ761" s="1"/>
      <c r="AR761" s="2"/>
      <c r="AU761" s="1"/>
      <c r="AW761" s="1"/>
      <c r="AY761" s="2"/>
    </row>
    <row r="762">
      <c r="A762" s="1"/>
      <c r="C762" s="1"/>
      <c r="E762" s="1"/>
      <c r="F762" s="1"/>
      <c r="G762" s="2"/>
      <c r="H762" s="1"/>
      <c r="I762" s="1"/>
      <c r="J762" s="1"/>
      <c r="K762" s="1"/>
      <c r="M762" s="1"/>
      <c r="N762" s="1"/>
      <c r="O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2"/>
      <c r="AB762" s="1"/>
      <c r="AC762" s="1"/>
      <c r="AD762" s="1"/>
      <c r="AE762" s="1"/>
      <c r="AF762" s="1"/>
      <c r="AG762" s="1"/>
      <c r="AH762" s="2"/>
      <c r="AI762" s="2"/>
      <c r="AJ762" s="2"/>
      <c r="AK762" s="2"/>
      <c r="AL762" s="2"/>
      <c r="AM762" s="1"/>
      <c r="AN762" s="2"/>
      <c r="AP762" s="2"/>
      <c r="AQ762" s="1"/>
      <c r="AR762" s="2"/>
      <c r="AU762" s="1"/>
      <c r="AW762" s="1"/>
      <c r="AY762" s="2"/>
    </row>
    <row r="763">
      <c r="A763" s="1"/>
      <c r="C763" s="1"/>
      <c r="E763" s="1"/>
      <c r="F763" s="1"/>
      <c r="G763" s="2"/>
      <c r="H763" s="1"/>
      <c r="I763" s="1"/>
      <c r="J763" s="1"/>
      <c r="K763" s="1"/>
      <c r="M763" s="1"/>
      <c r="N763" s="1"/>
      <c r="O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2"/>
      <c r="AB763" s="1"/>
      <c r="AC763" s="1"/>
      <c r="AD763" s="1"/>
      <c r="AE763" s="1"/>
      <c r="AF763" s="1"/>
      <c r="AG763" s="1"/>
      <c r="AH763" s="2"/>
      <c r="AI763" s="2"/>
      <c r="AJ763" s="2"/>
      <c r="AK763" s="2"/>
      <c r="AL763" s="2"/>
      <c r="AM763" s="1"/>
      <c r="AN763" s="2"/>
      <c r="AP763" s="2"/>
      <c r="AQ763" s="1"/>
      <c r="AR763" s="2"/>
      <c r="AU763" s="1"/>
      <c r="AW763" s="1"/>
      <c r="AY763" s="2"/>
    </row>
    <row r="764">
      <c r="A764" s="1"/>
      <c r="C764" s="1"/>
      <c r="E764" s="1"/>
      <c r="F764" s="1"/>
      <c r="G764" s="2"/>
      <c r="H764" s="1"/>
      <c r="I764" s="1"/>
      <c r="J764" s="1"/>
      <c r="K764" s="1"/>
      <c r="M764" s="1"/>
      <c r="N764" s="1"/>
      <c r="O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2"/>
      <c r="AB764" s="1"/>
      <c r="AC764" s="1"/>
      <c r="AD764" s="1"/>
      <c r="AE764" s="1"/>
      <c r="AF764" s="1"/>
      <c r="AG764" s="1"/>
      <c r="AH764" s="2"/>
      <c r="AI764" s="2"/>
      <c r="AJ764" s="2"/>
      <c r="AK764" s="2"/>
      <c r="AL764" s="2"/>
      <c r="AM764" s="1"/>
      <c r="AN764" s="2"/>
      <c r="AP764" s="2"/>
      <c r="AQ764" s="1"/>
      <c r="AR764" s="2"/>
      <c r="AU764" s="1"/>
      <c r="AW764" s="1"/>
      <c r="AY764" s="2"/>
    </row>
    <row r="765">
      <c r="A765" s="1"/>
      <c r="C765" s="1"/>
      <c r="E765" s="1"/>
      <c r="F765" s="1"/>
      <c r="G765" s="2"/>
      <c r="H765" s="1"/>
      <c r="I765" s="1"/>
      <c r="J765" s="1"/>
      <c r="K765" s="1"/>
      <c r="M765" s="1"/>
      <c r="N765" s="1"/>
      <c r="O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2"/>
      <c r="AB765" s="1"/>
      <c r="AC765" s="1"/>
      <c r="AD765" s="1"/>
      <c r="AE765" s="1"/>
      <c r="AF765" s="1"/>
      <c r="AG765" s="1"/>
      <c r="AH765" s="2"/>
      <c r="AI765" s="2"/>
      <c r="AJ765" s="2"/>
      <c r="AK765" s="2"/>
      <c r="AL765" s="2"/>
      <c r="AM765" s="1"/>
      <c r="AN765" s="2"/>
      <c r="AP765" s="2"/>
      <c r="AQ765" s="1"/>
      <c r="AR765" s="2"/>
      <c r="AU765" s="1"/>
      <c r="AW765" s="1"/>
      <c r="AY765" s="2"/>
    </row>
    <row r="766">
      <c r="A766" s="1"/>
      <c r="C766" s="1"/>
      <c r="E766" s="1"/>
      <c r="F766" s="1"/>
      <c r="G766" s="2"/>
      <c r="H766" s="1"/>
      <c r="I766" s="1"/>
      <c r="J766" s="1"/>
      <c r="K766" s="1"/>
      <c r="M766" s="1"/>
      <c r="N766" s="1"/>
      <c r="O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2"/>
      <c r="AB766" s="1"/>
      <c r="AC766" s="1"/>
      <c r="AD766" s="1"/>
      <c r="AE766" s="1"/>
      <c r="AF766" s="1"/>
      <c r="AG766" s="1"/>
      <c r="AH766" s="2"/>
      <c r="AI766" s="2"/>
      <c r="AJ766" s="2"/>
      <c r="AK766" s="2"/>
      <c r="AL766" s="2"/>
      <c r="AM766" s="1"/>
      <c r="AN766" s="2"/>
      <c r="AP766" s="2"/>
      <c r="AQ766" s="1"/>
      <c r="AR766" s="2"/>
      <c r="AU766" s="1"/>
      <c r="AW766" s="1"/>
      <c r="AY766" s="2"/>
    </row>
    <row r="767">
      <c r="A767" s="1"/>
      <c r="C767" s="1"/>
      <c r="E767" s="1"/>
      <c r="F767" s="1"/>
      <c r="G767" s="2"/>
      <c r="H767" s="1"/>
      <c r="I767" s="1"/>
      <c r="J767" s="1"/>
      <c r="K767" s="1"/>
      <c r="M767" s="1"/>
      <c r="N767" s="1"/>
      <c r="O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2"/>
      <c r="AB767" s="1"/>
      <c r="AC767" s="1"/>
      <c r="AD767" s="1"/>
      <c r="AE767" s="1"/>
      <c r="AF767" s="1"/>
      <c r="AG767" s="1"/>
      <c r="AH767" s="2"/>
      <c r="AI767" s="2"/>
      <c r="AJ767" s="2"/>
      <c r="AK767" s="2"/>
      <c r="AL767" s="2"/>
      <c r="AM767" s="1"/>
      <c r="AN767" s="2"/>
      <c r="AP767" s="2"/>
      <c r="AQ767" s="1"/>
      <c r="AR767" s="2"/>
      <c r="AU767" s="1"/>
      <c r="AW767" s="1"/>
      <c r="AY767" s="2"/>
    </row>
    <row r="768">
      <c r="A768" s="1"/>
      <c r="C768" s="1"/>
      <c r="E768" s="1"/>
      <c r="F768" s="1"/>
      <c r="G768" s="2"/>
      <c r="H768" s="1"/>
      <c r="I768" s="1"/>
      <c r="J768" s="1"/>
      <c r="K768" s="1"/>
      <c r="M768" s="1"/>
      <c r="N768" s="1"/>
      <c r="O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2"/>
      <c r="AB768" s="1"/>
      <c r="AC768" s="1"/>
      <c r="AD768" s="1"/>
      <c r="AE768" s="1"/>
      <c r="AF768" s="1"/>
      <c r="AG768" s="1"/>
      <c r="AH768" s="2"/>
      <c r="AI768" s="2"/>
      <c r="AJ768" s="2"/>
      <c r="AK768" s="2"/>
      <c r="AL768" s="2"/>
      <c r="AM768" s="1"/>
      <c r="AN768" s="2"/>
      <c r="AP768" s="2"/>
      <c r="AQ768" s="1"/>
      <c r="AR768" s="2"/>
      <c r="AU768" s="1"/>
      <c r="AW768" s="1"/>
      <c r="AY768" s="2"/>
    </row>
    <row r="769">
      <c r="A769" s="1"/>
      <c r="C769" s="1"/>
      <c r="E769" s="1"/>
      <c r="F769" s="1"/>
      <c r="G769" s="2"/>
      <c r="H769" s="1"/>
      <c r="I769" s="1"/>
      <c r="J769" s="1"/>
      <c r="K769" s="1"/>
      <c r="M769" s="1"/>
      <c r="N769" s="1"/>
      <c r="O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2"/>
      <c r="AB769" s="1"/>
      <c r="AC769" s="1"/>
      <c r="AD769" s="1"/>
      <c r="AE769" s="1"/>
      <c r="AF769" s="1"/>
      <c r="AG769" s="1"/>
      <c r="AH769" s="2"/>
      <c r="AI769" s="2"/>
      <c r="AJ769" s="2"/>
      <c r="AK769" s="2"/>
      <c r="AL769" s="2"/>
      <c r="AM769" s="1"/>
      <c r="AN769" s="2"/>
      <c r="AP769" s="2"/>
      <c r="AQ769" s="1"/>
      <c r="AR769" s="2"/>
      <c r="AU769" s="1"/>
      <c r="AW769" s="1"/>
      <c r="AY769" s="2"/>
    </row>
    <row r="770">
      <c r="A770" s="1"/>
      <c r="C770" s="1"/>
      <c r="E770" s="1"/>
      <c r="F770" s="1"/>
      <c r="G770" s="2"/>
      <c r="H770" s="1"/>
      <c r="I770" s="1"/>
      <c r="J770" s="1"/>
      <c r="K770" s="1"/>
      <c r="M770" s="1"/>
      <c r="N770" s="1"/>
      <c r="O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2"/>
      <c r="AB770" s="1"/>
      <c r="AC770" s="1"/>
      <c r="AD770" s="1"/>
      <c r="AE770" s="1"/>
      <c r="AF770" s="1"/>
      <c r="AG770" s="1"/>
      <c r="AH770" s="2"/>
      <c r="AI770" s="2"/>
      <c r="AJ770" s="2"/>
      <c r="AK770" s="2"/>
      <c r="AL770" s="2"/>
      <c r="AM770" s="1"/>
      <c r="AN770" s="2"/>
      <c r="AP770" s="2"/>
      <c r="AQ770" s="1"/>
      <c r="AR770" s="2"/>
      <c r="AU770" s="1"/>
      <c r="AW770" s="1"/>
      <c r="AY770" s="2"/>
    </row>
    <row r="771">
      <c r="A771" s="1"/>
      <c r="C771" s="1"/>
      <c r="E771" s="1"/>
      <c r="F771" s="1"/>
      <c r="G771" s="2"/>
      <c r="H771" s="1"/>
      <c r="I771" s="1"/>
      <c r="J771" s="1"/>
      <c r="K771" s="1"/>
      <c r="M771" s="1"/>
      <c r="N771" s="1"/>
      <c r="O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2"/>
      <c r="AB771" s="1"/>
      <c r="AC771" s="1"/>
      <c r="AD771" s="1"/>
      <c r="AE771" s="1"/>
      <c r="AF771" s="1"/>
      <c r="AG771" s="1"/>
      <c r="AH771" s="2"/>
      <c r="AI771" s="2"/>
      <c r="AJ771" s="2"/>
      <c r="AK771" s="2"/>
      <c r="AL771" s="2"/>
      <c r="AM771" s="1"/>
      <c r="AN771" s="2"/>
      <c r="AP771" s="2"/>
      <c r="AQ771" s="1"/>
      <c r="AR771" s="2"/>
      <c r="AU771" s="1"/>
      <c r="AW771" s="1"/>
      <c r="AY771" s="2"/>
    </row>
    <row r="772">
      <c r="A772" s="1"/>
      <c r="C772" s="1"/>
      <c r="E772" s="1"/>
      <c r="F772" s="1"/>
      <c r="G772" s="2"/>
      <c r="H772" s="1"/>
      <c r="I772" s="1"/>
      <c r="J772" s="1"/>
      <c r="K772" s="1"/>
      <c r="M772" s="1"/>
      <c r="N772" s="1"/>
      <c r="O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2"/>
      <c r="AB772" s="1"/>
      <c r="AC772" s="1"/>
      <c r="AD772" s="1"/>
      <c r="AE772" s="1"/>
      <c r="AF772" s="1"/>
      <c r="AG772" s="1"/>
      <c r="AH772" s="2"/>
      <c r="AI772" s="2"/>
      <c r="AJ772" s="2"/>
      <c r="AK772" s="2"/>
      <c r="AL772" s="2"/>
      <c r="AM772" s="1"/>
      <c r="AN772" s="2"/>
      <c r="AP772" s="2"/>
      <c r="AQ772" s="1"/>
      <c r="AR772" s="2"/>
      <c r="AU772" s="1"/>
      <c r="AW772" s="1"/>
      <c r="AY772" s="2"/>
    </row>
    <row r="773">
      <c r="A773" s="1"/>
      <c r="C773" s="1"/>
      <c r="E773" s="1"/>
      <c r="F773" s="1"/>
      <c r="G773" s="2"/>
      <c r="H773" s="1"/>
      <c r="I773" s="1"/>
      <c r="J773" s="1"/>
      <c r="K773" s="1"/>
      <c r="M773" s="1"/>
      <c r="N773" s="1"/>
      <c r="O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2"/>
      <c r="AB773" s="1"/>
      <c r="AC773" s="1"/>
      <c r="AD773" s="1"/>
      <c r="AE773" s="1"/>
      <c r="AF773" s="1"/>
      <c r="AG773" s="1"/>
      <c r="AH773" s="2"/>
      <c r="AI773" s="2"/>
      <c r="AJ773" s="2"/>
      <c r="AK773" s="2"/>
      <c r="AL773" s="2"/>
      <c r="AM773" s="1"/>
      <c r="AN773" s="2"/>
      <c r="AP773" s="2"/>
      <c r="AQ773" s="1"/>
      <c r="AR773" s="2"/>
      <c r="AU773" s="1"/>
      <c r="AW773" s="1"/>
      <c r="AY773" s="2"/>
    </row>
    <row r="774">
      <c r="A774" s="1"/>
      <c r="C774" s="1"/>
      <c r="E774" s="1"/>
      <c r="F774" s="1"/>
      <c r="G774" s="2"/>
      <c r="H774" s="1"/>
      <c r="I774" s="1"/>
      <c r="J774" s="1"/>
      <c r="K774" s="1"/>
      <c r="M774" s="1"/>
      <c r="N774" s="1"/>
      <c r="O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2"/>
      <c r="AB774" s="1"/>
      <c r="AC774" s="1"/>
      <c r="AD774" s="1"/>
      <c r="AE774" s="1"/>
      <c r="AF774" s="1"/>
      <c r="AG774" s="1"/>
      <c r="AH774" s="2"/>
      <c r="AI774" s="2"/>
      <c r="AJ774" s="2"/>
      <c r="AK774" s="2"/>
      <c r="AL774" s="2"/>
      <c r="AM774" s="1"/>
      <c r="AN774" s="2"/>
      <c r="AP774" s="2"/>
      <c r="AQ774" s="1"/>
      <c r="AR774" s="2"/>
      <c r="AU774" s="1"/>
      <c r="AW774" s="1"/>
      <c r="AY774" s="2"/>
    </row>
    <row r="775">
      <c r="A775" s="1"/>
      <c r="C775" s="1"/>
      <c r="E775" s="1"/>
      <c r="F775" s="1"/>
      <c r="G775" s="2"/>
      <c r="H775" s="1"/>
      <c r="I775" s="1"/>
      <c r="J775" s="1"/>
      <c r="K775" s="1"/>
      <c r="M775" s="1"/>
      <c r="N775" s="1"/>
      <c r="O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2"/>
      <c r="AB775" s="1"/>
      <c r="AC775" s="1"/>
      <c r="AD775" s="1"/>
      <c r="AE775" s="1"/>
      <c r="AF775" s="1"/>
      <c r="AG775" s="1"/>
      <c r="AH775" s="2"/>
      <c r="AI775" s="2"/>
      <c r="AJ775" s="2"/>
      <c r="AK775" s="2"/>
      <c r="AL775" s="2"/>
      <c r="AM775" s="1"/>
      <c r="AN775" s="2"/>
      <c r="AP775" s="2"/>
      <c r="AQ775" s="1"/>
      <c r="AR775" s="2"/>
      <c r="AU775" s="1"/>
      <c r="AW775" s="1"/>
      <c r="AY775" s="2"/>
    </row>
    <row r="776">
      <c r="A776" s="1"/>
      <c r="C776" s="1"/>
      <c r="E776" s="1"/>
      <c r="F776" s="1"/>
      <c r="G776" s="2"/>
      <c r="H776" s="1"/>
      <c r="I776" s="1"/>
      <c r="J776" s="1"/>
      <c r="K776" s="1"/>
      <c r="M776" s="1"/>
      <c r="N776" s="1"/>
      <c r="O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2"/>
      <c r="AB776" s="1"/>
      <c r="AC776" s="1"/>
      <c r="AD776" s="1"/>
      <c r="AE776" s="1"/>
      <c r="AF776" s="1"/>
      <c r="AG776" s="1"/>
      <c r="AH776" s="2"/>
      <c r="AI776" s="2"/>
      <c r="AJ776" s="2"/>
      <c r="AK776" s="2"/>
      <c r="AL776" s="2"/>
      <c r="AM776" s="1"/>
      <c r="AN776" s="2"/>
      <c r="AP776" s="2"/>
      <c r="AQ776" s="1"/>
      <c r="AR776" s="2"/>
      <c r="AU776" s="1"/>
      <c r="AW776" s="1"/>
      <c r="AY776" s="2"/>
    </row>
    <row r="777">
      <c r="A777" s="1"/>
      <c r="C777" s="1"/>
      <c r="E777" s="1"/>
      <c r="F777" s="1"/>
      <c r="G777" s="2"/>
      <c r="H777" s="1"/>
      <c r="I777" s="1"/>
      <c r="J777" s="1"/>
      <c r="K777" s="1"/>
      <c r="M777" s="1"/>
      <c r="N777" s="1"/>
      <c r="O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2"/>
      <c r="AB777" s="1"/>
      <c r="AC777" s="1"/>
      <c r="AD777" s="1"/>
      <c r="AE777" s="1"/>
      <c r="AF777" s="1"/>
      <c r="AG777" s="1"/>
      <c r="AH777" s="2"/>
      <c r="AI777" s="2"/>
      <c r="AJ777" s="2"/>
      <c r="AK777" s="2"/>
      <c r="AL777" s="2"/>
      <c r="AM777" s="1"/>
      <c r="AN777" s="2"/>
      <c r="AP777" s="2"/>
      <c r="AQ777" s="1"/>
      <c r="AR777" s="2"/>
      <c r="AU777" s="1"/>
      <c r="AW777" s="1"/>
      <c r="AY777" s="2"/>
    </row>
    <row r="778">
      <c r="A778" s="1"/>
      <c r="C778" s="1"/>
      <c r="E778" s="1"/>
      <c r="F778" s="1"/>
      <c r="G778" s="2"/>
      <c r="H778" s="1"/>
      <c r="I778" s="1"/>
      <c r="J778" s="1"/>
      <c r="K778" s="1"/>
      <c r="M778" s="1"/>
      <c r="N778" s="1"/>
      <c r="O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2"/>
      <c r="AB778" s="1"/>
      <c r="AC778" s="1"/>
      <c r="AD778" s="1"/>
      <c r="AE778" s="1"/>
      <c r="AF778" s="1"/>
      <c r="AG778" s="1"/>
      <c r="AH778" s="2"/>
      <c r="AI778" s="2"/>
      <c r="AJ778" s="2"/>
      <c r="AK778" s="2"/>
      <c r="AL778" s="2"/>
      <c r="AM778" s="1"/>
      <c r="AN778" s="2"/>
      <c r="AP778" s="2"/>
      <c r="AQ778" s="1"/>
      <c r="AR778" s="2"/>
      <c r="AU778" s="1"/>
      <c r="AW778" s="1"/>
      <c r="AY778" s="2"/>
    </row>
    <row r="779">
      <c r="A779" s="1"/>
      <c r="C779" s="1"/>
      <c r="E779" s="1"/>
      <c r="F779" s="1"/>
      <c r="G779" s="2"/>
      <c r="H779" s="1"/>
      <c r="I779" s="1"/>
      <c r="J779" s="1"/>
      <c r="K779" s="1"/>
      <c r="M779" s="1"/>
      <c r="N779" s="1"/>
      <c r="O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2"/>
      <c r="AB779" s="1"/>
      <c r="AC779" s="1"/>
      <c r="AD779" s="1"/>
      <c r="AE779" s="1"/>
      <c r="AF779" s="1"/>
      <c r="AG779" s="1"/>
      <c r="AH779" s="2"/>
      <c r="AI779" s="2"/>
      <c r="AJ779" s="2"/>
      <c r="AK779" s="2"/>
      <c r="AL779" s="2"/>
      <c r="AM779" s="1"/>
      <c r="AN779" s="2"/>
      <c r="AP779" s="2"/>
      <c r="AQ779" s="1"/>
      <c r="AR779" s="2"/>
      <c r="AU779" s="1"/>
      <c r="AW779" s="1"/>
      <c r="AY779" s="2"/>
    </row>
    <row r="780">
      <c r="A780" s="1"/>
      <c r="C780" s="1"/>
      <c r="E780" s="1"/>
      <c r="F780" s="1"/>
      <c r="G780" s="2"/>
      <c r="H780" s="1"/>
      <c r="I780" s="1"/>
      <c r="J780" s="1"/>
      <c r="K780" s="1"/>
      <c r="M780" s="1"/>
      <c r="N780" s="1"/>
      <c r="O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2"/>
      <c r="AB780" s="1"/>
      <c r="AC780" s="1"/>
      <c r="AD780" s="1"/>
      <c r="AE780" s="1"/>
      <c r="AF780" s="1"/>
      <c r="AG780" s="1"/>
      <c r="AH780" s="2"/>
      <c r="AI780" s="2"/>
      <c r="AJ780" s="2"/>
      <c r="AK780" s="2"/>
      <c r="AL780" s="2"/>
      <c r="AM780" s="1"/>
      <c r="AN780" s="2"/>
      <c r="AP780" s="2"/>
      <c r="AQ780" s="1"/>
      <c r="AR780" s="2"/>
      <c r="AU780" s="1"/>
      <c r="AW780" s="1"/>
      <c r="AY780" s="2"/>
    </row>
    <row r="781">
      <c r="A781" s="1"/>
      <c r="C781" s="1"/>
      <c r="E781" s="1"/>
      <c r="F781" s="1"/>
      <c r="G781" s="2"/>
      <c r="H781" s="1"/>
      <c r="I781" s="1"/>
      <c r="J781" s="1"/>
      <c r="K781" s="1"/>
      <c r="M781" s="1"/>
      <c r="N781" s="1"/>
      <c r="O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2"/>
      <c r="AB781" s="1"/>
      <c r="AC781" s="1"/>
      <c r="AD781" s="1"/>
      <c r="AE781" s="1"/>
      <c r="AF781" s="1"/>
      <c r="AG781" s="1"/>
      <c r="AH781" s="2"/>
      <c r="AI781" s="2"/>
      <c r="AJ781" s="2"/>
      <c r="AK781" s="2"/>
      <c r="AL781" s="2"/>
      <c r="AM781" s="1"/>
      <c r="AN781" s="2"/>
      <c r="AP781" s="2"/>
      <c r="AQ781" s="1"/>
      <c r="AR781" s="2"/>
      <c r="AU781" s="1"/>
      <c r="AW781" s="1"/>
      <c r="AY781" s="2"/>
    </row>
    <row r="782">
      <c r="A782" s="1"/>
      <c r="C782" s="1"/>
      <c r="E782" s="1"/>
      <c r="F782" s="1"/>
      <c r="G782" s="2"/>
      <c r="H782" s="1"/>
      <c r="I782" s="1"/>
      <c r="J782" s="1"/>
      <c r="K782" s="1"/>
      <c r="M782" s="1"/>
      <c r="N782" s="1"/>
      <c r="O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2"/>
      <c r="AB782" s="1"/>
      <c r="AC782" s="1"/>
      <c r="AD782" s="1"/>
      <c r="AE782" s="1"/>
      <c r="AF782" s="1"/>
      <c r="AG782" s="1"/>
      <c r="AH782" s="2"/>
      <c r="AI782" s="2"/>
      <c r="AJ782" s="2"/>
      <c r="AK782" s="2"/>
      <c r="AL782" s="2"/>
      <c r="AM782" s="1"/>
      <c r="AN782" s="2"/>
      <c r="AP782" s="2"/>
      <c r="AQ782" s="1"/>
      <c r="AR782" s="2"/>
      <c r="AU782" s="1"/>
      <c r="AW782" s="1"/>
      <c r="AY782" s="2"/>
    </row>
    <row r="783">
      <c r="A783" s="1"/>
      <c r="C783" s="1"/>
      <c r="E783" s="1"/>
      <c r="F783" s="1"/>
      <c r="G783" s="2"/>
      <c r="H783" s="1"/>
      <c r="I783" s="1"/>
      <c r="J783" s="1"/>
      <c r="K783" s="1"/>
      <c r="M783" s="1"/>
      <c r="N783" s="1"/>
      <c r="O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2"/>
      <c r="AB783" s="1"/>
      <c r="AC783" s="1"/>
      <c r="AD783" s="1"/>
      <c r="AE783" s="1"/>
      <c r="AF783" s="1"/>
      <c r="AG783" s="1"/>
      <c r="AH783" s="2"/>
      <c r="AI783" s="2"/>
      <c r="AJ783" s="2"/>
      <c r="AK783" s="2"/>
      <c r="AL783" s="2"/>
      <c r="AM783" s="1"/>
      <c r="AN783" s="2"/>
      <c r="AP783" s="2"/>
      <c r="AQ783" s="1"/>
      <c r="AR783" s="2"/>
      <c r="AU783" s="1"/>
      <c r="AW783" s="1"/>
      <c r="AY783" s="2"/>
    </row>
    <row r="784">
      <c r="A784" s="1"/>
      <c r="C784" s="1"/>
      <c r="E784" s="1"/>
      <c r="F784" s="1"/>
      <c r="G784" s="2"/>
      <c r="H784" s="1"/>
      <c r="I784" s="1"/>
      <c r="J784" s="1"/>
      <c r="K784" s="1"/>
      <c r="M784" s="1"/>
      <c r="N784" s="1"/>
      <c r="O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2"/>
      <c r="AI784" s="2"/>
      <c r="AJ784" s="2"/>
      <c r="AK784" s="2"/>
      <c r="AL784" s="2"/>
      <c r="AM784" s="1"/>
      <c r="AN784" s="2"/>
      <c r="AP784" s="2"/>
      <c r="AQ784" s="1"/>
      <c r="AR784" s="2"/>
      <c r="AU784" s="1"/>
      <c r="AW784" s="1"/>
      <c r="AY784" s="2"/>
    </row>
    <row r="785">
      <c r="A785" s="1"/>
      <c r="C785" s="1"/>
      <c r="E785" s="1"/>
      <c r="F785" s="1"/>
      <c r="G785" s="2"/>
      <c r="H785" s="1"/>
      <c r="I785" s="1"/>
      <c r="J785" s="1"/>
      <c r="K785" s="1"/>
      <c r="M785" s="1"/>
      <c r="N785" s="1"/>
      <c r="O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2"/>
      <c r="AB785" s="1"/>
      <c r="AC785" s="1"/>
      <c r="AD785" s="1"/>
      <c r="AE785" s="1"/>
      <c r="AF785" s="1"/>
      <c r="AG785" s="1"/>
      <c r="AH785" s="2"/>
      <c r="AI785" s="2"/>
      <c r="AJ785" s="2"/>
      <c r="AK785" s="2"/>
      <c r="AL785" s="2"/>
      <c r="AM785" s="1"/>
      <c r="AN785" s="2"/>
      <c r="AP785" s="2"/>
      <c r="AQ785" s="1"/>
      <c r="AR785" s="2"/>
      <c r="AU785" s="1"/>
      <c r="AW785" s="1"/>
      <c r="AY785" s="2"/>
    </row>
    <row r="786">
      <c r="A786" s="1"/>
      <c r="C786" s="1"/>
      <c r="E786" s="1"/>
      <c r="F786" s="1"/>
      <c r="G786" s="2"/>
      <c r="H786" s="1"/>
      <c r="I786" s="1"/>
      <c r="J786" s="1"/>
      <c r="K786" s="1"/>
      <c r="M786" s="1"/>
      <c r="N786" s="1"/>
      <c r="O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2"/>
      <c r="AB786" s="1"/>
      <c r="AC786" s="1"/>
      <c r="AD786" s="1"/>
      <c r="AE786" s="1"/>
      <c r="AF786" s="1"/>
      <c r="AG786" s="1"/>
      <c r="AH786" s="2"/>
      <c r="AI786" s="2"/>
      <c r="AJ786" s="2"/>
      <c r="AK786" s="2"/>
      <c r="AL786" s="2"/>
      <c r="AM786" s="1"/>
      <c r="AN786" s="2"/>
      <c r="AP786" s="2"/>
      <c r="AQ786" s="1"/>
      <c r="AR786" s="2"/>
      <c r="AU786" s="1"/>
      <c r="AW786" s="1"/>
      <c r="AY786" s="2"/>
    </row>
    <row r="787">
      <c r="A787" s="1"/>
      <c r="C787" s="1"/>
      <c r="E787" s="1"/>
      <c r="F787" s="1"/>
      <c r="G787" s="2"/>
      <c r="H787" s="1"/>
      <c r="I787" s="1"/>
      <c r="J787" s="1"/>
      <c r="K787" s="1"/>
      <c r="M787" s="1"/>
      <c r="N787" s="1"/>
      <c r="O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2"/>
      <c r="AB787" s="1"/>
      <c r="AC787" s="1"/>
      <c r="AD787" s="1"/>
      <c r="AE787" s="1"/>
      <c r="AF787" s="1"/>
      <c r="AG787" s="1"/>
      <c r="AH787" s="2"/>
      <c r="AI787" s="2"/>
      <c r="AJ787" s="2"/>
      <c r="AK787" s="2"/>
      <c r="AL787" s="2"/>
      <c r="AM787" s="1"/>
      <c r="AN787" s="2"/>
      <c r="AP787" s="2"/>
      <c r="AQ787" s="1"/>
      <c r="AR787" s="2"/>
      <c r="AU787" s="1"/>
      <c r="AW787" s="1"/>
      <c r="AY787" s="2"/>
    </row>
    <row r="788">
      <c r="A788" s="1"/>
      <c r="C788" s="1"/>
      <c r="E788" s="1"/>
      <c r="F788" s="1"/>
      <c r="G788" s="2"/>
      <c r="H788" s="1"/>
      <c r="I788" s="1"/>
      <c r="J788" s="1"/>
      <c r="K788" s="1"/>
      <c r="M788" s="1"/>
      <c r="N788" s="1"/>
      <c r="O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2"/>
      <c r="AB788" s="1"/>
      <c r="AC788" s="1"/>
      <c r="AD788" s="1"/>
      <c r="AE788" s="1"/>
      <c r="AF788" s="1"/>
      <c r="AG788" s="1"/>
      <c r="AH788" s="2"/>
      <c r="AI788" s="2"/>
      <c r="AJ788" s="2"/>
      <c r="AK788" s="2"/>
      <c r="AL788" s="2"/>
      <c r="AM788" s="1"/>
      <c r="AN788" s="2"/>
      <c r="AP788" s="2"/>
      <c r="AQ788" s="1"/>
      <c r="AR788" s="2"/>
      <c r="AU788" s="1"/>
      <c r="AW788" s="1"/>
      <c r="AY788" s="2"/>
    </row>
    <row r="789">
      <c r="A789" s="1"/>
      <c r="C789" s="1"/>
      <c r="E789" s="1"/>
      <c r="F789" s="1"/>
      <c r="G789" s="2"/>
      <c r="H789" s="1"/>
      <c r="I789" s="1"/>
      <c r="J789" s="1"/>
      <c r="K789" s="1"/>
      <c r="M789" s="1"/>
      <c r="N789" s="1"/>
      <c r="O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2"/>
      <c r="AB789" s="1"/>
      <c r="AC789" s="1"/>
      <c r="AD789" s="1"/>
      <c r="AE789" s="1"/>
      <c r="AF789" s="1"/>
      <c r="AG789" s="1"/>
      <c r="AH789" s="2"/>
      <c r="AI789" s="2"/>
      <c r="AJ789" s="2"/>
      <c r="AK789" s="2"/>
      <c r="AL789" s="2"/>
      <c r="AM789" s="1"/>
      <c r="AN789" s="2"/>
      <c r="AP789" s="2"/>
      <c r="AQ789" s="1"/>
      <c r="AR789" s="2"/>
      <c r="AU789" s="1"/>
      <c r="AW789" s="1"/>
      <c r="AY789" s="2"/>
    </row>
    <row r="790">
      <c r="A790" s="1"/>
      <c r="C790" s="1"/>
      <c r="E790" s="1"/>
      <c r="F790" s="1"/>
      <c r="G790" s="2"/>
      <c r="H790" s="1"/>
      <c r="I790" s="1"/>
      <c r="J790" s="1"/>
      <c r="K790" s="1"/>
      <c r="M790" s="1"/>
      <c r="N790" s="1"/>
      <c r="O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2"/>
      <c r="AB790" s="1"/>
      <c r="AC790" s="1"/>
      <c r="AD790" s="1"/>
      <c r="AE790" s="1"/>
      <c r="AF790" s="1"/>
      <c r="AG790" s="1"/>
      <c r="AH790" s="2"/>
      <c r="AI790" s="2"/>
      <c r="AJ790" s="2"/>
      <c r="AK790" s="2"/>
      <c r="AL790" s="2"/>
      <c r="AM790" s="1"/>
      <c r="AN790" s="2"/>
      <c r="AP790" s="2"/>
      <c r="AQ790" s="1"/>
      <c r="AR790" s="2"/>
      <c r="AU790" s="1"/>
      <c r="AW790" s="1"/>
      <c r="AY790" s="2"/>
    </row>
    <row r="791">
      <c r="A791" s="1"/>
      <c r="C791" s="1"/>
      <c r="E791" s="1"/>
      <c r="F791" s="1"/>
      <c r="G791" s="2"/>
      <c r="H791" s="1"/>
      <c r="I791" s="1"/>
      <c r="J791" s="1"/>
      <c r="K791" s="1"/>
      <c r="M791" s="1"/>
      <c r="N791" s="1"/>
      <c r="O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2"/>
      <c r="AB791" s="1"/>
      <c r="AC791" s="1"/>
      <c r="AD791" s="1"/>
      <c r="AE791" s="1"/>
      <c r="AF791" s="1"/>
      <c r="AG791" s="1"/>
      <c r="AH791" s="2"/>
      <c r="AI791" s="2"/>
      <c r="AJ791" s="2"/>
      <c r="AK791" s="2"/>
      <c r="AL791" s="2"/>
      <c r="AM791" s="1"/>
      <c r="AN791" s="2"/>
      <c r="AP791" s="2"/>
      <c r="AQ791" s="1"/>
      <c r="AR791" s="2"/>
      <c r="AU791" s="1"/>
      <c r="AW791" s="1"/>
      <c r="AY791" s="2"/>
    </row>
    <row r="792">
      <c r="A792" s="1"/>
      <c r="C792" s="1"/>
      <c r="E792" s="1"/>
      <c r="F792" s="1"/>
      <c r="G792" s="2"/>
      <c r="H792" s="1"/>
      <c r="I792" s="1"/>
      <c r="J792" s="1"/>
      <c r="K792" s="1"/>
      <c r="M792" s="1"/>
      <c r="N792" s="1"/>
      <c r="O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2"/>
      <c r="AB792" s="1"/>
      <c r="AC792" s="1"/>
      <c r="AD792" s="1"/>
      <c r="AE792" s="1"/>
      <c r="AF792" s="1"/>
      <c r="AG792" s="1"/>
      <c r="AH792" s="2"/>
      <c r="AI792" s="2"/>
      <c r="AJ792" s="2"/>
      <c r="AK792" s="2"/>
      <c r="AL792" s="2"/>
      <c r="AM792" s="1"/>
      <c r="AN792" s="2"/>
      <c r="AP792" s="2"/>
      <c r="AQ792" s="1"/>
      <c r="AR792" s="2"/>
      <c r="AU792" s="1"/>
      <c r="AW792" s="1"/>
      <c r="AY792" s="2"/>
    </row>
    <row r="793">
      <c r="A793" s="1"/>
      <c r="C793" s="1"/>
      <c r="E793" s="1"/>
      <c r="F793" s="1"/>
      <c r="G793" s="2"/>
      <c r="H793" s="1"/>
      <c r="I793" s="1"/>
      <c r="J793" s="1"/>
      <c r="K793" s="1"/>
      <c r="M793" s="1"/>
      <c r="N793" s="1"/>
      <c r="O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2"/>
      <c r="AB793" s="1"/>
      <c r="AC793" s="1"/>
      <c r="AD793" s="1"/>
      <c r="AE793" s="1"/>
      <c r="AF793" s="1"/>
      <c r="AG793" s="1"/>
      <c r="AH793" s="2"/>
      <c r="AI793" s="2"/>
      <c r="AJ793" s="2"/>
      <c r="AK793" s="2"/>
      <c r="AL793" s="2"/>
      <c r="AM793" s="1"/>
      <c r="AN793" s="2"/>
      <c r="AP793" s="2"/>
      <c r="AQ793" s="1"/>
      <c r="AR793" s="2"/>
      <c r="AU793" s="1"/>
      <c r="AW793" s="1"/>
      <c r="AY793" s="2"/>
    </row>
    <row r="794">
      <c r="A794" s="1"/>
      <c r="C794" s="1"/>
      <c r="E794" s="1"/>
      <c r="F794" s="1"/>
      <c r="G794" s="2"/>
      <c r="H794" s="1"/>
      <c r="I794" s="1"/>
      <c r="J794" s="1"/>
      <c r="K794" s="1"/>
      <c r="M794" s="1"/>
      <c r="N794" s="1"/>
      <c r="O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2"/>
      <c r="AB794" s="1"/>
      <c r="AC794" s="1"/>
      <c r="AD794" s="1"/>
      <c r="AE794" s="1"/>
      <c r="AF794" s="1"/>
      <c r="AG794" s="1"/>
      <c r="AH794" s="2"/>
      <c r="AI794" s="2"/>
      <c r="AJ794" s="2"/>
      <c r="AK794" s="2"/>
      <c r="AL794" s="2"/>
      <c r="AM794" s="1"/>
      <c r="AN794" s="2"/>
      <c r="AP794" s="2"/>
      <c r="AQ794" s="1"/>
      <c r="AR794" s="2"/>
      <c r="AU794" s="1"/>
      <c r="AW794" s="1"/>
      <c r="AY794" s="2"/>
    </row>
    <row r="795">
      <c r="A795" s="1"/>
      <c r="C795" s="1"/>
      <c r="E795" s="1"/>
      <c r="F795" s="1"/>
      <c r="G795" s="2"/>
      <c r="H795" s="1"/>
      <c r="I795" s="1"/>
      <c r="J795" s="1"/>
      <c r="K795" s="1"/>
      <c r="M795" s="1"/>
      <c r="N795" s="1"/>
      <c r="O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2"/>
      <c r="AB795" s="1"/>
      <c r="AC795" s="1"/>
      <c r="AD795" s="1"/>
      <c r="AE795" s="1"/>
      <c r="AF795" s="1"/>
      <c r="AG795" s="1"/>
      <c r="AH795" s="2"/>
      <c r="AI795" s="2"/>
      <c r="AJ795" s="2"/>
      <c r="AK795" s="2"/>
      <c r="AL795" s="2"/>
      <c r="AM795" s="1"/>
      <c r="AN795" s="2"/>
      <c r="AP795" s="2"/>
      <c r="AQ795" s="1"/>
      <c r="AR795" s="2"/>
      <c r="AU795" s="1"/>
      <c r="AW795" s="1"/>
      <c r="AY795" s="2"/>
    </row>
    <row r="796">
      <c r="A796" s="1"/>
      <c r="C796" s="1"/>
      <c r="E796" s="1"/>
      <c r="F796" s="1"/>
      <c r="G796" s="2"/>
      <c r="H796" s="1"/>
      <c r="I796" s="1"/>
      <c r="J796" s="1"/>
      <c r="K796" s="1"/>
      <c r="M796" s="1"/>
      <c r="N796" s="1"/>
      <c r="O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2"/>
      <c r="AB796" s="1"/>
      <c r="AC796" s="1"/>
      <c r="AD796" s="1"/>
      <c r="AE796" s="1"/>
      <c r="AF796" s="1"/>
      <c r="AG796" s="1"/>
      <c r="AH796" s="2"/>
      <c r="AI796" s="2"/>
      <c r="AJ796" s="2"/>
      <c r="AK796" s="2"/>
      <c r="AL796" s="2"/>
      <c r="AM796" s="1"/>
      <c r="AN796" s="2"/>
      <c r="AP796" s="2"/>
      <c r="AQ796" s="1"/>
      <c r="AR796" s="2"/>
      <c r="AU796" s="1"/>
      <c r="AW796" s="1"/>
      <c r="AY796" s="2"/>
    </row>
    <row r="797">
      <c r="A797" s="1"/>
      <c r="C797" s="1"/>
      <c r="E797" s="1"/>
      <c r="F797" s="1"/>
      <c r="G797" s="2"/>
      <c r="H797" s="1"/>
      <c r="I797" s="1"/>
      <c r="J797" s="1"/>
      <c r="K797" s="1"/>
      <c r="M797" s="1"/>
      <c r="N797" s="1"/>
      <c r="O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2"/>
      <c r="AI797" s="2"/>
      <c r="AJ797" s="2"/>
      <c r="AK797" s="2"/>
      <c r="AL797" s="2"/>
      <c r="AM797" s="1"/>
      <c r="AN797" s="2"/>
      <c r="AP797" s="2"/>
      <c r="AQ797" s="1"/>
      <c r="AR797" s="2"/>
      <c r="AU797" s="1"/>
      <c r="AW797" s="1"/>
      <c r="AY797" s="2"/>
    </row>
    <row r="798">
      <c r="A798" s="1"/>
      <c r="C798" s="1"/>
      <c r="E798" s="1"/>
      <c r="F798" s="1"/>
      <c r="G798" s="2"/>
      <c r="H798" s="1"/>
      <c r="I798" s="1"/>
      <c r="J798" s="1"/>
      <c r="K798" s="1"/>
      <c r="M798" s="1"/>
      <c r="N798" s="1"/>
      <c r="O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2"/>
      <c r="AB798" s="1"/>
      <c r="AC798" s="1"/>
      <c r="AD798" s="1"/>
      <c r="AE798" s="1"/>
      <c r="AF798" s="1"/>
      <c r="AG798" s="1"/>
      <c r="AH798" s="2"/>
      <c r="AI798" s="2"/>
      <c r="AJ798" s="2"/>
      <c r="AK798" s="2"/>
      <c r="AL798" s="2"/>
      <c r="AM798" s="1"/>
      <c r="AN798" s="2"/>
      <c r="AP798" s="2"/>
      <c r="AQ798" s="1"/>
      <c r="AR798" s="2"/>
      <c r="AU798" s="1"/>
      <c r="AW798" s="1"/>
      <c r="AY798" s="2"/>
    </row>
    <row r="799">
      <c r="A799" s="1"/>
      <c r="C799" s="1"/>
      <c r="E799" s="1"/>
      <c r="F799" s="1"/>
      <c r="G799" s="2"/>
      <c r="H799" s="1"/>
      <c r="I799" s="1"/>
      <c r="J799" s="1"/>
      <c r="K799" s="1"/>
      <c r="M799" s="1"/>
      <c r="N799" s="1"/>
      <c r="O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2"/>
      <c r="AB799" s="1"/>
      <c r="AC799" s="1"/>
      <c r="AD799" s="1"/>
      <c r="AE799" s="1"/>
      <c r="AF799" s="1"/>
      <c r="AG799" s="1"/>
      <c r="AH799" s="2"/>
      <c r="AI799" s="2"/>
      <c r="AJ799" s="2"/>
      <c r="AK799" s="2"/>
      <c r="AL799" s="2"/>
      <c r="AM799" s="1"/>
      <c r="AN799" s="2"/>
      <c r="AP799" s="2"/>
      <c r="AQ799" s="1"/>
      <c r="AR799" s="2"/>
      <c r="AU799" s="1"/>
      <c r="AW799" s="1"/>
      <c r="AY799" s="2"/>
    </row>
    <row r="800">
      <c r="A800" s="1"/>
      <c r="C800" s="1"/>
      <c r="E800" s="1"/>
      <c r="F800" s="1"/>
      <c r="G800" s="2"/>
      <c r="H800" s="1"/>
      <c r="I800" s="1"/>
      <c r="J800" s="1"/>
      <c r="K800" s="1"/>
      <c r="M800" s="1"/>
      <c r="N800" s="1"/>
      <c r="O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2"/>
      <c r="AB800" s="1"/>
      <c r="AC800" s="1"/>
      <c r="AD800" s="1"/>
      <c r="AE800" s="1"/>
      <c r="AF800" s="1"/>
      <c r="AG800" s="1"/>
      <c r="AH800" s="2"/>
      <c r="AI800" s="2"/>
      <c r="AJ800" s="2"/>
      <c r="AK800" s="2"/>
      <c r="AL800" s="2"/>
      <c r="AM800" s="1"/>
      <c r="AN800" s="2"/>
      <c r="AP800" s="2"/>
      <c r="AQ800" s="1"/>
      <c r="AR800" s="2"/>
      <c r="AU800" s="1"/>
      <c r="AW800" s="1"/>
      <c r="AY800" s="2"/>
    </row>
    <row r="801">
      <c r="A801" s="1"/>
      <c r="C801" s="1"/>
      <c r="E801" s="1"/>
      <c r="F801" s="1"/>
      <c r="G801" s="2"/>
      <c r="H801" s="1"/>
      <c r="I801" s="1"/>
      <c r="J801" s="1"/>
      <c r="K801" s="1"/>
      <c r="M801" s="1"/>
      <c r="N801" s="1"/>
      <c r="O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2"/>
      <c r="AB801" s="1"/>
      <c r="AC801" s="1"/>
      <c r="AD801" s="1"/>
      <c r="AE801" s="1"/>
      <c r="AF801" s="1"/>
      <c r="AG801" s="1"/>
      <c r="AH801" s="2"/>
      <c r="AI801" s="2"/>
      <c r="AJ801" s="2"/>
      <c r="AK801" s="2"/>
      <c r="AL801" s="2"/>
      <c r="AM801" s="1"/>
      <c r="AN801" s="2"/>
      <c r="AP801" s="2"/>
      <c r="AQ801" s="1"/>
      <c r="AR801" s="2"/>
      <c r="AU801" s="1"/>
      <c r="AW801" s="1"/>
      <c r="AY801" s="2"/>
    </row>
    <row r="802">
      <c r="A802" s="1"/>
      <c r="C802" s="1"/>
      <c r="E802" s="1"/>
      <c r="F802" s="1"/>
      <c r="G802" s="2"/>
      <c r="H802" s="1"/>
      <c r="I802" s="1"/>
      <c r="J802" s="1"/>
      <c r="K802" s="1"/>
      <c r="M802" s="1"/>
      <c r="N802" s="1"/>
      <c r="O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2"/>
      <c r="AB802" s="1"/>
      <c r="AC802" s="1"/>
      <c r="AD802" s="1"/>
      <c r="AE802" s="1"/>
      <c r="AF802" s="1"/>
      <c r="AG802" s="1"/>
      <c r="AH802" s="2"/>
      <c r="AI802" s="2"/>
      <c r="AJ802" s="2"/>
      <c r="AK802" s="2"/>
      <c r="AL802" s="2"/>
      <c r="AM802" s="1"/>
      <c r="AN802" s="2"/>
      <c r="AP802" s="2"/>
      <c r="AQ802" s="1"/>
      <c r="AR802" s="2"/>
      <c r="AU802" s="1"/>
      <c r="AW802" s="1"/>
      <c r="AY802" s="2"/>
    </row>
    <row r="803">
      <c r="A803" s="1"/>
      <c r="C803" s="1"/>
      <c r="E803" s="1"/>
      <c r="F803" s="1"/>
      <c r="G803" s="2"/>
      <c r="H803" s="1"/>
      <c r="I803" s="1"/>
      <c r="J803" s="1"/>
      <c r="K803" s="1"/>
      <c r="M803" s="1"/>
      <c r="N803" s="1"/>
      <c r="O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2"/>
      <c r="AB803" s="1"/>
      <c r="AC803" s="1"/>
      <c r="AD803" s="1"/>
      <c r="AE803" s="1"/>
      <c r="AF803" s="1"/>
      <c r="AG803" s="1"/>
      <c r="AH803" s="2"/>
      <c r="AI803" s="2"/>
      <c r="AJ803" s="2"/>
      <c r="AK803" s="2"/>
      <c r="AL803" s="2"/>
      <c r="AM803" s="1"/>
      <c r="AN803" s="2"/>
      <c r="AP803" s="2"/>
      <c r="AQ803" s="1"/>
      <c r="AR803" s="2"/>
      <c r="AU803" s="1"/>
      <c r="AW803" s="1"/>
      <c r="AY803" s="2"/>
    </row>
    <row r="804">
      <c r="A804" s="1"/>
      <c r="C804" s="1"/>
      <c r="E804" s="1"/>
      <c r="F804" s="1"/>
      <c r="G804" s="2"/>
      <c r="H804" s="1"/>
      <c r="I804" s="1"/>
      <c r="J804" s="1"/>
      <c r="K804" s="1"/>
      <c r="M804" s="1"/>
      <c r="N804" s="1"/>
      <c r="O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2"/>
      <c r="AB804" s="1"/>
      <c r="AC804" s="1"/>
      <c r="AD804" s="1"/>
      <c r="AE804" s="1"/>
      <c r="AF804" s="1"/>
      <c r="AG804" s="1"/>
      <c r="AH804" s="2"/>
      <c r="AI804" s="2"/>
      <c r="AJ804" s="2"/>
      <c r="AK804" s="2"/>
      <c r="AL804" s="2"/>
      <c r="AM804" s="1"/>
      <c r="AN804" s="2"/>
      <c r="AP804" s="2"/>
      <c r="AQ804" s="1"/>
      <c r="AR804" s="2"/>
      <c r="AU804" s="1"/>
      <c r="AW804" s="1"/>
      <c r="AY804" s="2"/>
    </row>
    <row r="805">
      <c r="A805" s="1"/>
      <c r="C805" s="1"/>
      <c r="E805" s="1"/>
      <c r="F805" s="1"/>
      <c r="G805" s="2"/>
      <c r="H805" s="1"/>
      <c r="I805" s="1"/>
      <c r="J805" s="1"/>
      <c r="K805" s="1"/>
      <c r="M805" s="1"/>
      <c r="N805" s="1"/>
      <c r="O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2"/>
      <c r="AB805" s="1"/>
      <c r="AC805" s="1"/>
      <c r="AD805" s="1"/>
      <c r="AE805" s="1"/>
      <c r="AF805" s="1"/>
      <c r="AG805" s="1"/>
      <c r="AH805" s="2"/>
      <c r="AI805" s="2"/>
      <c r="AJ805" s="2"/>
      <c r="AK805" s="2"/>
      <c r="AL805" s="2"/>
      <c r="AM805" s="1"/>
      <c r="AN805" s="2"/>
      <c r="AP805" s="2"/>
      <c r="AQ805" s="1"/>
      <c r="AR805" s="2"/>
      <c r="AU805" s="1"/>
      <c r="AW805" s="1"/>
      <c r="AY805" s="2"/>
    </row>
    <row r="806">
      <c r="A806" s="1"/>
      <c r="C806" s="1"/>
      <c r="E806" s="1"/>
      <c r="F806" s="1"/>
      <c r="G806" s="2"/>
      <c r="H806" s="1"/>
      <c r="I806" s="1"/>
      <c r="J806" s="1"/>
      <c r="K806" s="1"/>
      <c r="M806" s="1"/>
      <c r="N806" s="1"/>
      <c r="O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2"/>
      <c r="AB806" s="1"/>
      <c r="AC806" s="1"/>
      <c r="AD806" s="1"/>
      <c r="AE806" s="1"/>
      <c r="AF806" s="1"/>
      <c r="AG806" s="1"/>
      <c r="AH806" s="2"/>
      <c r="AI806" s="2"/>
      <c r="AJ806" s="2"/>
      <c r="AK806" s="2"/>
      <c r="AL806" s="2"/>
      <c r="AM806" s="1"/>
      <c r="AN806" s="2"/>
      <c r="AP806" s="2"/>
      <c r="AQ806" s="1"/>
      <c r="AR806" s="2"/>
      <c r="AU806" s="1"/>
      <c r="AW806" s="1"/>
      <c r="AY806" s="2"/>
    </row>
    <row r="807">
      <c r="A807" s="1"/>
      <c r="C807" s="1"/>
      <c r="E807" s="1"/>
      <c r="F807" s="1"/>
      <c r="G807" s="2"/>
      <c r="H807" s="1"/>
      <c r="I807" s="1"/>
      <c r="J807" s="1"/>
      <c r="K807" s="1"/>
      <c r="M807" s="1"/>
      <c r="N807" s="1"/>
      <c r="O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2"/>
      <c r="AB807" s="1"/>
      <c r="AC807" s="1"/>
      <c r="AD807" s="1"/>
      <c r="AE807" s="1"/>
      <c r="AF807" s="1"/>
      <c r="AG807" s="1"/>
      <c r="AH807" s="2"/>
      <c r="AI807" s="2"/>
      <c r="AJ807" s="2"/>
      <c r="AK807" s="2"/>
      <c r="AL807" s="2"/>
      <c r="AM807" s="1"/>
      <c r="AN807" s="2"/>
      <c r="AP807" s="2"/>
      <c r="AQ807" s="1"/>
      <c r="AR807" s="2"/>
      <c r="AU807" s="1"/>
      <c r="AW807" s="1"/>
      <c r="AY807" s="2"/>
    </row>
    <row r="808">
      <c r="A808" s="1"/>
      <c r="C808" s="1"/>
      <c r="E808" s="1"/>
      <c r="F808" s="1"/>
      <c r="G808" s="2"/>
      <c r="H808" s="1"/>
      <c r="I808" s="1"/>
      <c r="J808" s="1"/>
      <c r="K808" s="1"/>
      <c r="M808" s="1"/>
      <c r="N808" s="1"/>
      <c r="O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2"/>
      <c r="AB808" s="1"/>
      <c r="AC808" s="1"/>
      <c r="AD808" s="1"/>
      <c r="AE808" s="1"/>
      <c r="AF808" s="1"/>
      <c r="AG808" s="1"/>
      <c r="AH808" s="2"/>
      <c r="AI808" s="2"/>
      <c r="AJ808" s="2"/>
      <c r="AK808" s="2"/>
      <c r="AL808" s="2"/>
      <c r="AM808" s="1"/>
      <c r="AN808" s="2"/>
      <c r="AP808" s="2"/>
      <c r="AQ808" s="1"/>
      <c r="AR808" s="2"/>
      <c r="AU808" s="1"/>
      <c r="AW808" s="1"/>
      <c r="AY808" s="2"/>
    </row>
    <row r="809">
      <c r="A809" s="1"/>
      <c r="C809" s="1"/>
      <c r="E809" s="1"/>
      <c r="F809" s="1"/>
      <c r="G809" s="2"/>
      <c r="H809" s="1"/>
      <c r="I809" s="1"/>
      <c r="J809" s="1"/>
      <c r="K809" s="1"/>
      <c r="M809" s="1"/>
      <c r="N809" s="1"/>
      <c r="O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2"/>
      <c r="AB809" s="1"/>
      <c r="AC809" s="1"/>
      <c r="AD809" s="1"/>
      <c r="AE809" s="1"/>
      <c r="AF809" s="1"/>
      <c r="AG809" s="1"/>
      <c r="AH809" s="2"/>
      <c r="AI809" s="2"/>
      <c r="AJ809" s="2"/>
      <c r="AK809" s="2"/>
      <c r="AL809" s="2"/>
      <c r="AM809" s="1"/>
      <c r="AN809" s="2"/>
      <c r="AP809" s="2"/>
      <c r="AQ809" s="1"/>
      <c r="AR809" s="2"/>
      <c r="AU809" s="1"/>
      <c r="AW809" s="1"/>
      <c r="AY809" s="2"/>
    </row>
    <row r="810">
      <c r="A810" s="1"/>
      <c r="C810" s="1"/>
      <c r="E810" s="1"/>
      <c r="F810" s="1"/>
      <c r="G810" s="2"/>
      <c r="H810" s="1"/>
      <c r="I810" s="1"/>
      <c r="J810" s="1"/>
      <c r="K810" s="1"/>
      <c r="M810" s="1"/>
      <c r="N810" s="1"/>
      <c r="O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2"/>
      <c r="AB810" s="1"/>
      <c r="AC810" s="1"/>
      <c r="AD810" s="1"/>
      <c r="AE810" s="1"/>
      <c r="AF810" s="1"/>
      <c r="AG810" s="1"/>
      <c r="AH810" s="2"/>
      <c r="AI810" s="2"/>
      <c r="AJ810" s="2"/>
      <c r="AK810" s="2"/>
      <c r="AL810" s="2"/>
      <c r="AM810" s="1"/>
      <c r="AN810" s="2"/>
      <c r="AP810" s="2"/>
      <c r="AQ810" s="1"/>
      <c r="AR810" s="2"/>
      <c r="AU810" s="1"/>
      <c r="AW810" s="1"/>
      <c r="AY810" s="2"/>
    </row>
    <row r="811">
      <c r="A811" s="1"/>
      <c r="C811" s="1"/>
      <c r="E811" s="1"/>
      <c r="F811" s="1"/>
      <c r="G811" s="2"/>
      <c r="H811" s="1"/>
      <c r="I811" s="1"/>
      <c r="J811" s="1"/>
      <c r="K811" s="1"/>
      <c r="M811" s="1"/>
      <c r="N811" s="1"/>
      <c r="O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2"/>
      <c r="AB811" s="1"/>
      <c r="AC811" s="1"/>
      <c r="AD811" s="1"/>
      <c r="AE811" s="1"/>
      <c r="AF811" s="1"/>
      <c r="AG811" s="1"/>
      <c r="AH811" s="2"/>
      <c r="AI811" s="2"/>
      <c r="AJ811" s="2"/>
      <c r="AK811" s="2"/>
      <c r="AL811" s="2"/>
      <c r="AM811" s="1"/>
      <c r="AN811" s="2"/>
      <c r="AP811" s="2"/>
      <c r="AQ811" s="1"/>
      <c r="AR811" s="2"/>
      <c r="AU811" s="1"/>
      <c r="AW811" s="1"/>
      <c r="AY811" s="2"/>
    </row>
    <row r="812">
      <c r="A812" s="1"/>
      <c r="C812" s="1"/>
      <c r="E812" s="1"/>
      <c r="F812" s="1"/>
      <c r="G812" s="2"/>
      <c r="H812" s="1"/>
      <c r="I812" s="1"/>
      <c r="J812" s="1"/>
      <c r="K812" s="1"/>
      <c r="M812" s="1"/>
      <c r="N812" s="1"/>
      <c r="O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2"/>
      <c r="AB812" s="1"/>
      <c r="AC812" s="1"/>
      <c r="AD812" s="1"/>
      <c r="AE812" s="1"/>
      <c r="AF812" s="1"/>
      <c r="AG812" s="1"/>
      <c r="AH812" s="2"/>
      <c r="AI812" s="2"/>
      <c r="AJ812" s="2"/>
      <c r="AK812" s="2"/>
      <c r="AL812" s="2"/>
      <c r="AM812" s="1"/>
      <c r="AN812" s="2"/>
      <c r="AP812" s="2"/>
      <c r="AQ812" s="1"/>
      <c r="AR812" s="2"/>
      <c r="AU812" s="1"/>
      <c r="AW812" s="1"/>
      <c r="AY812" s="2"/>
    </row>
    <row r="813">
      <c r="A813" s="1"/>
      <c r="C813" s="1"/>
      <c r="E813" s="1"/>
      <c r="F813" s="1"/>
      <c r="G813" s="2"/>
      <c r="H813" s="1"/>
      <c r="I813" s="1"/>
      <c r="J813" s="1"/>
      <c r="K813" s="1"/>
      <c r="M813" s="1"/>
      <c r="N813" s="1"/>
      <c r="O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2"/>
      <c r="AB813" s="1"/>
      <c r="AC813" s="1"/>
      <c r="AD813" s="1"/>
      <c r="AE813" s="1"/>
      <c r="AF813" s="1"/>
      <c r="AG813" s="1"/>
      <c r="AH813" s="2"/>
      <c r="AI813" s="2"/>
      <c r="AJ813" s="2"/>
      <c r="AK813" s="2"/>
      <c r="AL813" s="2"/>
      <c r="AM813" s="1"/>
      <c r="AN813" s="2"/>
      <c r="AP813" s="2"/>
      <c r="AQ813" s="1"/>
      <c r="AR813" s="2"/>
      <c r="AU813" s="1"/>
      <c r="AW813" s="1"/>
      <c r="AY813" s="2"/>
    </row>
    <row r="814">
      <c r="A814" s="1"/>
      <c r="C814" s="1"/>
      <c r="E814" s="1"/>
      <c r="F814" s="1"/>
      <c r="G814" s="2"/>
      <c r="H814" s="1"/>
      <c r="I814" s="1"/>
      <c r="J814" s="1"/>
      <c r="K814" s="1"/>
      <c r="M814" s="1"/>
      <c r="N814" s="1"/>
      <c r="O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2"/>
      <c r="AB814" s="1"/>
      <c r="AC814" s="1"/>
      <c r="AD814" s="1"/>
      <c r="AE814" s="1"/>
      <c r="AF814" s="1"/>
      <c r="AG814" s="1"/>
      <c r="AH814" s="2"/>
      <c r="AI814" s="2"/>
      <c r="AJ814" s="2"/>
      <c r="AK814" s="2"/>
      <c r="AL814" s="2"/>
      <c r="AM814" s="1"/>
      <c r="AN814" s="2"/>
      <c r="AP814" s="2"/>
      <c r="AQ814" s="1"/>
      <c r="AR814" s="2"/>
      <c r="AU814" s="1"/>
      <c r="AW814" s="1"/>
      <c r="AY814" s="2"/>
    </row>
    <row r="815">
      <c r="A815" s="1"/>
      <c r="C815" s="1"/>
      <c r="E815" s="1"/>
      <c r="F815" s="1"/>
      <c r="G815" s="2"/>
      <c r="H815" s="1"/>
      <c r="I815" s="1"/>
      <c r="J815" s="1"/>
      <c r="K815" s="1"/>
      <c r="M815" s="1"/>
      <c r="N815" s="1"/>
      <c r="O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2"/>
      <c r="AB815" s="1"/>
      <c r="AC815" s="1"/>
      <c r="AD815" s="1"/>
      <c r="AE815" s="1"/>
      <c r="AF815" s="1"/>
      <c r="AG815" s="1"/>
      <c r="AH815" s="2"/>
      <c r="AI815" s="2"/>
      <c r="AJ815" s="2"/>
      <c r="AK815" s="2"/>
      <c r="AL815" s="2"/>
      <c r="AM815" s="1"/>
      <c r="AN815" s="2"/>
      <c r="AP815" s="2"/>
      <c r="AQ815" s="1"/>
      <c r="AR815" s="2"/>
      <c r="AU815" s="1"/>
      <c r="AW815" s="1"/>
      <c r="AY815" s="2"/>
    </row>
    <row r="816">
      <c r="A816" s="1"/>
      <c r="C816" s="1"/>
      <c r="E816" s="1"/>
      <c r="F816" s="1"/>
      <c r="G816" s="2"/>
      <c r="H816" s="1"/>
      <c r="I816" s="1"/>
      <c r="J816" s="1"/>
      <c r="K816" s="1"/>
      <c r="M816" s="1"/>
      <c r="N816" s="1"/>
      <c r="O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2"/>
      <c r="AB816" s="1"/>
      <c r="AC816" s="1"/>
      <c r="AD816" s="1"/>
      <c r="AE816" s="1"/>
      <c r="AF816" s="1"/>
      <c r="AG816" s="1"/>
      <c r="AH816" s="2"/>
      <c r="AI816" s="2"/>
      <c r="AJ816" s="2"/>
      <c r="AK816" s="2"/>
      <c r="AL816" s="2"/>
      <c r="AM816" s="1"/>
      <c r="AN816" s="2"/>
      <c r="AP816" s="2"/>
      <c r="AQ816" s="1"/>
      <c r="AR816" s="2"/>
      <c r="AU816" s="1"/>
      <c r="AW816" s="1"/>
      <c r="AY816" s="2"/>
    </row>
    <row r="817">
      <c r="A817" s="1"/>
      <c r="C817" s="1"/>
      <c r="E817" s="1"/>
      <c r="F817" s="1"/>
      <c r="G817" s="2"/>
      <c r="H817" s="1"/>
      <c r="I817" s="1"/>
      <c r="J817" s="1"/>
      <c r="K817" s="1"/>
      <c r="M817" s="1"/>
      <c r="N817" s="1"/>
      <c r="O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2"/>
      <c r="AI817" s="2"/>
      <c r="AJ817" s="2"/>
      <c r="AK817" s="2"/>
      <c r="AL817" s="2"/>
      <c r="AM817" s="1"/>
      <c r="AN817" s="2"/>
      <c r="AP817" s="2"/>
      <c r="AQ817" s="1"/>
      <c r="AR817" s="2"/>
      <c r="AU817" s="1"/>
      <c r="AW817" s="1"/>
      <c r="AY817" s="2"/>
    </row>
    <row r="818">
      <c r="A818" s="1"/>
      <c r="C818" s="1"/>
      <c r="E818" s="1"/>
      <c r="F818" s="1"/>
      <c r="G818" s="2"/>
      <c r="H818" s="1"/>
      <c r="I818" s="1"/>
      <c r="J818" s="1"/>
      <c r="K818" s="1"/>
      <c r="M818" s="1"/>
      <c r="N818" s="1"/>
      <c r="O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2"/>
      <c r="AB818" s="1"/>
      <c r="AC818" s="1"/>
      <c r="AD818" s="1"/>
      <c r="AE818" s="1"/>
      <c r="AF818" s="1"/>
      <c r="AG818" s="1"/>
      <c r="AH818" s="2"/>
      <c r="AI818" s="2"/>
      <c r="AJ818" s="2"/>
      <c r="AK818" s="2"/>
      <c r="AL818" s="2"/>
      <c r="AM818" s="1"/>
      <c r="AN818" s="2"/>
      <c r="AP818" s="2"/>
      <c r="AQ818" s="1"/>
      <c r="AR818" s="2"/>
      <c r="AU818" s="1"/>
      <c r="AW818" s="1"/>
      <c r="AY818" s="2"/>
    </row>
    <row r="819">
      <c r="A819" s="1"/>
      <c r="C819" s="1"/>
      <c r="E819" s="1"/>
      <c r="F819" s="1"/>
      <c r="G819" s="2"/>
      <c r="H819" s="1"/>
      <c r="I819" s="1"/>
      <c r="J819" s="1"/>
      <c r="K819" s="1"/>
      <c r="M819" s="1"/>
      <c r="N819" s="1"/>
      <c r="O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2"/>
      <c r="AB819" s="1"/>
      <c r="AC819" s="1"/>
      <c r="AD819" s="1"/>
      <c r="AE819" s="1"/>
      <c r="AF819" s="1"/>
      <c r="AG819" s="1"/>
      <c r="AH819" s="2"/>
      <c r="AI819" s="2"/>
      <c r="AJ819" s="2"/>
      <c r="AK819" s="2"/>
      <c r="AL819" s="2"/>
      <c r="AM819" s="1"/>
      <c r="AN819" s="2"/>
      <c r="AP819" s="2"/>
      <c r="AQ819" s="1"/>
      <c r="AR819" s="2"/>
      <c r="AU819" s="1"/>
      <c r="AW819" s="1"/>
      <c r="AY819" s="2"/>
    </row>
    <row r="820">
      <c r="A820" s="1"/>
      <c r="C820" s="1"/>
      <c r="E820" s="1"/>
      <c r="F820" s="1"/>
      <c r="G820" s="2"/>
      <c r="H820" s="1"/>
      <c r="I820" s="1"/>
      <c r="J820" s="1"/>
      <c r="K820" s="1"/>
      <c r="M820" s="1"/>
      <c r="N820" s="1"/>
      <c r="O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2"/>
      <c r="AB820" s="1"/>
      <c r="AC820" s="1"/>
      <c r="AD820" s="1"/>
      <c r="AE820" s="1"/>
      <c r="AF820" s="1"/>
      <c r="AG820" s="1"/>
      <c r="AH820" s="2"/>
      <c r="AI820" s="2"/>
      <c r="AJ820" s="2"/>
      <c r="AK820" s="2"/>
      <c r="AL820" s="2"/>
      <c r="AM820" s="1"/>
      <c r="AN820" s="2"/>
      <c r="AP820" s="2"/>
      <c r="AQ820" s="1"/>
      <c r="AR820" s="2"/>
      <c r="AU820" s="1"/>
      <c r="AW820" s="1"/>
      <c r="AY820" s="2"/>
    </row>
    <row r="821">
      <c r="A821" s="1"/>
      <c r="C821" s="1"/>
      <c r="E821" s="1"/>
      <c r="F821" s="1"/>
      <c r="G821" s="2"/>
      <c r="H821" s="1"/>
      <c r="I821" s="1"/>
      <c r="J821" s="1"/>
      <c r="K821" s="1"/>
      <c r="M821" s="1"/>
      <c r="N821" s="1"/>
      <c r="O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2"/>
      <c r="AB821" s="1"/>
      <c r="AC821" s="1"/>
      <c r="AD821" s="1"/>
      <c r="AE821" s="1"/>
      <c r="AF821" s="1"/>
      <c r="AG821" s="1"/>
      <c r="AH821" s="2"/>
      <c r="AI821" s="2"/>
      <c r="AJ821" s="2"/>
      <c r="AK821" s="2"/>
      <c r="AL821" s="2"/>
      <c r="AM821" s="1"/>
      <c r="AN821" s="2"/>
      <c r="AP821" s="2"/>
      <c r="AQ821" s="1"/>
      <c r="AR821" s="2"/>
      <c r="AU821" s="1"/>
      <c r="AW821" s="1"/>
      <c r="AY821" s="2"/>
    </row>
    <row r="822">
      <c r="A822" s="1"/>
      <c r="C822" s="1"/>
      <c r="E822" s="1"/>
      <c r="F822" s="1"/>
      <c r="G822" s="2"/>
      <c r="H822" s="1"/>
      <c r="I822" s="1"/>
      <c r="J822" s="1"/>
      <c r="K822" s="1"/>
      <c r="M822" s="1"/>
      <c r="N822" s="1"/>
      <c r="O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2"/>
      <c r="AB822" s="1"/>
      <c r="AC822" s="1"/>
      <c r="AD822" s="1"/>
      <c r="AE822" s="1"/>
      <c r="AF822" s="1"/>
      <c r="AG822" s="1"/>
      <c r="AH822" s="2"/>
      <c r="AI822" s="2"/>
      <c r="AJ822" s="2"/>
      <c r="AK822" s="2"/>
      <c r="AL822" s="2"/>
      <c r="AM822" s="1"/>
      <c r="AN822" s="2"/>
      <c r="AP822" s="2"/>
      <c r="AQ822" s="1"/>
      <c r="AR822" s="2"/>
      <c r="AU822" s="1"/>
      <c r="AW822" s="1"/>
      <c r="AY822" s="2"/>
    </row>
    <row r="823">
      <c r="A823" s="1"/>
      <c r="C823" s="1"/>
      <c r="E823" s="1"/>
      <c r="F823" s="1"/>
      <c r="G823" s="2"/>
      <c r="H823" s="1"/>
      <c r="I823" s="1"/>
      <c r="J823" s="1"/>
      <c r="K823" s="1"/>
      <c r="M823" s="1"/>
      <c r="N823" s="1"/>
      <c r="O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2"/>
      <c r="AB823" s="1"/>
      <c r="AC823" s="1"/>
      <c r="AD823" s="1"/>
      <c r="AE823" s="1"/>
      <c r="AF823" s="1"/>
      <c r="AG823" s="1"/>
      <c r="AH823" s="2"/>
      <c r="AI823" s="2"/>
      <c r="AJ823" s="2"/>
      <c r="AK823" s="2"/>
      <c r="AL823" s="2"/>
      <c r="AM823" s="1"/>
      <c r="AN823" s="2"/>
      <c r="AP823" s="2"/>
      <c r="AQ823" s="1"/>
      <c r="AR823" s="2"/>
      <c r="AU823" s="1"/>
      <c r="AW823" s="1"/>
      <c r="AY823" s="2"/>
    </row>
    <row r="824">
      <c r="A824" s="1"/>
      <c r="C824" s="1"/>
      <c r="E824" s="1"/>
      <c r="F824" s="1"/>
      <c r="G824" s="2"/>
      <c r="H824" s="1"/>
      <c r="I824" s="1"/>
      <c r="J824" s="1"/>
      <c r="K824" s="1"/>
      <c r="M824" s="1"/>
      <c r="N824" s="1"/>
      <c r="O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2"/>
      <c r="AB824" s="1"/>
      <c r="AC824" s="1"/>
      <c r="AD824" s="1"/>
      <c r="AE824" s="1"/>
      <c r="AF824" s="1"/>
      <c r="AG824" s="1"/>
      <c r="AH824" s="2"/>
      <c r="AI824" s="2"/>
      <c r="AJ824" s="2"/>
      <c r="AK824" s="2"/>
      <c r="AL824" s="2"/>
      <c r="AM824" s="1"/>
      <c r="AN824" s="2"/>
      <c r="AP824" s="2"/>
      <c r="AQ824" s="1"/>
      <c r="AR824" s="2"/>
      <c r="AU824" s="1"/>
      <c r="AW824" s="1"/>
      <c r="AY824" s="2"/>
    </row>
    <row r="825">
      <c r="A825" s="1"/>
      <c r="C825" s="1"/>
      <c r="E825" s="1"/>
      <c r="F825" s="1"/>
      <c r="G825" s="2"/>
      <c r="H825" s="1"/>
      <c r="I825" s="1"/>
      <c r="J825" s="1"/>
      <c r="K825" s="1"/>
      <c r="M825" s="1"/>
      <c r="N825" s="1"/>
      <c r="O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2"/>
      <c r="AB825" s="1"/>
      <c r="AC825" s="1"/>
      <c r="AD825" s="1"/>
      <c r="AE825" s="1"/>
      <c r="AF825" s="1"/>
      <c r="AG825" s="1"/>
      <c r="AH825" s="2"/>
      <c r="AI825" s="2"/>
      <c r="AJ825" s="2"/>
      <c r="AK825" s="2"/>
      <c r="AL825" s="2"/>
      <c r="AM825" s="1"/>
      <c r="AN825" s="2"/>
      <c r="AP825" s="2"/>
      <c r="AQ825" s="1"/>
      <c r="AR825" s="2"/>
      <c r="AU825" s="1"/>
      <c r="AW825" s="1"/>
      <c r="AY825" s="2"/>
    </row>
    <row r="826">
      <c r="A826" s="1"/>
      <c r="C826" s="1"/>
      <c r="E826" s="1"/>
      <c r="F826" s="1"/>
      <c r="G826" s="2"/>
      <c r="H826" s="1"/>
      <c r="I826" s="1"/>
      <c r="J826" s="1"/>
      <c r="K826" s="1"/>
      <c r="M826" s="1"/>
      <c r="N826" s="1"/>
      <c r="O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2"/>
      <c r="AB826" s="1"/>
      <c r="AC826" s="1"/>
      <c r="AD826" s="1"/>
      <c r="AE826" s="1"/>
      <c r="AF826" s="1"/>
      <c r="AG826" s="1"/>
      <c r="AH826" s="2"/>
      <c r="AI826" s="2"/>
      <c r="AJ826" s="2"/>
      <c r="AK826" s="2"/>
      <c r="AL826" s="2"/>
      <c r="AM826" s="1"/>
      <c r="AN826" s="2"/>
      <c r="AP826" s="2"/>
      <c r="AQ826" s="1"/>
      <c r="AR826" s="2"/>
      <c r="AU826" s="1"/>
      <c r="AW826" s="1"/>
      <c r="AY826" s="2"/>
    </row>
    <row r="827">
      <c r="A827" s="1"/>
      <c r="C827" s="1"/>
      <c r="E827" s="1"/>
      <c r="F827" s="1"/>
      <c r="G827" s="2"/>
      <c r="H827" s="1"/>
      <c r="I827" s="1"/>
      <c r="J827" s="1"/>
      <c r="K827" s="1"/>
      <c r="M827" s="1"/>
      <c r="N827" s="1"/>
      <c r="O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2"/>
      <c r="AB827" s="1"/>
      <c r="AC827" s="1"/>
      <c r="AD827" s="1"/>
      <c r="AE827" s="1"/>
      <c r="AF827" s="1"/>
      <c r="AG827" s="1"/>
      <c r="AH827" s="2"/>
      <c r="AI827" s="2"/>
      <c r="AJ827" s="2"/>
      <c r="AK827" s="2"/>
      <c r="AL827" s="2"/>
      <c r="AM827" s="1"/>
      <c r="AN827" s="2"/>
      <c r="AP827" s="2"/>
      <c r="AQ827" s="1"/>
      <c r="AR827" s="2"/>
      <c r="AU827" s="1"/>
      <c r="AW827" s="1"/>
      <c r="AY827" s="2"/>
    </row>
    <row r="828">
      <c r="A828" s="1"/>
      <c r="C828" s="1"/>
      <c r="E828" s="1"/>
      <c r="F828" s="1"/>
      <c r="G828" s="2"/>
      <c r="H828" s="1"/>
      <c r="I828" s="1"/>
      <c r="J828" s="1"/>
      <c r="K828" s="1"/>
      <c r="M828" s="1"/>
      <c r="N828" s="1"/>
      <c r="O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2"/>
      <c r="AB828" s="1"/>
      <c r="AC828" s="1"/>
      <c r="AD828" s="1"/>
      <c r="AE828" s="1"/>
      <c r="AF828" s="1"/>
      <c r="AG828" s="1"/>
      <c r="AH828" s="2"/>
      <c r="AI828" s="2"/>
      <c r="AJ828" s="2"/>
      <c r="AK828" s="2"/>
      <c r="AL828" s="2"/>
      <c r="AM828" s="1"/>
      <c r="AN828" s="2"/>
      <c r="AP828" s="2"/>
      <c r="AQ828" s="1"/>
      <c r="AR828" s="2"/>
      <c r="AU828" s="1"/>
      <c r="AW828" s="1"/>
      <c r="AY828" s="2"/>
    </row>
    <row r="829">
      <c r="A829" s="1"/>
      <c r="C829" s="1"/>
      <c r="E829" s="1"/>
      <c r="F829" s="1"/>
      <c r="G829" s="2"/>
      <c r="H829" s="1"/>
      <c r="I829" s="1"/>
      <c r="J829" s="1"/>
      <c r="K829" s="1"/>
      <c r="M829" s="1"/>
      <c r="N829" s="1"/>
      <c r="O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2"/>
      <c r="AB829" s="1"/>
      <c r="AC829" s="1"/>
      <c r="AD829" s="1"/>
      <c r="AE829" s="1"/>
      <c r="AF829" s="1"/>
      <c r="AG829" s="1"/>
      <c r="AH829" s="2"/>
      <c r="AI829" s="2"/>
      <c r="AJ829" s="2"/>
      <c r="AK829" s="2"/>
      <c r="AL829" s="2"/>
      <c r="AM829" s="1"/>
      <c r="AN829" s="2"/>
      <c r="AP829" s="2"/>
      <c r="AQ829" s="1"/>
      <c r="AR829" s="2"/>
      <c r="AU829" s="1"/>
      <c r="AW829" s="1"/>
      <c r="AY829" s="2"/>
    </row>
    <row r="830">
      <c r="A830" s="1"/>
      <c r="C830" s="1"/>
      <c r="E830" s="1"/>
      <c r="F830" s="1"/>
      <c r="G830" s="2"/>
      <c r="H830" s="1"/>
      <c r="I830" s="1"/>
      <c r="J830" s="1"/>
      <c r="K830" s="1"/>
      <c r="M830" s="1"/>
      <c r="N830" s="1"/>
      <c r="O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2"/>
      <c r="AB830" s="1"/>
      <c r="AC830" s="1"/>
      <c r="AD830" s="1"/>
      <c r="AE830" s="1"/>
      <c r="AF830" s="1"/>
      <c r="AG830" s="1"/>
      <c r="AH830" s="2"/>
      <c r="AI830" s="2"/>
      <c r="AJ830" s="2"/>
      <c r="AK830" s="2"/>
      <c r="AL830" s="2"/>
      <c r="AM830" s="1"/>
      <c r="AN830" s="2"/>
      <c r="AP830" s="2"/>
      <c r="AQ830" s="1"/>
      <c r="AR830" s="2"/>
      <c r="AU830" s="1"/>
      <c r="AW830" s="1"/>
      <c r="AY830" s="2"/>
    </row>
    <row r="831">
      <c r="A831" s="1"/>
      <c r="C831" s="1"/>
      <c r="E831" s="1"/>
      <c r="F831" s="1"/>
      <c r="G831" s="2"/>
      <c r="H831" s="1"/>
      <c r="I831" s="1"/>
      <c r="J831" s="1"/>
      <c r="K831" s="1"/>
      <c r="M831" s="1"/>
      <c r="N831" s="1"/>
      <c r="O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2"/>
      <c r="AB831" s="1"/>
      <c r="AC831" s="1"/>
      <c r="AD831" s="1"/>
      <c r="AE831" s="1"/>
      <c r="AF831" s="1"/>
      <c r="AG831" s="1"/>
      <c r="AH831" s="2"/>
      <c r="AI831" s="2"/>
      <c r="AJ831" s="2"/>
      <c r="AK831" s="2"/>
      <c r="AL831" s="2"/>
      <c r="AM831" s="1"/>
      <c r="AN831" s="2"/>
      <c r="AP831" s="2"/>
      <c r="AQ831" s="1"/>
      <c r="AR831" s="2"/>
      <c r="AU831" s="1"/>
      <c r="AW831" s="1"/>
      <c r="AY831" s="2"/>
    </row>
    <row r="832">
      <c r="A832" s="1"/>
      <c r="C832" s="1"/>
      <c r="E832" s="1"/>
      <c r="F832" s="1"/>
      <c r="G832" s="2"/>
      <c r="H832" s="1"/>
      <c r="I832" s="1"/>
      <c r="J832" s="1"/>
      <c r="K832" s="1"/>
      <c r="M832" s="1"/>
      <c r="N832" s="1"/>
      <c r="O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2"/>
      <c r="AB832" s="1"/>
      <c r="AC832" s="1"/>
      <c r="AD832" s="1"/>
      <c r="AE832" s="1"/>
      <c r="AF832" s="1"/>
      <c r="AG832" s="1"/>
      <c r="AH832" s="2"/>
      <c r="AI832" s="2"/>
      <c r="AJ832" s="2"/>
      <c r="AK832" s="2"/>
      <c r="AL832" s="2"/>
      <c r="AM832" s="1"/>
      <c r="AN832" s="2"/>
      <c r="AP832" s="2"/>
      <c r="AQ832" s="1"/>
      <c r="AR832" s="2"/>
      <c r="AU832" s="1"/>
      <c r="AW832" s="1"/>
      <c r="AY832" s="2"/>
    </row>
    <row r="833">
      <c r="A833" s="1"/>
      <c r="C833" s="1"/>
      <c r="E833" s="1"/>
      <c r="F833" s="1"/>
      <c r="G833" s="2"/>
      <c r="H833" s="1"/>
      <c r="I833" s="1"/>
      <c r="J833" s="1"/>
      <c r="K833" s="1"/>
      <c r="M833" s="1"/>
      <c r="N833" s="1"/>
      <c r="O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2"/>
      <c r="AB833" s="1"/>
      <c r="AC833" s="1"/>
      <c r="AD833" s="1"/>
      <c r="AE833" s="1"/>
      <c r="AF833" s="1"/>
      <c r="AG833" s="1"/>
      <c r="AH833" s="2"/>
      <c r="AI833" s="2"/>
      <c r="AJ833" s="2"/>
      <c r="AK833" s="2"/>
      <c r="AL833" s="2"/>
      <c r="AM833" s="1"/>
      <c r="AN833" s="2"/>
      <c r="AP833" s="2"/>
      <c r="AQ833" s="1"/>
      <c r="AR833" s="2"/>
      <c r="AU833" s="1"/>
      <c r="AW833" s="1"/>
      <c r="AY833" s="2"/>
    </row>
    <row r="834">
      <c r="A834" s="1"/>
      <c r="C834" s="1"/>
      <c r="E834" s="1"/>
      <c r="F834" s="1"/>
      <c r="G834" s="2"/>
      <c r="H834" s="1"/>
      <c r="I834" s="1"/>
      <c r="J834" s="1"/>
      <c r="K834" s="1"/>
      <c r="M834" s="1"/>
      <c r="N834" s="1"/>
      <c r="O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2"/>
      <c r="AB834" s="1"/>
      <c r="AC834" s="1"/>
      <c r="AD834" s="1"/>
      <c r="AE834" s="1"/>
      <c r="AF834" s="1"/>
      <c r="AG834" s="1"/>
      <c r="AH834" s="2"/>
      <c r="AI834" s="2"/>
      <c r="AJ834" s="2"/>
      <c r="AK834" s="2"/>
      <c r="AL834" s="2"/>
      <c r="AM834" s="1"/>
      <c r="AN834" s="2"/>
      <c r="AP834" s="2"/>
      <c r="AQ834" s="1"/>
      <c r="AR834" s="2"/>
      <c r="AU834" s="1"/>
      <c r="AW834" s="1"/>
      <c r="AY834" s="2"/>
    </row>
    <row r="835">
      <c r="A835" s="1"/>
      <c r="C835" s="1"/>
      <c r="E835" s="1"/>
      <c r="F835" s="1"/>
      <c r="G835" s="2"/>
      <c r="H835" s="1"/>
      <c r="I835" s="1"/>
      <c r="J835" s="1"/>
      <c r="K835" s="1"/>
      <c r="M835" s="1"/>
      <c r="N835" s="1"/>
      <c r="O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2"/>
      <c r="AB835" s="1"/>
      <c r="AC835" s="1"/>
      <c r="AD835" s="1"/>
      <c r="AE835" s="1"/>
      <c r="AF835" s="1"/>
      <c r="AG835" s="1"/>
      <c r="AH835" s="2"/>
      <c r="AI835" s="2"/>
      <c r="AJ835" s="2"/>
      <c r="AK835" s="2"/>
      <c r="AL835" s="2"/>
      <c r="AM835" s="1"/>
      <c r="AN835" s="2"/>
      <c r="AP835" s="2"/>
      <c r="AQ835" s="1"/>
      <c r="AR835" s="2"/>
      <c r="AU835" s="1"/>
      <c r="AW835" s="1"/>
      <c r="AY835" s="2"/>
    </row>
    <row r="836">
      <c r="A836" s="1"/>
      <c r="C836" s="1"/>
      <c r="E836" s="1"/>
      <c r="F836" s="1"/>
      <c r="G836" s="2"/>
      <c r="H836" s="1"/>
      <c r="I836" s="1"/>
      <c r="J836" s="1"/>
      <c r="K836" s="1"/>
      <c r="M836" s="1"/>
      <c r="N836" s="1"/>
      <c r="O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2"/>
      <c r="AB836" s="1"/>
      <c r="AC836" s="1"/>
      <c r="AD836" s="1"/>
      <c r="AE836" s="1"/>
      <c r="AF836" s="1"/>
      <c r="AG836" s="1"/>
      <c r="AH836" s="2"/>
      <c r="AI836" s="2"/>
      <c r="AJ836" s="2"/>
      <c r="AK836" s="2"/>
      <c r="AL836" s="2"/>
      <c r="AM836" s="1"/>
      <c r="AN836" s="2"/>
      <c r="AP836" s="2"/>
      <c r="AQ836" s="1"/>
      <c r="AR836" s="2"/>
      <c r="AU836" s="1"/>
      <c r="AW836" s="1"/>
      <c r="AY836" s="2"/>
    </row>
    <row r="837">
      <c r="A837" s="1"/>
      <c r="C837" s="1"/>
      <c r="E837" s="1"/>
      <c r="F837" s="1"/>
      <c r="G837" s="2"/>
      <c r="H837" s="1"/>
      <c r="I837" s="1"/>
      <c r="J837" s="1"/>
      <c r="K837" s="1"/>
      <c r="M837" s="1"/>
      <c r="N837" s="1"/>
      <c r="O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2"/>
      <c r="AB837" s="1"/>
      <c r="AC837" s="1"/>
      <c r="AD837" s="1"/>
      <c r="AE837" s="1"/>
      <c r="AF837" s="1"/>
      <c r="AG837" s="1"/>
      <c r="AH837" s="2"/>
      <c r="AI837" s="2"/>
      <c r="AJ837" s="2"/>
      <c r="AK837" s="2"/>
      <c r="AL837" s="2"/>
      <c r="AM837" s="1"/>
      <c r="AN837" s="2"/>
      <c r="AP837" s="2"/>
      <c r="AQ837" s="1"/>
      <c r="AR837" s="2"/>
      <c r="AU837" s="1"/>
      <c r="AW837" s="1"/>
      <c r="AY837" s="2"/>
    </row>
    <row r="838">
      <c r="A838" s="1"/>
      <c r="C838" s="1"/>
      <c r="E838" s="1"/>
      <c r="F838" s="1"/>
      <c r="G838" s="2"/>
      <c r="H838" s="1"/>
      <c r="I838" s="1"/>
      <c r="J838" s="1"/>
      <c r="K838" s="1"/>
      <c r="M838" s="1"/>
      <c r="N838" s="1"/>
      <c r="O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2"/>
      <c r="AB838" s="1"/>
      <c r="AC838" s="1"/>
      <c r="AD838" s="1"/>
      <c r="AE838" s="1"/>
      <c r="AF838" s="1"/>
      <c r="AG838" s="1"/>
      <c r="AH838" s="2"/>
      <c r="AI838" s="2"/>
      <c r="AJ838" s="2"/>
      <c r="AK838" s="2"/>
      <c r="AL838" s="2"/>
      <c r="AM838" s="1"/>
      <c r="AN838" s="2"/>
      <c r="AP838" s="2"/>
      <c r="AQ838" s="1"/>
      <c r="AR838" s="2"/>
      <c r="AU838" s="1"/>
      <c r="AW838" s="1"/>
      <c r="AY838" s="2"/>
    </row>
    <row r="839">
      <c r="A839" s="1"/>
      <c r="C839" s="1"/>
      <c r="E839" s="1"/>
      <c r="F839" s="1"/>
      <c r="G839" s="2"/>
      <c r="H839" s="1"/>
      <c r="I839" s="1"/>
      <c r="J839" s="1"/>
      <c r="K839" s="1"/>
      <c r="M839" s="1"/>
      <c r="N839" s="1"/>
      <c r="O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2"/>
      <c r="AB839" s="1"/>
      <c r="AC839" s="1"/>
      <c r="AD839" s="1"/>
      <c r="AE839" s="1"/>
      <c r="AF839" s="1"/>
      <c r="AG839" s="1"/>
      <c r="AH839" s="2"/>
      <c r="AI839" s="2"/>
      <c r="AJ839" s="2"/>
      <c r="AK839" s="2"/>
      <c r="AL839" s="2"/>
      <c r="AM839" s="1"/>
      <c r="AN839" s="2"/>
      <c r="AP839" s="2"/>
      <c r="AQ839" s="1"/>
      <c r="AR839" s="2"/>
      <c r="AU839" s="1"/>
      <c r="AW839" s="1"/>
      <c r="AY839" s="2"/>
    </row>
    <row r="840">
      <c r="A840" s="1"/>
      <c r="C840" s="1"/>
      <c r="E840" s="1"/>
      <c r="F840" s="1"/>
      <c r="G840" s="2"/>
      <c r="H840" s="1"/>
      <c r="I840" s="1"/>
      <c r="J840" s="1"/>
      <c r="K840" s="1"/>
      <c r="M840" s="1"/>
      <c r="N840" s="1"/>
      <c r="O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2"/>
      <c r="AB840" s="1"/>
      <c r="AC840" s="1"/>
      <c r="AD840" s="1"/>
      <c r="AE840" s="1"/>
      <c r="AF840" s="1"/>
      <c r="AG840" s="1"/>
      <c r="AH840" s="2"/>
      <c r="AI840" s="2"/>
      <c r="AJ840" s="2"/>
      <c r="AK840" s="2"/>
      <c r="AL840" s="2"/>
      <c r="AM840" s="1"/>
      <c r="AN840" s="2"/>
      <c r="AP840" s="2"/>
      <c r="AQ840" s="1"/>
      <c r="AR840" s="2"/>
      <c r="AU840" s="1"/>
      <c r="AW840" s="1"/>
      <c r="AY840" s="2"/>
    </row>
    <row r="841">
      <c r="A841" s="1"/>
      <c r="C841" s="1"/>
      <c r="E841" s="1"/>
      <c r="F841" s="1"/>
      <c r="G841" s="2"/>
      <c r="H841" s="1"/>
      <c r="I841" s="1"/>
      <c r="J841" s="1"/>
      <c r="K841" s="1"/>
      <c r="M841" s="1"/>
      <c r="N841" s="1"/>
      <c r="O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2"/>
      <c r="AB841" s="1"/>
      <c r="AC841" s="1"/>
      <c r="AD841" s="1"/>
      <c r="AE841" s="1"/>
      <c r="AF841" s="1"/>
      <c r="AG841" s="1"/>
      <c r="AH841" s="2"/>
      <c r="AI841" s="2"/>
      <c r="AJ841" s="2"/>
      <c r="AK841" s="2"/>
      <c r="AL841" s="2"/>
      <c r="AM841" s="1"/>
      <c r="AN841" s="2"/>
      <c r="AP841" s="2"/>
      <c r="AQ841" s="1"/>
      <c r="AR841" s="2"/>
      <c r="AU841" s="1"/>
      <c r="AW841" s="1"/>
      <c r="AY841" s="2"/>
    </row>
    <row r="842">
      <c r="A842" s="1"/>
      <c r="C842" s="1"/>
      <c r="E842" s="1"/>
      <c r="F842" s="1"/>
      <c r="G842" s="2"/>
      <c r="H842" s="1"/>
      <c r="I842" s="1"/>
      <c r="J842" s="1"/>
      <c r="K842" s="1"/>
      <c r="M842" s="1"/>
      <c r="N842" s="1"/>
      <c r="O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2"/>
      <c r="AB842" s="1"/>
      <c r="AC842" s="1"/>
      <c r="AD842" s="1"/>
      <c r="AE842" s="1"/>
      <c r="AF842" s="1"/>
      <c r="AG842" s="1"/>
      <c r="AH842" s="2"/>
      <c r="AI842" s="2"/>
      <c r="AJ842" s="2"/>
      <c r="AK842" s="2"/>
      <c r="AL842" s="2"/>
      <c r="AM842" s="1"/>
      <c r="AN842" s="2"/>
      <c r="AP842" s="2"/>
      <c r="AQ842" s="1"/>
      <c r="AR842" s="2"/>
      <c r="AU842" s="1"/>
      <c r="AW842" s="1"/>
      <c r="AY842" s="2"/>
    </row>
    <row r="843">
      <c r="A843" s="1"/>
      <c r="C843" s="1"/>
      <c r="E843" s="1"/>
      <c r="F843" s="1"/>
      <c r="G843" s="2"/>
      <c r="H843" s="1"/>
      <c r="I843" s="1"/>
      <c r="J843" s="1"/>
      <c r="K843" s="1"/>
      <c r="M843" s="1"/>
      <c r="N843" s="1"/>
      <c r="O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2"/>
      <c r="AB843" s="1"/>
      <c r="AC843" s="1"/>
      <c r="AD843" s="1"/>
      <c r="AE843" s="1"/>
      <c r="AF843" s="1"/>
      <c r="AG843" s="1"/>
      <c r="AH843" s="2"/>
      <c r="AI843" s="2"/>
      <c r="AJ843" s="2"/>
      <c r="AK843" s="2"/>
      <c r="AL843" s="2"/>
      <c r="AM843" s="1"/>
      <c r="AN843" s="2"/>
      <c r="AP843" s="2"/>
      <c r="AQ843" s="1"/>
      <c r="AR843" s="2"/>
      <c r="AU843" s="1"/>
      <c r="AW843" s="1"/>
      <c r="AY843" s="2"/>
    </row>
    <row r="844">
      <c r="A844" s="1"/>
      <c r="C844" s="1"/>
      <c r="E844" s="1"/>
      <c r="F844" s="1"/>
      <c r="G844" s="2"/>
      <c r="H844" s="1"/>
      <c r="I844" s="1"/>
      <c r="J844" s="1"/>
      <c r="K844" s="1"/>
      <c r="M844" s="1"/>
      <c r="N844" s="1"/>
      <c r="O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2"/>
      <c r="AB844" s="1"/>
      <c r="AC844" s="1"/>
      <c r="AD844" s="1"/>
      <c r="AE844" s="1"/>
      <c r="AF844" s="1"/>
      <c r="AG844" s="1"/>
      <c r="AH844" s="2"/>
      <c r="AI844" s="2"/>
      <c r="AJ844" s="2"/>
      <c r="AK844" s="2"/>
      <c r="AL844" s="2"/>
      <c r="AM844" s="1"/>
      <c r="AN844" s="2"/>
      <c r="AP844" s="2"/>
      <c r="AQ844" s="1"/>
      <c r="AR844" s="2"/>
      <c r="AU844" s="1"/>
      <c r="AW844" s="1"/>
      <c r="AY844" s="2"/>
    </row>
    <row r="845">
      <c r="A845" s="1"/>
      <c r="C845" s="1"/>
      <c r="E845" s="1"/>
      <c r="F845" s="1"/>
      <c r="G845" s="2"/>
      <c r="H845" s="1"/>
      <c r="I845" s="1"/>
      <c r="J845" s="1"/>
      <c r="K845" s="1"/>
      <c r="M845" s="1"/>
      <c r="N845" s="1"/>
      <c r="O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2"/>
      <c r="AB845" s="1"/>
      <c r="AC845" s="1"/>
      <c r="AD845" s="1"/>
      <c r="AE845" s="1"/>
      <c r="AF845" s="1"/>
      <c r="AG845" s="1"/>
      <c r="AH845" s="2"/>
      <c r="AI845" s="2"/>
      <c r="AJ845" s="2"/>
      <c r="AK845" s="2"/>
      <c r="AL845" s="2"/>
      <c r="AM845" s="1"/>
      <c r="AN845" s="2"/>
      <c r="AP845" s="2"/>
      <c r="AQ845" s="1"/>
      <c r="AR845" s="2"/>
      <c r="AU845" s="1"/>
      <c r="AW845" s="1"/>
      <c r="AY845" s="2"/>
    </row>
    <row r="846">
      <c r="A846" s="1"/>
      <c r="C846" s="1"/>
      <c r="E846" s="1"/>
      <c r="F846" s="1"/>
      <c r="G846" s="2"/>
      <c r="H846" s="1"/>
      <c r="I846" s="1"/>
      <c r="J846" s="1"/>
      <c r="K846" s="1"/>
      <c r="M846" s="1"/>
      <c r="N846" s="1"/>
      <c r="O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2"/>
      <c r="AB846" s="1"/>
      <c r="AC846" s="1"/>
      <c r="AD846" s="1"/>
      <c r="AE846" s="1"/>
      <c r="AF846" s="1"/>
      <c r="AG846" s="1"/>
      <c r="AH846" s="2"/>
      <c r="AI846" s="2"/>
      <c r="AJ846" s="2"/>
      <c r="AK846" s="2"/>
      <c r="AL846" s="2"/>
      <c r="AM846" s="1"/>
      <c r="AN846" s="2"/>
      <c r="AP846" s="2"/>
      <c r="AQ846" s="1"/>
      <c r="AR846" s="2"/>
      <c r="AU846" s="1"/>
      <c r="AW846" s="1"/>
      <c r="AY846" s="2"/>
    </row>
    <row r="847">
      <c r="A847" s="1"/>
      <c r="C847" s="1"/>
      <c r="E847" s="1"/>
      <c r="F847" s="1"/>
      <c r="G847" s="2"/>
      <c r="H847" s="1"/>
      <c r="I847" s="1"/>
      <c r="J847" s="1"/>
      <c r="K847" s="1"/>
      <c r="M847" s="1"/>
      <c r="N847" s="1"/>
      <c r="O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2"/>
      <c r="AB847" s="1"/>
      <c r="AC847" s="1"/>
      <c r="AD847" s="1"/>
      <c r="AE847" s="1"/>
      <c r="AF847" s="1"/>
      <c r="AG847" s="1"/>
      <c r="AH847" s="2"/>
      <c r="AI847" s="2"/>
      <c r="AJ847" s="2"/>
      <c r="AK847" s="2"/>
      <c r="AL847" s="2"/>
      <c r="AM847" s="1"/>
      <c r="AN847" s="2"/>
      <c r="AP847" s="2"/>
      <c r="AQ847" s="1"/>
      <c r="AR847" s="2"/>
      <c r="AU847" s="1"/>
      <c r="AW847" s="1"/>
      <c r="AY847" s="2"/>
    </row>
    <row r="848">
      <c r="A848" s="1"/>
      <c r="C848" s="1"/>
      <c r="E848" s="1"/>
      <c r="F848" s="1"/>
      <c r="G848" s="2"/>
      <c r="H848" s="1"/>
      <c r="I848" s="1"/>
      <c r="J848" s="1"/>
      <c r="K848" s="1"/>
      <c r="M848" s="1"/>
      <c r="N848" s="1"/>
      <c r="O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2"/>
      <c r="AB848" s="1"/>
      <c r="AC848" s="1"/>
      <c r="AD848" s="1"/>
      <c r="AE848" s="1"/>
      <c r="AF848" s="1"/>
      <c r="AG848" s="1"/>
      <c r="AH848" s="2"/>
      <c r="AI848" s="2"/>
      <c r="AJ848" s="2"/>
      <c r="AK848" s="2"/>
      <c r="AL848" s="2"/>
      <c r="AM848" s="1"/>
      <c r="AN848" s="2"/>
      <c r="AP848" s="2"/>
      <c r="AQ848" s="1"/>
      <c r="AR848" s="2"/>
      <c r="AU848" s="1"/>
      <c r="AW848" s="1"/>
      <c r="AY848" s="2"/>
    </row>
    <row r="849">
      <c r="A849" s="1"/>
      <c r="C849" s="1"/>
      <c r="E849" s="1"/>
      <c r="F849" s="1"/>
      <c r="G849" s="2"/>
      <c r="H849" s="1"/>
      <c r="I849" s="1"/>
      <c r="J849" s="1"/>
      <c r="K849" s="1"/>
      <c r="M849" s="1"/>
      <c r="N849" s="1"/>
      <c r="O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1"/>
      <c r="AE849" s="1"/>
      <c r="AF849" s="1"/>
      <c r="AG849" s="1"/>
      <c r="AH849" s="2"/>
      <c r="AI849" s="2"/>
      <c r="AJ849" s="2"/>
      <c r="AK849" s="2"/>
      <c r="AL849" s="2"/>
      <c r="AM849" s="1"/>
      <c r="AN849" s="2"/>
      <c r="AP849" s="2"/>
      <c r="AQ849" s="1"/>
      <c r="AR849" s="2"/>
      <c r="AU849" s="1"/>
      <c r="AW849" s="1"/>
      <c r="AY849" s="2"/>
    </row>
    <row r="850">
      <c r="A850" s="1"/>
      <c r="C850" s="1"/>
      <c r="E850" s="1"/>
      <c r="F850" s="1"/>
      <c r="G850" s="2"/>
      <c r="H850" s="1"/>
      <c r="I850" s="1"/>
      <c r="J850" s="1"/>
      <c r="K850" s="1"/>
      <c r="M850" s="1"/>
      <c r="N850" s="1"/>
      <c r="O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2"/>
      <c r="AB850" s="1"/>
      <c r="AC850" s="1"/>
      <c r="AD850" s="1"/>
      <c r="AE850" s="1"/>
      <c r="AF850" s="1"/>
      <c r="AG850" s="1"/>
      <c r="AH850" s="2"/>
      <c r="AI850" s="2"/>
      <c r="AJ850" s="2"/>
      <c r="AK850" s="2"/>
      <c r="AL850" s="2"/>
      <c r="AM850" s="1"/>
      <c r="AN850" s="2"/>
      <c r="AP850" s="2"/>
      <c r="AQ850" s="1"/>
      <c r="AR850" s="2"/>
      <c r="AU850" s="1"/>
      <c r="AW850" s="1"/>
      <c r="AY850" s="2"/>
    </row>
    <row r="851">
      <c r="A851" s="1"/>
      <c r="C851" s="1"/>
      <c r="E851" s="1"/>
      <c r="F851" s="1"/>
      <c r="G851" s="2"/>
      <c r="H851" s="1"/>
      <c r="I851" s="1"/>
      <c r="J851" s="1"/>
      <c r="K851" s="1"/>
      <c r="M851" s="1"/>
      <c r="N851" s="1"/>
      <c r="O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2"/>
      <c r="AB851" s="1"/>
      <c r="AC851" s="1"/>
      <c r="AD851" s="1"/>
      <c r="AE851" s="1"/>
      <c r="AF851" s="1"/>
      <c r="AG851" s="1"/>
      <c r="AH851" s="2"/>
      <c r="AI851" s="2"/>
      <c r="AJ851" s="2"/>
      <c r="AK851" s="2"/>
      <c r="AL851" s="2"/>
      <c r="AM851" s="1"/>
      <c r="AN851" s="2"/>
      <c r="AP851" s="2"/>
      <c r="AQ851" s="1"/>
      <c r="AR851" s="2"/>
      <c r="AU851" s="1"/>
      <c r="AW851" s="1"/>
      <c r="AY851" s="2"/>
    </row>
    <row r="852">
      <c r="A852" s="1"/>
      <c r="C852" s="1"/>
      <c r="E852" s="1"/>
      <c r="F852" s="1"/>
      <c r="G852" s="2"/>
      <c r="H852" s="1"/>
      <c r="I852" s="1"/>
      <c r="J852" s="1"/>
      <c r="K852" s="1"/>
      <c r="M852" s="1"/>
      <c r="N852" s="1"/>
      <c r="O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2"/>
      <c r="AB852" s="1"/>
      <c r="AC852" s="1"/>
      <c r="AD852" s="1"/>
      <c r="AE852" s="1"/>
      <c r="AF852" s="1"/>
      <c r="AG852" s="1"/>
      <c r="AH852" s="2"/>
      <c r="AI852" s="2"/>
      <c r="AJ852" s="2"/>
      <c r="AK852" s="2"/>
      <c r="AL852" s="2"/>
      <c r="AM852" s="1"/>
      <c r="AN852" s="2"/>
      <c r="AP852" s="2"/>
      <c r="AQ852" s="1"/>
      <c r="AR852" s="2"/>
      <c r="AU852" s="1"/>
      <c r="AW852" s="1"/>
      <c r="AY852" s="2"/>
    </row>
    <row r="853">
      <c r="A853" s="1"/>
      <c r="C853" s="1"/>
      <c r="E853" s="1"/>
      <c r="F853" s="1"/>
      <c r="G853" s="2"/>
      <c r="H853" s="1"/>
      <c r="I853" s="1"/>
      <c r="J853" s="1"/>
      <c r="K853" s="1"/>
      <c r="M853" s="1"/>
      <c r="N853" s="1"/>
      <c r="O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2"/>
      <c r="AB853" s="1"/>
      <c r="AC853" s="1"/>
      <c r="AD853" s="1"/>
      <c r="AE853" s="1"/>
      <c r="AF853" s="1"/>
      <c r="AG853" s="1"/>
      <c r="AH853" s="2"/>
      <c r="AI853" s="2"/>
      <c r="AJ853" s="2"/>
      <c r="AK853" s="2"/>
      <c r="AL853" s="2"/>
      <c r="AM853" s="1"/>
      <c r="AN853" s="2"/>
      <c r="AP853" s="2"/>
      <c r="AQ853" s="1"/>
      <c r="AR853" s="2"/>
      <c r="AU853" s="1"/>
      <c r="AW853" s="1"/>
      <c r="AY853" s="2"/>
    </row>
    <row r="854">
      <c r="A854" s="1"/>
      <c r="C854" s="1"/>
      <c r="E854" s="1"/>
      <c r="F854" s="1"/>
      <c r="G854" s="2"/>
      <c r="H854" s="1"/>
      <c r="I854" s="1"/>
      <c r="J854" s="1"/>
      <c r="K854" s="1"/>
      <c r="M854" s="1"/>
      <c r="N854" s="1"/>
      <c r="O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2"/>
      <c r="AB854" s="1"/>
      <c r="AC854" s="1"/>
      <c r="AD854" s="1"/>
      <c r="AE854" s="1"/>
      <c r="AF854" s="1"/>
      <c r="AG854" s="1"/>
      <c r="AH854" s="2"/>
      <c r="AI854" s="2"/>
      <c r="AJ854" s="2"/>
      <c r="AK854" s="2"/>
      <c r="AL854" s="2"/>
      <c r="AM854" s="1"/>
      <c r="AN854" s="2"/>
      <c r="AP854" s="2"/>
      <c r="AQ854" s="1"/>
      <c r="AR854" s="2"/>
      <c r="AU854" s="1"/>
      <c r="AW854" s="1"/>
      <c r="AY854" s="2"/>
    </row>
    <row r="855">
      <c r="A855" s="1"/>
      <c r="C855" s="1"/>
      <c r="E855" s="1"/>
      <c r="F855" s="1"/>
      <c r="G855" s="2"/>
      <c r="H855" s="1"/>
      <c r="I855" s="1"/>
      <c r="J855" s="1"/>
      <c r="K855" s="1"/>
      <c r="M855" s="1"/>
      <c r="N855" s="1"/>
      <c r="O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2"/>
      <c r="AB855" s="1"/>
      <c r="AC855" s="1"/>
      <c r="AD855" s="1"/>
      <c r="AE855" s="1"/>
      <c r="AF855" s="1"/>
      <c r="AG855" s="1"/>
      <c r="AH855" s="2"/>
      <c r="AI855" s="2"/>
      <c r="AJ855" s="2"/>
      <c r="AK855" s="2"/>
      <c r="AL855" s="2"/>
      <c r="AM855" s="1"/>
      <c r="AN855" s="2"/>
      <c r="AP855" s="2"/>
      <c r="AQ855" s="1"/>
      <c r="AR855" s="2"/>
      <c r="AU855" s="1"/>
      <c r="AW855" s="1"/>
      <c r="AY855" s="2"/>
    </row>
    <row r="856">
      <c r="A856" s="1"/>
      <c r="C856" s="1"/>
      <c r="E856" s="1"/>
      <c r="F856" s="1"/>
      <c r="G856" s="2"/>
      <c r="H856" s="1"/>
      <c r="I856" s="1"/>
      <c r="J856" s="1"/>
      <c r="K856" s="1"/>
      <c r="M856" s="1"/>
      <c r="N856" s="1"/>
      <c r="O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2"/>
      <c r="AB856" s="1"/>
      <c r="AC856" s="1"/>
      <c r="AD856" s="1"/>
      <c r="AE856" s="1"/>
      <c r="AF856" s="1"/>
      <c r="AG856" s="1"/>
      <c r="AH856" s="2"/>
      <c r="AI856" s="2"/>
      <c r="AJ856" s="2"/>
      <c r="AK856" s="2"/>
      <c r="AL856" s="2"/>
      <c r="AM856" s="1"/>
      <c r="AN856" s="2"/>
      <c r="AP856" s="2"/>
      <c r="AQ856" s="1"/>
      <c r="AR856" s="2"/>
      <c r="AU856" s="1"/>
      <c r="AW856" s="1"/>
      <c r="AY856" s="2"/>
    </row>
    <row r="857">
      <c r="A857" s="1"/>
      <c r="C857" s="1"/>
      <c r="E857" s="1"/>
      <c r="F857" s="1"/>
      <c r="G857" s="2"/>
      <c r="H857" s="1"/>
      <c r="I857" s="1"/>
      <c r="J857" s="1"/>
      <c r="K857" s="1"/>
      <c r="M857" s="1"/>
      <c r="N857" s="1"/>
      <c r="O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2"/>
      <c r="AB857" s="1"/>
      <c r="AC857" s="1"/>
      <c r="AD857" s="1"/>
      <c r="AE857" s="1"/>
      <c r="AF857" s="1"/>
      <c r="AG857" s="1"/>
      <c r="AH857" s="2"/>
      <c r="AI857" s="2"/>
      <c r="AJ857" s="2"/>
      <c r="AK857" s="2"/>
      <c r="AL857" s="2"/>
      <c r="AM857" s="1"/>
      <c r="AN857" s="2"/>
      <c r="AP857" s="2"/>
      <c r="AQ857" s="1"/>
      <c r="AR857" s="2"/>
      <c r="AU857" s="1"/>
      <c r="AW857" s="1"/>
      <c r="AY857" s="2"/>
    </row>
    <row r="858">
      <c r="A858" s="1"/>
      <c r="C858" s="1"/>
      <c r="E858" s="1"/>
      <c r="F858" s="1"/>
      <c r="G858" s="2"/>
      <c r="H858" s="1"/>
      <c r="I858" s="1"/>
      <c r="J858" s="1"/>
      <c r="K858" s="1"/>
      <c r="M858" s="1"/>
      <c r="N858" s="1"/>
      <c r="O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2"/>
      <c r="AB858" s="1"/>
      <c r="AC858" s="1"/>
      <c r="AD858" s="1"/>
      <c r="AE858" s="1"/>
      <c r="AF858" s="1"/>
      <c r="AG858" s="1"/>
      <c r="AH858" s="2"/>
      <c r="AI858" s="2"/>
      <c r="AJ858" s="2"/>
      <c r="AK858" s="2"/>
      <c r="AL858" s="2"/>
      <c r="AM858" s="1"/>
      <c r="AN858" s="2"/>
      <c r="AP858" s="2"/>
      <c r="AQ858" s="1"/>
      <c r="AR858" s="2"/>
      <c r="AU858" s="1"/>
      <c r="AW858" s="1"/>
      <c r="AY858" s="2"/>
    </row>
    <row r="859">
      <c r="A859" s="1"/>
      <c r="C859" s="1"/>
      <c r="E859" s="1"/>
      <c r="F859" s="1"/>
      <c r="G859" s="2"/>
      <c r="H859" s="1"/>
      <c r="I859" s="1"/>
      <c r="J859" s="1"/>
      <c r="K859" s="1"/>
      <c r="M859" s="1"/>
      <c r="N859" s="1"/>
      <c r="O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2"/>
      <c r="AB859" s="1"/>
      <c r="AC859" s="1"/>
      <c r="AD859" s="1"/>
      <c r="AE859" s="1"/>
      <c r="AF859" s="1"/>
      <c r="AG859" s="1"/>
      <c r="AH859" s="2"/>
      <c r="AI859" s="2"/>
      <c r="AJ859" s="2"/>
      <c r="AK859" s="2"/>
      <c r="AL859" s="2"/>
      <c r="AM859" s="1"/>
      <c r="AN859" s="2"/>
      <c r="AP859" s="2"/>
      <c r="AQ859" s="1"/>
      <c r="AR859" s="2"/>
      <c r="AU859" s="1"/>
      <c r="AW859" s="1"/>
      <c r="AY859" s="2"/>
    </row>
    <row r="860">
      <c r="A860" s="1"/>
      <c r="C860" s="1"/>
      <c r="E860" s="1"/>
      <c r="F860" s="1"/>
      <c r="G860" s="2"/>
      <c r="H860" s="1"/>
      <c r="I860" s="1"/>
      <c r="J860" s="1"/>
      <c r="K860" s="1"/>
      <c r="M860" s="1"/>
      <c r="N860" s="1"/>
      <c r="O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2"/>
      <c r="AB860" s="1"/>
      <c r="AC860" s="1"/>
      <c r="AD860" s="1"/>
      <c r="AE860" s="1"/>
      <c r="AF860" s="1"/>
      <c r="AG860" s="1"/>
      <c r="AH860" s="2"/>
      <c r="AI860" s="2"/>
      <c r="AJ860" s="2"/>
      <c r="AK860" s="2"/>
      <c r="AL860" s="2"/>
      <c r="AM860" s="1"/>
      <c r="AN860" s="2"/>
      <c r="AP860" s="2"/>
      <c r="AQ860" s="1"/>
      <c r="AR860" s="2"/>
      <c r="AU860" s="1"/>
      <c r="AW860" s="1"/>
      <c r="AY860" s="2"/>
    </row>
    <row r="861">
      <c r="A861" s="1"/>
      <c r="C861" s="1"/>
      <c r="E861" s="1"/>
      <c r="F861" s="1"/>
      <c r="G861" s="2"/>
      <c r="H861" s="1"/>
      <c r="I861" s="1"/>
      <c r="J861" s="1"/>
      <c r="K861" s="1"/>
      <c r="M861" s="1"/>
      <c r="N861" s="1"/>
      <c r="O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2"/>
      <c r="AB861" s="1"/>
      <c r="AC861" s="1"/>
      <c r="AD861" s="1"/>
      <c r="AE861" s="1"/>
      <c r="AF861" s="1"/>
      <c r="AG861" s="1"/>
      <c r="AH861" s="2"/>
      <c r="AI861" s="2"/>
      <c r="AJ861" s="2"/>
      <c r="AK861" s="2"/>
      <c r="AL861" s="2"/>
      <c r="AM861" s="1"/>
      <c r="AN861" s="2"/>
      <c r="AP861" s="2"/>
      <c r="AQ861" s="1"/>
      <c r="AR861" s="2"/>
      <c r="AU861" s="1"/>
      <c r="AW861" s="1"/>
      <c r="AY861" s="2"/>
    </row>
    <row r="862">
      <c r="A862" s="1"/>
      <c r="C862" s="1"/>
      <c r="E862" s="1"/>
      <c r="F862" s="1"/>
      <c r="G862" s="2"/>
      <c r="H862" s="1"/>
      <c r="I862" s="1"/>
      <c r="J862" s="1"/>
      <c r="K862" s="1"/>
      <c r="M862" s="1"/>
      <c r="N862" s="1"/>
      <c r="O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2"/>
      <c r="AB862" s="1"/>
      <c r="AC862" s="1"/>
      <c r="AD862" s="1"/>
      <c r="AE862" s="1"/>
      <c r="AF862" s="1"/>
      <c r="AG862" s="1"/>
      <c r="AH862" s="2"/>
      <c r="AI862" s="2"/>
      <c r="AJ862" s="2"/>
      <c r="AK862" s="2"/>
      <c r="AL862" s="2"/>
      <c r="AM862" s="1"/>
      <c r="AN862" s="2"/>
      <c r="AP862" s="2"/>
      <c r="AQ862" s="1"/>
      <c r="AR862" s="2"/>
      <c r="AU862" s="1"/>
      <c r="AW862" s="1"/>
      <c r="AY862" s="2"/>
    </row>
    <row r="863">
      <c r="A863" s="1"/>
      <c r="C863" s="1"/>
      <c r="E863" s="1"/>
      <c r="F863" s="1"/>
      <c r="G863" s="2"/>
      <c r="H863" s="1"/>
      <c r="I863" s="1"/>
      <c r="J863" s="1"/>
      <c r="K863" s="1"/>
      <c r="M863" s="1"/>
      <c r="N863" s="1"/>
      <c r="O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2"/>
      <c r="AB863" s="1"/>
      <c r="AC863" s="1"/>
      <c r="AD863" s="1"/>
      <c r="AE863" s="1"/>
      <c r="AF863" s="1"/>
      <c r="AG863" s="1"/>
      <c r="AH863" s="2"/>
      <c r="AI863" s="2"/>
      <c r="AJ863" s="2"/>
      <c r="AK863" s="2"/>
      <c r="AL863" s="2"/>
      <c r="AM863" s="1"/>
      <c r="AN863" s="2"/>
      <c r="AP863" s="2"/>
      <c r="AQ863" s="1"/>
      <c r="AR863" s="2"/>
      <c r="AU863" s="1"/>
      <c r="AW863" s="1"/>
      <c r="AY863" s="2"/>
    </row>
    <row r="864">
      <c r="A864" s="1"/>
      <c r="C864" s="1"/>
      <c r="E864" s="1"/>
      <c r="F864" s="1"/>
      <c r="G864" s="2"/>
      <c r="H864" s="1"/>
      <c r="I864" s="1"/>
      <c r="J864" s="1"/>
      <c r="K864" s="1"/>
      <c r="M864" s="1"/>
      <c r="N864" s="1"/>
      <c r="O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2"/>
      <c r="AB864" s="1"/>
      <c r="AC864" s="1"/>
      <c r="AD864" s="1"/>
      <c r="AE864" s="1"/>
      <c r="AF864" s="1"/>
      <c r="AG864" s="1"/>
      <c r="AH864" s="2"/>
      <c r="AI864" s="2"/>
      <c r="AJ864" s="2"/>
      <c r="AK864" s="2"/>
      <c r="AL864" s="2"/>
      <c r="AM864" s="1"/>
      <c r="AN864" s="2"/>
      <c r="AP864" s="2"/>
      <c r="AQ864" s="1"/>
      <c r="AR864" s="2"/>
      <c r="AU864" s="1"/>
      <c r="AW864" s="1"/>
      <c r="AY864" s="2"/>
    </row>
    <row r="865">
      <c r="A865" s="1"/>
      <c r="C865" s="1"/>
      <c r="E865" s="1"/>
      <c r="F865" s="1"/>
      <c r="G865" s="2"/>
      <c r="H865" s="1"/>
      <c r="I865" s="1"/>
      <c r="J865" s="1"/>
      <c r="K865" s="1"/>
      <c r="M865" s="1"/>
      <c r="N865" s="1"/>
      <c r="O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2"/>
      <c r="AB865" s="1"/>
      <c r="AC865" s="1"/>
      <c r="AD865" s="1"/>
      <c r="AE865" s="1"/>
      <c r="AF865" s="1"/>
      <c r="AG865" s="1"/>
      <c r="AH865" s="2"/>
      <c r="AI865" s="2"/>
      <c r="AJ865" s="2"/>
      <c r="AK865" s="2"/>
      <c r="AL865" s="2"/>
      <c r="AM865" s="1"/>
      <c r="AN865" s="2"/>
      <c r="AP865" s="2"/>
      <c r="AQ865" s="1"/>
      <c r="AR865" s="2"/>
      <c r="AU865" s="1"/>
      <c r="AW865" s="1"/>
      <c r="AY865" s="2"/>
    </row>
    <row r="866">
      <c r="A866" s="1"/>
      <c r="C866" s="1"/>
      <c r="E866" s="1"/>
      <c r="F866" s="1"/>
      <c r="G866" s="2"/>
      <c r="H866" s="1"/>
      <c r="I866" s="1"/>
      <c r="J866" s="1"/>
      <c r="K866" s="1"/>
      <c r="M866" s="1"/>
      <c r="N866" s="1"/>
      <c r="O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2"/>
      <c r="AB866" s="1"/>
      <c r="AC866" s="1"/>
      <c r="AD866" s="1"/>
      <c r="AE866" s="1"/>
      <c r="AF866" s="1"/>
      <c r="AG866" s="1"/>
      <c r="AH866" s="2"/>
      <c r="AI866" s="2"/>
      <c r="AJ866" s="2"/>
      <c r="AK866" s="2"/>
      <c r="AL866" s="2"/>
      <c r="AM866" s="1"/>
      <c r="AN866" s="2"/>
      <c r="AP866" s="2"/>
      <c r="AQ866" s="1"/>
      <c r="AR866" s="2"/>
      <c r="AU866" s="1"/>
      <c r="AW866" s="1"/>
      <c r="AY866" s="2"/>
    </row>
    <row r="867">
      <c r="A867" s="1"/>
      <c r="C867" s="1"/>
      <c r="E867" s="1"/>
      <c r="F867" s="1"/>
      <c r="G867" s="2"/>
      <c r="H867" s="1"/>
      <c r="I867" s="1"/>
      <c r="J867" s="1"/>
      <c r="K867" s="1"/>
      <c r="M867" s="1"/>
      <c r="N867" s="1"/>
      <c r="O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2"/>
      <c r="AB867" s="1"/>
      <c r="AC867" s="1"/>
      <c r="AD867" s="1"/>
      <c r="AE867" s="1"/>
      <c r="AF867" s="1"/>
      <c r="AG867" s="1"/>
      <c r="AH867" s="2"/>
      <c r="AI867" s="2"/>
      <c r="AJ867" s="2"/>
      <c r="AK867" s="2"/>
      <c r="AL867" s="2"/>
      <c r="AM867" s="1"/>
      <c r="AN867" s="2"/>
      <c r="AP867" s="2"/>
      <c r="AQ867" s="1"/>
      <c r="AR867" s="2"/>
      <c r="AU867" s="1"/>
      <c r="AW867" s="1"/>
      <c r="AY867" s="2"/>
    </row>
    <row r="868">
      <c r="A868" s="1"/>
      <c r="C868" s="1"/>
      <c r="E868" s="1"/>
      <c r="F868" s="1"/>
      <c r="G868" s="2"/>
      <c r="H868" s="1"/>
      <c r="I868" s="1"/>
      <c r="J868" s="1"/>
      <c r="K868" s="1"/>
      <c r="M868" s="1"/>
      <c r="N868" s="1"/>
      <c r="O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2"/>
      <c r="AB868" s="1"/>
      <c r="AC868" s="1"/>
      <c r="AD868" s="1"/>
      <c r="AE868" s="1"/>
      <c r="AF868" s="1"/>
      <c r="AG868" s="1"/>
      <c r="AH868" s="2"/>
      <c r="AI868" s="2"/>
      <c r="AJ868" s="2"/>
      <c r="AK868" s="2"/>
      <c r="AL868" s="2"/>
      <c r="AM868" s="1"/>
      <c r="AN868" s="2"/>
      <c r="AP868" s="2"/>
      <c r="AQ868" s="1"/>
      <c r="AR868" s="2"/>
      <c r="AU868" s="1"/>
      <c r="AW868" s="1"/>
      <c r="AY868" s="2"/>
    </row>
    <row r="869">
      <c r="A869" s="1"/>
      <c r="C869" s="1"/>
      <c r="E869" s="1"/>
      <c r="F869" s="1"/>
      <c r="G869" s="2"/>
      <c r="H869" s="1"/>
      <c r="I869" s="1"/>
      <c r="J869" s="1"/>
      <c r="K869" s="1"/>
      <c r="M869" s="1"/>
      <c r="N869" s="1"/>
      <c r="O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2"/>
      <c r="AB869" s="1"/>
      <c r="AC869" s="1"/>
      <c r="AD869" s="1"/>
      <c r="AE869" s="1"/>
      <c r="AF869" s="1"/>
      <c r="AG869" s="1"/>
      <c r="AH869" s="2"/>
      <c r="AI869" s="2"/>
      <c r="AJ869" s="2"/>
      <c r="AK869" s="2"/>
      <c r="AL869" s="2"/>
      <c r="AM869" s="1"/>
      <c r="AN869" s="2"/>
      <c r="AP869" s="2"/>
      <c r="AQ869" s="1"/>
      <c r="AR869" s="2"/>
      <c r="AU869" s="1"/>
      <c r="AW869" s="1"/>
      <c r="AY869" s="2"/>
    </row>
    <row r="870">
      <c r="A870" s="1"/>
      <c r="C870" s="1"/>
      <c r="E870" s="1"/>
      <c r="F870" s="1"/>
      <c r="G870" s="2"/>
      <c r="H870" s="1"/>
      <c r="I870" s="1"/>
      <c r="J870" s="1"/>
      <c r="K870" s="1"/>
      <c r="M870" s="1"/>
      <c r="N870" s="1"/>
      <c r="O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2"/>
      <c r="AB870" s="1"/>
      <c r="AC870" s="1"/>
      <c r="AD870" s="1"/>
      <c r="AE870" s="1"/>
      <c r="AF870" s="1"/>
      <c r="AG870" s="1"/>
      <c r="AH870" s="2"/>
      <c r="AI870" s="2"/>
      <c r="AJ870" s="2"/>
      <c r="AK870" s="2"/>
      <c r="AL870" s="2"/>
      <c r="AM870" s="1"/>
      <c r="AN870" s="2"/>
      <c r="AP870" s="2"/>
      <c r="AQ870" s="1"/>
      <c r="AR870" s="2"/>
      <c r="AU870" s="1"/>
      <c r="AW870" s="1"/>
      <c r="AY870" s="2"/>
    </row>
    <row r="871">
      <c r="A871" s="1"/>
      <c r="C871" s="1"/>
      <c r="E871" s="1"/>
      <c r="F871" s="1"/>
      <c r="G871" s="2"/>
      <c r="H871" s="1"/>
      <c r="I871" s="1"/>
      <c r="J871" s="1"/>
      <c r="K871" s="1"/>
      <c r="M871" s="1"/>
      <c r="N871" s="1"/>
      <c r="O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2"/>
      <c r="AB871" s="1"/>
      <c r="AC871" s="1"/>
      <c r="AD871" s="1"/>
      <c r="AE871" s="1"/>
      <c r="AF871" s="1"/>
      <c r="AG871" s="1"/>
      <c r="AH871" s="2"/>
      <c r="AI871" s="2"/>
      <c r="AJ871" s="2"/>
      <c r="AK871" s="2"/>
      <c r="AL871" s="2"/>
      <c r="AM871" s="1"/>
      <c r="AN871" s="2"/>
      <c r="AP871" s="2"/>
      <c r="AQ871" s="1"/>
      <c r="AR871" s="2"/>
      <c r="AU871" s="1"/>
      <c r="AW871" s="1"/>
      <c r="AY871" s="2"/>
    </row>
    <row r="872">
      <c r="A872" s="1"/>
      <c r="C872" s="1"/>
      <c r="E872" s="1"/>
      <c r="F872" s="1"/>
      <c r="G872" s="2"/>
      <c r="H872" s="1"/>
      <c r="I872" s="1"/>
      <c r="J872" s="1"/>
      <c r="K872" s="1"/>
      <c r="M872" s="1"/>
      <c r="N872" s="1"/>
      <c r="O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2"/>
      <c r="AB872" s="1"/>
      <c r="AC872" s="1"/>
      <c r="AD872" s="1"/>
      <c r="AE872" s="1"/>
      <c r="AF872" s="1"/>
      <c r="AG872" s="1"/>
      <c r="AH872" s="2"/>
      <c r="AI872" s="2"/>
      <c r="AJ872" s="2"/>
      <c r="AK872" s="2"/>
      <c r="AL872" s="2"/>
      <c r="AM872" s="1"/>
      <c r="AN872" s="2"/>
      <c r="AP872" s="2"/>
      <c r="AQ872" s="1"/>
      <c r="AR872" s="2"/>
      <c r="AU872" s="1"/>
      <c r="AW872" s="1"/>
      <c r="AY872" s="2"/>
    </row>
    <row r="873">
      <c r="A873" s="1"/>
      <c r="C873" s="1"/>
      <c r="E873" s="1"/>
      <c r="F873" s="1"/>
      <c r="G873" s="2"/>
      <c r="H873" s="1"/>
      <c r="I873" s="1"/>
      <c r="J873" s="1"/>
      <c r="K873" s="1"/>
      <c r="M873" s="1"/>
      <c r="N873" s="1"/>
      <c r="O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2"/>
      <c r="AB873" s="1"/>
      <c r="AC873" s="1"/>
      <c r="AD873" s="1"/>
      <c r="AE873" s="1"/>
      <c r="AF873" s="1"/>
      <c r="AG873" s="1"/>
      <c r="AH873" s="2"/>
      <c r="AI873" s="2"/>
      <c r="AJ873" s="2"/>
      <c r="AK873" s="2"/>
      <c r="AL873" s="2"/>
      <c r="AM873" s="1"/>
      <c r="AN873" s="2"/>
      <c r="AP873" s="2"/>
      <c r="AQ873" s="1"/>
      <c r="AR873" s="2"/>
      <c r="AU873" s="1"/>
      <c r="AW873" s="1"/>
      <c r="AY873" s="2"/>
    </row>
    <row r="874">
      <c r="A874" s="1"/>
      <c r="C874" s="1"/>
      <c r="E874" s="1"/>
      <c r="F874" s="1"/>
      <c r="G874" s="2"/>
      <c r="H874" s="1"/>
      <c r="I874" s="1"/>
      <c r="J874" s="1"/>
      <c r="K874" s="1"/>
      <c r="M874" s="1"/>
      <c r="N874" s="1"/>
      <c r="O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2"/>
      <c r="AB874" s="1"/>
      <c r="AC874" s="1"/>
      <c r="AD874" s="1"/>
      <c r="AE874" s="1"/>
      <c r="AF874" s="1"/>
      <c r="AG874" s="1"/>
      <c r="AH874" s="2"/>
      <c r="AI874" s="2"/>
      <c r="AJ874" s="2"/>
      <c r="AK874" s="2"/>
      <c r="AL874" s="2"/>
      <c r="AM874" s="1"/>
      <c r="AN874" s="2"/>
      <c r="AP874" s="2"/>
      <c r="AQ874" s="1"/>
      <c r="AR874" s="2"/>
      <c r="AU874" s="1"/>
      <c r="AW874" s="1"/>
      <c r="AY874" s="2"/>
    </row>
    <row r="875">
      <c r="A875" s="1"/>
      <c r="C875" s="1"/>
      <c r="E875" s="1"/>
      <c r="F875" s="1"/>
      <c r="G875" s="2"/>
      <c r="H875" s="1"/>
      <c r="I875" s="1"/>
      <c r="J875" s="1"/>
      <c r="K875" s="1"/>
      <c r="M875" s="1"/>
      <c r="N875" s="1"/>
      <c r="O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2"/>
      <c r="AB875" s="1"/>
      <c r="AC875" s="1"/>
      <c r="AD875" s="1"/>
      <c r="AE875" s="1"/>
      <c r="AF875" s="1"/>
      <c r="AG875" s="1"/>
      <c r="AH875" s="2"/>
      <c r="AI875" s="2"/>
      <c r="AJ875" s="2"/>
      <c r="AK875" s="2"/>
      <c r="AL875" s="2"/>
      <c r="AM875" s="1"/>
      <c r="AN875" s="2"/>
      <c r="AP875" s="2"/>
      <c r="AQ875" s="1"/>
      <c r="AR875" s="2"/>
      <c r="AU875" s="1"/>
      <c r="AW875" s="1"/>
      <c r="AY875" s="2"/>
    </row>
    <row r="876">
      <c r="A876" s="1"/>
      <c r="C876" s="1"/>
      <c r="E876" s="1"/>
      <c r="F876" s="1"/>
      <c r="G876" s="2"/>
      <c r="H876" s="1"/>
      <c r="I876" s="1"/>
      <c r="J876" s="1"/>
      <c r="K876" s="1"/>
      <c r="M876" s="1"/>
      <c r="N876" s="1"/>
      <c r="O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2"/>
      <c r="AB876" s="1"/>
      <c r="AC876" s="1"/>
      <c r="AD876" s="1"/>
      <c r="AE876" s="1"/>
      <c r="AF876" s="1"/>
      <c r="AG876" s="1"/>
      <c r="AH876" s="2"/>
      <c r="AI876" s="2"/>
      <c r="AJ876" s="2"/>
      <c r="AK876" s="2"/>
      <c r="AL876" s="2"/>
      <c r="AM876" s="1"/>
      <c r="AN876" s="2"/>
      <c r="AP876" s="2"/>
      <c r="AQ876" s="1"/>
      <c r="AR876" s="2"/>
      <c r="AU876" s="1"/>
      <c r="AW876" s="1"/>
      <c r="AY876" s="2"/>
    </row>
    <row r="877">
      <c r="A877" s="1"/>
      <c r="C877" s="1"/>
      <c r="E877" s="1"/>
      <c r="F877" s="1"/>
      <c r="G877" s="2"/>
      <c r="H877" s="1"/>
      <c r="I877" s="1"/>
      <c r="J877" s="1"/>
      <c r="K877" s="1"/>
      <c r="M877" s="1"/>
      <c r="N877" s="1"/>
      <c r="O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2"/>
      <c r="AB877" s="1"/>
      <c r="AC877" s="1"/>
      <c r="AD877" s="1"/>
      <c r="AE877" s="1"/>
      <c r="AF877" s="1"/>
      <c r="AG877" s="1"/>
      <c r="AH877" s="2"/>
      <c r="AI877" s="2"/>
      <c r="AJ877" s="2"/>
      <c r="AK877" s="2"/>
      <c r="AL877" s="2"/>
      <c r="AM877" s="1"/>
      <c r="AN877" s="2"/>
      <c r="AP877" s="2"/>
      <c r="AQ877" s="1"/>
      <c r="AR877" s="2"/>
      <c r="AU877" s="1"/>
      <c r="AW877" s="1"/>
      <c r="AY877" s="2"/>
    </row>
    <row r="878">
      <c r="A878" s="1"/>
      <c r="C878" s="1"/>
      <c r="E878" s="1"/>
      <c r="F878" s="1"/>
      <c r="G878" s="2"/>
      <c r="H878" s="1"/>
      <c r="I878" s="1"/>
      <c r="J878" s="1"/>
      <c r="K878" s="1"/>
      <c r="M878" s="1"/>
      <c r="N878" s="1"/>
      <c r="O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2"/>
      <c r="AB878" s="1"/>
      <c r="AC878" s="1"/>
      <c r="AD878" s="1"/>
      <c r="AE878" s="1"/>
      <c r="AF878" s="1"/>
      <c r="AG878" s="1"/>
      <c r="AH878" s="2"/>
      <c r="AI878" s="2"/>
      <c r="AJ878" s="2"/>
      <c r="AK878" s="2"/>
      <c r="AL878" s="2"/>
      <c r="AM878" s="1"/>
      <c r="AN878" s="2"/>
      <c r="AP878" s="2"/>
      <c r="AQ878" s="1"/>
      <c r="AR878" s="2"/>
      <c r="AU878" s="1"/>
      <c r="AW878" s="1"/>
      <c r="AY878" s="2"/>
    </row>
    <row r="879">
      <c r="A879" s="1"/>
      <c r="C879" s="1"/>
      <c r="E879" s="1"/>
      <c r="F879" s="1"/>
      <c r="G879" s="2"/>
      <c r="H879" s="1"/>
      <c r="I879" s="1"/>
      <c r="J879" s="1"/>
      <c r="K879" s="1"/>
      <c r="M879" s="1"/>
      <c r="N879" s="1"/>
      <c r="O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2"/>
      <c r="AB879" s="1"/>
      <c r="AC879" s="1"/>
      <c r="AD879" s="1"/>
      <c r="AE879" s="1"/>
      <c r="AF879" s="1"/>
      <c r="AG879" s="1"/>
      <c r="AH879" s="2"/>
      <c r="AI879" s="2"/>
      <c r="AJ879" s="2"/>
      <c r="AK879" s="2"/>
      <c r="AL879" s="2"/>
      <c r="AM879" s="1"/>
      <c r="AN879" s="2"/>
      <c r="AP879" s="2"/>
      <c r="AQ879" s="1"/>
      <c r="AR879" s="2"/>
      <c r="AU879" s="1"/>
      <c r="AW879" s="1"/>
      <c r="AY879" s="2"/>
    </row>
    <row r="880">
      <c r="A880" s="1"/>
      <c r="C880" s="1"/>
      <c r="E880" s="1"/>
      <c r="F880" s="1"/>
      <c r="G880" s="2"/>
      <c r="H880" s="1"/>
      <c r="I880" s="1"/>
      <c r="J880" s="1"/>
      <c r="K880" s="1"/>
      <c r="M880" s="1"/>
      <c r="N880" s="1"/>
      <c r="O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2"/>
      <c r="AB880" s="1"/>
      <c r="AC880" s="1"/>
      <c r="AD880" s="1"/>
      <c r="AE880" s="1"/>
      <c r="AF880" s="1"/>
      <c r="AG880" s="1"/>
      <c r="AH880" s="2"/>
      <c r="AI880" s="2"/>
      <c r="AJ880" s="2"/>
      <c r="AK880" s="2"/>
      <c r="AL880" s="2"/>
      <c r="AM880" s="1"/>
      <c r="AN880" s="2"/>
      <c r="AP880" s="2"/>
      <c r="AQ880" s="1"/>
      <c r="AR880" s="2"/>
      <c r="AU880" s="1"/>
      <c r="AW880" s="1"/>
      <c r="AY880" s="2"/>
    </row>
    <row r="881">
      <c r="A881" s="1"/>
      <c r="C881" s="1"/>
      <c r="E881" s="1"/>
      <c r="F881" s="1"/>
      <c r="G881" s="2"/>
      <c r="H881" s="1"/>
      <c r="I881" s="1"/>
      <c r="J881" s="1"/>
      <c r="K881" s="1"/>
      <c r="M881" s="1"/>
      <c r="N881" s="1"/>
      <c r="O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2"/>
      <c r="AB881" s="1"/>
      <c r="AC881" s="1"/>
      <c r="AD881" s="1"/>
      <c r="AE881" s="1"/>
      <c r="AF881" s="1"/>
      <c r="AG881" s="1"/>
      <c r="AH881" s="2"/>
      <c r="AI881" s="2"/>
      <c r="AJ881" s="2"/>
      <c r="AK881" s="2"/>
      <c r="AL881" s="2"/>
      <c r="AM881" s="1"/>
      <c r="AN881" s="2"/>
      <c r="AP881" s="2"/>
      <c r="AQ881" s="1"/>
      <c r="AR881" s="2"/>
      <c r="AU881" s="1"/>
      <c r="AW881" s="1"/>
      <c r="AY881" s="2"/>
    </row>
    <row r="882">
      <c r="A882" s="1"/>
      <c r="C882" s="1"/>
      <c r="E882" s="1"/>
      <c r="F882" s="1"/>
      <c r="G882" s="2"/>
      <c r="H882" s="1"/>
      <c r="I882" s="1"/>
      <c r="J882" s="1"/>
      <c r="K882" s="1"/>
      <c r="M882" s="1"/>
      <c r="N882" s="1"/>
      <c r="O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2"/>
      <c r="AB882" s="1"/>
      <c r="AC882" s="1"/>
      <c r="AD882" s="1"/>
      <c r="AE882" s="1"/>
      <c r="AF882" s="1"/>
      <c r="AG882" s="1"/>
      <c r="AH882" s="2"/>
      <c r="AI882" s="2"/>
      <c r="AJ882" s="2"/>
      <c r="AK882" s="2"/>
      <c r="AL882" s="2"/>
      <c r="AM882" s="1"/>
      <c r="AN882" s="2"/>
      <c r="AP882" s="2"/>
      <c r="AQ882" s="1"/>
      <c r="AR882" s="2"/>
      <c r="AU882" s="1"/>
      <c r="AW882" s="1"/>
      <c r="AY882" s="2"/>
    </row>
    <row r="883">
      <c r="A883" s="1"/>
      <c r="C883" s="1"/>
      <c r="E883" s="1"/>
      <c r="F883" s="1"/>
      <c r="G883" s="2"/>
      <c r="H883" s="1"/>
      <c r="I883" s="1"/>
      <c r="J883" s="1"/>
      <c r="K883" s="1"/>
      <c r="M883" s="1"/>
      <c r="N883" s="1"/>
      <c r="O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2"/>
      <c r="AB883" s="1"/>
      <c r="AC883" s="1"/>
      <c r="AD883" s="1"/>
      <c r="AE883" s="1"/>
      <c r="AF883" s="1"/>
      <c r="AG883" s="1"/>
      <c r="AH883" s="2"/>
      <c r="AI883" s="2"/>
      <c r="AJ883" s="2"/>
      <c r="AK883" s="2"/>
      <c r="AL883" s="2"/>
      <c r="AM883" s="1"/>
      <c r="AN883" s="2"/>
      <c r="AP883" s="2"/>
      <c r="AQ883" s="1"/>
      <c r="AR883" s="2"/>
      <c r="AU883" s="1"/>
      <c r="AW883" s="1"/>
      <c r="AY883" s="2"/>
    </row>
    <row r="884">
      <c r="A884" s="1"/>
      <c r="C884" s="1"/>
      <c r="E884" s="1"/>
      <c r="F884" s="1"/>
      <c r="G884" s="2"/>
      <c r="H884" s="1"/>
      <c r="I884" s="1"/>
      <c r="J884" s="1"/>
      <c r="K884" s="1"/>
      <c r="M884" s="1"/>
      <c r="N884" s="1"/>
      <c r="O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2"/>
      <c r="AB884" s="1"/>
      <c r="AC884" s="1"/>
      <c r="AD884" s="1"/>
      <c r="AE884" s="1"/>
      <c r="AF884" s="1"/>
      <c r="AG884" s="1"/>
      <c r="AH884" s="2"/>
      <c r="AI884" s="2"/>
      <c r="AJ884" s="2"/>
      <c r="AK884" s="2"/>
      <c r="AL884" s="2"/>
      <c r="AM884" s="1"/>
      <c r="AN884" s="2"/>
      <c r="AP884" s="2"/>
      <c r="AQ884" s="1"/>
      <c r="AR884" s="2"/>
      <c r="AU884" s="1"/>
      <c r="AW884" s="1"/>
      <c r="AY884" s="2"/>
    </row>
    <row r="885">
      <c r="A885" s="1"/>
      <c r="C885" s="1"/>
      <c r="E885" s="1"/>
      <c r="F885" s="1"/>
      <c r="G885" s="2"/>
      <c r="H885" s="1"/>
      <c r="I885" s="1"/>
      <c r="J885" s="1"/>
      <c r="K885" s="1"/>
      <c r="M885" s="1"/>
      <c r="N885" s="1"/>
      <c r="O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2"/>
      <c r="AB885" s="1"/>
      <c r="AC885" s="1"/>
      <c r="AD885" s="1"/>
      <c r="AE885" s="1"/>
      <c r="AF885" s="1"/>
      <c r="AG885" s="1"/>
      <c r="AH885" s="2"/>
      <c r="AI885" s="2"/>
      <c r="AJ885" s="2"/>
      <c r="AK885" s="2"/>
      <c r="AL885" s="2"/>
      <c r="AM885" s="1"/>
      <c r="AN885" s="2"/>
      <c r="AP885" s="2"/>
      <c r="AQ885" s="1"/>
      <c r="AR885" s="2"/>
      <c r="AU885" s="1"/>
      <c r="AW885" s="1"/>
      <c r="AY885" s="2"/>
    </row>
    <row r="886">
      <c r="A886" s="1"/>
      <c r="C886" s="1"/>
      <c r="E886" s="1"/>
      <c r="F886" s="1"/>
      <c r="G886" s="2"/>
      <c r="H886" s="1"/>
      <c r="I886" s="1"/>
      <c r="J886" s="1"/>
      <c r="K886" s="1"/>
      <c r="M886" s="1"/>
      <c r="N886" s="1"/>
      <c r="O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2"/>
      <c r="AB886" s="1"/>
      <c r="AC886" s="1"/>
      <c r="AD886" s="1"/>
      <c r="AE886" s="1"/>
      <c r="AF886" s="1"/>
      <c r="AG886" s="1"/>
      <c r="AH886" s="2"/>
      <c r="AI886" s="2"/>
      <c r="AJ886" s="2"/>
      <c r="AK886" s="2"/>
      <c r="AL886" s="2"/>
      <c r="AM886" s="1"/>
      <c r="AN886" s="2"/>
      <c r="AP886" s="2"/>
      <c r="AQ886" s="1"/>
      <c r="AR886" s="2"/>
      <c r="AU886" s="1"/>
      <c r="AW886" s="1"/>
      <c r="AY886" s="2"/>
    </row>
    <row r="887">
      <c r="A887" s="1"/>
      <c r="C887" s="1"/>
      <c r="E887" s="1"/>
      <c r="F887" s="1"/>
      <c r="G887" s="2"/>
      <c r="H887" s="1"/>
      <c r="I887" s="1"/>
      <c r="J887" s="1"/>
      <c r="K887" s="1"/>
      <c r="M887" s="1"/>
      <c r="N887" s="1"/>
      <c r="O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2"/>
      <c r="AB887" s="1"/>
      <c r="AC887" s="1"/>
      <c r="AD887" s="1"/>
      <c r="AE887" s="1"/>
      <c r="AF887" s="1"/>
      <c r="AG887" s="1"/>
      <c r="AH887" s="2"/>
      <c r="AI887" s="2"/>
      <c r="AJ887" s="2"/>
      <c r="AK887" s="2"/>
      <c r="AL887" s="2"/>
      <c r="AM887" s="1"/>
      <c r="AN887" s="2"/>
      <c r="AP887" s="2"/>
      <c r="AQ887" s="1"/>
      <c r="AR887" s="2"/>
      <c r="AU887" s="1"/>
      <c r="AW887" s="1"/>
      <c r="AY887" s="2"/>
    </row>
    <row r="888">
      <c r="A888" s="1"/>
      <c r="C888" s="1"/>
      <c r="E888" s="1"/>
      <c r="F888" s="1"/>
      <c r="G888" s="2"/>
      <c r="H888" s="1"/>
      <c r="I888" s="1"/>
      <c r="J888" s="1"/>
      <c r="K888" s="1"/>
      <c r="M888" s="1"/>
      <c r="N888" s="1"/>
      <c r="O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2"/>
      <c r="AI888" s="2"/>
      <c r="AJ888" s="2"/>
      <c r="AK888" s="2"/>
      <c r="AL888" s="2"/>
      <c r="AM888" s="1"/>
      <c r="AN888" s="2"/>
      <c r="AP888" s="2"/>
      <c r="AQ888" s="1"/>
      <c r="AR888" s="2"/>
      <c r="AU888" s="1"/>
      <c r="AW888" s="1"/>
      <c r="AY888" s="2"/>
    </row>
    <row r="889">
      <c r="A889" s="1"/>
      <c r="C889" s="1"/>
      <c r="E889" s="1"/>
      <c r="F889" s="1"/>
      <c r="G889" s="2"/>
      <c r="H889" s="1"/>
      <c r="I889" s="1"/>
      <c r="J889" s="1"/>
      <c r="K889" s="1"/>
      <c r="M889" s="1"/>
      <c r="N889" s="1"/>
      <c r="O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2"/>
      <c r="AB889" s="1"/>
      <c r="AC889" s="1"/>
      <c r="AD889" s="1"/>
      <c r="AE889" s="1"/>
      <c r="AF889" s="1"/>
      <c r="AG889" s="1"/>
      <c r="AH889" s="2"/>
      <c r="AI889" s="2"/>
      <c r="AJ889" s="2"/>
      <c r="AK889" s="2"/>
      <c r="AL889" s="2"/>
      <c r="AM889" s="1"/>
      <c r="AN889" s="2"/>
      <c r="AP889" s="2"/>
      <c r="AQ889" s="1"/>
      <c r="AR889" s="2"/>
      <c r="AU889" s="1"/>
      <c r="AW889" s="1"/>
      <c r="AY889" s="2"/>
    </row>
    <row r="890">
      <c r="A890" s="1"/>
      <c r="C890" s="1"/>
      <c r="E890" s="1"/>
      <c r="F890" s="1"/>
      <c r="G890" s="2"/>
      <c r="H890" s="1"/>
      <c r="I890" s="1"/>
      <c r="J890" s="1"/>
      <c r="K890" s="1"/>
      <c r="M890" s="1"/>
      <c r="N890" s="1"/>
      <c r="O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2"/>
      <c r="AB890" s="1"/>
      <c r="AC890" s="1"/>
      <c r="AD890" s="1"/>
      <c r="AE890" s="1"/>
      <c r="AF890" s="1"/>
      <c r="AG890" s="1"/>
      <c r="AH890" s="2"/>
      <c r="AI890" s="2"/>
      <c r="AJ890" s="2"/>
      <c r="AK890" s="2"/>
      <c r="AL890" s="2"/>
      <c r="AM890" s="1"/>
      <c r="AN890" s="2"/>
      <c r="AP890" s="2"/>
      <c r="AQ890" s="1"/>
      <c r="AR890" s="2"/>
      <c r="AU890" s="1"/>
      <c r="AW890" s="1"/>
      <c r="AY890" s="2"/>
    </row>
    <row r="891">
      <c r="A891" s="1"/>
      <c r="C891" s="1"/>
      <c r="E891" s="1"/>
      <c r="F891" s="1"/>
      <c r="G891" s="2"/>
      <c r="H891" s="1"/>
      <c r="I891" s="1"/>
      <c r="J891" s="1"/>
      <c r="K891" s="1"/>
      <c r="M891" s="1"/>
      <c r="N891" s="1"/>
      <c r="O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2"/>
      <c r="AB891" s="1"/>
      <c r="AC891" s="1"/>
      <c r="AD891" s="1"/>
      <c r="AE891" s="1"/>
      <c r="AF891" s="1"/>
      <c r="AG891" s="1"/>
      <c r="AH891" s="2"/>
      <c r="AI891" s="2"/>
      <c r="AJ891" s="2"/>
      <c r="AK891" s="2"/>
      <c r="AL891" s="2"/>
      <c r="AM891" s="1"/>
      <c r="AN891" s="2"/>
      <c r="AP891" s="2"/>
      <c r="AQ891" s="1"/>
      <c r="AR891" s="2"/>
      <c r="AU891" s="1"/>
      <c r="AW891" s="1"/>
      <c r="AY891" s="2"/>
    </row>
    <row r="892">
      <c r="A892" s="1"/>
      <c r="C892" s="1"/>
      <c r="E892" s="1"/>
      <c r="F892" s="1"/>
      <c r="G892" s="2"/>
      <c r="H892" s="1"/>
      <c r="I892" s="1"/>
      <c r="J892" s="1"/>
      <c r="K892" s="1"/>
      <c r="M892" s="1"/>
      <c r="N892" s="1"/>
      <c r="O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2"/>
      <c r="AB892" s="1"/>
      <c r="AC892" s="1"/>
      <c r="AD892" s="1"/>
      <c r="AE892" s="1"/>
      <c r="AF892" s="1"/>
      <c r="AG892" s="1"/>
      <c r="AH892" s="2"/>
      <c r="AI892" s="2"/>
      <c r="AJ892" s="2"/>
      <c r="AK892" s="2"/>
      <c r="AL892" s="2"/>
      <c r="AM892" s="1"/>
      <c r="AN892" s="2"/>
      <c r="AP892" s="2"/>
      <c r="AQ892" s="1"/>
      <c r="AR892" s="2"/>
      <c r="AU892" s="1"/>
      <c r="AW892" s="1"/>
      <c r="AY892" s="2"/>
    </row>
    <row r="893">
      <c r="A893" s="1"/>
      <c r="C893" s="1"/>
      <c r="E893" s="1"/>
      <c r="F893" s="1"/>
      <c r="G893" s="2"/>
      <c r="H893" s="1"/>
      <c r="I893" s="1"/>
      <c r="J893" s="1"/>
      <c r="K893" s="1"/>
      <c r="M893" s="1"/>
      <c r="N893" s="1"/>
      <c r="O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2"/>
      <c r="AB893" s="1"/>
      <c r="AC893" s="1"/>
      <c r="AD893" s="1"/>
      <c r="AE893" s="1"/>
      <c r="AF893" s="1"/>
      <c r="AG893" s="1"/>
      <c r="AH893" s="2"/>
      <c r="AI893" s="2"/>
      <c r="AJ893" s="2"/>
      <c r="AK893" s="2"/>
      <c r="AL893" s="2"/>
      <c r="AM893" s="1"/>
      <c r="AN893" s="2"/>
      <c r="AP893" s="2"/>
      <c r="AQ893" s="1"/>
      <c r="AR893" s="2"/>
      <c r="AU893" s="1"/>
      <c r="AW893" s="1"/>
      <c r="AY893" s="2"/>
    </row>
    <row r="894">
      <c r="A894" s="1"/>
      <c r="C894" s="1"/>
      <c r="E894" s="1"/>
      <c r="F894" s="1"/>
      <c r="G894" s="2"/>
      <c r="H894" s="1"/>
      <c r="I894" s="1"/>
      <c r="J894" s="1"/>
      <c r="K894" s="1"/>
      <c r="M894" s="1"/>
      <c r="N894" s="1"/>
      <c r="O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2"/>
      <c r="AB894" s="1"/>
      <c r="AC894" s="1"/>
      <c r="AD894" s="1"/>
      <c r="AE894" s="1"/>
      <c r="AF894" s="1"/>
      <c r="AG894" s="1"/>
      <c r="AH894" s="2"/>
      <c r="AI894" s="2"/>
      <c r="AJ894" s="2"/>
      <c r="AK894" s="2"/>
      <c r="AL894" s="2"/>
      <c r="AM894" s="1"/>
      <c r="AN894" s="2"/>
      <c r="AP894" s="2"/>
      <c r="AQ894" s="1"/>
      <c r="AR894" s="2"/>
      <c r="AU894" s="1"/>
      <c r="AW894" s="1"/>
      <c r="AY894" s="2"/>
    </row>
    <row r="895">
      <c r="A895" s="1"/>
      <c r="C895" s="1"/>
      <c r="E895" s="1"/>
      <c r="F895" s="1"/>
      <c r="G895" s="2"/>
      <c r="H895" s="1"/>
      <c r="I895" s="1"/>
      <c r="J895" s="1"/>
      <c r="K895" s="1"/>
      <c r="M895" s="1"/>
      <c r="N895" s="1"/>
      <c r="O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2"/>
      <c r="AB895" s="1"/>
      <c r="AC895" s="1"/>
      <c r="AD895" s="1"/>
      <c r="AE895" s="1"/>
      <c r="AF895" s="1"/>
      <c r="AG895" s="1"/>
      <c r="AH895" s="2"/>
      <c r="AI895" s="2"/>
      <c r="AJ895" s="2"/>
      <c r="AK895" s="2"/>
      <c r="AL895" s="2"/>
      <c r="AM895" s="1"/>
      <c r="AN895" s="2"/>
      <c r="AP895" s="2"/>
      <c r="AQ895" s="1"/>
      <c r="AR895" s="2"/>
      <c r="AU895" s="1"/>
      <c r="AW895" s="1"/>
      <c r="AY895" s="2"/>
    </row>
    <row r="896">
      <c r="A896" s="1"/>
      <c r="C896" s="1"/>
      <c r="E896" s="1"/>
      <c r="F896" s="1"/>
      <c r="G896" s="2"/>
      <c r="H896" s="1"/>
      <c r="I896" s="1"/>
      <c r="J896" s="1"/>
      <c r="K896" s="1"/>
      <c r="M896" s="1"/>
      <c r="N896" s="1"/>
      <c r="O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2"/>
      <c r="AB896" s="1"/>
      <c r="AC896" s="1"/>
      <c r="AD896" s="1"/>
      <c r="AE896" s="1"/>
      <c r="AF896" s="1"/>
      <c r="AG896" s="1"/>
      <c r="AH896" s="2"/>
      <c r="AI896" s="2"/>
      <c r="AJ896" s="2"/>
      <c r="AK896" s="2"/>
      <c r="AL896" s="2"/>
      <c r="AM896" s="1"/>
      <c r="AN896" s="2"/>
      <c r="AP896" s="2"/>
      <c r="AQ896" s="1"/>
      <c r="AR896" s="2"/>
      <c r="AU896" s="1"/>
      <c r="AW896" s="1"/>
      <c r="AY896" s="2"/>
    </row>
    <row r="897">
      <c r="A897" s="1"/>
      <c r="C897" s="1"/>
      <c r="E897" s="1"/>
      <c r="F897" s="1"/>
      <c r="G897" s="2"/>
      <c r="H897" s="1"/>
      <c r="I897" s="1"/>
      <c r="J897" s="1"/>
      <c r="K897" s="1"/>
      <c r="M897" s="1"/>
      <c r="N897" s="1"/>
      <c r="O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2"/>
      <c r="AB897" s="1"/>
      <c r="AC897" s="1"/>
      <c r="AD897" s="1"/>
      <c r="AE897" s="1"/>
      <c r="AF897" s="1"/>
      <c r="AG897" s="1"/>
      <c r="AH897" s="2"/>
      <c r="AI897" s="2"/>
      <c r="AJ897" s="2"/>
      <c r="AK897" s="2"/>
      <c r="AL897" s="2"/>
      <c r="AM897" s="1"/>
      <c r="AN897" s="2"/>
      <c r="AP897" s="2"/>
      <c r="AQ897" s="1"/>
      <c r="AR897" s="2"/>
      <c r="AU897" s="1"/>
      <c r="AW897" s="1"/>
      <c r="AY897" s="2"/>
    </row>
    <row r="898">
      <c r="A898" s="1"/>
      <c r="C898" s="1"/>
      <c r="E898" s="1"/>
      <c r="F898" s="1"/>
      <c r="G898" s="2"/>
      <c r="H898" s="1"/>
      <c r="I898" s="1"/>
      <c r="J898" s="1"/>
      <c r="K898" s="1"/>
      <c r="M898" s="1"/>
      <c r="N898" s="1"/>
      <c r="O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2"/>
      <c r="AB898" s="1"/>
      <c r="AC898" s="1"/>
      <c r="AD898" s="1"/>
      <c r="AE898" s="1"/>
      <c r="AF898" s="1"/>
      <c r="AG898" s="1"/>
      <c r="AH898" s="2"/>
      <c r="AI898" s="2"/>
      <c r="AJ898" s="2"/>
      <c r="AK898" s="2"/>
      <c r="AL898" s="2"/>
      <c r="AM898" s="1"/>
      <c r="AN898" s="2"/>
      <c r="AP898" s="2"/>
      <c r="AQ898" s="1"/>
      <c r="AR898" s="2"/>
      <c r="AU898" s="1"/>
      <c r="AW898" s="1"/>
      <c r="AY898" s="2"/>
    </row>
    <row r="899">
      <c r="A899" s="1"/>
      <c r="C899" s="1"/>
      <c r="E899" s="1"/>
      <c r="F899" s="1"/>
      <c r="G899" s="2"/>
      <c r="H899" s="1"/>
      <c r="I899" s="1"/>
      <c r="J899" s="1"/>
      <c r="K899" s="1"/>
      <c r="M899" s="1"/>
      <c r="N899" s="1"/>
      <c r="O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2"/>
      <c r="AJ899" s="2"/>
      <c r="AK899" s="2"/>
      <c r="AL899" s="2"/>
      <c r="AM899" s="1"/>
      <c r="AN899" s="2"/>
      <c r="AP899" s="2"/>
      <c r="AQ899" s="1"/>
      <c r="AR899" s="2"/>
      <c r="AU899" s="1"/>
      <c r="AW899" s="1"/>
      <c r="AY899" s="2"/>
    </row>
    <row r="900">
      <c r="A900" s="1"/>
      <c r="C900" s="1"/>
      <c r="E900" s="1"/>
      <c r="F900" s="1"/>
      <c r="G900" s="2"/>
      <c r="H900" s="1"/>
      <c r="I900" s="1"/>
      <c r="J900" s="1"/>
      <c r="K900" s="1"/>
      <c r="M900" s="1"/>
      <c r="N900" s="1"/>
      <c r="O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2"/>
      <c r="AB900" s="1"/>
      <c r="AC900" s="1"/>
      <c r="AD900" s="1"/>
      <c r="AE900" s="1"/>
      <c r="AF900" s="1"/>
      <c r="AG900" s="1"/>
      <c r="AH900" s="2"/>
      <c r="AI900" s="2"/>
      <c r="AJ900" s="2"/>
      <c r="AK900" s="2"/>
      <c r="AL900" s="2"/>
      <c r="AM900" s="1"/>
      <c r="AN900" s="2"/>
      <c r="AP900" s="2"/>
      <c r="AQ900" s="1"/>
      <c r="AR900" s="2"/>
      <c r="AU900" s="1"/>
      <c r="AW900" s="1"/>
      <c r="AY900" s="2"/>
    </row>
    <row r="901">
      <c r="A901" s="1"/>
      <c r="C901" s="1"/>
      <c r="E901" s="1"/>
      <c r="F901" s="1"/>
      <c r="G901" s="2"/>
      <c r="H901" s="1"/>
      <c r="I901" s="1"/>
      <c r="J901" s="1"/>
      <c r="K901" s="1"/>
      <c r="M901" s="1"/>
      <c r="N901" s="1"/>
      <c r="O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2"/>
      <c r="AB901" s="1"/>
      <c r="AC901" s="1"/>
      <c r="AD901" s="1"/>
      <c r="AE901" s="1"/>
      <c r="AF901" s="1"/>
      <c r="AG901" s="1"/>
      <c r="AH901" s="2"/>
      <c r="AI901" s="2"/>
      <c r="AJ901" s="2"/>
      <c r="AK901" s="2"/>
      <c r="AL901" s="2"/>
      <c r="AM901" s="1"/>
      <c r="AN901" s="2"/>
      <c r="AP901" s="2"/>
      <c r="AQ901" s="1"/>
      <c r="AR901" s="2"/>
      <c r="AU901" s="1"/>
      <c r="AW901" s="1"/>
      <c r="AY901" s="2"/>
    </row>
    <row r="902">
      <c r="A902" s="1"/>
      <c r="C902" s="1"/>
      <c r="E902" s="1"/>
      <c r="F902" s="1"/>
      <c r="G902" s="2"/>
      <c r="H902" s="1"/>
      <c r="I902" s="1"/>
      <c r="J902" s="1"/>
      <c r="K902" s="1"/>
      <c r="M902" s="1"/>
      <c r="N902" s="1"/>
      <c r="O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2"/>
      <c r="AB902" s="1"/>
      <c r="AC902" s="1"/>
      <c r="AD902" s="1"/>
      <c r="AE902" s="1"/>
      <c r="AF902" s="1"/>
      <c r="AG902" s="1"/>
      <c r="AH902" s="2"/>
      <c r="AI902" s="2"/>
      <c r="AJ902" s="2"/>
      <c r="AK902" s="2"/>
      <c r="AL902" s="2"/>
      <c r="AM902" s="1"/>
      <c r="AN902" s="2"/>
      <c r="AP902" s="2"/>
      <c r="AQ902" s="1"/>
      <c r="AR902" s="2"/>
      <c r="AU902" s="1"/>
      <c r="AW902" s="1"/>
      <c r="AY902" s="2"/>
    </row>
    <row r="903">
      <c r="A903" s="1"/>
      <c r="C903" s="1"/>
      <c r="E903" s="1"/>
      <c r="F903" s="1"/>
      <c r="G903" s="2"/>
      <c r="H903" s="1"/>
      <c r="I903" s="1"/>
      <c r="J903" s="1"/>
      <c r="K903" s="1"/>
      <c r="M903" s="1"/>
      <c r="N903" s="1"/>
      <c r="O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2"/>
      <c r="AB903" s="1"/>
      <c r="AC903" s="1"/>
      <c r="AD903" s="1"/>
      <c r="AE903" s="1"/>
      <c r="AF903" s="1"/>
      <c r="AG903" s="1"/>
      <c r="AH903" s="2"/>
      <c r="AI903" s="2"/>
      <c r="AJ903" s="2"/>
      <c r="AK903" s="2"/>
      <c r="AL903" s="2"/>
      <c r="AM903" s="1"/>
      <c r="AN903" s="2"/>
      <c r="AP903" s="2"/>
      <c r="AQ903" s="1"/>
      <c r="AR903" s="2"/>
      <c r="AU903" s="1"/>
      <c r="AW903" s="1"/>
      <c r="AY903" s="2"/>
    </row>
    <row r="904">
      <c r="A904" s="1"/>
      <c r="C904" s="1"/>
      <c r="E904" s="1"/>
      <c r="F904" s="1"/>
      <c r="G904" s="2"/>
      <c r="H904" s="1"/>
      <c r="I904" s="1"/>
      <c r="J904" s="1"/>
      <c r="K904" s="1"/>
      <c r="M904" s="1"/>
      <c r="N904" s="1"/>
      <c r="O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2"/>
      <c r="AB904" s="1"/>
      <c r="AC904" s="1"/>
      <c r="AD904" s="1"/>
      <c r="AE904" s="1"/>
      <c r="AF904" s="1"/>
      <c r="AG904" s="1"/>
      <c r="AH904" s="2"/>
      <c r="AI904" s="2"/>
      <c r="AJ904" s="2"/>
      <c r="AK904" s="2"/>
      <c r="AL904" s="2"/>
      <c r="AM904" s="1"/>
      <c r="AN904" s="2"/>
      <c r="AP904" s="2"/>
      <c r="AQ904" s="1"/>
      <c r="AR904" s="2"/>
      <c r="AU904" s="1"/>
      <c r="AW904" s="1"/>
      <c r="AY904" s="2"/>
    </row>
    <row r="905">
      <c r="A905" s="1"/>
      <c r="C905" s="1"/>
      <c r="E905" s="1"/>
      <c r="F905" s="1"/>
      <c r="G905" s="2"/>
      <c r="H905" s="1"/>
      <c r="I905" s="1"/>
      <c r="J905" s="1"/>
      <c r="K905" s="1"/>
      <c r="M905" s="1"/>
      <c r="N905" s="1"/>
      <c r="O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2"/>
      <c r="AB905" s="1"/>
      <c r="AC905" s="1"/>
      <c r="AD905" s="1"/>
      <c r="AE905" s="1"/>
      <c r="AF905" s="1"/>
      <c r="AG905" s="1"/>
      <c r="AH905" s="2"/>
      <c r="AI905" s="2"/>
      <c r="AJ905" s="2"/>
      <c r="AK905" s="2"/>
      <c r="AL905" s="2"/>
      <c r="AM905" s="1"/>
      <c r="AN905" s="2"/>
      <c r="AP905" s="2"/>
      <c r="AQ905" s="1"/>
      <c r="AR905" s="2"/>
      <c r="AU905" s="1"/>
      <c r="AW905" s="1"/>
      <c r="AY905" s="2"/>
    </row>
    <row r="906">
      <c r="A906" s="1"/>
      <c r="C906" s="1"/>
      <c r="E906" s="1"/>
      <c r="F906" s="1"/>
      <c r="G906" s="2"/>
      <c r="H906" s="1"/>
      <c r="I906" s="1"/>
      <c r="J906" s="1"/>
      <c r="K906" s="1"/>
      <c r="M906" s="1"/>
      <c r="N906" s="1"/>
      <c r="O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2"/>
      <c r="AB906" s="1"/>
      <c r="AC906" s="1"/>
      <c r="AD906" s="1"/>
      <c r="AE906" s="1"/>
      <c r="AF906" s="1"/>
      <c r="AG906" s="1"/>
      <c r="AH906" s="2"/>
      <c r="AI906" s="2"/>
      <c r="AJ906" s="2"/>
      <c r="AK906" s="2"/>
      <c r="AL906" s="2"/>
      <c r="AM906" s="1"/>
      <c r="AN906" s="2"/>
      <c r="AP906" s="2"/>
      <c r="AQ906" s="1"/>
      <c r="AR906" s="2"/>
      <c r="AU906" s="1"/>
      <c r="AW906" s="1"/>
      <c r="AY906" s="2"/>
    </row>
    <row r="907">
      <c r="A907" s="1"/>
      <c r="C907" s="1"/>
      <c r="E907" s="1"/>
      <c r="F907" s="1"/>
      <c r="G907" s="2"/>
      <c r="H907" s="1"/>
      <c r="I907" s="1"/>
      <c r="J907" s="1"/>
      <c r="K907" s="1"/>
      <c r="M907" s="1"/>
      <c r="N907" s="1"/>
      <c r="O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2"/>
      <c r="AB907" s="1"/>
      <c r="AC907" s="1"/>
      <c r="AD907" s="1"/>
      <c r="AE907" s="1"/>
      <c r="AF907" s="1"/>
      <c r="AG907" s="1"/>
      <c r="AH907" s="2"/>
      <c r="AI907" s="2"/>
      <c r="AJ907" s="2"/>
      <c r="AK907" s="2"/>
      <c r="AL907" s="2"/>
      <c r="AM907" s="1"/>
      <c r="AN907" s="2"/>
      <c r="AP907" s="2"/>
      <c r="AQ907" s="1"/>
      <c r="AR907" s="2"/>
      <c r="AU907" s="1"/>
      <c r="AW907" s="1"/>
      <c r="AY907" s="2"/>
    </row>
    <row r="908">
      <c r="A908" s="1"/>
      <c r="C908" s="1"/>
      <c r="E908" s="1"/>
      <c r="F908" s="1"/>
      <c r="G908" s="2"/>
      <c r="H908" s="1"/>
      <c r="I908" s="1"/>
      <c r="J908" s="1"/>
      <c r="K908" s="1"/>
      <c r="M908" s="1"/>
      <c r="N908" s="1"/>
      <c r="O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2"/>
      <c r="AB908" s="1"/>
      <c r="AC908" s="1"/>
      <c r="AD908" s="1"/>
      <c r="AE908" s="1"/>
      <c r="AF908" s="1"/>
      <c r="AG908" s="1"/>
      <c r="AH908" s="2"/>
      <c r="AI908" s="2"/>
      <c r="AJ908" s="2"/>
      <c r="AK908" s="2"/>
      <c r="AL908" s="2"/>
      <c r="AM908" s="1"/>
      <c r="AN908" s="2"/>
      <c r="AP908" s="2"/>
      <c r="AQ908" s="1"/>
      <c r="AR908" s="2"/>
      <c r="AU908" s="1"/>
      <c r="AW908" s="1"/>
      <c r="AY908" s="2"/>
    </row>
    <row r="909">
      <c r="A909" s="1"/>
      <c r="C909" s="1"/>
      <c r="E909" s="1"/>
      <c r="F909" s="1"/>
      <c r="G909" s="2"/>
      <c r="H909" s="1"/>
      <c r="I909" s="1"/>
      <c r="J909" s="1"/>
      <c r="K909" s="1"/>
      <c r="M909" s="1"/>
      <c r="N909" s="1"/>
      <c r="O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2"/>
      <c r="AB909" s="1"/>
      <c r="AC909" s="1"/>
      <c r="AD909" s="1"/>
      <c r="AE909" s="1"/>
      <c r="AF909" s="1"/>
      <c r="AG909" s="1"/>
      <c r="AH909" s="2"/>
      <c r="AI909" s="2"/>
      <c r="AJ909" s="2"/>
      <c r="AK909" s="2"/>
      <c r="AL909" s="2"/>
      <c r="AM909" s="1"/>
      <c r="AN909" s="2"/>
      <c r="AP909" s="2"/>
      <c r="AQ909" s="1"/>
      <c r="AR909" s="2"/>
      <c r="AU909" s="1"/>
      <c r="AW909" s="1"/>
      <c r="AY909" s="2"/>
    </row>
    <row r="910">
      <c r="A910" s="1"/>
      <c r="C910" s="1"/>
      <c r="E910" s="1"/>
      <c r="F910" s="1"/>
      <c r="G910" s="2"/>
      <c r="H910" s="1"/>
      <c r="I910" s="1"/>
      <c r="J910" s="1"/>
      <c r="K910" s="1"/>
      <c r="M910" s="1"/>
      <c r="N910" s="1"/>
      <c r="O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2"/>
      <c r="AB910" s="1"/>
      <c r="AC910" s="1"/>
      <c r="AD910" s="1"/>
      <c r="AE910" s="1"/>
      <c r="AF910" s="1"/>
      <c r="AG910" s="1"/>
      <c r="AH910" s="2"/>
      <c r="AI910" s="2"/>
      <c r="AJ910" s="2"/>
      <c r="AK910" s="2"/>
      <c r="AL910" s="2"/>
      <c r="AM910" s="1"/>
      <c r="AN910" s="2"/>
      <c r="AP910" s="2"/>
      <c r="AQ910" s="1"/>
      <c r="AR910" s="2"/>
      <c r="AU910" s="1"/>
      <c r="AW910" s="1"/>
      <c r="AY910" s="2"/>
    </row>
    <row r="911">
      <c r="A911" s="1"/>
      <c r="C911" s="1"/>
      <c r="E911" s="1"/>
      <c r="F911" s="1"/>
      <c r="G911" s="2"/>
      <c r="H911" s="1"/>
      <c r="I911" s="1"/>
      <c r="J911" s="1"/>
      <c r="K911" s="1"/>
      <c r="M911" s="1"/>
      <c r="N911" s="1"/>
      <c r="O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2"/>
      <c r="AI911" s="2"/>
      <c r="AJ911" s="2"/>
      <c r="AK911" s="2"/>
      <c r="AL911" s="2"/>
      <c r="AM911" s="1"/>
      <c r="AN911" s="2"/>
      <c r="AP911" s="2"/>
      <c r="AQ911" s="1"/>
      <c r="AR911" s="2"/>
      <c r="AU911" s="1"/>
      <c r="AW911" s="1"/>
      <c r="AY911" s="2"/>
    </row>
    <row r="912">
      <c r="A912" s="1"/>
      <c r="C912" s="1"/>
      <c r="E912" s="1"/>
      <c r="F912" s="1"/>
      <c r="G912" s="2"/>
      <c r="H912" s="1"/>
      <c r="I912" s="1"/>
      <c r="J912" s="1"/>
      <c r="K912" s="1"/>
      <c r="M912" s="1"/>
      <c r="N912" s="1"/>
      <c r="O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2"/>
      <c r="AB912" s="1"/>
      <c r="AC912" s="1"/>
      <c r="AD912" s="1"/>
      <c r="AE912" s="1"/>
      <c r="AF912" s="1"/>
      <c r="AG912" s="1"/>
      <c r="AH912" s="2"/>
      <c r="AI912" s="2"/>
      <c r="AJ912" s="2"/>
      <c r="AK912" s="2"/>
      <c r="AL912" s="2"/>
      <c r="AM912" s="1"/>
      <c r="AN912" s="2"/>
      <c r="AP912" s="2"/>
      <c r="AQ912" s="1"/>
      <c r="AR912" s="2"/>
      <c r="AU912" s="1"/>
      <c r="AW912" s="1"/>
      <c r="AY912" s="2"/>
    </row>
    <row r="913">
      <c r="A913" s="1"/>
      <c r="C913" s="1"/>
      <c r="E913" s="1"/>
      <c r="F913" s="1"/>
      <c r="G913" s="2"/>
      <c r="H913" s="1"/>
      <c r="I913" s="1"/>
      <c r="J913" s="1"/>
      <c r="K913" s="1"/>
      <c r="M913" s="1"/>
      <c r="N913" s="1"/>
      <c r="O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2"/>
      <c r="AB913" s="1"/>
      <c r="AC913" s="1"/>
      <c r="AD913" s="1"/>
      <c r="AE913" s="1"/>
      <c r="AF913" s="1"/>
      <c r="AG913" s="1"/>
      <c r="AH913" s="2"/>
      <c r="AI913" s="2"/>
      <c r="AJ913" s="2"/>
      <c r="AK913" s="2"/>
      <c r="AL913" s="2"/>
      <c r="AM913" s="1"/>
      <c r="AN913" s="2"/>
      <c r="AP913" s="2"/>
      <c r="AQ913" s="1"/>
      <c r="AR913" s="2"/>
      <c r="AU913" s="1"/>
      <c r="AW913" s="1"/>
      <c r="AY913" s="2"/>
    </row>
    <row r="914">
      <c r="A914" s="1"/>
      <c r="C914" s="1"/>
      <c r="E914" s="1"/>
      <c r="F914" s="1"/>
      <c r="G914" s="2"/>
      <c r="H914" s="1"/>
      <c r="I914" s="1"/>
      <c r="J914" s="1"/>
      <c r="K914" s="1"/>
      <c r="M914" s="1"/>
      <c r="N914" s="1"/>
      <c r="O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2"/>
      <c r="AB914" s="1"/>
      <c r="AC914" s="1"/>
      <c r="AD914" s="1"/>
      <c r="AE914" s="1"/>
      <c r="AF914" s="1"/>
      <c r="AG914" s="1"/>
      <c r="AH914" s="2"/>
      <c r="AI914" s="2"/>
      <c r="AJ914" s="2"/>
      <c r="AK914" s="2"/>
      <c r="AL914" s="2"/>
      <c r="AM914" s="1"/>
      <c r="AN914" s="2"/>
      <c r="AP914" s="2"/>
      <c r="AQ914" s="1"/>
      <c r="AR914" s="2"/>
      <c r="AU914" s="1"/>
      <c r="AW914" s="1"/>
      <c r="AY914" s="2"/>
    </row>
    <row r="915">
      <c r="A915" s="1"/>
      <c r="C915" s="1"/>
      <c r="E915" s="1"/>
      <c r="F915" s="1"/>
      <c r="G915" s="2"/>
      <c r="H915" s="1"/>
      <c r="I915" s="1"/>
      <c r="J915" s="1"/>
      <c r="K915" s="1"/>
      <c r="M915" s="1"/>
      <c r="N915" s="1"/>
      <c r="O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2"/>
      <c r="AB915" s="1"/>
      <c r="AC915" s="1"/>
      <c r="AD915" s="1"/>
      <c r="AE915" s="1"/>
      <c r="AF915" s="1"/>
      <c r="AG915" s="1"/>
      <c r="AH915" s="2"/>
      <c r="AI915" s="2"/>
      <c r="AJ915" s="2"/>
      <c r="AK915" s="2"/>
      <c r="AL915" s="2"/>
      <c r="AM915" s="1"/>
      <c r="AN915" s="2"/>
      <c r="AP915" s="2"/>
      <c r="AQ915" s="1"/>
      <c r="AR915" s="2"/>
      <c r="AU915" s="1"/>
      <c r="AW915" s="1"/>
      <c r="AY915" s="2"/>
    </row>
    <row r="916">
      <c r="A916" s="1"/>
      <c r="C916" s="1"/>
      <c r="E916" s="1"/>
      <c r="F916" s="1"/>
      <c r="G916" s="2"/>
      <c r="H916" s="1"/>
      <c r="I916" s="1"/>
      <c r="J916" s="1"/>
      <c r="K916" s="1"/>
      <c r="M916" s="1"/>
      <c r="N916" s="1"/>
      <c r="O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2"/>
      <c r="AB916" s="1"/>
      <c r="AC916" s="1"/>
      <c r="AD916" s="1"/>
      <c r="AE916" s="1"/>
      <c r="AF916" s="1"/>
      <c r="AG916" s="1"/>
      <c r="AH916" s="2"/>
      <c r="AI916" s="2"/>
      <c r="AJ916" s="2"/>
      <c r="AK916" s="2"/>
      <c r="AL916" s="2"/>
      <c r="AM916" s="1"/>
      <c r="AN916" s="2"/>
      <c r="AP916" s="2"/>
      <c r="AQ916" s="1"/>
      <c r="AR916" s="2"/>
      <c r="AU916" s="1"/>
      <c r="AW916" s="1"/>
      <c r="AY916" s="2"/>
    </row>
    <row r="917">
      <c r="A917" s="1"/>
      <c r="C917" s="1"/>
      <c r="E917" s="1"/>
      <c r="F917" s="1"/>
      <c r="G917" s="2"/>
      <c r="H917" s="1"/>
      <c r="I917" s="1"/>
      <c r="J917" s="1"/>
      <c r="K917" s="1"/>
      <c r="M917" s="1"/>
      <c r="N917" s="1"/>
      <c r="O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2"/>
      <c r="AB917" s="1"/>
      <c r="AC917" s="1"/>
      <c r="AD917" s="1"/>
      <c r="AE917" s="1"/>
      <c r="AF917" s="1"/>
      <c r="AG917" s="1"/>
      <c r="AH917" s="2"/>
      <c r="AI917" s="2"/>
      <c r="AJ917" s="2"/>
      <c r="AK917" s="2"/>
      <c r="AL917" s="2"/>
      <c r="AM917" s="1"/>
      <c r="AN917" s="2"/>
      <c r="AP917" s="2"/>
      <c r="AQ917" s="1"/>
      <c r="AR917" s="2"/>
      <c r="AU917" s="1"/>
      <c r="AW917" s="1"/>
      <c r="AY917" s="2"/>
    </row>
    <row r="918">
      <c r="A918" s="1"/>
      <c r="C918" s="1"/>
      <c r="E918" s="1"/>
      <c r="F918" s="1"/>
      <c r="G918" s="2"/>
      <c r="H918" s="1"/>
      <c r="I918" s="1"/>
      <c r="J918" s="1"/>
      <c r="K918" s="1"/>
      <c r="M918" s="1"/>
      <c r="N918" s="1"/>
      <c r="O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2"/>
      <c r="AB918" s="1"/>
      <c r="AC918" s="1"/>
      <c r="AD918" s="1"/>
      <c r="AE918" s="1"/>
      <c r="AF918" s="1"/>
      <c r="AG918" s="1"/>
      <c r="AH918" s="2"/>
      <c r="AI918" s="2"/>
      <c r="AJ918" s="2"/>
      <c r="AK918" s="2"/>
      <c r="AL918" s="2"/>
      <c r="AM918" s="1"/>
      <c r="AN918" s="2"/>
      <c r="AP918" s="2"/>
      <c r="AQ918" s="1"/>
      <c r="AR918" s="2"/>
      <c r="AU918" s="1"/>
      <c r="AW918" s="1"/>
      <c r="AY918" s="2"/>
    </row>
    <row r="919">
      <c r="A919" s="1"/>
      <c r="C919" s="1"/>
      <c r="E919" s="1"/>
      <c r="F919" s="1"/>
      <c r="G919" s="2"/>
      <c r="H919" s="1"/>
      <c r="I919" s="1"/>
      <c r="J919" s="1"/>
      <c r="K919" s="1"/>
      <c r="M919" s="1"/>
      <c r="N919" s="1"/>
      <c r="O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2"/>
      <c r="AB919" s="1"/>
      <c r="AC919" s="1"/>
      <c r="AD919" s="1"/>
      <c r="AE919" s="1"/>
      <c r="AF919" s="1"/>
      <c r="AG919" s="1"/>
      <c r="AH919" s="2"/>
      <c r="AI919" s="2"/>
      <c r="AJ919" s="2"/>
      <c r="AK919" s="2"/>
      <c r="AL919" s="2"/>
      <c r="AM919" s="1"/>
      <c r="AN919" s="2"/>
      <c r="AP919" s="2"/>
      <c r="AQ919" s="1"/>
      <c r="AR919" s="2"/>
      <c r="AU919" s="1"/>
      <c r="AW919" s="1"/>
      <c r="AY919" s="2"/>
    </row>
    <row r="920">
      <c r="A920" s="1"/>
      <c r="C920" s="1"/>
      <c r="E920" s="1"/>
      <c r="F920" s="1"/>
      <c r="G920" s="2"/>
      <c r="H920" s="1"/>
      <c r="I920" s="1"/>
      <c r="J920" s="1"/>
      <c r="K920" s="1"/>
      <c r="M920" s="1"/>
      <c r="N920" s="1"/>
      <c r="O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2"/>
      <c r="AB920" s="1"/>
      <c r="AC920" s="1"/>
      <c r="AD920" s="1"/>
      <c r="AE920" s="1"/>
      <c r="AF920" s="1"/>
      <c r="AG920" s="1"/>
      <c r="AH920" s="2"/>
      <c r="AI920" s="2"/>
      <c r="AJ920" s="2"/>
      <c r="AK920" s="2"/>
      <c r="AL920" s="2"/>
      <c r="AM920" s="1"/>
      <c r="AN920" s="2"/>
      <c r="AP920" s="2"/>
      <c r="AQ920" s="1"/>
      <c r="AR920" s="2"/>
      <c r="AU920" s="1"/>
      <c r="AW920" s="1"/>
      <c r="AY920" s="2"/>
    </row>
    <row r="921">
      <c r="A921" s="1"/>
      <c r="C921" s="1"/>
      <c r="E921" s="1"/>
      <c r="F921" s="1"/>
      <c r="G921" s="2"/>
      <c r="H921" s="1"/>
      <c r="I921" s="1"/>
      <c r="J921" s="1"/>
      <c r="K921" s="1"/>
      <c r="M921" s="1"/>
      <c r="N921" s="1"/>
      <c r="O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2"/>
      <c r="AB921" s="1"/>
      <c r="AC921" s="1"/>
      <c r="AD921" s="1"/>
      <c r="AE921" s="1"/>
      <c r="AF921" s="1"/>
      <c r="AG921" s="1"/>
      <c r="AH921" s="2"/>
      <c r="AI921" s="2"/>
      <c r="AJ921" s="2"/>
      <c r="AK921" s="2"/>
      <c r="AL921" s="2"/>
      <c r="AM921" s="1"/>
      <c r="AN921" s="2"/>
      <c r="AP921" s="2"/>
      <c r="AQ921" s="1"/>
      <c r="AR921" s="2"/>
      <c r="AU921" s="1"/>
      <c r="AW921" s="1"/>
      <c r="AY921" s="2"/>
    </row>
    <row r="922">
      <c r="A922" s="1"/>
      <c r="C922" s="1"/>
      <c r="E922" s="1"/>
      <c r="F922" s="1"/>
      <c r="G922" s="2"/>
      <c r="H922" s="1"/>
      <c r="I922" s="1"/>
      <c r="J922" s="1"/>
      <c r="K922" s="1"/>
      <c r="M922" s="1"/>
      <c r="N922" s="1"/>
      <c r="O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2"/>
      <c r="AB922" s="1"/>
      <c r="AC922" s="1"/>
      <c r="AD922" s="1"/>
      <c r="AE922" s="1"/>
      <c r="AF922" s="1"/>
      <c r="AG922" s="1"/>
      <c r="AH922" s="2"/>
      <c r="AI922" s="2"/>
      <c r="AJ922" s="2"/>
      <c r="AK922" s="2"/>
      <c r="AL922" s="2"/>
      <c r="AM922" s="1"/>
      <c r="AN922" s="2"/>
      <c r="AP922" s="2"/>
      <c r="AQ922" s="1"/>
      <c r="AR922" s="2"/>
      <c r="AU922" s="1"/>
      <c r="AW922" s="1"/>
      <c r="AY922" s="2"/>
    </row>
    <row r="923">
      <c r="A923" s="1"/>
      <c r="C923" s="1"/>
      <c r="E923" s="1"/>
      <c r="F923" s="1"/>
      <c r="G923" s="2"/>
      <c r="H923" s="1"/>
      <c r="I923" s="1"/>
      <c r="J923" s="1"/>
      <c r="K923" s="1"/>
      <c r="M923" s="1"/>
      <c r="N923" s="1"/>
      <c r="O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2"/>
      <c r="AB923" s="1"/>
      <c r="AC923" s="1"/>
      <c r="AD923" s="1"/>
      <c r="AE923" s="1"/>
      <c r="AF923" s="1"/>
      <c r="AG923" s="1"/>
      <c r="AH923" s="2"/>
      <c r="AI923" s="2"/>
      <c r="AJ923" s="2"/>
      <c r="AK923" s="2"/>
      <c r="AL923" s="2"/>
      <c r="AM923" s="1"/>
      <c r="AN923" s="2"/>
      <c r="AP923" s="2"/>
      <c r="AQ923" s="1"/>
      <c r="AR923" s="2"/>
      <c r="AU923" s="1"/>
      <c r="AW923" s="1"/>
      <c r="AY923" s="2"/>
    </row>
    <row r="924">
      <c r="A924" s="1"/>
      <c r="C924" s="1"/>
      <c r="E924" s="1"/>
      <c r="F924" s="1"/>
      <c r="G924" s="2"/>
      <c r="H924" s="1"/>
      <c r="I924" s="1"/>
      <c r="J924" s="1"/>
      <c r="K924" s="1"/>
      <c r="M924" s="1"/>
      <c r="N924" s="1"/>
      <c r="O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2"/>
      <c r="AB924" s="1"/>
      <c r="AC924" s="1"/>
      <c r="AD924" s="1"/>
      <c r="AE924" s="1"/>
      <c r="AF924" s="1"/>
      <c r="AG924" s="1"/>
      <c r="AH924" s="2"/>
      <c r="AI924" s="2"/>
      <c r="AJ924" s="2"/>
      <c r="AK924" s="2"/>
      <c r="AL924" s="2"/>
      <c r="AM924" s="1"/>
      <c r="AN924" s="2"/>
      <c r="AP924" s="2"/>
      <c r="AQ924" s="1"/>
      <c r="AR924" s="2"/>
      <c r="AU924" s="1"/>
      <c r="AW924" s="1"/>
      <c r="AY924" s="2"/>
    </row>
    <row r="925">
      <c r="A925" s="1"/>
      <c r="C925" s="1"/>
      <c r="E925" s="1"/>
      <c r="F925" s="1"/>
      <c r="G925" s="2"/>
      <c r="H925" s="1"/>
      <c r="I925" s="1"/>
      <c r="J925" s="1"/>
      <c r="K925" s="1"/>
      <c r="M925" s="1"/>
      <c r="N925" s="1"/>
      <c r="O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2"/>
      <c r="AI925" s="2"/>
      <c r="AJ925" s="2"/>
      <c r="AK925" s="2"/>
      <c r="AL925" s="2"/>
      <c r="AM925" s="1"/>
      <c r="AN925" s="2"/>
      <c r="AP925" s="2"/>
      <c r="AQ925" s="1"/>
      <c r="AR925" s="2"/>
      <c r="AU925" s="1"/>
      <c r="AW925" s="1"/>
      <c r="AY925" s="2"/>
    </row>
    <row r="926">
      <c r="A926" s="1"/>
      <c r="C926" s="1"/>
      <c r="E926" s="1"/>
      <c r="F926" s="1"/>
      <c r="G926" s="2"/>
      <c r="H926" s="1"/>
      <c r="I926" s="1"/>
      <c r="J926" s="1"/>
      <c r="K926" s="1"/>
      <c r="M926" s="1"/>
      <c r="N926" s="1"/>
      <c r="O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2"/>
      <c r="AB926" s="1"/>
      <c r="AC926" s="1"/>
      <c r="AD926" s="1"/>
      <c r="AE926" s="1"/>
      <c r="AF926" s="1"/>
      <c r="AG926" s="1"/>
      <c r="AH926" s="2"/>
      <c r="AI926" s="2"/>
      <c r="AJ926" s="2"/>
      <c r="AK926" s="2"/>
      <c r="AL926" s="2"/>
      <c r="AM926" s="1"/>
      <c r="AN926" s="2"/>
      <c r="AP926" s="2"/>
      <c r="AQ926" s="1"/>
      <c r="AR926" s="2"/>
      <c r="AU926" s="1"/>
      <c r="AW926" s="1"/>
      <c r="AY926" s="2"/>
    </row>
    <row r="927">
      <c r="A927" s="1"/>
      <c r="C927" s="1"/>
      <c r="E927" s="1"/>
      <c r="F927" s="1"/>
      <c r="G927" s="2"/>
      <c r="H927" s="1"/>
      <c r="I927" s="1"/>
      <c r="J927" s="1"/>
      <c r="K927" s="1"/>
      <c r="M927" s="1"/>
      <c r="N927" s="1"/>
      <c r="O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2"/>
      <c r="AB927" s="1"/>
      <c r="AC927" s="1"/>
      <c r="AD927" s="1"/>
      <c r="AE927" s="1"/>
      <c r="AF927" s="1"/>
      <c r="AG927" s="1"/>
      <c r="AH927" s="2"/>
      <c r="AI927" s="2"/>
      <c r="AJ927" s="2"/>
      <c r="AK927" s="2"/>
      <c r="AL927" s="2"/>
      <c r="AM927" s="1"/>
      <c r="AN927" s="2"/>
      <c r="AP927" s="2"/>
      <c r="AQ927" s="1"/>
      <c r="AR927" s="2"/>
      <c r="AU927" s="1"/>
      <c r="AW927" s="1"/>
      <c r="AY927" s="2"/>
    </row>
    <row r="928">
      <c r="A928" s="1"/>
      <c r="C928" s="1"/>
      <c r="E928" s="1"/>
      <c r="F928" s="1"/>
      <c r="G928" s="2"/>
      <c r="H928" s="1"/>
      <c r="I928" s="1"/>
      <c r="J928" s="1"/>
      <c r="K928" s="1"/>
      <c r="M928" s="1"/>
      <c r="N928" s="1"/>
      <c r="O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2"/>
      <c r="AB928" s="1"/>
      <c r="AC928" s="1"/>
      <c r="AD928" s="1"/>
      <c r="AE928" s="1"/>
      <c r="AF928" s="1"/>
      <c r="AG928" s="1"/>
      <c r="AH928" s="2"/>
      <c r="AI928" s="2"/>
      <c r="AJ928" s="2"/>
      <c r="AK928" s="2"/>
      <c r="AL928" s="2"/>
      <c r="AM928" s="1"/>
      <c r="AN928" s="2"/>
      <c r="AP928" s="2"/>
      <c r="AQ928" s="1"/>
      <c r="AR928" s="2"/>
      <c r="AU928" s="1"/>
      <c r="AW928" s="1"/>
      <c r="AY928" s="2"/>
    </row>
    <row r="929">
      <c r="A929" s="1"/>
      <c r="C929" s="1"/>
      <c r="E929" s="1"/>
      <c r="F929" s="1"/>
      <c r="G929" s="2"/>
      <c r="H929" s="1"/>
      <c r="I929" s="1"/>
      <c r="J929" s="1"/>
      <c r="K929" s="1"/>
      <c r="M929" s="1"/>
      <c r="N929" s="1"/>
      <c r="O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2"/>
      <c r="AB929" s="1"/>
      <c r="AC929" s="1"/>
      <c r="AD929" s="1"/>
      <c r="AE929" s="1"/>
      <c r="AF929" s="1"/>
      <c r="AG929" s="1"/>
      <c r="AH929" s="2"/>
      <c r="AI929" s="2"/>
      <c r="AJ929" s="2"/>
      <c r="AK929" s="2"/>
      <c r="AL929" s="2"/>
      <c r="AM929" s="1"/>
      <c r="AN929" s="2"/>
      <c r="AP929" s="2"/>
      <c r="AQ929" s="1"/>
      <c r="AR929" s="2"/>
      <c r="AU929" s="1"/>
      <c r="AW929" s="1"/>
      <c r="AY929" s="2"/>
    </row>
    <row r="930">
      <c r="A930" s="1"/>
      <c r="C930" s="1"/>
      <c r="E930" s="1"/>
      <c r="F930" s="1"/>
      <c r="G930" s="2"/>
      <c r="H930" s="1"/>
      <c r="I930" s="1"/>
      <c r="J930" s="1"/>
      <c r="K930" s="1"/>
      <c r="M930" s="1"/>
      <c r="N930" s="1"/>
      <c r="O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2"/>
      <c r="AB930" s="1"/>
      <c r="AC930" s="1"/>
      <c r="AD930" s="1"/>
      <c r="AE930" s="1"/>
      <c r="AF930" s="1"/>
      <c r="AG930" s="1"/>
      <c r="AH930" s="2"/>
      <c r="AI930" s="2"/>
      <c r="AJ930" s="2"/>
      <c r="AK930" s="2"/>
      <c r="AL930" s="2"/>
      <c r="AM930" s="1"/>
      <c r="AN930" s="2"/>
      <c r="AP930" s="2"/>
      <c r="AQ930" s="1"/>
      <c r="AR930" s="2"/>
      <c r="AU930" s="1"/>
      <c r="AW930" s="1"/>
      <c r="AY930" s="2"/>
    </row>
    <row r="931">
      <c r="A931" s="1"/>
      <c r="C931" s="1"/>
      <c r="E931" s="1"/>
      <c r="F931" s="1"/>
      <c r="G931" s="2"/>
      <c r="H931" s="1"/>
      <c r="I931" s="1"/>
      <c r="J931" s="1"/>
      <c r="K931" s="1"/>
      <c r="M931" s="1"/>
      <c r="N931" s="1"/>
      <c r="O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2"/>
      <c r="AB931" s="1"/>
      <c r="AC931" s="1"/>
      <c r="AD931" s="1"/>
      <c r="AE931" s="1"/>
      <c r="AF931" s="1"/>
      <c r="AG931" s="1"/>
      <c r="AH931" s="2"/>
      <c r="AI931" s="2"/>
      <c r="AJ931" s="2"/>
      <c r="AK931" s="2"/>
      <c r="AL931" s="2"/>
      <c r="AM931" s="1"/>
      <c r="AN931" s="2"/>
      <c r="AP931" s="2"/>
      <c r="AQ931" s="1"/>
      <c r="AR931" s="2"/>
      <c r="AU931" s="1"/>
      <c r="AW931" s="1"/>
      <c r="AY931" s="2"/>
    </row>
    <row r="932">
      <c r="A932" s="1"/>
      <c r="C932" s="1"/>
      <c r="E932" s="1"/>
      <c r="F932" s="1"/>
      <c r="G932" s="2"/>
      <c r="H932" s="1"/>
      <c r="I932" s="1"/>
      <c r="J932" s="1"/>
      <c r="K932" s="1"/>
      <c r="M932" s="1"/>
      <c r="N932" s="1"/>
      <c r="O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2"/>
      <c r="AB932" s="1"/>
      <c r="AC932" s="1"/>
      <c r="AD932" s="1"/>
      <c r="AE932" s="1"/>
      <c r="AF932" s="1"/>
      <c r="AG932" s="1"/>
      <c r="AH932" s="2"/>
      <c r="AI932" s="2"/>
      <c r="AJ932" s="2"/>
      <c r="AK932" s="2"/>
      <c r="AL932" s="2"/>
      <c r="AM932" s="1"/>
      <c r="AN932" s="2"/>
      <c r="AP932" s="2"/>
      <c r="AQ932" s="1"/>
      <c r="AR932" s="2"/>
      <c r="AU932" s="1"/>
      <c r="AW932" s="1"/>
      <c r="AY932" s="2"/>
    </row>
    <row r="933">
      <c r="A933" s="1"/>
      <c r="C933" s="1"/>
      <c r="E933" s="1"/>
      <c r="F933" s="1"/>
      <c r="G933" s="2"/>
      <c r="H933" s="1"/>
      <c r="I933" s="1"/>
      <c r="J933" s="1"/>
      <c r="K933" s="1"/>
      <c r="M933" s="1"/>
      <c r="N933" s="1"/>
      <c r="O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2"/>
      <c r="AB933" s="1"/>
      <c r="AC933" s="1"/>
      <c r="AD933" s="1"/>
      <c r="AE933" s="1"/>
      <c r="AF933" s="1"/>
      <c r="AG933" s="1"/>
      <c r="AH933" s="2"/>
      <c r="AI933" s="2"/>
      <c r="AJ933" s="2"/>
      <c r="AK933" s="2"/>
      <c r="AL933" s="2"/>
      <c r="AM933" s="1"/>
      <c r="AN933" s="2"/>
      <c r="AP933" s="2"/>
      <c r="AQ933" s="1"/>
      <c r="AR933" s="2"/>
      <c r="AU933" s="1"/>
      <c r="AW933" s="1"/>
      <c r="AY933" s="2"/>
    </row>
    <row r="934">
      <c r="A934" s="1"/>
      <c r="C934" s="1"/>
      <c r="E934" s="1"/>
      <c r="F934" s="1"/>
      <c r="G934" s="2"/>
      <c r="H934" s="1"/>
      <c r="I934" s="1"/>
      <c r="J934" s="1"/>
      <c r="K934" s="1"/>
      <c r="M934" s="1"/>
      <c r="N934" s="1"/>
      <c r="O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2"/>
      <c r="AB934" s="1"/>
      <c r="AC934" s="1"/>
      <c r="AD934" s="1"/>
      <c r="AE934" s="1"/>
      <c r="AF934" s="1"/>
      <c r="AG934" s="1"/>
      <c r="AH934" s="2"/>
      <c r="AI934" s="2"/>
      <c r="AJ934" s="2"/>
      <c r="AK934" s="2"/>
      <c r="AL934" s="2"/>
      <c r="AM934" s="1"/>
      <c r="AN934" s="2"/>
      <c r="AP934" s="2"/>
      <c r="AQ934" s="1"/>
      <c r="AR934" s="2"/>
      <c r="AU934" s="1"/>
      <c r="AW934" s="1"/>
      <c r="AY934" s="2"/>
    </row>
    <row r="935">
      <c r="A935" s="1"/>
      <c r="C935" s="1"/>
      <c r="E935" s="1"/>
      <c r="F935" s="1"/>
      <c r="G935" s="2"/>
      <c r="H935" s="1"/>
      <c r="I935" s="1"/>
      <c r="J935" s="1"/>
      <c r="K935" s="1"/>
      <c r="M935" s="1"/>
      <c r="N935" s="1"/>
      <c r="O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2"/>
      <c r="AB935" s="1"/>
      <c r="AC935" s="1"/>
      <c r="AD935" s="1"/>
      <c r="AE935" s="1"/>
      <c r="AF935" s="1"/>
      <c r="AG935" s="1"/>
      <c r="AH935" s="2"/>
      <c r="AI935" s="2"/>
      <c r="AJ935" s="2"/>
      <c r="AK935" s="2"/>
      <c r="AL935" s="2"/>
      <c r="AM935" s="1"/>
      <c r="AN935" s="2"/>
      <c r="AP935" s="2"/>
      <c r="AQ935" s="1"/>
      <c r="AR935" s="2"/>
      <c r="AU935" s="1"/>
      <c r="AW935" s="1"/>
      <c r="AY935" s="2"/>
    </row>
    <row r="936">
      <c r="A936" s="1"/>
      <c r="C936" s="1"/>
      <c r="E936" s="1"/>
      <c r="F936" s="1"/>
      <c r="G936" s="2"/>
      <c r="H936" s="1"/>
      <c r="I936" s="1"/>
      <c r="J936" s="1"/>
      <c r="K936" s="1"/>
      <c r="M936" s="1"/>
      <c r="N936" s="1"/>
      <c r="O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2"/>
      <c r="AB936" s="1"/>
      <c r="AC936" s="1"/>
      <c r="AD936" s="1"/>
      <c r="AE936" s="1"/>
      <c r="AF936" s="1"/>
      <c r="AG936" s="1"/>
      <c r="AH936" s="2"/>
      <c r="AI936" s="2"/>
      <c r="AJ936" s="2"/>
      <c r="AK936" s="2"/>
      <c r="AL936" s="2"/>
      <c r="AM936" s="1"/>
      <c r="AN936" s="2"/>
      <c r="AP936" s="2"/>
      <c r="AQ936" s="1"/>
      <c r="AR936" s="2"/>
      <c r="AU936" s="1"/>
      <c r="AW936" s="1"/>
      <c r="AY936" s="2"/>
    </row>
    <row r="937">
      <c r="A937" s="1"/>
      <c r="C937" s="1"/>
      <c r="E937" s="1"/>
      <c r="F937" s="1"/>
      <c r="G937" s="2"/>
      <c r="H937" s="1"/>
      <c r="I937" s="1"/>
      <c r="J937" s="1"/>
      <c r="K937" s="1"/>
      <c r="M937" s="1"/>
      <c r="N937" s="1"/>
      <c r="O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2"/>
      <c r="AB937" s="1"/>
      <c r="AC937" s="1"/>
      <c r="AD937" s="1"/>
      <c r="AE937" s="1"/>
      <c r="AF937" s="1"/>
      <c r="AG937" s="1"/>
      <c r="AH937" s="2"/>
      <c r="AI937" s="2"/>
      <c r="AJ937" s="2"/>
      <c r="AK937" s="2"/>
      <c r="AL937" s="2"/>
      <c r="AM937" s="1"/>
      <c r="AN937" s="2"/>
      <c r="AP937" s="2"/>
      <c r="AQ937" s="1"/>
      <c r="AR937" s="2"/>
      <c r="AU937" s="1"/>
      <c r="AW937" s="1"/>
      <c r="AY937" s="2"/>
    </row>
    <row r="938">
      <c r="A938" s="1"/>
      <c r="C938" s="1"/>
      <c r="E938" s="1"/>
      <c r="F938" s="1"/>
      <c r="G938" s="2"/>
      <c r="H938" s="1"/>
      <c r="I938" s="1"/>
      <c r="J938" s="1"/>
      <c r="K938" s="1"/>
      <c r="M938" s="1"/>
      <c r="N938" s="1"/>
      <c r="O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2"/>
      <c r="AB938" s="1"/>
      <c r="AC938" s="1"/>
      <c r="AD938" s="1"/>
      <c r="AE938" s="1"/>
      <c r="AF938" s="1"/>
      <c r="AG938" s="1"/>
      <c r="AH938" s="2"/>
      <c r="AI938" s="2"/>
      <c r="AJ938" s="2"/>
      <c r="AK938" s="2"/>
      <c r="AL938" s="2"/>
      <c r="AM938" s="1"/>
      <c r="AN938" s="2"/>
      <c r="AP938" s="2"/>
      <c r="AQ938" s="1"/>
      <c r="AR938" s="2"/>
      <c r="AU938" s="1"/>
      <c r="AW938" s="1"/>
      <c r="AY938" s="2"/>
    </row>
    <row r="939">
      <c r="A939" s="1"/>
      <c r="C939" s="1"/>
      <c r="E939" s="1"/>
      <c r="F939" s="1"/>
      <c r="G939" s="2"/>
      <c r="H939" s="1"/>
      <c r="I939" s="1"/>
      <c r="J939" s="1"/>
      <c r="K939" s="1"/>
      <c r="M939" s="1"/>
      <c r="N939" s="1"/>
      <c r="O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2"/>
      <c r="AB939" s="1"/>
      <c r="AC939" s="1"/>
      <c r="AD939" s="1"/>
      <c r="AE939" s="1"/>
      <c r="AF939" s="1"/>
      <c r="AG939" s="1"/>
      <c r="AH939" s="2"/>
      <c r="AI939" s="2"/>
      <c r="AJ939" s="2"/>
      <c r="AK939" s="2"/>
      <c r="AL939" s="2"/>
      <c r="AM939" s="1"/>
      <c r="AN939" s="2"/>
      <c r="AP939" s="2"/>
      <c r="AQ939" s="1"/>
      <c r="AR939" s="2"/>
      <c r="AU939" s="1"/>
      <c r="AW939" s="1"/>
      <c r="AY939" s="2"/>
    </row>
    <row r="940">
      <c r="A940" s="1"/>
      <c r="C940" s="1"/>
      <c r="E940" s="1"/>
      <c r="F940" s="1"/>
      <c r="G940" s="2"/>
      <c r="H940" s="1"/>
      <c r="I940" s="1"/>
      <c r="J940" s="1"/>
      <c r="K940" s="1"/>
      <c r="M940" s="1"/>
      <c r="N940" s="1"/>
      <c r="O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2"/>
      <c r="AB940" s="1"/>
      <c r="AC940" s="1"/>
      <c r="AD940" s="1"/>
      <c r="AE940" s="1"/>
      <c r="AF940" s="1"/>
      <c r="AG940" s="1"/>
      <c r="AH940" s="2"/>
      <c r="AI940" s="2"/>
      <c r="AJ940" s="2"/>
      <c r="AK940" s="2"/>
      <c r="AL940" s="2"/>
      <c r="AM940" s="1"/>
      <c r="AN940" s="2"/>
      <c r="AP940" s="2"/>
      <c r="AQ940" s="1"/>
      <c r="AR940" s="2"/>
      <c r="AU940" s="1"/>
      <c r="AW940" s="1"/>
      <c r="AY940" s="2"/>
    </row>
    <row r="941">
      <c r="A941" s="1"/>
      <c r="C941" s="1"/>
      <c r="E941" s="1"/>
      <c r="F941" s="1"/>
      <c r="G941" s="2"/>
      <c r="H941" s="1"/>
      <c r="I941" s="1"/>
      <c r="J941" s="1"/>
      <c r="K941" s="1"/>
      <c r="M941" s="1"/>
      <c r="N941" s="1"/>
      <c r="O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2"/>
      <c r="AB941" s="1"/>
      <c r="AC941" s="1"/>
      <c r="AD941" s="1"/>
      <c r="AE941" s="1"/>
      <c r="AF941" s="1"/>
      <c r="AG941" s="1"/>
      <c r="AH941" s="2"/>
      <c r="AI941" s="2"/>
      <c r="AJ941" s="2"/>
      <c r="AK941" s="2"/>
      <c r="AL941" s="2"/>
      <c r="AM941" s="1"/>
      <c r="AN941" s="2"/>
      <c r="AP941" s="2"/>
      <c r="AQ941" s="1"/>
      <c r="AR941" s="2"/>
      <c r="AU941" s="1"/>
      <c r="AW941" s="1"/>
      <c r="AY941" s="2"/>
    </row>
    <row r="942">
      <c r="A942" s="1"/>
      <c r="C942" s="1"/>
      <c r="E942" s="1"/>
      <c r="F942" s="1"/>
      <c r="G942" s="2"/>
      <c r="H942" s="1"/>
      <c r="I942" s="1"/>
      <c r="J942" s="1"/>
      <c r="K942" s="1"/>
      <c r="M942" s="1"/>
      <c r="N942" s="1"/>
      <c r="O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2"/>
      <c r="AB942" s="1"/>
      <c r="AC942" s="1"/>
      <c r="AD942" s="1"/>
      <c r="AE942" s="1"/>
      <c r="AF942" s="1"/>
      <c r="AG942" s="1"/>
      <c r="AH942" s="2"/>
      <c r="AI942" s="2"/>
      <c r="AJ942" s="2"/>
      <c r="AK942" s="2"/>
      <c r="AL942" s="2"/>
      <c r="AM942" s="1"/>
      <c r="AN942" s="2"/>
      <c r="AP942" s="2"/>
      <c r="AQ942" s="1"/>
      <c r="AR942" s="2"/>
      <c r="AU942" s="1"/>
      <c r="AW942" s="1"/>
      <c r="AY942" s="2"/>
    </row>
    <row r="943">
      <c r="A943" s="1"/>
      <c r="C943" s="1"/>
      <c r="E943" s="1"/>
      <c r="F943" s="1"/>
      <c r="G943" s="2"/>
      <c r="H943" s="1"/>
      <c r="I943" s="1"/>
      <c r="J943" s="1"/>
      <c r="K943" s="1"/>
      <c r="M943" s="1"/>
      <c r="N943" s="1"/>
      <c r="O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2"/>
      <c r="AB943" s="1"/>
      <c r="AC943" s="1"/>
      <c r="AD943" s="1"/>
      <c r="AE943" s="1"/>
      <c r="AF943" s="1"/>
      <c r="AG943" s="1"/>
      <c r="AH943" s="2"/>
      <c r="AI943" s="2"/>
      <c r="AJ943" s="2"/>
      <c r="AK943" s="2"/>
      <c r="AL943" s="2"/>
      <c r="AM943" s="1"/>
      <c r="AN943" s="2"/>
      <c r="AP943" s="2"/>
      <c r="AQ943" s="1"/>
      <c r="AR943" s="2"/>
      <c r="AU943" s="1"/>
      <c r="AW943" s="1"/>
      <c r="AY943" s="2"/>
    </row>
    <row r="944">
      <c r="A944" s="1"/>
      <c r="C944" s="1"/>
      <c r="E944" s="1"/>
      <c r="F944" s="1"/>
      <c r="G944" s="2"/>
      <c r="H944" s="1"/>
      <c r="I944" s="1"/>
      <c r="J944" s="1"/>
      <c r="K944" s="1"/>
      <c r="M944" s="1"/>
      <c r="N944" s="1"/>
      <c r="O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2"/>
      <c r="AB944" s="1"/>
      <c r="AC944" s="1"/>
      <c r="AD944" s="1"/>
      <c r="AE944" s="1"/>
      <c r="AF944" s="1"/>
      <c r="AG944" s="1"/>
      <c r="AH944" s="2"/>
      <c r="AI944" s="2"/>
      <c r="AJ944" s="2"/>
      <c r="AK944" s="2"/>
      <c r="AL944" s="2"/>
      <c r="AM944" s="1"/>
      <c r="AN944" s="2"/>
      <c r="AP944" s="2"/>
      <c r="AQ944" s="1"/>
      <c r="AR944" s="2"/>
      <c r="AU944" s="1"/>
      <c r="AW944" s="1"/>
      <c r="AY944" s="2"/>
    </row>
    <row r="945">
      <c r="A945" s="1"/>
      <c r="C945" s="1"/>
      <c r="E945" s="1"/>
      <c r="F945" s="1"/>
      <c r="G945" s="2"/>
      <c r="H945" s="1"/>
      <c r="I945" s="1"/>
      <c r="J945" s="1"/>
      <c r="K945" s="1"/>
      <c r="M945" s="1"/>
      <c r="N945" s="1"/>
      <c r="O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2"/>
      <c r="AB945" s="1"/>
      <c r="AC945" s="1"/>
      <c r="AD945" s="1"/>
      <c r="AE945" s="1"/>
      <c r="AF945" s="1"/>
      <c r="AG945" s="1"/>
      <c r="AH945" s="2"/>
      <c r="AI945" s="2"/>
      <c r="AJ945" s="2"/>
      <c r="AK945" s="2"/>
      <c r="AL945" s="2"/>
      <c r="AM945" s="1"/>
      <c r="AN945" s="2"/>
      <c r="AP945" s="2"/>
      <c r="AQ945" s="1"/>
      <c r="AR945" s="2"/>
      <c r="AU945" s="1"/>
      <c r="AW945" s="1"/>
      <c r="AY945" s="2"/>
    </row>
    <row r="946">
      <c r="A946" s="1"/>
      <c r="C946" s="1"/>
      <c r="E946" s="1"/>
      <c r="F946" s="1"/>
      <c r="G946" s="2"/>
      <c r="H946" s="1"/>
      <c r="I946" s="1"/>
      <c r="J946" s="1"/>
      <c r="K946" s="1"/>
      <c r="M946" s="1"/>
      <c r="N946" s="1"/>
      <c r="O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2"/>
      <c r="AB946" s="1"/>
      <c r="AC946" s="1"/>
      <c r="AD946" s="1"/>
      <c r="AE946" s="1"/>
      <c r="AF946" s="1"/>
      <c r="AG946" s="1"/>
      <c r="AH946" s="2"/>
      <c r="AI946" s="2"/>
      <c r="AJ946" s="2"/>
      <c r="AK946" s="2"/>
      <c r="AL946" s="2"/>
      <c r="AM946" s="1"/>
      <c r="AN946" s="2"/>
      <c r="AP946" s="2"/>
      <c r="AQ946" s="1"/>
      <c r="AR946" s="2"/>
      <c r="AU946" s="1"/>
      <c r="AW946" s="1"/>
      <c r="AY946" s="2"/>
    </row>
    <row r="947">
      <c r="A947" s="1"/>
      <c r="C947" s="1"/>
      <c r="E947" s="1"/>
      <c r="F947" s="1"/>
      <c r="G947" s="2"/>
      <c r="H947" s="1"/>
      <c r="I947" s="1"/>
      <c r="J947" s="1"/>
      <c r="K947" s="1"/>
      <c r="M947" s="1"/>
      <c r="N947" s="1"/>
      <c r="O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2"/>
      <c r="AB947" s="1"/>
      <c r="AC947" s="1"/>
      <c r="AD947" s="1"/>
      <c r="AE947" s="1"/>
      <c r="AF947" s="1"/>
      <c r="AG947" s="1"/>
      <c r="AH947" s="2"/>
      <c r="AI947" s="2"/>
      <c r="AJ947" s="2"/>
      <c r="AK947" s="2"/>
      <c r="AL947" s="2"/>
      <c r="AM947" s="1"/>
      <c r="AN947" s="2"/>
      <c r="AP947" s="2"/>
      <c r="AQ947" s="1"/>
      <c r="AR947" s="2"/>
      <c r="AU947" s="1"/>
      <c r="AW947" s="1"/>
      <c r="AY947" s="2"/>
    </row>
    <row r="948">
      <c r="A948" s="1"/>
      <c r="C948" s="1"/>
      <c r="E948" s="1"/>
      <c r="F948" s="1"/>
      <c r="G948" s="2"/>
      <c r="H948" s="1"/>
      <c r="I948" s="1"/>
      <c r="J948" s="1"/>
      <c r="K948" s="1"/>
      <c r="M948" s="1"/>
      <c r="N948" s="1"/>
      <c r="O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2"/>
      <c r="AB948" s="1"/>
      <c r="AC948" s="1"/>
      <c r="AD948" s="1"/>
      <c r="AE948" s="1"/>
      <c r="AF948" s="1"/>
      <c r="AG948" s="1"/>
      <c r="AH948" s="2"/>
      <c r="AI948" s="2"/>
      <c r="AJ948" s="2"/>
      <c r="AK948" s="2"/>
      <c r="AL948" s="2"/>
      <c r="AM948" s="1"/>
      <c r="AN948" s="2"/>
      <c r="AP948" s="2"/>
      <c r="AQ948" s="1"/>
      <c r="AR948" s="2"/>
      <c r="AU948" s="1"/>
      <c r="AW948" s="1"/>
      <c r="AY948" s="2"/>
    </row>
    <row r="949">
      <c r="A949" s="1"/>
      <c r="C949" s="1"/>
      <c r="E949" s="1"/>
      <c r="F949" s="1"/>
      <c r="G949" s="2"/>
      <c r="H949" s="1"/>
      <c r="I949" s="1"/>
      <c r="J949" s="1"/>
      <c r="K949" s="1"/>
      <c r="M949" s="1"/>
      <c r="N949" s="1"/>
      <c r="O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2"/>
      <c r="AB949" s="1"/>
      <c r="AC949" s="1"/>
      <c r="AD949" s="1"/>
      <c r="AE949" s="1"/>
      <c r="AF949" s="1"/>
      <c r="AG949" s="1"/>
      <c r="AH949" s="2"/>
      <c r="AI949" s="2"/>
      <c r="AJ949" s="2"/>
      <c r="AK949" s="2"/>
      <c r="AL949" s="2"/>
      <c r="AM949" s="1"/>
      <c r="AN949" s="2"/>
      <c r="AP949" s="2"/>
      <c r="AQ949" s="1"/>
      <c r="AR949" s="2"/>
      <c r="AU949" s="1"/>
      <c r="AW949" s="1"/>
      <c r="AY949" s="2"/>
    </row>
    <row r="950">
      <c r="A950" s="1"/>
      <c r="C950" s="1"/>
      <c r="E950" s="1"/>
      <c r="F950" s="1"/>
      <c r="G950" s="2"/>
      <c r="H950" s="1"/>
      <c r="I950" s="1"/>
      <c r="J950" s="1"/>
      <c r="K950" s="1"/>
      <c r="M950" s="1"/>
      <c r="N950" s="1"/>
      <c r="O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2"/>
      <c r="AB950" s="1"/>
      <c r="AC950" s="1"/>
      <c r="AD950" s="1"/>
      <c r="AE950" s="1"/>
      <c r="AF950" s="1"/>
      <c r="AG950" s="1"/>
      <c r="AH950" s="2"/>
      <c r="AI950" s="2"/>
      <c r="AJ950" s="2"/>
      <c r="AK950" s="2"/>
      <c r="AL950" s="2"/>
      <c r="AM950" s="1"/>
      <c r="AN950" s="2"/>
      <c r="AP950" s="2"/>
      <c r="AQ950" s="1"/>
      <c r="AR950" s="2"/>
      <c r="AU950" s="1"/>
      <c r="AW950" s="1"/>
      <c r="AY950" s="2"/>
    </row>
    <row r="951">
      <c r="A951" s="1"/>
      <c r="C951" s="1"/>
      <c r="E951" s="1"/>
      <c r="F951" s="1"/>
      <c r="G951" s="2"/>
      <c r="H951" s="1"/>
      <c r="I951" s="1"/>
      <c r="J951" s="1"/>
      <c r="K951" s="1"/>
      <c r="M951" s="1"/>
      <c r="N951" s="1"/>
      <c r="O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2"/>
      <c r="AB951" s="1"/>
      <c r="AC951" s="1"/>
      <c r="AD951" s="1"/>
      <c r="AE951" s="1"/>
      <c r="AF951" s="1"/>
      <c r="AG951" s="1"/>
      <c r="AH951" s="2"/>
      <c r="AI951" s="2"/>
      <c r="AJ951" s="2"/>
      <c r="AK951" s="2"/>
      <c r="AL951" s="2"/>
      <c r="AM951" s="1"/>
      <c r="AN951" s="2"/>
      <c r="AP951" s="2"/>
      <c r="AQ951" s="1"/>
      <c r="AR951" s="2"/>
      <c r="AU951" s="1"/>
      <c r="AW951" s="1"/>
      <c r="AY951" s="2"/>
    </row>
    <row r="952">
      <c r="A952" s="1"/>
      <c r="C952" s="1"/>
      <c r="E952" s="1"/>
      <c r="F952" s="1"/>
      <c r="G952" s="2"/>
      <c r="H952" s="1"/>
      <c r="I952" s="1"/>
      <c r="J952" s="1"/>
      <c r="K952" s="1"/>
      <c r="M952" s="1"/>
      <c r="N952" s="1"/>
      <c r="O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2"/>
      <c r="AB952" s="1"/>
      <c r="AC952" s="1"/>
      <c r="AD952" s="1"/>
      <c r="AE952" s="1"/>
      <c r="AF952" s="1"/>
      <c r="AG952" s="1"/>
      <c r="AH952" s="2"/>
      <c r="AI952" s="2"/>
      <c r="AJ952" s="2"/>
      <c r="AK952" s="2"/>
      <c r="AL952" s="2"/>
      <c r="AM952" s="1"/>
      <c r="AN952" s="2"/>
      <c r="AP952" s="2"/>
      <c r="AQ952" s="1"/>
      <c r="AR952" s="2"/>
      <c r="AU952" s="1"/>
      <c r="AW952" s="1"/>
      <c r="AY952" s="2"/>
    </row>
    <row r="953">
      <c r="A953" s="1"/>
      <c r="C953" s="1"/>
      <c r="E953" s="1"/>
      <c r="F953" s="1"/>
      <c r="G953" s="2"/>
      <c r="H953" s="1"/>
      <c r="I953" s="1"/>
      <c r="J953" s="1"/>
      <c r="K953" s="1"/>
      <c r="M953" s="1"/>
      <c r="N953" s="1"/>
      <c r="O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2"/>
      <c r="AB953" s="1"/>
      <c r="AC953" s="1"/>
      <c r="AD953" s="1"/>
      <c r="AE953" s="1"/>
      <c r="AF953" s="1"/>
      <c r="AG953" s="1"/>
      <c r="AH953" s="2"/>
      <c r="AI953" s="2"/>
      <c r="AJ953" s="2"/>
      <c r="AK953" s="2"/>
      <c r="AL953" s="2"/>
      <c r="AM953" s="1"/>
      <c r="AN953" s="2"/>
      <c r="AP953" s="2"/>
      <c r="AQ953" s="1"/>
      <c r="AR953" s="2"/>
      <c r="AU953" s="1"/>
      <c r="AW953" s="1"/>
      <c r="AY953" s="2"/>
    </row>
    <row r="954">
      <c r="A954" s="1"/>
      <c r="C954" s="1"/>
      <c r="E954" s="1"/>
      <c r="F954" s="1"/>
      <c r="G954" s="2"/>
      <c r="H954" s="1"/>
      <c r="I954" s="1"/>
      <c r="J954" s="1"/>
      <c r="K954" s="1"/>
      <c r="M954" s="1"/>
      <c r="N954" s="1"/>
      <c r="O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2"/>
      <c r="AB954" s="1"/>
      <c r="AC954" s="1"/>
      <c r="AD954" s="1"/>
      <c r="AE954" s="1"/>
      <c r="AF954" s="1"/>
      <c r="AG954" s="1"/>
      <c r="AH954" s="2"/>
      <c r="AI954" s="2"/>
      <c r="AJ954" s="2"/>
      <c r="AK954" s="2"/>
      <c r="AL954" s="2"/>
      <c r="AM954" s="1"/>
      <c r="AN954" s="2"/>
      <c r="AP954" s="2"/>
      <c r="AQ954" s="1"/>
      <c r="AR954" s="2"/>
      <c r="AU954" s="1"/>
      <c r="AW954" s="1"/>
      <c r="AY954" s="2"/>
    </row>
    <row r="955">
      <c r="A955" s="1"/>
      <c r="C955" s="1"/>
      <c r="E955" s="1"/>
      <c r="F955" s="1"/>
      <c r="G955" s="2"/>
      <c r="H955" s="1"/>
      <c r="I955" s="1"/>
      <c r="J955" s="1"/>
      <c r="K955" s="1"/>
      <c r="M955" s="1"/>
      <c r="N955" s="1"/>
      <c r="O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2"/>
      <c r="AB955" s="1"/>
      <c r="AC955" s="1"/>
      <c r="AD955" s="1"/>
      <c r="AE955" s="1"/>
      <c r="AF955" s="1"/>
      <c r="AG955" s="1"/>
      <c r="AH955" s="2"/>
      <c r="AI955" s="2"/>
      <c r="AJ955" s="2"/>
      <c r="AK955" s="2"/>
      <c r="AL955" s="2"/>
      <c r="AM955" s="1"/>
      <c r="AN955" s="2"/>
      <c r="AP955" s="2"/>
      <c r="AQ955" s="1"/>
      <c r="AR955" s="2"/>
      <c r="AU955" s="1"/>
      <c r="AW955" s="1"/>
      <c r="AY955" s="2"/>
    </row>
    <row r="956">
      <c r="A956" s="1"/>
      <c r="C956" s="1"/>
      <c r="E956" s="1"/>
      <c r="F956" s="1"/>
      <c r="G956" s="2"/>
      <c r="H956" s="1"/>
      <c r="I956" s="1"/>
      <c r="J956" s="1"/>
      <c r="K956" s="1"/>
      <c r="M956" s="1"/>
      <c r="N956" s="1"/>
      <c r="O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2"/>
      <c r="AB956" s="1"/>
      <c r="AC956" s="1"/>
      <c r="AD956" s="1"/>
      <c r="AE956" s="1"/>
      <c r="AF956" s="1"/>
      <c r="AG956" s="1"/>
      <c r="AH956" s="2"/>
      <c r="AI956" s="2"/>
      <c r="AJ956" s="2"/>
      <c r="AK956" s="2"/>
      <c r="AL956" s="2"/>
      <c r="AM956" s="1"/>
      <c r="AN956" s="2"/>
      <c r="AP956" s="2"/>
      <c r="AQ956" s="1"/>
      <c r="AR956" s="2"/>
      <c r="AU956" s="1"/>
      <c r="AW956" s="1"/>
      <c r="AY956" s="2"/>
    </row>
    <row r="957">
      <c r="A957" s="1"/>
      <c r="C957" s="1"/>
      <c r="E957" s="1"/>
      <c r="F957" s="1"/>
      <c r="G957" s="2"/>
      <c r="H957" s="1"/>
      <c r="I957" s="1"/>
      <c r="J957" s="1"/>
      <c r="K957" s="1"/>
      <c r="M957" s="1"/>
      <c r="N957" s="1"/>
      <c r="O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2"/>
      <c r="AB957" s="1"/>
      <c r="AC957" s="1"/>
      <c r="AD957" s="1"/>
      <c r="AE957" s="1"/>
      <c r="AF957" s="1"/>
      <c r="AG957" s="1"/>
      <c r="AH957" s="2"/>
      <c r="AI957" s="2"/>
      <c r="AJ957" s="2"/>
      <c r="AK957" s="2"/>
      <c r="AL957" s="2"/>
      <c r="AM957" s="1"/>
      <c r="AN957" s="2"/>
      <c r="AP957" s="2"/>
      <c r="AQ957" s="1"/>
      <c r="AR957" s="2"/>
      <c r="AU957" s="1"/>
      <c r="AW957" s="1"/>
      <c r="AY957" s="2"/>
    </row>
    <row r="958">
      <c r="A958" s="1"/>
      <c r="C958" s="1"/>
      <c r="E958" s="1"/>
      <c r="F958" s="1"/>
      <c r="G958" s="2"/>
      <c r="H958" s="1"/>
      <c r="I958" s="1"/>
      <c r="J958" s="1"/>
      <c r="K958" s="1"/>
      <c r="M958" s="1"/>
      <c r="N958" s="1"/>
      <c r="O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2"/>
      <c r="AB958" s="1"/>
      <c r="AC958" s="1"/>
      <c r="AD958" s="1"/>
      <c r="AE958" s="1"/>
      <c r="AF958" s="1"/>
      <c r="AG958" s="1"/>
      <c r="AH958" s="2"/>
      <c r="AI958" s="2"/>
      <c r="AJ958" s="2"/>
      <c r="AK958" s="2"/>
      <c r="AL958" s="2"/>
      <c r="AM958" s="1"/>
      <c r="AN958" s="2"/>
      <c r="AP958" s="2"/>
      <c r="AQ958" s="1"/>
      <c r="AR958" s="2"/>
      <c r="AU958" s="1"/>
      <c r="AW958" s="1"/>
      <c r="AY958" s="2"/>
    </row>
    <row r="959">
      <c r="A959" s="1"/>
      <c r="C959" s="1"/>
      <c r="E959" s="1"/>
      <c r="F959" s="1"/>
      <c r="G959" s="2"/>
      <c r="H959" s="1"/>
      <c r="I959" s="1"/>
      <c r="J959" s="1"/>
      <c r="K959" s="1"/>
      <c r="M959" s="1"/>
      <c r="N959" s="1"/>
      <c r="O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2"/>
      <c r="AB959" s="1"/>
      <c r="AC959" s="1"/>
      <c r="AD959" s="1"/>
      <c r="AE959" s="1"/>
      <c r="AF959" s="1"/>
      <c r="AG959" s="1"/>
      <c r="AH959" s="2"/>
      <c r="AI959" s="2"/>
      <c r="AJ959" s="2"/>
      <c r="AK959" s="2"/>
      <c r="AL959" s="2"/>
      <c r="AM959" s="1"/>
      <c r="AN959" s="2"/>
      <c r="AP959" s="2"/>
      <c r="AQ959" s="1"/>
      <c r="AR959" s="2"/>
      <c r="AU959" s="1"/>
      <c r="AW959" s="1"/>
      <c r="AY959" s="2"/>
    </row>
    <row r="960">
      <c r="A960" s="1"/>
      <c r="C960" s="1"/>
      <c r="E960" s="1"/>
      <c r="F960" s="1"/>
      <c r="G960" s="2"/>
      <c r="H960" s="1"/>
      <c r="I960" s="1"/>
      <c r="J960" s="1"/>
      <c r="K960" s="1"/>
      <c r="M960" s="1"/>
      <c r="N960" s="1"/>
      <c r="O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2"/>
      <c r="AB960" s="1"/>
      <c r="AC960" s="1"/>
      <c r="AD960" s="1"/>
      <c r="AE960" s="1"/>
      <c r="AF960" s="1"/>
      <c r="AG960" s="1"/>
      <c r="AH960" s="2"/>
      <c r="AI960" s="2"/>
      <c r="AJ960" s="2"/>
      <c r="AK960" s="2"/>
      <c r="AL960" s="2"/>
      <c r="AM960" s="1"/>
      <c r="AN960" s="2"/>
      <c r="AP960" s="2"/>
      <c r="AQ960" s="1"/>
      <c r="AR960" s="2"/>
      <c r="AU960" s="1"/>
      <c r="AW960" s="1"/>
      <c r="AY960" s="2"/>
    </row>
    <row r="961">
      <c r="A961" s="1"/>
      <c r="C961" s="1"/>
      <c r="E961" s="1"/>
      <c r="F961" s="1"/>
      <c r="G961" s="2"/>
      <c r="H961" s="1"/>
      <c r="I961" s="1"/>
      <c r="J961" s="1"/>
      <c r="K961" s="1"/>
      <c r="M961" s="1"/>
      <c r="N961" s="1"/>
      <c r="O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2"/>
      <c r="AB961" s="1"/>
      <c r="AC961" s="1"/>
      <c r="AD961" s="1"/>
      <c r="AE961" s="1"/>
      <c r="AF961" s="1"/>
      <c r="AG961" s="1"/>
      <c r="AH961" s="2"/>
      <c r="AI961" s="2"/>
      <c r="AJ961" s="2"/>
      <c r="AK961" s="2"/>
      <c r="AL961" s="2"/>
      <c r="AM961" s="1"/>
      <c r="AN961" s="2"/>
      <c r="AP961" s="2"/>
      <c r="AQ961" s="1"/>
      <c r="AR961" s="2"/>
      <c r="AU961" s="1"/>
      <c r="AW961" s="1"/>
      <c r="AY961" s="2"/>
    </row>
    <row r="962">
      <c r="A962" s="1"/>
      <c r="C962" s="1"/>
      <c r="E962" s="1"/>
      <c r="F962" s="1"/>
      <c r="G962" s="2"/>
      <c r="H962" s="1"/>
      <c r="I962" s="1"/>
      <c r="J962" s="1"/>
      <c r="K962" s="1"/>
      <c r="M962" s="1"/>
      <c r="N962" s="1"/>
      <c r="O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2"/>
      <c r="AB962" s="1"/>
      <c r="AC962" s="1"/>
      <c r="AD962" s="1"/>
      <c r="AE962" s="1"/>
      <c r="AF962" s="1"/>
      <c r="AG962" s="1"/>
      <c r="AH962" s="2"/>
      <c r="AI962" s="2"/>
      <c r="AJ962" s="2"/>
      <c r="AK962" s="2"/>
      <c r="AL962" s="2"/>
      <c r="AM962" s="1"/>
      <c r="AN962" s="2"/>
      <c r="AP962" s="2"/>
      <c r="AQ962" s="1"/>
      <c r="AR962" s="2"/>
      <c r="AU962" s="1"/>
      <c r="AW962" s="1"/>
      <c r="AY962" s="2"/>
    </row>
    <row r="963">
      <c r="A963" s="1"/>
      <c r="C963" s="1"/>
      <c r="E963" s="1"/>
      <c r="F963" s="1"/>
      <c r="G963" s="2"/>
      <c r="H963" s="1"/>
      <c r="I963" s="1"/>
      <c r="J963" s="1"/>
      <c r="K963" s="1"/>
      <c r="M963" s="1"/>
      <c r="N963" s="1"/>
      <c r="O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2"/>
      <c r="AB963" s="1"/>
      <c r="AC963" s="1"/>
      <c r="AD963" s="1"/>
      <c r="AE963" s="1"/>
      <c r="AF963" s="1"/>
      <c r="AG963" s="1"/>
      <c r="AH963" s="2"/>
      <c r="AI963" s="2"/>
      <c r="AJ963" s="2"/>
      <c r="AK963" s="2"/>
      <c r="AL963" s="2"/>
      <c r="AM963" s="1"/>
      <c r="AN963" s="2"/>
      <c r="AP963" s="2"/>
      <c r="AQ963" s="1"/>
      <c r="AR963" s="2"/>
      <c r="AU963" s="1"/>
      <c r="AW963" s="1"/>
      <c r="AY963" s="2"/>
    </row>
    <row r="964">
      <c r="A964" s="1"/>
      <c r="C964" s="1"/>
      <c r="E964" s="1"/>
      <c r="F964" s="1"/>
      <c r="G964" s="2"/>
      <c r="H964" s="1"/>
      <c r="I964" s="1"/>
      <c r="J964" s="1"/>
      <c r="K964" s="1"/>
      <c r="M964" s="1"/>
      <c r="N964" s="1"/>
      <c r="O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2"/>
      <c r="AB964" s="1"/>
      <c r="AC964" s="1"/>
      <c r="AD964" s="1"/>
      <c r="AE964" s="1"/>
      <c r="AF964" s="1"/>
      <c r="AG964" s="1"/>
      <c r="AH964" s="2"/>
      <c r="AI964" s="2"/>
      <c r="AJ964" s="2"/>
      <c r="AK964" s="2"/>
      <c r="AL964" s="2"/>
      <c r="AM964" s="1"/>
      <c r="AN964" s="2"/>
      <c r="AP964" s="2"/>
      <c r="AQ964" s="1"/>
      <c r="AR964" s="2"/>
      <c r="AU964" s="1"/>
      <c r="AW964" s="1"/>
      <c r="AY964" s="2"/>
    </row>
    <row r="965">
      <c r="A965" s="1"/>
      <c r="C965" s="1"/>
      <c r="E965" s="1"/>
      <c r="F965" s="1"/>
      <c r="G965" s="2"/>
      <c r="H965" s="1"/>
      <c r="I965" s="1"/>
      <c r="J965" s="1"/>
      <c r="K965" s="1"/>
      <c r="M965" s="1"/>
      <c r="N965" s="1"/>
      <c r="O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2"/>
      <c r="AB965" s="1"/>
      <c r="AC965" s="1"/>
      <c r="AD965" s="1"/>
      <c r="AE965" s="1"/>
      <c r="AF965" s="1"/>
      <c r="AG965" s="1"/>
      <c r="AH965" s="2"/>
      <c r="AI965" s="2"/>
      <c r="AJ965" s="2"/>
      <c r="AK965" s="2"/>
      <c r="AL965" s="2"/>
      <c r="AM965" s="1"/>
      <c r="AN965" s="2"/>
      <c r="AP965" s="2"/>
      <c r="AQ965" s="1"/>
      <c r="AR965" s="2"/>
      <c r="AU965" s="1"/>
      <c r="AW965" s="1"/>
      <c r="AY965" s="2"/>
    </row>
    <row r="966">
      <c r="A966" s="1"/>
      <c r="C966" s="1"/>
      <c r="E966" s="1"/>
      <c r="F966" s="1"/>
      <c r="G966" s="2"/>
      <c r="H966" s="1"/>
      <c r="I966" s="1"/>
      <c r="J966" s="1"/>
      <c r="K966" s="1"/>
      <c r="M966" s="1"/>
      <c r="N966" s="1"/>
      <c r="O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2"/>
      <c r="AB966" s="1"/>
      <c r="AC966" s="1"/>
      <c r="AD966" s="1"/>
      <c r="AE966" s="1"/>
      <c r="AF966" s="1"/>
      <c r="AG966" s="1"/>
      <c r="AH966" s="2"/>
      <c r="AI966" s="2"/>
      <c r="AJ966" s="2"/>
      <c r="AK966" s="2"/>
      <c r="AL966" s="2"/>
      <c r="AM966" s="1"/>
      <c r="AN966" s="2"/>
      <c r="AP966" s="2"/>
      <c r="AQ966" s="1"/>
      <c r="AR966" s="2"/>
      <c r="AU966" s="1"/>
      <c r="AW966" s="1"/>
      <c r="AY966" s="2"/>
    </row>
    <row r="967">
      <c r="A967" s="1"/>
      <c r="C967" s="1"/>
      <c r="E967" s="1"/>
      <c r="F967" s="1"/>
      <c r="G967" s="2"/>
      <c r="H967" s="1"/>
      <c r="I967" s="1"/>
      <c r="J967" s="1"/>
      <c r="K967" s="1"/>
      <c r="M967" s="1"/>
      <c r="N967" s="1"/>
      <c r="O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2"/>
      <c r="AB967" s="1"/>
      <c r="AC967" s="1"/>
      <c r="AD967" s="1"/>
      <c r="AE967" s="1"/>
      <c r="AF967" s="1"/>
      <c r="AG967" s="1"/>
      <c r="AH967" s="2"/>
      <c r="AI967" s="2"/>
      <c r="AJ967" s="2"/>
      <c r="AK967" s="2"/>
      <c r="AL967" s="2"/>
      <c r="AM967" s="1"/>
      <c r="AN967" s="2"/>
      <c r="AP967" s="2"/>
      <c r="AQ967" s="1"/>
      <c r="AR967" s="2"/>
      <c r="AU967" s="1"/>
      <c r="AW967" s="1"/>
      <c r="AY967" s="2"/>
    </row>
    <row r="968">
      <c r="A968" s="1"/>
      <c r="C968" s="1"/>
      <c r="E968" s="1"/>
      <c r="F968" s="1"/>
      <c r="G968" s="2"/>
      <c r="H968" s="1"/>
      <c r="I968" s="1"/>
      <c r="J968" s="1"/>
      <c r="K968" s="1"/>
      <c r="M968" s="1"/>
      <c r="N968" s="1"/>
      <c r="O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2"/>
      <c r="AB968" s="1"/>
      <c r="AC968" s="1"/>
      <c r="AD968" s="1"/>
      <c r="AE968" s="1"/>
      <c r="AF968" s="1"/>
      <c r="AG968" s="1"/>
      <c r="AH968" s="2"/>
      <c r="AI968" s="2"/>
      <c r="AJ968" s="2"/>
      <c r="AK968" s="2"/>
      <c r="AL968" s="2"/>
      <c r="AM968" s="1"/>
      <c r="AN968" s="2"/>
      <c r="AP968" s="2"/>
      <c r="AQ968" s="1"/>
      <c r="AR968" s="2"/>
      <c r="AU968" s="1"/>
      <c r="AW968" s="1"/>
      <c r="AY968" s="2"/>
    </row>
    <row r="969">
      <c r="A969" s="1"/>
      <c r="C969" s="1"/>
      <c r="E969" s="1"/>
      <c r="F969" s="1"/>
      <c r="G969" s="2"/>
      <c r="H969" s="1"/>
      <c r="I969" s="1"/>
      <c r="J969" s="1"/>
      <c r="K969" s="1"/>
      <c r="M969" s="1"/>
      <c r="N969" s="1"/>
      <c r="O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2"/>
      <c r="AB969" s="1"/>
      <c r="AC969" s="1"/>
      <c r="AD969" s="1"/>
      <c r="AE969" s="1"/>
      <c r="AF969" s="1"/>
      <c r="AG969" s="1"/>
      <c r="AH969" s="2"/>
      <c r="AI969" s="2"/>
      <c r="AJ969" s="2"/>
      <c r="AK969" s="2"/>
      <c r="AL969" s="2"/>
      <c r="AM969" s="1"/>
      <c r="AN969" s="2"/>
      <c r="AP969" s="2"/>
      <c r="AQ969" s="1"/>
      <c r="AR969" s="2"/>
      <c r="AU969" s="1"/>
      <c r="AW969" s="1"/>
      <c r="AY969" s="2"/>
    </row>
    <row r="970">
      <c r="A970" s="1"/>
      <c r="C970" s="1"/>
      <c r="E970" s="1"/>
      <c r="F970" s="1"/>
      <c r="G970" s="2"/>
      <c r="H970" s="1"/>
      <c r="I970" s="1"/>
      <c r="J970" s="1"/>
      <c r="K970" s="1"/>
      <c r="M970" s="1"/>
      <c r="N970" s="1"/>
      <c r="O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2"/>
      <c r="AB970" s="1"/>
      <c r="AC970" s="1"/>
      <c r="AD970" s="1"/>
      <c r="AE970" s="1"/>
      <c r="AF970" s="1"/>
      <c r="AG970" s="1"/>
      <c r="AH970" s="2"/>
      <c r="AI970" s="2"/>
      <c r="AJ970" s="2"/>
      <c r="AK970" s="2"/>
      <c r="AL970" s="2"/>
      <c r="AM970" s="1"/>
      <c r="AN970" s="2"/>
      <c r="AP970" s="2"/>
      <c r="AQ970" s="1"/>
      <c r="AR970" s="2"/>
      <c r="AU970" s="1"/>
      <c r="AW970" s="1"/>
      <c r="AY970" s="2"/>
    </row>
    <row r="971">
      <c r="A971" s="1"/>
      <c r="C971" s="1"/>
      <c r="E971" s="1"/>
      <c r="F971" s="1"/>
      <c r="G971" s="2"/>
      <c r="H971" s="1"/>
      <c r="I971" s="1"/>
      <c r="J971" s="1"/>
      <c r="K971" s="1"/>
      <c r="M971" s="1"/>
      <c r="N971" s="1"/>
      <c r="O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2"/>
      <c r="AB971" s="1"/>
      <c r="AC971" s="1"/>
      <c r="AD971" s="1"/>
      <c r="AE971" s="1"/>
      <c r="AF971" s="1"/>
      <c r="AG971" s="1"/>
      <c r="AH971" s="2"/>
      <c r="AI971" s="2"/>
      <c r="AJ971" s="2"/>
      <c r="AK971" s="2"/>
      <c r="AL971" s="2"/>
      <c r="AM971" s="1"/>
      <c r="AN971" s="2"/>
      <c r="AP971" s="2"/>
      <c r="AQ971" s="1"/>
      <c r="AR971" s="2"/>
      <c r="AU971" s="1"/>
      <c r="AW971" s="1"/>
      <c r="AY971" s="2"/>
    </row>
    <row r="972">
      <c r="A972" s="1"/>
      <c r="C972" s="1"/>
      <c r="E972" s="1"/>
      <c r="F972" s="1"/>
      <c r="G972" s="2"/>
      <c r="H972" s="1"/>
      <c r="I972" s="1"/>
      <c r="J972" s="1"/>
      <c r="K972" s="1"/>
      <c r="M972" s="1"/>
      <c r="N972" s="1"/>
      <c r="O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2"/>
      <c r="AB972" s="1"/>
      <c r="AC972" s="1"/>
      <c r="AD972" s="1"/>
      <c r="AE972" s="1"/>
      <c r="AF972" s="1"/>
      <c r="AG972" s="1"/>
      <c r="AH972" s="2"/>
      <c r="AI972" s="2"/>
      <c r="AJ972" s="2"/>
      <c r="AK972" s="2"/>
      <c r="AL972" s="2"/>
      <c r="AM972" s="1"/>
      <c r="AN972" s="2"/>
      <c r="AP972" s="2"/>
      <c r="AQ972" s="1"/>
      <c r="AR972" s="2"/>
      <c r="AU972" s="1"/>
      <c r="AW972" s="1"/>
      <c r="AY972" s="2"/>
    </row>
    <row r="973">
      <c r="A973" s="1"/>
      <c r="C973" s="1"/>
      <c r="E973" s="1"/>
      <c r="F973" s="1"/>
      <c r="G973" s="2"/>
      <c r="H973" s="1"/>
      <c r="I973" s="1"/>
      <c r="J973" s="1"/>
      <c r="K973" s="1"/>
      <c r="M973" s="1"/>
      <c r="N973" s="1"/>
      <c r="O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2"/>
      <c r="AB973" s="1"/>
      <c r="AC973" s="1"/>
      <c r="AD973" s="1"/>
      <c r="AE973" s="1"/>
      <c r="AF973" s="1"/>
      <c r="AG973" s="1"/>
      <c r="AH973" s="2"/>
      <c r="AI973" s="2"/>
      <c r="AJ973" s="2"/>
      <c r="AK973" s="2"/>
      <c r="AL973" s="2"/>
      <c r="AM973" s="1"/>
      <c r="AN973" s="2"/>
      <c r="AP973" s="2"/>
      <c r="AQ973" s="1"/>
      <c r="AR973" s="2"/>
      <c r="AU973" s="1"/>
      <c r="AW973" s="1"/>
      <c r="AY973" s="2"/>
    </row>
    <row r="974">
      <c r="A974" s="1"/>
      <c r="C974" s="1"/>
      <c r="E974" s="1"/>
      <c r="F974" s="1"/>
      <c r="G974" s="2"/>
      <c r="H974" s="1"/>
      <c r="I974" s="1"/>
      <c r="J974" s="1"/>
      <c r="K974" s="1"/>
      <c r="M974" s="1"/>
      <c r="N974" s="1"/>
      <c r="O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2"/>
      <c r="AB974" s="1"/>
      <c r="AC974" s="1"/>
      <c r="AD974" s="1"/>
      <c r="AE974" s="1"/>
      <c r="AF974" s="1"/>
      <c r="AG974" s="1"/>
      <c r="AH974" s="2"/>
      <c r="AI974" s="2"/>
      <c r="AJ974" s="2"/>
      <c r="AK974" s="2"/>
      <c r="AL974" s="2"/>
      <c r="AM974" s="1"/>
      <c r="AN974" s="2"/>
      <c r="AP974" s="2"/>
      <c r="AQ974" s="1"/>
      <c r="AR974" s="2"/>
      <c r="AU974" s="1"/>
      <c r="AW974" s="1"/>
      <c r="AY974" s="2"/>
    </row>
    <row r="975">
      <c r="A975" s="1"/>
      <c r="C975" s="1"/>
      <c r="E975" s="1"/>
      <c r="F975" s="1"/>
      <c r="G975" s="2"/>
      <c r="H975" s="1"/>
      <c r="I975" s="1"/>
      <c r="J975" s="1"/>
      <c r="K975" s="1"/>
      <c r="M975" s="1"/>
      <c r="N975" s="1"/>
      <c r="O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2"/>
      <c r="AI975" s="2"/>
      <c r="AJ975" s="2"/>
      <c r="AK975" s="2"/>
      <c r="AL975" s="2"/>
      <c r="AM975" s="1"/>
      <c r="AN975" s="2"/>
      <c r="AP975" s="2"/>
      <c r="AQ975" s="1"/>
      <c r="AR975" s="2"/>
      <c r="AU975" s="1"/>
      <c r="AW975" s="1"/>
      <c r="AY975" s="2"/>
    </row>
    <row r="976">
      <c r="A976" s="1"/>
      <c r="C976" s="1"/>
      <c r="E976" s="1"/>
      <c r="F976" s="1"/>
      <c r="G976" s="2"/>
      <c r="H976" s="1"/>
      <c r="I976" s="1"/>
      <c r="J976" s="1"/>
      <c r="K976" s="1"/>
      <c r="M976" s="1"/>
      <c r="N976" s="1"/>
      <c r="O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2"/>
      <c r="AB976" s="1"/>
      <c r="AC976" s="1"/>
      <c r="AD976" s="1"/>
      <c r="AE976" s="1"/>
      <c r="AF976" s="1"/>
      <c r="AG976" s="1"/>
      <c r="AH976" s="2"/>
      <c r="AI976" s="2"/>
      <c r="AJ976" s="2"/>
      <c r="AK976" s="2"/>
      <c r="AL976" s="2"/>
      <c r="AM976" s="1"/>
      <c r="AN976" s="2"/>
      <c r="AP976" s="2"/>
      <c r="AQ976" s="1"/>
      <c r="AR976" s="2"/>
      <c r="AU976" s="1"/>
      <c r="AW976" s="1"/>
      <c r="AY976" s="2"/>
    </row>
    <row r="977">
      <c r="A977" s="1"/>
      <c r="C977" s="1"/>
      <c r="E977" s="1"/>
      <c r="F977" s="1"/>
      <c r="G977" s="2"/>
      <c r="H977" s="1"/>
      <c r="I977" s="1"/>
      <c r="J977" s="1"/>
      <c r="K977" s="1"/>
      <c r="M977" s="1"/>
      <c r="N977" s="1"/>
      <c r="O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2"/>
      <c r="AB977" s="1"/>
      <c r="AC977" s="1"/>
      <c r="AD977" s="1"/>
      <c r="AE977" s="1"/>
      <c r="AF977" s="1"/>
      <c r="AG977" s="1"/>
      <c r="AH977" s="2"/>
      <c r="AI977" s="2"/>
      <c r="AJ977" s="2"/>
      <c r="AK977" s="2"/>
      <c r="AL977" s="2"/>
      <c r="AM977" s="1"/>
      <c r="AN977" s="2"/>
      <c r="AP977" s="2"/>
      <c r="AQ977" s="1"/>
      <c r="AR977" s="2"/>
      <c r="AU977" s="1"/>
      <c r="AW977" s="1"/>
      <c r="AY977" s="2"/>
    </row>
    <row r="978">
      <c r="A978" s="1"/>
      <c r="C978" s="1"/>
      <c r="E978" s="1"/>
      <c r="F978" s="1"/>
      <c r="G978" s="2"/>
      <c r="H978" s="1"/>
      <c r="I978" s="1"/>
      <c r="J978" s="1"/>
      <c r="K978" s="1"/>
      <c r="M978" s="1"/>
      <c r="N978" s="1"/>
      <c r="O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2"/>
      <c r="AB978" s="1"/>
      <c r="AC978" s="1"/>
      <c r="AD978" s="1"/>
      <c r="AE978" s="1"/>
      <c r="AF978" s="1"/>
      <c r="AG978" s="1"/>
      <c r="AH978" s="2"/>
      <c r="AI978" s="2"/>
      <c r="AJ978" s="2"/>
      <c r="AK978" s="2"/>
      <c r="AL978" s="2"/>
      <c r="AM978" s="1"/>
      <c r="AN978" s="2"/>
      <c r="AP978" s="2"/>
      <c r="AQ978" s="1"/>
      <c r="AR978" s="2"/>
      <c r="AU978" s="1"/>
      <c r="AW978" s="1"/>
      <c r="AY978" s="2"/>
    </row>
    <row r="979">
      <c r="A979" s="1"/>
      <c r="C979" s="1"/>
      <c r="E979" s="1"/>
      <c r="F979" s="1"/>
      <c r="G979" s="2"/>
      <c r="H979" s="1"/>
      <c r="I979" s="1"/>
      <c r="J979" s="1"/>
      <c r="K979" s="1"/>
      <c r="M979" s="1"/>
      <c r="N979" s="1"/>
      <c r="O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2"/>
      <c r="AB979" s="1"/>
      <c r="AC979" s="1"/>
      <c r="AD979" s="1"/>
      <c r="AE979" s="1"/>
      <c r="AF979" s="1"/>
      <c r="AG979" s="1"/>
      <c r="AH979" s="2"/>
      <c r="AI979" s="2"/>
      <c r="AJ979" s="2"/>
      <c r="AK979" s="2"/>
      <c r="AL979" s="2"/>
      <c r="AM979" s="1"/>
      <c r="AN979" s="2"/>
      <c r="AP979" s="2"/>
      <c r="AQ979" s="1"/>
      <c r="AR979" s="2"/>
      <c r="AU979" s="1"/>
      <c r="AW979" s="1"/>
      <c r="AY979" s="2"/>
    </row>
    <row r="980">
      <c r="A980" s="1"/>
      <c r="C980" s="1"/>
      <c r="E980" s="1"/>
      <c r="F980" s="1"/>
      <c r="G980" s="2"/>
      <c r="H980" s="1"/>
      <c r="I980" s="1"/>
      <c r="J980" s="1"/>
      <c r="K980" s="1"/>
      <c r="M980" s="1"/>
      <c r="N980" s="1"/>
      <c r="O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2"/>
      <c r="AB980" s="1"/>
      <c r="AC980" s="1"/>
      <c r="AD980" s="1"/>
      <c r="AE980" s="1"/>
      <c r="AF980" s="1"/>
      <c r="AG980" s="1"/>
      <c r="AH980" s="2"/>
      <c r="AI980" s="2"/>
      <c r="AJ980" s="2"/>
      <c r="AK980" s="2"/>
      <c r="AL980" s="2"/>
      <c r="AM980" s="1"/>
      <c r="AN980" s="2"/>
      <c r="AP980" s="2"/>
      <c r="AQ980" s="1"/>
      <c r="AR980" s="2"/>
      <c r="AU980" s="1"/>
      <c r="AW980" s="1"/>
      <c r="AY980" s="2"/>
    </row>
    <row r="981">
      <c r="A981" s="1"/>
      <c r="C981" s="1"/>
      <c r="E981" s="1"/>
      <c r="F981" s="1"/>
      <c r="G981" s="2"/>
      <c r="H981" s="1"/>
      <c r="I981" s="1"/>
      <c r="J981" s="1"/>
      <c r="K981" s="1"/>
      <c r="M981" s="1"/>
      <c r="N981" s="1"/>
      <c r="O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2"/>
      <c r="AB981" s="1"/>
      <c r="AC981" s="1"/>
      <c r="AD981" s="1"/>
      <c r="AE981" s="1"/>
      <c r="AF981" s="1"/>
      <c r="AG981" s="1"/>
      <c r="AH981" s="2"/>
      <c r="AI981" s="2"/>
      <c r="AJ981" s="2"/>
      <c r="AK981" s="2"/>
      <c r="AL981" s="2"/>
      <c r="AM981" s="1"/>
      <c r="AN981" s="2"/>
      <c r="AP981" s="2"/>
      <c r="AQ981" s="1"/>
      <c r="AR981" s="2"/>
      <c r="AU981" s="1"/>
      <c r="AW981" s="1"/>
      <c r="AY981" s="2"/>
    </row>
    <row r="982">
      <c r="A982" s="1"/>
      <c r="C982" s="1"/>
      <c r="E982" s="1"/>
      <c r="F982" s="1"/>
      <c r="G982" s="2"/>
      <c r="H982" s="1"/>
      <c r="I982" s="1"/>
      <c r="J982" s="1"/>
      <c r="K982" s="1"/>
      <c r="M982" s="1"/>
      <c r="N982" s="1"/>
      <c r="O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2"/>
      <c r="AB982" s="1"/>
      <c r="AC982" s="1"/>
      <c r="AD982" s="1"/>
      <c r="AE982" s="1"/>
      <c r="AF982" s="1"/>
      <c r="AG982" s="1"/>
      <c r="AH982" s="2"/>
      <c r="AI982" s="2"/>
      <c r="AJ982" s="2"/>
      <c r="AK982" s="2"/>
      <c r="AL982" s="2"/>
      <c r="AM982" s="1"/>
      <c r="AN982" s="2"/>
      <c r="AP982" s="2"/>
      <c r="AQ982" s="1"/>
      <c r="AR982" s="2"/>
      <c r="AU982" s="1"/>
      <c r="AW982" s="1"/>
      <c r="AY982" s="2"/>
    </row>
    <row r="983">
      <c r="A983" s="1"/>
      <c r="C983" s="1"/>
      <c r="E983" s="1"/>
      <c r="F983" s="1"/>
      <c r="G983" s="2"/>
      <c r="H983" s="1"/>
      <c r="I983" s="1"/>
      <c r="J983" s="1"/>
      <c r="K983" s="1"/>
      <c r="M983" s="1"/>
      <c r="N983" s="1"/>
      <c r="O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2"/>
      <c r="AB983" s="1"/>
      <c r="AC983" s="1"/>
      <c r="AD983" s="1"/>
      <c r="AE983" s="1"/>
      <c r="AF983" s="1"/>
      <c r="AG983" s="1"/>
      <c r="AH983" s="2"/>
      <c r="AI983" s="2"/>
      <c r="AJ983" s="2"/>
      <c r="AK983" s="2"/>
      <c r="AL983" s="2"/>
      <c r="AM983" s="1"/>
      <c r="AN983" s="2"/>
      <c r="AP983" s="2"/>
      <c r="AQ983" s="1"/>
      <c r="AR983" s="2"/>
      <c r="AU983" s="1"/>
      <c r="AW983" s="1"/>
      <c r="AY983" s="2"/>
    </row>
    <row r="984">
      <c r="A984" s="1"/>
      <c r="C984" s="1"/>
      <c r="E984" s="1"/>
      <c r="F984" s="1"/>
      <c r="G984" s="2"/>
      <c r="H984" s="1"/>
      <c r="I984" s="1"/>
      <c r="J984" s="1"/>
      <c r="K984" s="1"/>
      <c r="M984" s="1"/>
      <c r="N984" s="1"/>
      <c r="O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2"/>
      <c r="AB984" s="1"/>
      <c r="AC984" s="1"/>
      <c r="AD984" s="1"/>
      <c r="AE984" s="1"/>
      <c r="AF984" s="1"/>
      <c r="AG984" s="1"/>
      <c r="AH984" s="2"/>
      <c r="AI984" s="2"/>
      <c r="AJ984" s="2"/>
      <c r="AK984" s="2"/>
      <c r="AL984" s="2"/>
      <c r="AM984" s="1"/>
      <c r="AN984" s="2"/>
      <c r="AP984" s="2"/>
      <c r="AQ984" s="1"/>
      <c r="AR984" s="2"/>
      <c r="AU984" s="1"/>
      <c r="AW984" s="1"/>
      <c r="AY984" s="2"/>
    </row>
    <row r="985">
      <c r="A985" s="1"/>
      <c r="C985" s="1"/>
      <c r="E985" s="1"/>
      <c r="F985" s="1"/>
      <c r="G985" s="2"/>
      <c r="H985" s="1"/>
      <c r="I985" s="1"/>
      <c r="J985" s="1"/>
      <c r="K985" s="1"/>
      <c r="M985" s="1"/>
      <c r="N985" s="1"/>
      <c r="O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2"/>
      <c r="AB985" s="1"/>
      <c r="AC985" s="1"/>
      <c r="AD985" s="1"/>
      <c r="AE985" s="1"/>
      <c r="AF985" s="1"/>
      <c r="AG985" s="1"/>
      <c r="AH985" s="2"/>
      <c r="AI985" s="2"/>
      <c r="AJ985" s="2"/>
      <c r="AK985" s="2"/>
      <c r="AL985" s="2"/>
      <c r="AM985" s="1"/>
      <c r="AN985" s="2"/>
      <c r="AP985" s="2"/>
      <c r="AQ985" s="1"/>
      <c r="AR985" s="2"/>
      <c r="AU985" s="1"/>
      <c r="AW985" s="1"/>
      <c r="AY985" s="2"/>
    </row>
    <row r="986">
      <c r="A986" s="1"/>
      <c r="C986" s="1"/>
      <c r="E986" s="1"/>
      <c r="F986" s="1"/>
      <c r="G986" s="2"/>
      <c r="H986" s="1"/>
      <c r="I986" s="1"/>
      <c r="J986" s="1"/>
      <c r="K986" s="1"/>
      <c r="M986" s="1"/>
      <c r="N986" s="1"/>
      <c r="O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2"/>
      <c r="AB986" s="1"/>
      <c r="AC986" s="1"/>
      <c r="AD986" s="1"/>
      <c r="AE986" s="1"/>
      <c r="AF986" s="1"/>
      <c r="AG986" s="1"/>
      <c r="AH986" s="2"/>
      <c r="AI986" s="2"/>
      <c r="AJ986" s="2"/>
      <c r="AK986" s="2"/>
      <c r="AL986" s="2"/>
      <c r="AM986" s="1"/>
      <c r="AN986" s="2"/>
      <c r="AP986" s="2"/>
      <c r="AQ986" s="1"/>
      <c r="AR986" s="2"/>
      <c r="AU986" s="1"/>
      <c r="AW986" s="1"/>
      <c r="AY986" s="2"/>
    </row>
    <row r="987">
      <c r="A987" s="1"/>
      <c r="C987" s="1"/>
      <c r="E987" s="1"/>
      <c r="F987" s="1"/>
      <c r="G987" s="2"/>
      <c r="H987" s="1"/>
      <c r="I987" s="1"/>
      <c r="J987" s="1"/>
      <c r="K987" s="1"/>
      <c r="M987" s="1"/>
      <c r="N987" s="1"/>
      <c r="O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2"/>
      <c r="AB987" s="1"/>
      <c r="AC987" s="1"/>
      <c r="AD987" s="1"/>
      <c r="AE987" s="1"/>
      <c r="AF987" s="1"/>
      <c r="AG987" s="1"/>
      <c r="AH987" s="2"/>
      <c r="AI987" s="2"/>
      <c r="AJ987" s="2"/>
      <c r="AK987" s="2"/>
      <c r="AL987" s="2"/>
      <c r="AM987" s="1"/>
      <c r="AN987" s="2"/>
      <c r="AP987" s="2"/>
      <c r="AQ987" s="1"/>
      <c r="AR987" s="2"/>
      <c r="AU987" s="1"/>
      <c r="AW987" s="1"/>
      <c r="AY987" s="2"/>
    </row>
    <row r="988">
      <c r="A988" s="1"/>
      <c r="C988" s="1"/>
      <c r="E988" s="1"/>
      <c r="F988" s="1"/>
      <c r="G988" s="2"/>
      <c r="H988" s="1"/>
      <c r="I988" s="1"/>
      <c r="J988" s="1"/>
      <c r="K988" s="1"/>
      <c r="M988" s="1"/>
      <c r="N988" s="1"/>
      <c r="O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2"/>
      <c r="AB988" s="1"/>
      <c r="AC988" s="1"/>
      <c r="AD988" s="1"/>
      <c r="AE988" s="1"/>
      <c r="AF988" s="1"/>
      <c r="AG988" s="1"/>
      <c r="AH988" s="2"/>
      <c r="AI988" s="2"/>
      <c r="AJ988" s="2"/>
      <c r="AK988" s="2"/>
      <c r="AL988" s="2"/>
      <c r="AM988" s="1"/>
      <c r="AN988" s="2"/>
      <c r="AP988" s="2"/>
      <c r="AQ988" s="1"/>
      <c r="AR988" s="2"/>
      <c r="AU988" s="1"/>
      <c r="AW988" s="1"/>
      <c r="AY988" s="2"/>
    </row>
    <row r="989">
      <c r="A989" s="1"/>
      <c r="C989" s="1"/>
      <c r="E989" s="1"/>
      <c r="F989" s="1"/>
      <c r="G989" s="2"/>
      <c r="H989" s="1"/>
      <c r="I989" s="1"/>
      <c r="J989" s="1"/>
      <c r="K989" s="1"/>
      <c r="M989" s="1"/>
      <c r="N989" s="1"/>
      <c r="O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2"/>
      <c r="AB989" s="1"/>
      <c r="AC989" s="1"/>
      <c r="AD989" s="1"/>
      <c r="AE989" s="1"/>
      <c r="AF989" s="1"/>
      <c r="AG989" s="1"/>
      <c r="AH989" s="2"/>
      <c r="AI989" s="2"/>
      <c r="AJ989" s="2"/>
      <c r="AK989" s="2"/>
      <c r="AL989" s="2"/>
      <c r="AM989" s="1"/>
      <c r="AN989" s="2"/>
      <c r="AP989" s="2"/>
      <c r="AQ989" s="1"/>
      <c r="AR989" s="2"/>
      <c r="AU989" s="1"/>
      <c r="AW989" s="1"/>
      <c r="AY989" s="2"/>
    </row>
    <row r="990">
      <c r="A990" s="1"/>
      <c r="C990" s="1"/>
      <c r="E990" s="1"/>
      <c r="F990" s="1"/>
      <c r="G990" s="2"/>
      <c r="H990" s="1"/>
      <c r="I990" s="1"/>
      <c r="J990" s="1"/>
      <c r="K990" s="1"/>
      <c r="M990" s="1"/>
      <c r="N990" s="1"/>
      <c r="O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2"/>
      <c r="AB990" s="1"/>
      <c r="AC990" s="1"/>
      <c r="AD990" s="1"/>
      <c r="AE990" s="1"/>
      <c r="AF990" s="1"/>
      <c r="AG990" s="1"/>
      <c r="AH990" s="2"/>
      <c r="AI990" s="2"/>
      <c r="AJ990" s="2"/>
      <c r="AK990" s="2"/>
      <c r="AL990" s="2"/>
      <c r="AM990" s="1"/>
      <c r="AN990" s="2"/>
      <c r="AP990" s="2"/>
      <c r="AQ990" s="1"/>
      <c r="AR990" s="2"/>
      <c r="AU990" s="1"/>
      <c r="AW990" s="1"/>
      <c r="AY990" s="2"/>
    </row>
    <row r="991">
      <c r="A991" s="1"/>
      <c r="C991" s="1"/>
      <c r="E991" s="1"/>
      <c r="F991" s="1"/>
      <c r="G991" s="2"/>
      <c r="H991" s="1"/>
      <c r="I991" s="1"/>
      <c r="J991" s="1"/>
      <c r="K991" s="1"/>
      <c r="M991" s="1"/>
      <c r="N991" s="1"/>
      <c r="O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2"/>
      <c r="AB991" s="1"/>
      <c r="AC991" s="1"/>
      <c r="AD991" s="1"/>
      <c r="AE991" s="1"/>
      <c r="AF991" s="1"/>
      <c r="AG991" s="1"/>
      <c r="AH991" s="2"/>
      <c r="AI991" s="2"/>
      <c r="AJ991" s="2"/>
      <c r="AK991" s="2"/>
      <c r="AL991" s="2"/>
      <c r="AM991" s="1"/>
      <c r="AN991" s="2"/>
      <c r="AP991" s="2"/>
      <c r="AQ991" s="1"/>
      <c r="AR991" s="2"/>
      <c r="AU991" s="1"/>
      <c r="AW991" s="1"/>
      <c r="AY991" s="2"/>
    </row>
    <row r="992">
      <c r="A992" s="1"/>
      <c r="C992" s="1"/>
      <c r="E992" s="1"/>
      <c r="F992" s="1"/>
      <c r="G992" s="2"/>
      <c r="H992" s="1"/>
      <c r="I992" s="1"/>
      <c r="J992" s="1"/>
      <c r="K992" s="1"/>
      <c r="M992" s="1"/>
      <c r="N992" s="1"/>
      <c r="O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2"/>
      <c r="AB992" s="1"/>
      <c r="AC992" s="1"/>
      <c r="AD992" s="1"/>
      <c r="AE992" s="1"/>
      <c r="AF992" s="1"/>
      <c r="AG992" s="1"/>
      <c r="AH992" s="2"/>
      <c r="AI992" s="2"/>
      <c r="AJ992" s="2"/>
      <c r="AK992" s="2"/>
      <c r="AL992" s="2"/>
      <c r="AM992" s="1"/>
      <c r="AN992" s="2"/>
      <c r="AP992" s="2"/>
      <c r="AQ992" s="1"/>
      <c r="AR992" s="2"/>
      <c r="AU992" s="1"/>
      <c r="AW992" s="1"/>
      <c r="AY992" s="2"/>
    </row>
    <row r="993">
      <c r="A993" s="1"/>
      <c r="C993" s="1"/>
      <c r="E993" s="1"/>
      <c r="F993" s="1"/>
      <c r="G993" s="2"/>
      <c r="H993" s="1"/>
      <c r="I993" s="1"/>
      <c r="J993" s="1"/>
      <c r="K993" s="1"/>
      <c r="M993" s="1"/>
      <c r="N993" s="1"/>
      <c r="O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2"/>
      <c r="AB993" s="1"/>
      <c r="AC993" s="1"/>
      <c r="AD993" s="1"/>
      <c r="AE993" s="1"/>
      <c r="AF993" s="1"/>
      <c r="AG993" s="1"/>
      <c r="AH993" s="2"/>
      <c r="AI993" s="2"/>
      <c r="AJ993" s="2"/>
      <c r="AK993" s="2"/>
      <c r="AL993" s="2"/>
      <c r="AM993" s="1"/>
      <c r="AN993" s="2"/>
      <c r="AP993" s="2"/>
      <c r="AQ993" s="1"/>
      <c r="AR993" s="2"/>
      <c r="AU993" s="1"/>
      <c r="AW993" s="1"/>
      <c r="AY993" s="2"/>
    </row>
    <row r="994">
      <c r="A994" s="1"/>
      <c r="C994" s="1"/>
      <c r="E994" s="1"/>
      <c r="F994" s="1"/>
      <c r="G994" s="2"/>
      <c r="H994" s="1"/>
      <c r="I994" s="1"/>
      <c r="J994" s="1"/>
      <c r="K994" s="1"/>
      <c r="M994" s="1"/>
      <c r="N994" s="1"/>
      <c r="O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2"/>
      <c r="AB994" s="1"/>
      <c r="AC994" s="1"/>
      <c r="AD994" s="1"/>
      <c r="AE994" s="1"/>
      <c r="AF994" s="1"/>
      <c r="AG994" s="1"/>
      <c r="AH994" s="2"/>
      <c r="AI994" s="2"/>
      <c r="AJ994" s="2"/>
      <c r="AK994" s="2"/>
      <c r="AL994" s="2"/>
      <c r="AM994" s="1"/>
      <c r="AN994" s="2"/>
      <c r="AP994" s="2"/>
      <c r="AQ994" s="1"/>
      <c r="AR994" s="2"/>
      <c r="AU994" s="1"/>
      <c r="AW994" s="1"/>
      <c r="AY994" s="2"/>
    </row>
    <row r="995">
      <c r="A995" s="1"/>
      <c r="C995" s="1"/>
      <c r="E995" s="1"/>
      <c r="F995" s="1"/>
      <c r="G995" s="2"/>
      <c r="H995" s="1"/>
      <c r="I995" s="1"/>
      <c r="J995" s="1"/>
      <c r="K995" s="1"/>
      <c r="M995" s="1"/>
      <c r="N995" s="1"/>
      <c r="O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2"/>
      <c r="AB995" s="1"/>
      <c r="AC995" s="1"/>
      <c r="AD995" s="1"/>
      <c r="AE995" s="1"/>
      <c r="AF995" s="1"/>
      <c r="AG995" s="1"/>
      <c r="AH995" s="2"/>
      <c r="AI995" s="2"/>
      <c r="AJ995" s="2"/>
      <c r="AK995" s="2"/>
      <c r="AL995" s="2"/>
      <c r="AM995" s="1"/>
      <c r="AN995" s="2"/>
      <c r="AP995" s="2"/>
      <c r="AQ995" s="1"/>
      <c r="AR995" s="2"/>
      <c r="AU995" s="1"/>
      <c r="AW995" s="1"/>
      <c r="AY995" s="2"/>
    </row>
    <row r="996">
      <c r="A996" s="1"/>
      <c r="C996" s="1"/>
      <c r="E996" s="1"/>
      <c r="F996" s="1"/>
      <c r="G996" s="2"/>
      <c r="H996" s="1"/>
      <c r="I996" s="1"/>
      <c r="J996" s="1"/>
      <c r="K996" s="1"/>
      <c r="M996" s="1"/>
      <c r="N996" s="1"/>
      <c r="O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2"/>
      <c r="AB996" s="1"/>
      <c r="AC996" s="1"/>
      <c r="AD996" s="1"/>
      <c r="AE996" s="1"/>
      <c r="AF996" s="1"/>
      <c r="AG996" s="1"/>
      <c r="AH996" s="2"/>
      <c r="AI996" s="2"/>
      <c r="AJ996" s="2"/>
      <c r="AK996" s="2"/>
      <c r="AL996" s="2"/>
      <c r="AM996" s="1"/>
      <c r="AN996" s="2"/>
      <c r="AP996" s="2"/>
      <c r="AQ996" s="1"/>
      <c r="AR996" s="2"/>
      <c r="AU996" s="1"/>
      <c r="AW996" s="1"/>
      <c r="AY996" s="2"/>
    </row>
    <row r="997">
      <c r="A997" s="1"/>
      <c r="C997" s="1"/>
      <c r="E997" s="1"/>
      <c r="F997" s="1"/>
      <c r="G997" s="2"/>
      <c r="H997" s="1"/>
      <c r="I997" s="1"/>
      <c r="J997" s="1"/>
      <c r="K997" s="1"/>
      <c r="M997" s="1"/>
      <c r="N997" s="1"/>
      <c r="O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2"/>
      <c r="AB997" s="1"/>
      <c r="AC997" s="1"/>
      <c r="AD997" s="1"/>
      <c r="AE997" s="1"/>
      <c r="AF997" s="1"/>
      <c r="AG997" s="1"/>
      <c r="AH997" s="2"/>
      <c r="AI997" s="2"/>
      <c r="AJ997" s="2"/>
      <c r="AK997" s="2"/>
      <c r="AL997" s="2"/>
      <c r="AM997" s="1"/>
      <c r="AN997" s="2"/>
      <c r="AP997" s="2"/>
      <c r="AQ997" s="1"/>
      <c r="AR997" s="2"/>
      <c r="AU997" s="1"/>
      <c r="AW997" s="1"/>
      <c r="AY997" s="2"/>
    </row>
    <row r="998">
      <c r="A998" s="1"/>
      <c r="C998" s="1"/>
      <c r="E998" s="1"/>
      <c r="F998" s="1"/>
      <c r="G998" s="2"/>
      <c r="H998" s="1"/>
      <c r="I998" s="1"/>
      <c r="J998" s="1"/>
      <c r="K998" s="1"/>
      <c r="M998" s="1"/>
      <c r="N998" s="1"/>
      <c r="O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2"/>
      <c r="AB998" s="1"/>
      <c r="AC998" s="1"/>
      <c r="AD998" s="1"/>
      <c r="AE998" s="1"/>
      <c r="AF998" s="1"/>
      <c r="AG998" s="1"/>
      <c r="AH998" s="2"/>
      <c r="AI998" s="2"/>
      <c r="AJ998" s="2"/>
      <c r="AK998" s="2"/>
      <c r="AL998" s="2"/>
      <c r="AM998" s="1"/>
      <c r="AN998" s="2"/>
      <c r="AP998" s="2"/>
      <c r="AQ998" s="1"/>
      <c r="AR998" s="2"/>
      <c r="AU998" s="1"/>
      <c r="AW998" s="1"/>
      <c r="AY998" s="2"/>
    </row>
    <row r="999">
      <c r="A999" s="1"/>
      <c r="C999" s="1"/>
      <c r="E999" s="1"/>
      <c r="F999" s="1"/>
      <c r="G999" s="2"/>
      <c r="H999" s="1"/>
      <c r="I999" s="1"/>
      <c r="J999" s="1"/>
      <c r="K999" s="1"/>
      <c r="M999" s="1"/>
      <c r="N999" s="1"/>
      <c r="O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2"/>
      <c r="AB999" s="1"/>
      <c r="AC999" s="1"/>
      <c r="AD999" s="1"/>
      <c r="AE999" s="1"/>
      <c r="AF999" s="1"/>
      <c r="AG999" s="1"/>
      <c r="AH999" s="2"/>
      <c r="AI999" s="2"/>
      <c r="AJ999" s="2"/>
      <c r="AK999" s="2"/>
      <c r="AL999" s="2"/>
      <c r="AM999" s="1"/>
      <c r="AN999" s="2"/>
      <c r="AP999" s="2"/>
      <c r="AQ999" s="1"/>
      <c r="AR999" s="2"/>
      <c r="AU999" s="1"/>
      <c r="AW999" s="1"/>
      <c r="AY999" s="2"/>
    </row>
    <row r="1000">
      <c r="A1000" s="1"/>
      <c r="C1000" s="1"/>
      <c r="E1000" s="1"/>
      <c r="F1000" s="1"/>
      <c r="G1000" s="2"/>
      <c r="H1000" s="1"/>
      <c r="I1000" s="1"/>
      <c r="J1000" s="1"/>
      <c r="K1000" s="1"/>
      <c r="M1000" s="1"/>
      <c r="N1000" s="1"/>
      <c r="O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2"/>
      <c r="AB1000" s="1"/>
      <c r="AC1000" s="1"/>
      <c r="AD1000" s="1"/>
      <c r="AE1000" s="1"/>
      <c r="AF1000" s="1"/>
      <c r="AG1000" s="1"/>
      <c r="AH1000" s="2"/>
      <c r="AI1000" s="2"/>
      <c r="AJ1000" s="2"/>
      <c r="AK1000" s="2"/>
      <c r="AL1000" s="2"/>
      <c r="AM1000" s="1"/>
      <c r="AN1000" s="2"/>
      <c r="AP1000" s="2"/>
      <c r="AQ1000" s="1"/>
      <c r="AR1000" s="2"/>
      <c r="AU1000" s="1"/>
      <c r="AW1000" s="1"/>
      <c r="AY1000" s="2"/>
    </row>
    <row r="1001">
      <c r="A1001" s="1"/>
      <c r="C1001" s="1"/>
      <c r="E1001" s="1"/>
      <c r="F1001" s="1"/>
      <c r="G1001" s="2"/>
      <c r="H1001" s="1"/>
      <c r="I1001" s="1"/>
      <c r="J1001" s="1"/>
      <c r="K1001" s="1"/>
      <c r="M1001" s="1"/>
      <c r="N1001" s="1"/>
      <c r="O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2"/>
      <c r="AB1001" s="1"/>
      <c r="AC1001" s="1"/>
      <c r="AD1001" s="1"/>
      <c r="AE1001" s="1"/>
      <c r="AF1001" s="1"/>
      <c r="AG1001" s="1"/>
      <c r="AH1001" s="2"/>
      <c r="AI1001" s="2"/>
      <c r="AJ1001" s="2"/>
      <c r="AK1001" s="2"/>
      <c r="AL1001" s="2"/>
      <c r="AM1001" s="1"/>
      <c r="AN1001" s="2"/>
      <c r="AP1001" s="2"/>
      <c r="AQ1001" s="1"/>
      <c r="AR1001" s="2"/>
      <c r="AU1001" s="1"/>
      <c r="AW1001" s="1"/>
      <c r="AY1001" s="2"/>
    </row>
    <row r="1002">
      <c r="A1002" s="1"/>
      <c r="C1002" s="1"/>
      <c r="E1002" s="1"/>
      <c r="F1002" s="1"/>
      <c r="G1002" s="2"/>
      <c r="H1002" s="1"/>
      <c r="I1002" s="1"/>
      <c r="J1002" s="1"/>
      <c r="K1002" s="1"/>
      <c r="M1002" s="1"/>
      <c r="N1002" s="1"/>
      <c r="O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2"/>
      <c r="AB1002" s="1"/>
      <c r="AC1002" s="1"/>
      <c r="AD1002" s="1"/>
      <c r="AE1002" s="1"/>
      <c r="AF1002" s="1"/>
      <c r="AG1002" s="1"/>
      <c r="AH1002" s="2"/>
      <c r="AI1002" s="2"/>
      <c r="AJ1002" s="2"/>
      <c r="AK1002" s="2"/>
      <c r="AL1002" s="2"/>
      <c r="AM1002" s="1"/>
      <c r="AN1002" s="2"/>
      <c r="AP1002" s="2"/>
      <c r="AQ1002" s="1"/>
      <c r="AR1002" s="2"/>
      <c r="AU1002" s="1"/>
      <c r="AW1002" s="1"/>
      <c r="AY1002" s="2"/>
    </row>
    <row r="1003">
      <c r="A1003" s="1"/>
      <c r="C1003" s="1"/>
      <c r="E1003" s="1"/>
      <c r="F1003" s="1"/>
      <c r="G1003" s="2"/>
      <c r="H1003" s="1"/>
      <c r="I1003" s="1"/>
      <c r="J1003" s="1"/>
      <c r="K1003" s="1"/>
      <c r="M1003" s="1"/>
      <c r="N1003" s="1"/>
      <c r="O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2"/>
      <c r="AB1003" s="1"/>
      <c r="AC1003" s="1"/>
      <c r="AD1003" s="1"/>
      <c r="AE1003" s="1"/>
      <c r="AF1003" s="1"/>
      <c r="AG1003" s="1"/>
      <c r="AH1003" s="2"/>
      <c r="AI1003" s="2"/>
      <c r="AJ1003" s="2"/>
      <c r="AK1003" s="2"/>
      <c r="AL1003" s="2"/>
      <c r="AM1003" s="1"/>
      <c r="AN1003" s="2"/>
      <c r="AP1003" s="2"/>
      <c r="AQ1003" s="1"/>
      <c r="AR1003" s="2"/>
      <c r="AU1003" s="1"/>
      <c r="AW1003" s="1"/>
      <c r="AY1003" s="2"/>
    </row>
    <row r="1004">
      <c r="A1004" s="1"/>
      <c r="C1004" s="1"/>
      <c r="E1004" s="1"/>
      <c r="F1004" s="1"/>
      <c r="G1004" s="2"/>
      <c r="H1004" s="1"/>
      <c r="I1004" s="1"/>
      <c r="J1004" s="1"/>
      <c r="K1004" s="1"/>
      <c r="M1004" s="1"/>
      <c r="N1004" s="1"/>
      <c r="O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2"/>
      <c r="AB1004" s="1"/>
      <c r="AC1004" s="1"/>
      <c r="AD1004" s="1"/>
      <c r="AE1004" s="1"/>
      <c r="AF1004" s="1"/>
      <c r="AG1004" s="1"/>
      <c r="AH1004" s="2"/>
      <c r="AI1004" s="2"/>
      <c r="AJ1004" s="2"/>
      <c r="AK1004" s="2"/>
      <c r="AL1004" s="2"/>
      <c r="AM1004" s="1"/>
      <c r="AN1004" s="2"/>
      <c r="AP1004" s="2"/>
      <c r="AQ1004" s="1"/>
      <c r="AR1004" s="2"/>
      <c r="AU1004" s="1"/>
      <c r="AW1004" s="1"/>
      <c r="AY1004" s="2"/>
    </row>
    <row r="1005">
      <c r="A1005" s="1"/>
      <c r="C1005" s="1"/>
      <c r="E1005" s="1"/>
      <c r="F1005" s="1"/>
      <c r="G1005" s="2"/>
      <c r="H1005" s="1"/>
      <c r="I1005" s="1"/>
      <c r="J1005" s="1"/>
      <c r="K1005" s="1"/>
      <c r="M1005" s="1"/>
      <c r="N1005" s="1"/>
      <c r="O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2"/>
      <c r="AB1005" s="1"/>
      <c r="AC1005" s="1"/>
      <c r="AD1005" s="1"/>
      <c r="AE1005" s="1"/>
      <c r="AF1005" s="1"/>
      <c r="AG1005" s="1"/>
      <c r="AH1005" s="2"/>
      <c r="AI1005" s="2"/>
      <c r="AJ1005" s="2"/>
      <c r="AK1005" s="2"/>
      <c r="AL1005" s="2"/>
      <c r="AM1005" s="1"/>
      <c r="AN1005" s="2"/>
      <c r="AP1005" s="2"/>
      <c r="AQ1005" s="1"/>
      <c r="AR1005" s="2"/>
      <c r="AU1005" s="1"/>
      <c r="AW1005" s="1"/>
      <c r="AY1005" s="2"/>
    </row>
    <row r="1006">
      <c r="A1006" s="1"/>
      <c r="C1006" s="1"/>
      <c r="E1006" s="1"/>
      <c r="F1006" s="1"/>
      <c r="G1006" s="2"/>
      <c r="H1006" s="1"/>
      <c r="I1006" s="1"/>
      <c r="J1006" s="1"/>
      <c r="K1006" s="1"/>
      <c r="M1006" s="1"/>
      <c r="N1006" s="1"/>
      <c r="O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2"/>
      <c r="AB1006" s="1"/>
      <c r="AC1006" s="1"/>
      <c r="AD1006" s="1"/>
      <c r="AE1006" s="1"/>
      <c r="AF1006" s="1"/>
      <c r="AG1006" s="1"/>
      <c r="AH1006" s="2"/>
      <c r="AI1006" s="2"/>
      <c r="AJ1006" s="2"/>
      <c r="AK1006" s="2"/>
      <c r="AL1006" s="2"/>
      <c r="AM1006" s="1"/>
      <c r="AN1006" s="2"/>
      <c r="AP1006" s="2"/>
      <c r="AQ1006" s="1"/>
      <c r="AR1006" s="2"/>
      <c r="AU1006" s="1"/>
      <c r="AW1006" s="1"/>
      <c r="AY1006" s="2"/>
    </row>
    <row r="1007">
      <c r="A1007" s="1"/>
      <c r="C1007" s="1"/>
      <c r="E1007" s="1"/>
      <c r="F1007" s="1"/>
      <c r="G1007" s="2"/>
      <c r="H1007" s="1"/>
      <c r="I1007" s="1"/>
      <c r="J1007" s="1"/>
      <c r="K1007" s="1"/>
      <c r="M1007" s="1"/>
      <c r="N1007" s="1"/>
      <c r="O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2"/>
      <c r="AB1007" s="1"/>
      <c r="AC1007" s="1"/>
      <c r="AD1007" s="1"/>
      <c r="AE1007" s="1"/>
      <c r="AF1007" s="1"/>
      <c r="AG1007" s="1"/>
      <c r="AH1007" s="2"/>
      <c r="AI1007" s="2"/>
      <c r="AJ1007" s="2"/>
      <c r="AK1007" s="2"/>
      <c r="AL1007" s="2"/>
      <c r="AM1007" s="1"/>
      <c r="AN1007" s="2"/>
      <c r="AP1007" s="2"/>
      <c r="AQ1007" s="1"/>
      <c r="AR1007" s="2"/>
      <c r="AU1007" s="1"/>
      <c r="AW1007" s="1"/>
      <c r="AY1007" s="2"/>
    </row>
    <row r="1008">
      <c r="A1008" s="1"/>
      <c r="C1008" s="1"/>
      <c r="E1008" s="1"/>
      <c r="F1008" s="1"/>
      <c r="G1008" s="2"/>
      <c r="H1008" s="1"/>
      <c r="I1008" s="1"/>
      <c r="J1008" s="1"/>
      <c r="K1008" s="1"/>
      <c r="M1008" s="1"/>
      <c r="N1008" s="1"/>
      <c r="O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2"/>
      <c r="AB1008" s="1"/>
      <c r="AC1008" s="1"/>
      <c r="AD1008" s="1"/>
      <c r="AE1008" s="1"/>
      <c r="AF1008" s="1"/>
      <c r="AG1008" s="1"/>
      <c r="AH1008" s="2"/>
      <c r="AI1008" s="2"/>
      <c r="AJ1008" s="2"/>
      <c r="AK1008" s="2"/>
      <c r="AL1008" s="2"/>
      <c r="AM1008" s="1"/>
      <c r="AN1008" s="2"/>
      <c r="AP1008" s="2"/>
      <c r="AQ1008" s="1"/>
      <c r="AR1008" s="2"/>
      <c r="AU1008" s="1"/>
      <c r="AW1008" s="1"/>
      <c r="AY1008" s="2"/>
    </row>
    <row r="1009">
      <c r="A1009" s="1"/>
      <c r="C1009" s="1"/>
      <c r="E1009" s="1"/>
      <c r="F1009" s="1"/>
      <c r="G1009" s="2"/>
      <c r="H1009" s="1"/>
      <c r="I1009" s="1"/>
      <c r="J1009" s="1"/>
      <c r="K1009" s="1"/>
      <c r="M1009" s="1"/>
      <c r="N1009" s="1"/>
      <c r="O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2"/>
      <c r="AB1009" s="1"/>
      <c r="AC1009" s="1"/>
      <c r="AD1009" s="1"/>
      <c r="AE1009" s="1"/>
      <c r="AF1009" s="1"/>
      <c r="AG1009" s="1"/>
      <c r="AH1009" s="2"/>
      <c r="AI1009" s="2"/>
      <c r="AJ1009" s="2"/>
      <c r="AK1009" s="2"/>
      <c r="AL1009" s="2"/>
      <c r="AM1009" s="1"/>
      <c r="AN1009" s="2"/>
      <c r="AP1009" s="2"/>
      <c r="AQ1009" s="1"/>
      <c r="AR1009" s="2"/>
      <c r="AU1009" s="1"/>
      <c r="AW1009" s="1"/>
      <c r="AY1009" s="2"/>
    </row>
    <row r="1010">
      <c r="A1010" s="1"/>
      <c r="C1010" s="1"/>
      <c r="E1010" s="1"/>
      <c r="F1010" s="1"/>
      <c r="G1010" s="2"/>
      <c r="H1010" s="1"/>
      <c r="I1010" s="1"/>
      <c r="J1010" s="1"/>
      <c r="K1010" s="1"/>
      <c r="M1010" s="1"/>
      <c r="N1010" s="1"/>
      <c r="O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2"/>
      <c r="AB1010" s="1"/>
      <c r="AC1010" s="1"/>
      <c r="AD1010" s="1"/>
      <c r="AE1010" s="1"/>
      <c r="AF1010" s="1"/>
      <c r="AG1010" s="1"/>
      <c r="AH1010" s="2"/>
      <c r="AI1010" s="2"/>
      <c r="AJ1010" s="2"/>
      <c r="AK1010" s="2"/>
      <c r="AL1010" s="2"/>
      <c r="AM1010" s="1"/>
      <c r="AN1010" s="2"/>
      <c r="AP1010" s="2"/>
      <c r="AQ1010" s="1"/>
      <c r="AR1010" s="2"/>
      <c r="AU1010" s="1"/>
      <c r="AW1010" s="1"/>
      <c r="AY1010" s="2"/>
    </row>
    <row r="1011">
      <c r="A1011" s="1"/>
      <c r="C1011" s="1"/>
      <c r="E1011" s="1"/>
      <c r="F1011" s="1"/>
      <c r="G1011" s="2"/>
      <c r="H1011" s="1"/>
      <c r="I1011" s="1"/>
      <c r="J1011" s="1"/>
      <c r="K1011" s="1"/>
      <c r="M1011" s="1"/>
      <c r="N1011" s="1"/>
      <c r="O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2"/>
      <c r="AB1011" s="1"/>
      <c r="AC1011" s="1"/>
      <c r="AD1011" s="1"/>
      <c r="AE1011" s="1"/>
      <c r="AF1011" s="1"/>
      <c r="AG1011" s="1"/>
      <c r="AH1011" s="2"/>
      <c r="AI1011" s="2"/>
      <c r="AJ1011" s="2"/>
      <c r="AK1011" s="2"/>
      <c r="AL1011" s="2"/>
      <c r="AM1011" s="1"/>
      <c r="AN1011" s="2"/>
      <c r="AP1011" s="2"/>
      <c r="AQ1011" s="1"/>
      <c r="AR1011" s="2"/>
      <c r="AU1011" s="1"/>
      <c r="AW1011" s="1"/>
      <c r="AY1011" s="2"/>
    </row>
    <row r="1012">
      <c r="A1012" s="1"/>
      <c r="C1012" s="1"/>
      <c r="E1012" s="1"/>
      <c r="F1012" s="1"/>
      <c r="G1012" s="2"/>
      <c r="H1012" s="1"/>
      <c r="I1012" s="1"/>
      <c r="J1012" s="1"/>
      <c r="K1012" s="1"/>
      <c r="M1012" s="1"/>
      <c r="N1012" s="1"/>
      <c r="O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2"/>
      <c r="AB1012" s="1"/>
      <c r="AC1012" s="1"/>
      <c r="AD1012" s="1"/>
      <c r="AE1012" s="1"/>
      <c r="AF1012" s="1"/>
      <c r="AG1012" s="1"/>
      <c r="AH1012" s="2"/>
      <c r="AI1012" s="2"/>
      <c r="AJ1012" s="2"/>
      <c r="AK1012" s="2"/>
      <c r="AL1012" s="2"/>
      <c r="AM1012" s="1"/>
      <c r="AN1012" s="2"/>
      <c r="AP1012" s="2"/>
      <c r="AQ1012" s="1"/>
      <c r="AR1012" s="2"/>
      <c r="AU1012" s="1"/>
      <c r="AW1012" s="1"/>
      <c r="AY1012" s="2"/>
    </row>
    <row r="1013">
      <c r="A1013" s="1"/>
      <c r="C1013" s="1"/>
      <c r="E1013" s="1"/>
      <c r="F1013" s="1"/>
      <c r="G1013" s="2"/>
      <c r="H1013" s="1"/>
      <c r="I1013" s="1"/>
      <c r="J1013" s="1"/>
      <c r="K1013" s="1"/>
      <c r="M1013" s="1"/>
      <c r="N1013" s="1"/>
      <c r="O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2"/>
      <c r="AB1013" s="1"/>
      <c r="AC1013" s="1"/>
      <c r="AD1013" s="1"/>
      <c r="AE1013" s="1"/>
      <c r="AF1013" s="1"/>
      <c r="AG1013" s="1"/>
      <c r="AH1013" s="2"/>
      <c r="AI1013" s="2"/>
      <c r="AJ1013" s="2"/>
      <c r="AK1013" s="2"/>
      <c r="AL1013" s="2"/>
      <c r="AM1013" s="1"/>
      <c r="AN1013" s="2"/>
      <c r="AP1013" s="2"/>
      <c r="AQ1013" s="1"/>
      <c r="AR1013" s="2"/>
      <c r="AU1013" s="1"/>
      <c r="AW1013" s="1"/>
      <c r="AY1013" s="2"/>
    </row>
    <row r="1014">
      <c r="A1014" s="1"/>
      <c r="C1014" s="1"/>
      <c r="E1014" s="1"/>
      <c r="F1014" s="1"/>
      <c r="G1014" s="2"/>
      <c r="H1014" s="1"/>
      <c r="I1014" s="1"/>
      <c r="J1014" s="1"/>
      <c r="K1014" s="1"/>
      <c r="M1014" s="1"/>
      <c r="N1014" s="1"/>
      <c r="O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2"/>
      <c r="AB1014" s="1"/>
      <c r="AC1014" s="1"/>
      <c r="AD1014" s="1"/>
      <c r="AE1014" s="1"/>
      <c r="AF1014" s="1"/>
      <c r="AG1014" s="1"/>
      <c r="AH1014" s="2"/>
      <c r="AI1014" s="2"/>
      <c r="AJ1014" s="2"/>
      <c r="AK1014" s="2"/>
      <c r="AL1014" s="2"/>
      <c r="AM1014" s="1"/>
      <c r="AN1014" s="2"/>
      <c r="AP1014" s="2"/>
      <c r="AQ1014" s="1"/>
      <c r="AR1014" s="2"/>
      <c r="AU1014" s="1"/>
      <c r="AW1014" s="1"/>
      <c r="AY1014" s="2"/>
    </row>
    <row r="1015">
      <c r="A1015" s="1"/>
      <c r="C1015" s="1"/>
      <c r="E1015" s="1"/>
      <c r="F1015" s="1"/>
      <c r="G1015" s="2"/>
      <c r="H1015" s="1"/>
      <c r="I1015" s="1"/>
      <c r="J1015" s="1"/>
      <c r="K1015" s="1"/>
      <c r="M1015" s="1"/>
      <c r="N1015" s="1"/>
      <c r="O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2"/>
      <c r="AB1015" s="1"/>
      <c r="AC1015" s="1"/>
      <c r="AD1015" s="1"/>
      <c r="AE1015" s="1"/>
      <c r="AF1015" s="1"/>
      <c r="AG1015" s="1"/>
      <c r="AH1015" s="2"/>
      <c r="AI1015" s="2"/>
      <c r="AJ1015" s="2"/>
      <c r="AK1015" s="2"/>
      <c r="AL1015" s="2"/>
      <c r="AM1015" s="1"/>
      <c r="AN1015" s="2"/>
      <c r="AP1015" s="2"/>
      <c r="AQ1015" s="1"/>
      <c r="AR1015" s="2"/>
      <c r="AU1015" s="1"/>
      <c r="AW1015" s="1"/>
      <c r="AY1015" s="2"/>
    </row>
    <row r="1016">
      <c r="A1016" s="1"/>
      <c r="C1016" s="1"/>
      <c r="E1016" s="1"/>
      <c r="F1016" s="1"/>
      <c r="G1016" s="2"/>
      <c r="H1016" s="1"/>
      <c r="I1016" s="1"/>
      <c r="J1016" s="1"/>
      <c r="K1016" s="1"/>
      <c r="M1016" s="1"/>
      <c r="N1016" s="1"/>
      <c r="O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2"/>
      <c r="AB1016" s="1"/>
      <c r="AC1016" s="1"/>
      <c r="AD1016" s="1"/>
      <c r="AE1016" s="1"/>
      <c r="AF1016" s="1"/>
      <c r="AG1016" s="1"/>
      <c r="AH1016" s="2"/>
      <c r="AI1016" s="2"/>
      <c r="AJ1016" s="2"/>
      <c r="AK1016" s="2"/>
      <c r="AL1016" s="2"/>
      <c r="AM1016" s="1"/>
      <c r="AN1016" s="2"/>
      <c r="AP1016" s="2"/>
      <c r="AQ1016" s="1"/>
      <c r="AR1016" s="2"/>
      <c r="AU1016" s="1"/>
      <c r="AW1016" s="1"/>
      <c r="AY1016" s="2"/>
    </row>
    <row r="1017">
      <c r="A1017" s="1"/>
      <c r="C1017" s="1"/>
      <c r="E1017" s="1"/>
      <c r="F1017" s="1"/>
      <c r="G1017" s="2"/>
      <c r="H1017" s="1"/>
      <c r="I1017" s="1"/>
      <c r="J1017" s="1"/>
      <c r="K1017" s="1"/>
      <c r="M1017" s="1"/>
      <c r="N1017" s="1"/>
      <c r="O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2"/>
      <c r="AB1017" s="1"/>
      <c r="AC1017" s="1"/>
      <c r="AD1017" s="1"/>
      <c r="AE1017" s="1"/>
      <c r="AF1017" s="1"/>
      <c r="AG1017" s="1"/>
      <c r="AH1017" s="2"/>
      <c r="AI1017" s="2"/>
      <c r="AJ1017" s="2"/>
      <c r="AK1017" s="2"/>
      <c r="AL1017" s="2"/>
      <c r="AM1017" s="1"/>
      <c r="AN1017" s="2"/>
      <c r="AP1017" s="2"/>
      <c r="AQ1017" s="1"/>
      <c r="AR1017" s="2"/>
      <c r="AU1017" s="1"/>
      <c r="AW1017" s="1"/>
      <c r="AY1017" s="2"/>
    </row>
    <row r="1018">
      <c r="A1018" s="1"/>
      <c r="C1018" s="1"/>
      <c r="E1018" s="1"/>
      <c r="F1018" s="1"/>
      <c r="G1018" s="2"/>
      <c r="H1018" s="1"/>
      <c r="I1018" s="1"/>
      <c r="J1018" s="1"/>
      <c r="K1018" s="1"/>
      <c r="M1018" s="1"/>
      <c r="N1018" s="1"/>
      <c r="O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2"/>
      <c r="AB1018" s="1"/>
      <c r="AC1018" s="1"/>
      <c r="AD1018" s="1"/>
      <c r="AE1018" s="1"/>
      <c r="AF1018" s="1"/>
      <c r="AG1018" s="1"/>
      <c r="AH1018" s="2"/>
      <c r="AI1018" s="2"/>
      <c r="AJ1018" s="2"/>
      <c r="AK1018" s="2"/>
      <c r="AL1018" s="2"/>
      <c r="AM1018" s="1"/>
      <c r="AN1018" s="2"/>
      <c r="AP1018" s="2"/>
      <c r="AQ1018" s="1"/>
      <c r="AR1018" s="2"/>
      <c r="AU1018" s="1"/>
      <c r="AW1018" s="1"/>
      <c r="AY1018" s="2"/>
    </row>
    <row r="1019">
      <c r="A1019" s="1"/>
      <c r="C1019" s="1"/>
      <c r="E1019" s="1"/>
      <c r="F1019" s="1"/>
      <c r="G1019" s="2"/>
      <c r="H1019" s="1"/>
      <c r="I1019" s="1"/>
      <c r="J1019" s="1"/>
      <c r="K1019" s="1"/>
      <c r="M1019" s="1"/>
      <c r="N1019" s="1"/>
      <c r="O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2"/>
      <c r="AB1019" s="1"/>
      <c r="AC1019" s="1"/>
      <c r="AD1019" s="1"/>
      <c r="AE1019" s="1"/>
      <c r="AF1019" s="1"/>
      <c r="AG1019" s="1"/>
      <c r="AH1019" s="2"/>
      <c r="AI1019" s="2"/>
      <c r="AJ1019" s="2"/>
      <c r="AK1019" s="2"/>
      <c r="AL1019" s="2"/>
      <c r="AM1019" s="1"/>
      <c r="AN1019" s="2"/>
      <c r="AP1019" s="2"/>
      <c r="AQ1019" s="1"/>
      <c r="AR1019" s="2"/>
      <c r="AU1019" s="1"/>
      <c r="AW1019" s="1"/>
      <c r="AY1019" s="2"/>
    </row>
    <row r="1020">
      <c r="A1020" s="1"/>
      <c r="C1020" s="1"/>
      <c r="E1020" s="1"/>
      <c r="F1020" s="1"/>
      <c r="G1020" s="2"/>
      <c r="H1020" s="1"/>
      <c r="I1020" s="1"/>
      <c r="J1020" s="1"/>
      <c r="K1020" s="1"/>
      <c r="M1020" s="1"/>
      <c r="N1020" s="1"/>
      <c r="O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2"/>
      <c r="AB1020" s="1"/>
      <c r="AC1020" s="1"/>
      <c r="AD1020" s="1"/>
      <c r="AE1020" s="1"/>
      <c r="AF1020" s="1"/>
      <c r="AG1020" s="1"/>
      <c r="AH1020" s="2"/>
      <c r="AI1020" s="2"/>
      <c r="AJ1020" s="2"/>
      <c r="AK1020" s="2"/>
      <c r="AL1020" s="2"/>
      <c r="AM1020" s="1"/>
      <c r="AN1020" s="2"/>
      <c r="AP1020" s="2"/>
      <c r="AQ1020" s="1"/>
      <c r="AR1020" s="2"/>
      <c r="AU1020" s="1"/>
      <c r="AW1020" s="1"/>
      <c r="AY1020" s="2"/>
    </row>
    <row r="1021">
      <c r="A1021" s="1"/>
      <c r="C1021" s="1"/>
      <c r="E1021" s="1"/>
      <c r="F1021" s="1"/>
      <c r="G1021" s="2"/>
      <c r="H1021" s="1"/>
      <c r="I1021" s="1"/>
      <c r="J1021" s="1"/>
      <c r="K1021" s="1"/>
      <c r="M1021" s="1"/>
      <c r="N1021" s="1"/>
      <c r="O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2"/>
      <c r="AB1021" s="1"/>
      <c r="AC1021" s="1"/>
      <c r="AD1021" s="1"/>
      <c r="AE1021" s="1"/>
      <c r="AF1021" s="1"/>
      <c r="AG1021" s="1"/>
      <c r="AH1021" s="2"/>
      <c r="AI1021" s="2"/>
      <c r="AJ1021" s="2"/>
      <c r="AK1021" s="2"/>
      <c r="AL1021" s="2"/>
      <c r="AM1021" s="1"/>
      <c r="AN1021" s="2"/>
      <c r="AP1021" s="2"/>
      <c r="AQ1021" s="1"/>
      <c r="AR1021" s="2"/>
      <c r="AU1021" s="1"/>
      <c r="AW1021" s="1"/>
      <c r="AY1021" s="2"/>
    </row>
    <row r="1022">
      <c r="A1022" s="1"/>
      <c r="C1022" s="1"/>
      <c r="E1022" s="1"/>
      <c r="F1022" s="1"/>
      <c r="G1022" s="2"/>
      <c r="H1022" s="1"/>
      <c r="I1022" s="1"/>
      <c r="J1022" s="1"/>
      <c r="K1022" s="1"/>
      <c r="M1022" s="1"/>
      <c r="N1022" s="1"/>
      <c r="O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2"/>
      <c r="AB1022" s="1"/>
      <c r="AC1022" s="1"/>
      <c r="AD1022" s="1"/>
      <c r="AE1022" s="1"/>
      <c r="AF1022" s="1"/>
      <c r="AG1022" s="1"/>
      <c r="AH1022" s="2"/>
      <c r="AI1022" s="2"/>
      <c r="AJ1022" s="2"/>
      <c r="AK1022" s="2"/>
      <c r="AL1022" s="2"/>
      <c r="AM1022" s="1"/>
      <c r="AN1022" s="2"/>
      <c r="AP1022" s="2"/>
      <c r="AQ1022" s="1"/>
      <c r="AR1022" s="2"/>
      <c r="AU1022" s="1"/>
      <c r="AW1022" s="1"/>
      <c r="AY1022" s="2"/>
    </row>
    <row r="1023">
      <c r="A1023" s="1"/>
      <c r="C1023" s="1"/>
      <c r="E1023" s="1"/>
      <c r="F1023" s="1"/>
      <c r="G1023" s="2"/>
      <c r="H1023" s="1"/>
      <c r="I1023" s="1"/>
      <c r="J1023" s="1"/>
      <c r="K1023" s="1"/>
      <c r="M1023" s="1"/>
      <c r="N1023" s="1"/>
      <c r="O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2"/>
      <c r="AB1023" s="1"/>
      <c r="AC1023" s="1"/>
      <c r="AD1023" s="1"/>
      <c r="AE1023" s="1"/>
      <c r="AF1023" s="1"/>
      <c r="AG1023" s="1"/>
      <c r="AH1023" s="2"/>
      <c r="AI1023" s="2"/>
      <c r="AJ1023" s="2"/>
      <c r="AK1023" s="2"/>
      <c r="AL1023" s="2"/>
      <c r="AM1023" s="1"/>
      <c r="AN1023" s="2"/>
      <c r="AP1023" s="2"/>
      <c r="AQ1023" s="1"/>
      <c r="AR1023" s="2"/>
      <c r="AU1023" s="1"/>
      <c r="AW1023" s="1"/>
      <c r="AY1023" s="2"/>
    </row>
    <row r="1024">
      <c r="A1024" s="1"/>
      <c r="C1024" s="1"/>
      <c r="E1024" s="1"/>
      <c r="F1024" s="1"/>
      <c r="G1024" s="2"/>
      <c r="H1024" s="1"/>
      <c r="I1024" s="1"/>
      <c r="J1024" s="1"/>
      <c r="K1024" s="1"/>
      <c r="M1024" s="1"/>
      <c r="N1024" s="1"/>
      <c r="O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2"/>
      <c r="AB1024" s="1"/>
      <c r="AC1024" s="1"/>
      <c r="AD1024" s="1"/>
      <c r="AE1024" s="1"/>
      <c r="AF1024" s="1"/>
      <c r="AG1024" s="1"/>
      <c r="AH1024" s="2"/>
      <c r="AI1024" s="2"/>
      <c r="AJ1024" s="2"/>
      <c r="AK1024" s="2"/>
      <c r="AL1024" s="2"/>
      <c r="AM1024" s="1"/>
      <c r="AN1024" s="2"/>
      <c r="AP1024" s="2"/>
      <c r="AQ1024" s="1"/>
      <c r="AR1024" s="2"/>
      <c r="AU1024" s="1"/>
      <c r="AW1024" s="1"/>
      <c r="AY1024" s="2"/>
    </row>
    <row r="1025">
      <c r="A1025" s="1"/>
      <c r="C1025" s="1"/>
      <c r="E1025" s="1"/>
      <c r="F1025" s="1"/>
      <c r="G1025" s="2"/>
      <c r="H1025" s="1"/>
      <c r="I1025" s="1"/>
      <c r="J1025" s="1"/>
      <c r="K1025" s="1"/>
      <c r="M1025" s="1"/>
      <c r="N1025" s="1"/>
      <c r="O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2"/>
      <c r="AB1025" s="1"/>
      <c r="AC1025" s="1"/>
      <c r="AD1025" s="1"/>
      <c r="AE1025" s="1"/>
      <c r="AF1025" s="1"/>
      <c r="AG1025" s="1"/>
      <c r="AH1025" s="2"/>
      <c r="AI1025" s="2"/>
      <c r="AJ1025" s="2"/>
      <c r="AK1025" s="2"/>
      <c r="AL1025" s="2"/>
      <c r="AM1025" s="1"/>
      <c r="AN1025" s="2"/>
      <c r="AP1025" s="2"/>
      <c r="AQ1025" s="1"/>
      <c r="AR1025" s="2"/>
      <c r="AU1025" s="1"/>
      <c r="AW1025" s="1"/>
      <c r="AY1025" s="2"/>
    </row>
    <row r="1026">
      <c r="A1026" s="1"/>
      <c r="C1026" s="1"/>
      <c r="E1026" s="1"/>
      <c r="F1026" s="1"/>
      <c r="G1026" s="2"/>
      <c r="H1026" s="1"/>
      <c r="I1026" s="1"/>
      <c r="J1026" s="1"/>
      <c r="K1026" s="1"/>
      <c r="M1026" s="1"/>
      <c r="N1026" s="1"/>
      <c r="O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2"/>
      <c r="AB1026" s="1"/>
      <c r="AC1026" s="1"/>
      <c r="AD1026" s="1"/>
      <c r="AE1026" s="1"/>
      <c r="AF1026" s="1"/>
      <c r="AG1026" s="1"/>
      <c r="AH1026" s="2"/>
      <c r="AI1026" s="2"/>
      <c r="AJ1026" s="2"/>
      <c r="AK1026" s="2"/>
      <c r="AL1026" s="2"/>
      <c r="AM1026" s="1"/>
      <c r="AN1026" s="2"/>
      <c r="AP1026" s="2"/>
      <c r="AQ1026" s="1"/>
      <c r="AR1026" s="2"/>
      <c r="AU1026" s="1"/>
      <c r="AW1026" s="1"/>
      <c r="AY1026" s="2"/>
    </row>
    <row r="1027">
      <c r="A1027" s="1"/>
      <c r="C1027" s="1"/>
      <c r="E1027" s="1"/>
      <c r="F1027" s="1"/>
      <c r="G1027" s="2"/>
      <c r="H1027" s="1"/>
      <c r="I1027" s="1"/>
      <c r="J1027" s="1"/>
      <c r="K1027" s="1"/>
      <c r="M1027" s="1"/>
      <c r="N1027" s="1"/>
      <c r="O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2"/>
      <c r="AB1027" s="1"/>
      <c r="AC1027" s="1"/>
      <c r="AD1027" s="1"/>
      <c r="AE1027" s="1"/>
      <c r="AF1027" s="1"/>
      <c r="AG1027" s="1"/>
      <c r="AH1027" s="2"/>
      <c r="AI1027" s="2"/>
      <c r="AJ1027" s="2"/>
      <c r="AK1027" s="2"/>
      <c r="AL1027" s="2"/>
      <c r="AM1027" s="1"/>
      <c r="AN1027" s="2"/>
      <c r="AP1027" s="2"/>
      <c r="AQ1027" s="1"/>
      <c r="AR1027" s="2"/>
      <c r="AU1027" s="1"/>
      <c r="AW1027" s="1"/>
      <c r="AY1027" s="2"/>
    </row>
    <row r="1028">
      <c r="A1028" s="1"/>
      <c r="C1028" s="1"/>
      <c r="E1028" s="1"/>
      <c r="F1028" s="1"/>
      <c r="G1028" s="2"/>
      <c r="H1028" s="1"/>
      <c r="I1028" s="1"/>
      <c r="J1028" s="1"/>
      <c r="K1028" s="1"/>
      <c r="M1028" s="1"/>
      <c r="N1028" s="1"/>
      <c r="O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2"/>
      <c r="AB1028" s="1"/>
      <c r="AC1028" s="1"/>
      <c r="AD1028" s="1"/>
      <c r="AE1028" s="1"/>
      <c r="AF1028" s="1"/>
      <c r="AG1028" s="1"/>
      <c r="AH1028" s="2"/>
      <c r="AI1028" s="2"/>
      <c r="AJ1028" s="2"/>
      <c r="AK1028" s="2"/>
      <c r="AL1028" s="2"/>
      <c r="AM1028" s="1"/>
      <c r="AN1028" s="2"/>
      <c r="AP1028" s="2"/>
      <c r="AQ1028" s="1"/>
      <c r="AR1028" s="2"/>
      <c r="AU1028" s="1"/>
      <c r="AW1028" s="1"/>
      <c r="AY1028" s="2"/>
    </row>
    <row r="1029">
      <c r="A1029" s="1"/>
      <c r="C1029" s="1"/>
      <c r="E1029" s="1"/>
      <c r="F1029" s="1"/>
      <c r="G1029" s="2"/>
      <c r="H1029" s="1"/>
      <c r="I1029" s="1"/>
      <c r="J1029" s="1"/>
      <c r="K1029" s="1"/>
      <c r="M1029" s="1"/>
      <c r="N1029" s="1"/>
      <c r="O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2"/>
      <c r="AB1029" s="1"/>
      <c r="AC1029" s="1"/>
      <c r="AD1029" s="1"/>
      <c r="AE1029" s="1"/>
      <c r="AF1029" s="1"/>
      <c r="AG1029" s="1"/>
      <c r="AH1029" s="2"/>
      <c r="AI1029" s="2"/>
      <c r="AJ1029" s="2"/>
      <c r="AK1029" s="2"/>
      <c r="AL1029" s="2"/>
      <c r="AM1029" s="1"/>
      <c r="AN1029" s="2"/>
      <c r="AP1029" s="2"/>
      <c r="AQ1029" s="1"/>
      <c r="AR1029" s="2"/>
      <c r="AU1029" s="1"/>
      <c r="AW1029" s="1"/>
      <c r="AY1029" s="2"/>
    </row>
    <row r="1030">
      <c r="A1030" s="1"/>
      <c r="C1030" s="1"/>
      <c r="E1030" s="1"/>
      <c r="F1030" s="1"/>
      <c r="G1030" s="2"/>
      <c r="H1030" s="1"/>
      <c r="I1030" s="1"/>
      <c r="J1030" s="1"/>
      <c r="K1030" s="1"/>
      <c r="M1030" s="1"/>
      <c r="N1030" s="1"/>
      <c r="O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2"/>
      <c r="AB1030" s="1"/>
      <c r="AC1030" s="1"/>
      <c r="AD1030" s="1"/>
      <c r="AE1030" s="1"/>
      <c r="AF1030" s="1"/>
      <c r="AG1030" s="1"/>
      <c r="AH1030" s="2"/>
      <c r="AI1030" s="2"/>
      <c r="AJ1030" s="2"/>
      <c r="AK1030" s="2"/>
      <c r="AL1030" s="2"/>
      <c r="AM1030" s="1"/>
      <c r="AN1030" s="2"/>
      <c r="AP1030" s="2"/>
      <c r="AQ1030" s="1"/>
      <c r="AR1030" s="2"/>
      <c r="AU1030" s="1"/>
      <c r="AW1030" s="1"/>
      <c r="AY1030" s="2"/>
    </row>
    <row r="1031">
      <c r="A1031" s="1"/>
      <c r="C1031" s="1"/>
      <c r="E1031" s="1"/>
      <c r="F1031" s="1"/>
      <c r="G1031" s="2"/>
      <c r="H1031" s="1"/>
      <c r="I1031" s="1"/>
      <c r="J1031" s="1"/>
      <c r="K1031" s="1"/>
      <c r="M1031" s="1"/>
      <c r="N1031" s="1"/>
      <c r="O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2"/>
      <c r="AB1031" s="1"/>
      <c r="AC1031" s="1"/>
      <c r="AD1031" s="1"/>
      <c r="AE1031" s="1"/>
      <c r="AF1031" s="1"/>
      <c r="AG1031" s="1"/>
      <c r="AH1031" s="2"/>
      <c r="AI1031" s="2"/>
      <c r="AJ1031" s="2"/>
      <c r="AK1031" s="2"/>
      <c r="AL1031" s="2"/>
      <c r="AM1031" s="1"/>
      <c r="AN1031" s="2"/>
      <c r="AP1031" s="2"/>
      <c r="AQ1031" s="1"/>
      <c r="AR1031" s="2"/>
      <c r="AU1031" s="1"/>
      <c r="AW1031" s="1"/>
      <c r="AY1031" s="2"/>
    </row>
    <row r="1032">
      <c r="A1032" s="1"/>
      <c r="C1032" s="1"/>
      <c r="E1032" s="1"/>
      <c r="F1032" s="1"/>
      <c r="G1032" s="2"/>
      <c r="H1032" s="1"/>
      <c r="I1032" s="1"/>
      <c r="J1032" s="1"/>
      <c r="K1032" s="1"/>
      <c r="M1032" s="1"/>
      <c r="N1032" s="1"/>
      <c r="O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2"/>
      <c r="AB1032" s="1"/>
      <c r="AC1032" s="1"/>
      <c r="AD1032" s="1"/>
      <c r="AE1032" s="1"/>
      <c r="AF1032" s="1"/>
      <c r="AG1032" s="1"/>
      <c r="AH1032" s="2"/>
      <c r="AI1032" s="2"/>
      <c r="AJ1032" s="2"/>
      <c r="AK1032" s="2"/>
      <c r="AL1032" s="2"/>
      <c r="AM1032" s="1"/>
      <c r="AN1032" s="2"/>
      <c r="AP1032" s="2"/>
      <c r="AQ1032" s="1"/>
      <c r="AR1032" s="2"/>
      <c r="AU1032" s="1"/>
      <c r="AW1032" s="1"/>
      <c r="AY1032" s="2"/>
    </row>
    <row r="1033">
      <c r="A1033" s="1"/>
      <c r="C1033" s="1"/>
      <c r="E1033" s="1"/>
      <c r="F1033" s="1"/>
      <c r="G1033" s="2"/>
      <c r="H1033" s="1"/>
      <c r="I1033" s="1"/>
      <c r="J1033" s="1"/>
      <c r="K1033" s="1"/>
      <c r="M1033" s="1"/>
      <c r="N1033" s="1"/>
      <c r="O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2"/>
      <c r="AB1033" s="1"/>
      <c r="AC1033" s="1"/>
      <c r="AD1033" s="1"/>
      <c r="AE1033" s="1"/>
      <c r="AF1033" s="1"/>
      <c r="AG1033" s="1"/>
      <c r="AH1033" s="2"/>
      <c r="AI1033" s="2"/>
      <c r="AJ1033" s="2"/>
      <c r="AK1033" s="2"/>
      <c r="AL1033" s="2"/>
      <c r="AM1033" s="1"/>
      <c r="AN1033" s="2"/>
      <c r="AP1033" s="2"/>
      <c r="AQ1033" s="1"/>
      <c r="AR1033" s="2"/>
      <c r="AU1033" s="1"/>
      <c r="AW1033" s="1"/>
      <c r="AY1033" s="2"/>
    </row>
    <row r="1034">
      <c r="A1034" s="1"/>
      <c r="C1034" s="1"/>
      <c r="E1034" s="1"/>
      <c r="F1034" s="1"/>
      <c r="G1034" s="2"/>
      <c r="H1034" s="1"/>
      <c r="I1034" s="1"/>
      <c r="J1034" s="1"/>
      <c r="K1034" s="1"/>
      <c r="M1034" s="1"/>
      <c r="N1034" s="1"/>
      <c r="O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2"/>
      <c r="AB1034" s="1"/>
      <c r="AC1034" s="1"/>
      <c r="AD1034" s="1"/>
      <c r="AE1034" s="1"/>
      <c r="AF1034" s="1"/>
      <c r="AG1034" s="1"/>
      <c r="AH1034" s="2"/>
      <c r="AI1034" s="2"/>
      <c r="AJ1034" s="2"/>
      <c r="AK1034" s="2"/>
      <c r="AL1034" s="2"/>
      <c r="AM1034" s="1"/>
      <c r="AN1034" s="2"/>
      <c r="AP1034" s="2"/>
      <c r="AQ1034" s="1"/>
      <c r="AR1034" s="2"/>
      <c r="AU1034" s="1"/>
      <c r="AW1034" s="1"/>
      <c r="AY1034" s="2"/>
    </row>
    <row r="1035">
      <c r="A1035" s="1"/>
      <c r="C1035" s="1"/>
      <c r="E1035" s="1"/>
      <c r="F1035" s="1"/>
      <c r="G1035" s="2"/>
      <c r="H1035" s="1"/>
      <c r="I1035" s="1"/>
      <c r="J1035" s="1"/>
      <c r="K1035" s="1"/>
      <c r="M1035" s="1"/>
      <c r="N1035" s="1"/>
      <c r="O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2"/>
      <c r="AB1035" s="1"/>
      <c r="AC1035" s="1"/>
      <c r="AD1035" s="1"/>
      <c r="AE1035" s="1"/>
      <c r="AF1035" s="1"/>
      <c r="AG1035" s="1"/>
      <c r="AH1035" s="2"/>
      <c r="AI1035" s="2"/>
      <c r="AJ1035" s="2"/>
      <c r="AK1035" s="2"/>
      <c r="AL1035" s="2"/>
      <c r="AM1035" s="1"/>
      <c r="AN1035" s="2"/>
      <c r="AP1035" s="2"/>
      <c r="AQ1035" s="1"/>
      <c r="AR1035" s="2"/>
      <c r="AU1035" s="1"/>
      <c r="AW1035" s="1"/>
      <c r="AY1035" s="2"/>
    </row>
    <row r="1036">
      <c r="A1036" s="1"/>
      <c r="C1036" s="1"/>
      <c r="E1036" s="1"/>
      <c r="F1036" s="1"/>
      <c r="G1036" s="2"/>
      <c r="H1036" s="1"/>
      <c r="I1036" s="1"/>
      <c r="J1036" s="1"/>
      <c r="K1036" s="1"/>
      <c r="M1036" s="1"/>
      <c r="N1036" s="1"/>
      <c r="O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2"/>
      <c r="AB1036" s="1"/>
      <c r="AC1036" s="1"/>
      <c r="AD1036" s="1"/>
      <c r="AE1036" s="1"/>
      <c r="AF1036" s="1"/>
      <c r="AG1036" s="1"/>
      <c r="AH1036" s="2"/>
      <c r="AI1036" s="2"/>
      <c r="AJ1036" s="2"/>
      <c r="AK1036" s="2"/>
      <c r="AL1036" s="2"/>
      <c r="AM1036" s="1"/>
      <c r="AN1036" s="2"/>
      <c r="AP1036" s="2"/>
      <c r="AQ1036" s="1"/>
      <c r="AR1036" s="2"/>
      <c r="AU1036" s="1"/>
      <c r="AW1036" s="1"/>
      <c r="AY1036" s="2"/>
    </row>
    <row r="1037">
      <c r="A1037" s="1"/>
      <c r="C1037" s="1"/>
      <c r="E1037" s="1"/>
      <c r="F1037" s="1"/>
      <c r="G1037" s="2"/>
      <c r="H1037" s="1"/>
      <c r="I1037" s="1"/>
      <c r="J1037" s="1"/>
      <c r="K1037" s="1"/>
      <c r="M1037" s="1"/>
      <c r="N1037" s="1"/>
      <c r="O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2"/>
      <c r="AB1037" s="1"/>
      <c r="AC1037" s="1"/>
      <c r="AD1037" s="1"/>
      <c r="AE1037" s="1"/>
      <c r="AF1037" s="1"/>
      <c r="AG1037" s="1"/>
      <c r="AH1037" s="2"/>
      <c r="AI1037" s="2"/>
      <c r="AJ1037" s="2"/>
      <c r="AK1037" s="2"/>
      <c r="AL1037" s="2"/>
      <c r="AM1037" s="1"/>
      <c r="AN1037" s="2"/>
      <c r="AP1037" s="2"/>
      <c r="AQ1037" s="1"/>
      <c r="AR1037" s="2"/>
      <c r="AU1037" s="1"/>
      <c r="AW1037" s="1"/>
      <c r="AY1037" s="2"/>
    </row>
    <row r="1038">
      <c r="A1038" s="1"/>
      <c r="C1038" s="1"/>
      <c r="E1038" s="1"/>
      <c r="F1038" s="1"/>
      <c r="G1038" s="2"/>
      <c r="H1038" s="1"/>
      <c r="I1038" s="1"/>
      <c r="J1038" s="1"/>
      <c r="K1038" s="1"/>
      <c r="M1038" s="1"/>
      <c r="N1038" s="1"/>
      <c r="O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2"/>
      <c r="AB1038" s="1"/>
      <c r="AC1038" s="1"/>
      <c r="AD1038" s="1"/>
      <c r="AE1038" s="1"/>
      <c r="AF1038" s="1"/>
      <c r="AG1038" s="1"/>
      <c r="AH1038" s="2"/>
      <c r="AI1038" s="2"/>
      <c r="AJ1038" s="2"/>
      <c r="AK1038" s="2"/>
      <c r="AL1038" s="2"/>
      <c r="AM1038" s="1"/>
      <c r="AN1038" s="2"/>
      <c r="AP1038" s="2"/>
      <c r="AQ1038" s="1"/>
      <c r="AR1038" s="2"/>
      <c r="AU1038" s="1"/>
      <c r="AW1038" s="1"/>
      <c r="AY1038" s="2"/>
    </row>
    <row r="1039">
      <c r="A1039" s="1"/>
      <c r="C1039" s="1"/>
      <c r="E1039" s="1"/>
      <c r="F1039" s="1"/>
      <c r="G1039" s="2"/>
      <c r="H1039" s="1"/>
      <c r="I1039" s="1"/>
      <c r="J1039" s="1"/>
      <c r="K1039" s="1"/>
      <c r="M1039" s="1"/>
      <c r="N1039" s="1"/>
      <c r="O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2"/>
      <c r="AB1039" s="1"/>
      <c r="AC1039" s="1"/>
      <c r="AD1039" s="1"/>
      <c r="AE1039" s="1"/>
      <c r="AF1039" s="1"/>
      <c r="AG1039" s="1"/>
      <c r="AH1039" s="2"/>
      <c r="AI1039" s="2"/>
      <c r="AJ1039" s="2"/>
      <c r="AK1039" s="2"/>
      <c r="AL1039" s="2"/>
      <c r="AM1039" s="1"/>
      <c r="AN1039" s="2"/>
      <c r="AP1039" s="2"/>
      <c r="AQ1039" s="1"/>
      <c r="AR1039" s="2"/>
      <c r="AU1039" s="1"/>
      <c r="AW1039" s="1"/>
      <c r="AY1039" s="2"/>
    </row>
    <row r="1040">
      <c r="A1040" s="1"/>
      <c r="C1040" s="1"/>
      <c r="E1040" s="1"/>
      <c r="F1040" s="1"/>
      <c r="G1040" s="2"/>
      <c r="H1040" s="1"/>
      <c r="I1040" s="1"/>
      <c r="J1040" s="1"/>
      <c r="K1040" s="1"/>
      <c r="M1040" s="1"/>
      <c r="N1040" s="1"/>
      <c r="O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2"/>
      <c r="AB1040" s="1"/>
      <c r="AC1040" s="1"/>
      <c r="AD1040" s="1"/>
      <c r="AE1040" s="1"/>
      <c r="AF1040" s="1"/>
      <c r="AG1040" s="1"/>
      <c r="AH1040" s="2"/>
      <c r="AI1040" s="2"/>
      <c r="AJ1040" s="2"/>
      <c r="AK1040" s="2"/>
      <c r="AL1040" s="2"/>
      <c r="AM1040" s="1"/>
      <c r="AN1040" s="2"/>
      <c r="AP1040" s="2"/>
      <c r="AQ1040" s="1"/>
      <c r="AR1040" s="2"/>
      <c r="AU1040" s="1"/>
      <c r="AW1040" s="1"/>
      <c r="AY1040" s="2"/>
    </row>
    <row r="1041">
      <c r="A1041" s="1"/>
      <c r="C1041" s="1"/>
      <c r="E1041" s="1"/>
      <c r="F1041" s="1"/>
      <c r="G1041" s="2"/>
      <c r="H1041" s="1"/>
      <c r="I1041" s="1"/>
      <c r="J1041" s="1"/>
      <c r="K1041" s="1"/>
      <c r="M1041" s="1"/>
      <c r="N1041" s="1"/>
      <c r="O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2"/>
      <c r="AB1041" s="1"/>
      <c r="AC1041" s="1"/>
      <c r="AD1041" s="1"/>
      <c r="AE1041" s="1"/>
      <c r="AF1041" s="1"/>
      <c r="AG1041" s="1"/>
      <c r="AH1041" s="2"/>
      <c r="AI1041" s="2"/>
      <c r="AJ1041" s="2"/>
      <c r="AK1041" s="2"/>
      <c r="AL1041" s="2"/>
      <c r="AM1041" s="1"/>
      <c r="AN1041" s="2"/>
      <c r="AP1041" s="2"/>
      <c r="AQ1041" s="1"/>
      <c r="AR1041" s="2"/>
      <c r="AU1041" s="1"/>
      <c r="AW1041" s="1"/>
      <c r="AY1041" s="2"/>
    </row>
    <row r="1042">
      <c r="A1042" s="1"/>
      <c r="C1042" s="1"/>
      <c r="E1042" s="1"/>
      <c r="F1042" s="1"/>
      <c r="G1042" s="2"/>
      <c r="H1042" s="1"/>
      <c r="I1042" s="1"/>
      <c r="J1042" s="1"/>
      <c r="K1042" s="1"/>
      <c r="M1042" s="1"/>
      <c r="N1042" s="1"/>
      <c r="O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2"/>
      <c r="AB1042" s="1"/>
      <c r="AC1042" s="1"/>
      <c r="AD1042" s="1"/>
      <c r="AE1042" s="1"/>
      <c r="AF1042" s="1"/>
      <c r="AG1042" s="1"/>
      <c r="AH1042" s="2"/>
      <c r="AI1042" s="2"/>
      <c r="AJ1042" s="2"/>
      <c r="AK1042" s="2"/>
      <c r="AL1042" s="2"/>
      <c r="AM1042" s="1"/>
      <c r="AN1042" s="2"/>
      <c r="AP1042" s="2"/>
      <c r="AQ1042" s="1"/>
      <c r="AR1042" s="2"/>
      <c r="AU1042" s="1"/>
      <c r="AW1042" s="1"/>
      <c r="AY1042" s="2"/>
    </row>
    <row r="1043">
      <c r="A1043" s="1"/>
      <c r="C1043" s="1"/>
      <c r="E1043" s="1"/>
      <c r="F1043" s="1"/>
      <c r="G1043" s="2"/>
      <c r="H1043" s="1"/>
      <c r="I1043" s="1"/>
      <c r="J1043" s="1"/>
      <c r="K1043" s="1"/>
      <c r="M1043" s="1"/>
      <c r="N1043" s="1"/>
      <c r="O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2"/>
      <c r="AB1043" s="1"/>
      <c r="AC1043" s="1"/>
      <c r="AD1043" s="1"/>
      <c r="AE1043" s="1"/>
      <c r="AF1043" s="1"/>
      <c r="AG1043" s="1"/>
      <c r="AH1043" s="2"/>
      <c r="AI1043" s="2"/>
      <c r="AJ1043" s="2"/>
      <c r="AK1043" s="2"/>
      <c r="AL1043" s="2"/>
      <c r="AM1043" s="1"/>
      <c r="AN1043" s="2"/>
      <c r="AP1043" s="2"/>
      <c r="AQ1043" s="1"/>
      <c r="AR1043" s="2"/>
      <c r="AU1043" s="1"/>
      <c r="AW1043" s="1"/>
      <c r="AY1043" s="2"/>
    </row>
    <row r="1044">
      <c r="A1044" s="1"/>
      <c r="C1044" s="1"/>
      <c r="E1044" s="1"/>
      <c r="F1044" s="1"/>
      <c r="G1044" s="2"/>
      <c r="H1044" s="1"/>
      <c r="I1044" s="1"/>
      <c r="J1044" s="1"/>
      <c r="K1044" s="1"/>
      <c r="M1044" s="1"/>
      <c r="N1044" s="1"/>
      <c r="O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2"/>
      <c r="AB1044" s="1"/>
      <c r="AC1044" s="1"/>
      <c r="AD1044" s="1"/>
      <c r="AE1044" s="1"/>
      <c r="AF1044" s="1"/>
      <c r="AG1044" s="1"/>
      <c r="AH1044" s="2"/>
      <c r="AI1044" s="2"/>
      <c r="AJ1044" s="2"/>
      <c r="AK1044" s="2"/>
      <c r="AL1044" s="2"/>
      <c r="AM1044" s="1"/>
      <c r="AN1044" s="2"/>
      <c r="AP1044" s="2"/>
      <c r="AQ1044" s="1"/>
      <c r="AR1044" s="2"/>
      <c r="AU1044" s="1"/>
      <c r="AW1044" s="1"/>
      <c r="AY1044" s="2"/>
    </row>
    <row r="1045">
      <c r="A1045" s="1"/>
      <c r="C1045" s="1"/>
      <c r="E1045" s="1"/>
      <c r="F1045" s="1"/>
      <c r="G1045" s="2"/>
      <c r="H1045" s="1"/>
      <c r="I1045" s="1"/>
      <c r="J1045" s="1"/>
      <c r="K1045" s="1"/>
      <c r="M1045" s="1"/>
      <c r="N1045" s="1"/>
      <c r="O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2"/>
      <c r="AB1045" s="1"/>
      <c r="AC1045" s="1"/>
      <c r="AD1045" s="1"/>
      <c r="AE1045" s="1"/>
      <c r="AF1045" s="1"/>
      <c r="AG1045" s="1"/>
      <c r="AH1045" s="2"/>
      <c r="AI1045" s="2"/>
      <c r="AJ1045" s="2"/>
      <c r="AK1045" s="2"/>
      <c r="AL1045" s="2"/>
      <c r="AM1045" s="1"/>
      <c r="AN1045" s="2"/>
      <c r="AP1045" s="2"/>
      <c r="AQ1045" s="1"/>
      <c r="AR1045" s="2"/>
      <c r="AU1045" s="1"/>
      <c r="AW1045" s="1"/>
      <c r="AY1045" s="2"/>
    </row>
    <row r="1046">
      <c r="A1046" s="1"/>
      <c r="C1046" s="1"/>
      <c r="E1046" s="1"/>
      <c r="F1046" s="1"/>
      <c r="G1046" s="2"/>
      <c r="H1046" s="1"/>
      <c r="I1046" s="1"/>
      <c r="J1046" s="1"/>
      <c r="K1046" s="1"/>
      <c r="M1046" s="1"/>
      <c r="N1046" s="1"/>
      <c r="O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2"/>
      <c r="AB1046" s="1"/>
      <c r="AC1046" s="1"/>
      <c r="AD1046" s="1"/>
      <c r="AE1046" s="1"/>
      <c r="AF1046" s="1"/>
      <c r="AG1046" s="1"/>
      <c r="AH1046" s="2"/>
      <c r="AI1046" s="2"/>
      <c r="AJ1046" s="2"/>
      <c r="AK1046" s="2"/>
      <c r="AL1046" s="2"/>
      <c r="AM1046" s="1"/>
      <c r="AN1046" s="2"/>
      <c r="AP1046" s="2"/>
      <c r="AQ1046" s="1"/>
      <c r="AR1046" s="2"/>
      <c r="AU1046" s="1"/>
      <c r="AW1046" s="1"/>
      <c r="AY1046" s="2"/>
    </row>
    <row r="1047">
      <c r="A1047" s="1"/>
      <c r="C1047" s="1"/>
      <c r="E1047" s="1"/>
      <c r="F1047" s="1"/>
      <c r="G1047" s="2"/>
      <c r="H1047" s="1"/>
      <c r="I1047" s="1"/>
      <c r="J1047" s="1"/>
      <c r="K1047" s="1"/>
      <c r="M1047" s="1"/>
      <c r="N1047" s="1"/>
      <c r="O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2"/>
      <c r="AB1047" s="1"/>
      <c r="AC1047" s="1"/>
      <c r="AD1047" s="1"/>
      <c r="AE1047" s="1"/>
      <c r="AF1047" s="1"/>
      <c r="AG1047" s="1"/>
      <c r="AH1047" s="2"/>
      <c r="AI1047" s="2"/>
      <c r="AJ1047" s="2"/>
      <c r="AK1047" s="2"/>
      <c r="AL1047" s="2"/>
      <c r="AM1047" s="1"/>
      <c r="AN1047" s="2"/>
      <c r="AP1047" s="2"/>
      <c r="AQ1047" s="1"/>
      <c r="AR1047" s="2"/>
      <c r="AU1047" s="1"/>
      <c r="AW1047" s="1"/>
      <c r="AY1047" s="2"/>
    </row>
    <row r="1048">
      <c r="A1048" s="1"/>
      <c r="C1048" s="1"/>
      <c r="E1048" s="1"/>
      <c r="F1048" s="1"/>
      <c r="G1048" s="2"/>
      <c r="H1048" s="1"/>
      <c r="I1048" s="1"/>
      <c r="J1048" s="1"/>
      <c r="K1048" s="1"/>
      <c r="M1048" s="1"/>
      <c r="N1048" s="1"/>
      <c r="O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2"/>
      <c r="AB1048" s="1"/>
      <c r="AC1048" s="1"/>
      <c r="AD1048" s="1"/>
      <c r="AE1048" s="1"/>
      <c r="AF1048" s="1"/>
      <c r="AG1048" s="1"/>
      <c r="AH1048" s="2"/>
      <c r="AI1048" s="2"/>
      <c r="AJ1048" s="2"/>
      <c r="AK1048" s="2"/>
      <c r="AL1048" s="2"/>
      <c r="AM1048" s="1"/>
      <c r="AN1048" s="2"/>
      <c r="AP1048" s="2"/>
      <c r="AQ1048" s="1"/>
      <c r="AR1048" s="2"/>
      <c r="AU1048" s="1"/>
      <c r="AW1048" s="1"/>
      <c r="AY1048" s="2"/>
    </row>
    <row r="1049">
      <c r="A1049" s="1"/>
      <c r="C1049" s="1"/>
      <c r="E1049" s="1"/>
      <c r="F1049" s="1"/>
      <c r="G1049" s="2"/>
      <c r="H1049" s="1"/>
      <c r="I1049" s="1"/>
      <c r="J1049" s="1"/>
      <c r="K1049" s="1"/>
      <c r="M1049" s="1"/>
      <c r="N1049" s="1"/>
      <c r="O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2"/>
      <c r="AB1049" s="1"/>
      <c r="AC1049" s="1"/>
      <c r="AD1049" s="1"/>
      <c r="AE1049" s="1"/>
      <c r="AF1049" s="1"/>
      <c r="AG1049" s="1"/>
      <c r="AH1049" s="2"/>
      <c r="AI1049" s="2"/>
      <c r="AJ1049" s="2"/>
      <c r="AK1049" s="2"/>
      <c r="AL1049" s="2"/>
      <c r="AM1049" s="1"/>
      <c r="AN1049" s="2"/>
      <c r="AP1049" s="2"/>
      <c r="AQ1049" s="1"/>
      <c r="AR1049" s="2"/>
      <c r="AU1049" s="1"/>
      <c r="AW1049" s="1"/>
      <c r="AY1049" s="2"/>
    </row>
    <row r="1050">
      <c r="A1050" s="1"/>
      <c r="C1050" s="1"/>
      <c r="E1050" s="1"/>
      <c r="F1050" s="1"/>
      <c r="G1050" s="2"/>
      <c r="H1050" s="1"/>
      <c r="I1050" s="1"/>
      <c r="J1050" s="1"/>
      <c r="K1050" s="1"/>
      <c r="M1050" s="1"/>
      <c r="N1050" s="1"/>
      <c r="O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2"/>
      <c r="AB1050" s="1"/>
      <c r="AC1050" s="1"/>
      <c r="AD1050" s="1"/>
      <c r="AE1050" s="1"/>
      <c r="AF1050" s="1"/>
      <c r="AG1050" s="1"/>
      <c r="AH1050" s="2"/>
      <c r="AI1050" s="2"/>
      <c r="AJ1050" s="2"/>
      <c r="AK1050" s="2"/>
      <c r="AL1050" s="2"/>
      <c r="AM1050" s="1"/>
      <c r="AN1050" s="2"/>
      <c r="AP1050" s="2"/>
      <c r="AQ1050" s="1"/>
      <c r="AR1050" s="2"/>
      <c r="AU1050" s="1"/>
      <c r="AW1050" s="1"/>
      <c r="AY1050" s="2"/>
    </row>
    <row r="1051">
      <c r="A1051" s="1"/>
      <c r="C1051" s="1"/>
      <c r="E1051" s="1"/>
      <c r="F1051" s="1"/>
      <c r="G1051" s="2"/>
      <c r="H1051" s="1"/>
      <c r="I1051" s="1"/>
      <c r="J1051" s="1"/>
      <c r="K1051" s="1"/>
      <c r="M1051" s="1"/>
      <c r="N1051" s="1"/>
      <c r="O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2"/>
      <c r="AB1051" s="1"/>
      <c r="AC1051" s="1"/>
      <c r="AD1051" s="1"/>
      <c r="AE1051" s="1"/>
      <c r="AF1051" s="1"/>
      <c r="AG1051" s="1"/>
      <c r="AH1051" s="2"/>
      <c r="AI1051" s="2"/>
      <c r="AJ1051" s="2"/>
      <c r="AK1051" s="2"/>
      <c r="AL1051" s="2"/>
      <c r="AM1051" s="1"/>
      <c r="AN1051" s="2"/>
      <c r="AP1051" s="2"/>
      <c r="AQ1051" s="1"/>
      <c r="AR1051" s="2"/>
      <c r="AU1051" s="1"/>
      <c r="AW1051" s="1"/>
      <c r="AY1051" s="2"/>
    </row>
    <row r="1052">
      <c r="A1052" s="1"/>
      <c r="C1052" s="1"/>
      <c r="E1052" s="1"/>
      <c r="F1052" s="1"/>
      <c r="G1052" s="2"/>
      <c r="H1052" s="1"/>
      <c r="I1052" s="1"/>
      <c r="J1052" s="1"/>
      <c r="K1052" s="1"/>
      <c r="M1052" s="1"/>
      <c r="N1052" s="1"/>
      <c r="O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2"/>
      <c r="AB1052" s="1"/>
      <c r="AC1052" s="1"/>
      <c r="AD1052" s="1"/>
      <c r="AE1052" s="1"/>
      <c r="AF1052" s="1"/>
      <c r="AG1052" s="1"/>
      <c r="AH1052" s="2"/>
      <c r="AI1052" s="2"/>
      <c r="AJ1052" s="2"/>
      <c r="AK1052" s="2"/>
      <c r="AL1052" s="2"/>
      <c r="AM1052" s="1"/>
      <c r="AN1052" s="2"/>
      <c r="AP1052" s="2"/>
      <c r="AQ1052" s="1"/>
      <c r="AR1052" s="2"/>
      <c r="AU1052" s="1"/>
      <c r="AW1052" s="1"/>
      <c r="AY1052" s="2"/>
    </row>
    <row r="1053">
      <c r="A1053" s="1"/>
      <c r="C1053" s="1"/>
      <c r="E1053" s="1"/>
      <c r="F1053" s="1"/>
      <c r="G1053" s="2"/>
      <c r="H1053" s="1"/>
      <c r="I1053" s="1"/>
      <c r="J1053" s="1"/>
      <c r="K1053" s="1"/>
      <c r="M1053" s="1"/>
      <c r="N1053" s="1"/>
      <c r="O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2"/>
      <c r="AB1053" s="1"/>
      <c r="AC1053" s="1"/>
      <c r="AD1053" s="1"/>
      <c r="AE1053" s="1"/>
      <c r="AF1053" s="1"/>
      <c r="AG1053" s="1"/>
      <c r="AH1053" s="2"/>
      <c r="AI1053" s="2"/>
      <c r="AJ1053" s="2"/>
      <c r="AK1053" s="2"/>
      <c r="AL1053" s="2"/>
      <c r="AM1053" s="1"/>
      <c r="AN1053" s="2"/>
      <c r="AP1053" s="2"/>
      <c r="AQ1053" s="1"/>
      <c r="AR1053" s="2"/>
      <c r="AU1053" s="1"/>
      <c r="AW1053" s="1"/>
      <c r="AY1053" s="2"/>
    </row>
    <row r="1054">
      <c r="A1054" s="1"/>
      <c r="C1054" s="1"/>
      <c r="E1054" s="1"/>
      <c r="F1054" s="1"/>
      <c r="G1054" s="2"/>
      <c r="H1054" s="1"/>
      <c r="I1054" s="1"/>
      <c r="J1054" s="1"/>
      <c r="K1054" s="1"/>
      <c r="M1054" s="1"/>
      <c r="N1054" s="1"/>
      <c r="O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2"/>
      <c r="AB1054" s="1"/>
      <c r="AC1054" s="1"/>
      <c r="AD1054" s="1"/>
      <c r="AE1054" s="1"/>
      <c r="AF1054" s="1"/>
      <c r="AG1054" s="1"/>
      <c r="AH1054" s="2"/>
      <c r="AI1054" s="2"/>
      <c r="AJ1054" s="2"/>
      <c r="AK1054" s="2"/>
      <c r="AL1054" s="2"/>
      <c r="AM1054" s="1"/>
      <c r="AN1054" s="2"/>
      <c r="AP1054" s="2"/>
      <c r="AQ1054" s="1"/>
      <c r="AR1054" s="2"/>
      <c r="AU1054" s="1"/>
      <c r="AW1054" s="1"/>
      <c r="AY1054" s="2"/>
    </row>
    <row r="1055">
      <c r="A1055" s="1"/>
      <c r="C1055" s="1"/>
      <c r="E1055" s="1"/>
      <c r="F1055" s="1"/>
      <c r="G1055" s="2"/>
      <c r="H1055" s="1"/>
      <c r="I1055" s="1"/>
      <c r="J1055" s="1"/>
      <c r="K1055" s="1"/>
      <c r="M1055" s="1"/>
      <c r="N1055" s="1"/>
      <c r="O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2"/>
      <c r="AB1055" s="1"/>
      <c r="AC1055" s="1"/>
      <c r="AD1055" s="1"/>
      <c r="AE1055" s="1"/>
      <c r="AF1055" s="1"/>
      <c r="AG1055" s="1"/>
      <c r="AH1055" s="2"/>
      <c r="AI1055" s="2"/>
      <c r="AJ1055" s="2"/>
      <c r="AK1055" s="2"/>
      <c r="AL1055" s="2"/>
      <c r="AM1055" s="1"/>
      <c r="AN1055" s="2"/>
      <c r="AP1055" s="2"/>
      <c r="AQ1055" s="1"/>
      <c r="AR1055" s="2"/>
      <c r="AU1055" s="1"/>
      <c r="AW1055" s="1"/>
      <c r="AY1055" s="2"/>
    </row>
    <row r="1056">
      <c r="A1056" s="1"/>
      <c r="C1056" s="1"/>
      <c r="E1056" s="1"/>
      <c r="F1056" s="1"/>
      <c r="G1056" s="2"/>
      <c r="H1056" s="1"/>
      <c r="I1056" s="1"/>
      <c r="J1056" s="1"/>
      <c r="K1056" s="1"/>
      <c r="M1056" s="1"/>
      <c r="N1056" s="1"/>
      <c r="O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2"/>
      <c r="AB1056" s="1"/>
      <c r="AC1056" s="1"/>
      <c r="AD1056" s="1"/>
      <c r="AE1056" s="1"/>
      <c r="AF1056" s="1"/>
      <c r="AG1056" s="1"/>
      <c r="AH1056" s="2"/>
      <c r="AI1056" s="2"/>
      <c r="AJ1056" s="2"/>
      <c r="AK1056" s="2"/>
      <c r="AL1056" s="2"/>
      <c r="AM1056" s="1"/>
      <c r="AN1056" s="2"/>
      <c r="AP1056" s="2"/>
      <c r="AQ1056" s="1"/>
      <c r="AR1056" s="2"/>
      <c r="AU1056" s="1"/>
      <c r="AW1056" s="1"/>
      <c r="AY1056" s="2"/>
    </row>
    <row r="1057">
      <c r="A1057" s="1"/>
      <c r="C1057" s="1"/>
      <c r="E1057" s="1"/>
      <c r="F1057" s="1"/>
      <c r="G1057" s="2"/>
      <c r="H1057" s="1"/>
      <c r="I1057" s="1"/>
      <c r="J1057" s="1"/>
      <c r="K1057" s="1"/>
      <c r="M1057" s="1"/>
      <c r="N1057" s="1"/>
      <c r="O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2"/>
      <c r="AB1057" s="1"/>
      <c r="AC1057" s="1"/>
      <c r="AD1057" s="1"/>
      <c r="AE1057" s="1"/>
      <c r="AF1057" s="1"/>
      <c r="AG1057" s="1"/>
      <c r="AH1057" s="2"/>
      <c r="AI1057" s="2"/>
      <c r="AJ1057" s="2"/>
      <c r="AK1057" s="2"/>
      <c r="AL1057" s="2"/>
      <c r="AM1057" s="1"/>
      <c r="AN1057" s="2"/>
      <c r="AP1057" s="2"/>
      <c r="AQ1057" s="1"/>
      <c r="AR1057" s="2"/>
      <c r="AU1057" s="1"/>
      <c r="AW1057" s="1"/>
      <c r="AY1057" s="2"/>
    </row>
    <row r="1058">
      <c r="A1058" s="1"/>
      <c r="C1058" s="1"/>
      <c r="E1058" s="1"/>
      <c r="F1058" s="1"/>
      <c r="G1058" s="2"/>
      <c r="H1058" s="1"/>
      <c r="I1058" s="1"/>
      <c r="J1058" s="1"/>
      <c r="K1058" s="1"/>
      <c r="M1058" s="1"/>
      <c r="N1058" s="1"/>
      <c r="O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2"/>
      <c r="AB1058" s="1"/>
      <c r="AC1058" s="1"/>
      <c r="AD1058" s="1"/>
      <c r="AE1058" s="1"/>
      <c r="AF1058" s="1"/>
      <c r="AG1058" s="1"/>
      <c r="AH1058" s="2"/>
      <c r="AI1058" s="2"/>
      <c r="AJ1058" s="2"/>
      <c r="AK1058" s="2"/>
      <c r="AL1058" s="2"/>
      <c r="AM1058" s="1"/>
      <c r="AN1058" s="2"/>
      <c r="AP1058" s="2"/>
      <c r="AQ1058" s="1"/>
      <c r="AR1058" s="2"/>
      <c r="AU1058" s="1"/>
      <c r="AW1058" s="1"/>
      <c r="AY1058" s="2"/>
    </row>
    <row r="1059">
      <c r="A1059" s="1"/>
      <c r="C1059" s="1"/>
      <c r="E1059" s="1"/>
      <c r="F1059" s="1"/>
      <c r="G1059" s="2"/>
      <c r="H1059" s="1"/>
      <c r="I1059" s="1"/>
      <c r="J1059" s="1"/>
      <c r="K1059" s="1"/>
      <c r="M1059" s="1"/>
      <c r="N1059" s="1"/>
      <c r="O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2"/>
      <c r="AB1059" s="1"/>
      <c r="AC1059" s="1"/>
      <c r="AD1059" s="1"/>
      <c r="AE1059" s="1"/>
      <c r="AF1059" s="1"/>
      <c r="AG1059" s="1"/>
      <c r="AH1059" s="2"/>
      <c r="AI1059" s="2"/>
      <c r="AJ1059" s="2"/>
      <c r="AK1059" s="2"/>
      <c r="AL1059" s="2"/>
      <c r="AM1059" s="1"/>
      <c r="AN1059" s="2"/>
      <c r="AP1059" s="2"/>
      <c r="AQ1059" s="1"/>
      <c r="AR1059" s="2"/>
      <c r="AU1059" s="1"/>
      <c r="AW1059" s="1"/>
      <c r="AY1059" s="2"/>
    </row>
    <row r="1060">
      <c r="A1060" s="1"/>
      <c r="C1060" s="1"/>
      <c r="E1060" s="1"/>
      <c r="F1060" s="1"/>
      <c r="G1060" s="2"/>
      <c r="H1060" s="1"/>
      <c r="I1060" s="1"/>
      <c r="J1060" s="1"/>
      <c r="K1060" s="1"/>
      <c r="M1060" s="1"/>
      <c r="N1060" s="1"/>
      <c r="O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2"/>
      <c r="AB1060" s="1"/>
      <c r="AC1060" s="1"/>
      <c r="AD1060" s="1"/>
      <c r="AE1060" s="1"/>
      <c r="AF1060" s="1"/>
      <c r="AG1060" s="1"/>
      <c r="AH1060" s="2"/>
      <c r="AI1060" s="2"/>
      <c r="AJ1060" s="2"/>
      <c r="AK1060" s="2"/>
      <c r="AL1060" s="2"/>
      <c r="AM1060" s="1"/>
      <c r="AN1060" s="2"/>
      <c r="AP1060" s="2"/>
      <c r="AQ1060" s="1"/>
      <c r="AR1060" s="2"/>
      <c r="AU1060" s="1"/>
      <c r="AW1060" s="1"/>
      <c r="AY1060" s="2"/>
    </row>
    <row r="1061">
      <c r="A1061" s="1"/>
      <c r="C1061" s="1"/>
      <c r="E1061" s="1"/>
      <c r="F1061" s="1"/>
      <c r="G1061" s="2"/>
      <c r="H1061" s="1"/>
      <c r="I1061" s="1"/>
      <c r="J1061" s="1"/>
      <c r="K1061" s="1"/>
      <c r="M1061" s="1"/>
      <c r="N1061" s="1"/>
      <c r="O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2"/>
      <c r="AB1061" s="1"/>
      <c r="AC1061" s="1"/>
      <c r="AD1061" s="1"/>
      <c r="AE1061" s="1"/>
      <c r="AF1061" s="1"/>
      <c r="AG1061" s="1"/>
      <c r="AH1061" s="2"/>
      <c r="AI1061" s="2"/>
      <c r="AJ1061" s="2"/>
      <c r="AK1061" s="2"/>
      <c r="AL1061" s="2"/>
      <c r="AM1061" s="1"/>
      <c r="AN1061" s="2"/>
      <c r="AP1061" s="2"/>
      <c r="AQ1061" s="1"/>
      <c r="AR1061" s="2"/>
      <c r="AU1061" s="1"/>
      <c r="AW1061" s="1"/>
      <c r="AY1061" s="2"/>
    </row>
    <row r="1062">
      <c r="A1062" s="1"/>
      <c r="C1062" s="1"/>
      <c r="E1062" s="1"/>
      <c r="F1062" s="1"/>
      <c r="G1062" s="2"/>
      <c r="H1062" s="1"/>
      <c r="I1062" s="1"/>
      <c r="J1062" s="1"/>
      <c r="K1062" s="1"/>
      <c r="M1062" s="1"/>
      <c r="N1062" s="1"/>
      <c r="O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2"/>
      <c r="AB1062" s="1"/>
      <c r="AC1062" s="1"/>
      <c r="AD1062" s="1"/>
      <c r="AE1062" s="1"/>
      <c r="AF1062" s="1"/>
      <c r="AG1062" s="1"/>
      <c r="AH1062" s="2"/>
      <c r="AI1062" s="2"/>
      <c r="AJ1062" s="2"/>
      <c r="AK1062" s="2"/>
      <c r="AL1062" s="2"/>
      <c r="AM1062" s="1"/>
      <c r="AN1062" s="2"/>
      <c r="AP1062" s="2"/>
      <c r="AQ1062" s="1"/>
      <c r="AR1062" s="2"/>
      <c r="AU1062" s="1"/>
      <c r="AW1062" s="1"/>
      <c r="AY1062" s="2"/>
    </row>
    <row r="1063">
      <c r="A1063" s="1"/>
      <c r="C1063" s="1"/>
      <c r="E1063" s="1"/>
      <c r="F1063" s="1"/>
      <c r="G1063" s="2"/>
      <c r="H1063" s="1"/>
      <c r="I1063" s="1"/>
      <c r="J1063" s="1"/>
      <c r="K1063" s="1"/>
      <c r="M1063" s="1"/>
      <c r="N1063" s="1"/>
      <c r="O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2"/>
      <c r="AB1063" s="1"/>
      <c r="AC1063" s="1"/>
      <c r="AD1063" s="1"/>
      <c r="AE1063" s="1"/>
      <c r="AF1063" s="1"/>
      <c r="AG1063" s="1"/>
      <c r="AH1063" s="2"/>
      <c r="AI1063" s="2"/>
      <c r="AJ1063" s="2"/>
      <c r="AK1063" s="2"/>
      <c r="AL1063" s="2"/>
      <c r="AM1063" s="1"/>
      <c r="AN1063" s="2"/>
      <c r="AP1063" s="2"/>
      <c r="AQ1063" s="1"/>
      <c r="AR1063" s="2"/>
      <c r="AU1063" s="1"/>
      <c r="AW1063" s="1"/>
      <c r="AY1063" s="2"/>
    </row>
    <row r="1064">
      <c r="A1064" s="1"/>
      <c r="C1064" s="1"/>
      <c r="E1064" s="1"/>
      <c r="F1064" s="1"/>
      <c r="G1064" s="2"/>
      <c r="H1064" s="1"/>
      <c r="I1064" s="1"/>
      <c r="J1064" s="1"/>
      <c r="K1064" s="1"/>
      <c r="M1064" s="1"/>
      <c r="N1064" s="1"/>
      <c r="O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2"/>
      <c r="AB1064" s="1"/>
      <c r="AC1064" s="1"/>
      <c r="AD1064" s="1"/>
      <c r="AE1064" s="1"/>
      <c r="AF1064" s="1"/>
      <c r="AG1064" s="1"/>
      <c r="AH1064" s="2"/>
      <c r="AI1064" s="2"/>
      <c r="AJ1064" s="2"/>
      <c r="AK1064" s="2"/>
      <c r="AL1064" s="2"/>
      <c r="AM1064" s="1"/>
      <c r="AN1064" s="2"/>
      <c r="AP1064" s="2"/>
      <c r="AQ1064" s="1"/>
      <c r="AR1064" s="2"/>
      <c r="AU1064" s="1"/>
      <c r="AW1064" s="1"/>
      <c r="AY1064" s="2"/>
    </row>
    <row r="1065">
      <c r="A1065" s="1"/>
      <c r="C1065" s="1"/>
      <c r="E1065" s="1"/>
      <c r="F1065" s="1"/>
      <c r="G1065" s="2"/>
      <c r="H1065" s="1"/>
      <c r="I1065" s="1"/>
      <c r="J1065" s="1"/>
      <c r="K1065" s="1"/>
      <c r="M1065" s="1"/>
      <c r="N1065" s="1"/>
      <c r="O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2"/>
      <c r="AB1065" s="1"/>
      <c r="AC1065" s="1"/>
      <c r="AD1065" s="1"/>
      <c r="AE1065" s="1"/>
      <c r="AF1065" s="1"/>
      <c r="AG1065" s="1"/>
      <c r="AH1065" s="2"/>
      <c r="AI1065" s="2"/>
      <c r="AJ1065" s="2"/>
      <c r="AK1065" s="2"/>
      <c r="AL1065" s="2"/>
      <c r="AM1065" s="1"/>
      <c r="AN1065" s="2"/>
      <c r="AP1065" s="2"/>
      <c r="AQ1065" s="1"/>
      <c r="AR1065" s="2"/>
      <c r="AU1065" s="1"/>
      <c r="AW1065" s="1"/>
      <c r="AY1065" s="2"/>
    </row>
    <row r="1066">
      <c r="A1066" s="1"/>
      <c r="C1066" s="1"/>
      <c r="E1066" s="1"/>
      <c r="F1066" s="1"/>
      <c r="G1066" s="2"/>
      <c r="H1066" s="1"/>
      <c r="I1066" s="1"/>
      <c r="J1066" s="1"/>
      <c r="K1066" s="1"/>
      <c r="M1066" s="1"/>
      <c r="N1066" s="1"/>
      <c r="O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2"/>
      <c r="AB1066" s="1"/>
      <c r="AC1066" s="1"/>
      <c r="AD1066" s="1"/>
      <c r="AE1066" s="1"/>
      <c r="AF1066" s="1"/>
      <c r="AG1066" s="1"/>
      <c r="AH1066" s="2"/>
      <c r="AI1066" s="2"/>
      <c r="AJ1066" s="2"/>
      <c r="AK1066" s="2"/>
      <c r="AL1066" s="2"/>
      <c r="AM1066" s="1"/>
      <c r="AN1066" s="2"/>
      <c r="AP1066" s="2"/>
      <c r="AQ1066" s="1"/>
      <c r="AR1066" s="2"/>
      <c r="AU1066" s="1"/>
      <c r="AW1066" s="1"/>
      <c r="AY1066" s="2"/>
    </row>
    <row r="1067">
      <c r="A1067" s="1"/>
      <c r="C1067" s="1"/>
      <c r="E1067" s="1"/>
      <c r="F1067" s="1"/>
      <c r="G1067" s="2"/>
      <c r="H1067" s="1"/>
      <c r="I1067" s="1"/>
      <c r="J1067" s="1"/>
      <c r="K1067" s="1"/>
      <c r="M1067" s="1"/>
      <c r="N1067" s="1"/>
      <c r="O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2"/>
      <c r="AB1067" s="1"/>
      <c r="AC1067" s="1"/>
      <c r="AD1067" s="1"/>
      <c r="AE1067" s="1"/>
      <c r="AF1067" s="1"/>
      <c r="AG1067" s="1"/>
      <c r="AH1067" s="2"/>
      <c r="AI1067" s="2"/>
      <c r="AJ1067" s="2"/>
      <c r="AK1067" s="2"/>
      <c r="AL1067" s="2"/>
      <c r="AM1067" s="1"/>
      <c r="AN1067" s="2"/>
      <c r="AP1067" s="2"/>
      <c r="AQ1067" s="1"/>
      <c r="AR1067" s="2"/>
      <c r="AU1067" s="1"/>
      <c r="AW1067" s="1"/>
      <c r="AY1067" s="2"/>
    </row>
    <row r="1068">
      <c r="A1068" s="1"/>
      <c r="C1068" s="1"/>
      <c r="E1068" s="1"/>
      <c r="F1068" s="1"/>
      <c r="G1068" s="2"/>
      <c r="H1068" s="1"/>
      <c r="I1068" s="1"/>
      <c r="J1068" s="1"/>
      <c r="K1068" s="1"/>
      <c r="M1068" s="1"/>
      <c r="N1068" s="1"/>
      <c r="O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2"/>
      <c r="AB1068" s="1"/>
      <c r="AC1068" s="1"/>
      <c r="AD1068" s="1"/>
      <c r="AE1068" s="1"/>
      <c r="AF1068" s="1"/>
      <c r="AG1068" s="1"/>
      <c r="AH1068" s="2"/>
      <c r="AI1068" s="2"/>
      <c r="AJ1068" s="2"/>
      <c r="AK1068" s="2"/>
      <c r="AL1068" s="2"/>
      <c r="AM1068" s="1"/>
      <c r="AN1068" s="2"/>
      <c r="AP1068" s="2"/>
      <c r="AQ1068" s="1"/>
      <c r="AR1068" s="2"/>
      <c r="AU1068" s="1"/>
      <c r="AW1068" s="1"/>
      <c r="AY1068" s="2"/>
    </row>
    <row r="1069">
      <c r="A1069" s="1"/>
      <c r="C1069" s="1"/>
      <c r="E1069" s="1"/>
      <c r="F1069" s="1"/>
      <c r="G1069" s="2"/>
      <c r="H1069" s="1"/>
      <c r="I1069" s="1"/>
      <c r="J1069" s="1"/>
      <c r="K1069" s="1"/>
      <c r="M1069" s="1"/>
      <c r="N1069" s="1"/>
      <c r="O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2"/>
      <c r="AB1069" s="1"/>
      <c r="AC1069" s="1"/>
      <c r="AD1069" s="1"/>
      <c r="AE1069" s="1"/>
      <c r="AF1069" s="1"/>
      <c r="AG1069" s="1"/>
      <c r="AH1069" s="2"/>
      <c r="AI1069" s="2"/>
      <c r="AJ1069" s="2"/>
      <c r="AK1069" s="2"/>
      <c r="AL1069" s="2"/>
      <c r="AM1069" s="1"/>
      <c r="AN1069" s="2"/>
      <c r="AP1069" s="2"/>
      <c r="AQ1069" s="1"/>
      <c r="AR1069" s="2"/>
      <c r="AU1069" s="1"/>
      <c r="AW1069" s="1"/>
      <c r="AY1069" s="2"/>
    </row>
    <row r="1070">
      <c r="A1070" s="1"/>
      <c r="C1070" s="1"/>
      <c r="E1070" s="1"/>
      <c r="F1070" s="1"/>
      <c r="G1070" s="2"/>
      <c r="H1070" s="1"/>
      <c r="I1070" s="1"/>
      <c r="J1070" s="1"/>
      <c r="K1070" s="1"/>
      <c r="M1070" s="1"/>
      <c r="N1070" s="1"/>
      <c r="O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2"/>
      <c r="AB1070" s="1"/>
      <c r="AC1070" s="1"/>
      <c r="AD1070" s="1"/>
      <c r="AE1070" s="1"/>
      <c r="AF1070" s="1"/>
      <c r="AG1070" s="1"/>
      <c r="AH1070" s="2"/>
      <c r="AI1070" s="2"/>
      <c r="AJ1070" s="2"/>
      <c r="AK1070" s="2"/>
      <c r="AL1070" s="2"/>
      <c r="AM1070" s="1"/>
      <c r="AN1070" s="2"/>
      <c r="AP1070" s="2"/>
      <c r="AQ1070" s="1"/>
      <c r="AR1070" s="2"/>
      <c r="AU1070" s="1"/>
      <c r="AW1070" s="1"/>
      <c r="AY1070" s="2"/>
    </row>
    <row r="1071">
      <c r="A1071" s="1"/>
      <c r="C1071" s="1"/>
      <c r="E1071" s="1"/>
      <c r="F1071" s="1"/>
      <c r="G1071" s="2"/>
      <c r="H1071" s="1"/>
      <c r="I1071" s="1"/>
      <c r="J1071" s="1"/>
      <c r="K1071" s="1"/>
      <c r="M1071" s="1"/>
      <c r="N1071" s="1"/>
      <c r="O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2"/>
      <c r="AB1071" s="1"/>
      <c r="AC1071" s="1"/>
      <c r="AD1071" s="1"/>
      <c r="AE1071" s="1"/>
      <c r="AF1071" s="1"/>
      <c r="AG1071" s="1"/>
      <c r="AH1071" s="2"/>
      <c r="AI1071" s="2"/>
      <c r="AJ1071" s="2"/>
      <c r="AK1071" s="2"/>
      <c r="AL1071" s="2"/>
      <c r="AM1071" s="1"/>
      <c r="AN1071" s="2"/>
      <c r="AP1071" s="2"/>
      <c r="AQ1071" s="1"/>
      <c r="AR1071" s="2"/>
      <c r="AU1071" s="1"/>
      <c r="AW1071" s="1"/>
      <c r="AY1071" s="2"/>
    </row>
    <row r="1072">
      <c r="A1072" s="1"/>
      <c r="C1072" s="1"/>
      <c r="E1072" s="1"/>
      <c r="F1072" s="1"/>
      <c r="G1072" s="2"/>
      <c r="H1072" s="1"/>
      <c r="I1072" s="1"/>
      <c r="J1072" s="1"/>
      <c r="K1072" s="1"/>
      <c r="M1072" s="1"/>
      <c r="N1072" s="1"/>
      <c r="O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2"/>
      <c r="AB1072" s="1"/>
      <c r="AC1072" s="1"/>
      <c r="AD1072" s="1"/>
      <c r="AE1072" s="1"/>
      <c r="AF1072" s="1"/>
      <c r="AG1072" s="1"/>
      <c r="AH1072" s="2"/>
      <c r="AI1072" s="2"/>
      <c r="AJ1072" s="2"/>
      <c r="AK1072" s="2"/>
      <c r="AL1072" s="2"/>
      <c r="AM1072" s="1"/>
      <c r="AN1072" s="2"/>
      <c r="AP1072" s="2"/>
      <c r="AQ1072" s="1"/>
      <c r="AR1072" s="2"/>
      <c r="AU1072" s="1"/>
      <c r="AW1072" s="1"/>
      <c r="AY1072" s="2"/>
    </row>
    <row r="1073">
      <c r="A1073" s="1"/>
      <c r="C1073" s="1"/>
      <c r="E1073" s="1"/>
      <c r="F1073" s="1"/>
      <c r="G1073" s="2"/>
      <c r="H1073" s="1"/>
      <c r="I1073" s="1"/>
      <c r="J1073" s="1"/>
      <c r="K1073" s="1"/>
      <c r="M1073" s="1"/>
      <c r="N1073" s="1"/>
      <c r="O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2"/>
      <c r="AB1073" s="1"/>
      <c r="AC1073" s="1"/>
      <c r="AD1073" s="1"/>
      <c r="AE1073" s="1"/>
      <c r="AF1073" s="1"/>
      <c r="AG1073" s="1"/>
      <c r="AH1073" s="2"/>
      <c r="AI1073" s="2"/>
      <c r="AJ1073" s="2"/>
      <c r="AK1073" s="2"/>
      <c r="AL1073" s="2"/>
      <c r="AM1073" s="1"/>
      <c r="AN1073" s="2"/>
      <c r="AP1073" s="2"/>
      <c r="AQ1073" s="1"/>
      <c r="AR1073" s="2"/>
      <c r="AU1073" s="1"/>
      <c r="AW1073" s="1"/>
      <c r="AY1073" s="2"/>
    </row>
    <row r="1074">
      <c r="A1074" s="1"/>
      <c r="C1074" s="1"/>
      <c r="E1074" s="1"/>
      <c r="F1074" s="1"/>
      <c r="G1074" s="2"/>
      <c r="H1074" s="1"/>
      <c r="I1074" s="1"/>
      <c r="J1074" s="1"/>
      <c r="K1074" s="1"/>
      <c r="M1074" s="1"/>
      <c r="N1074" s="1"/>
      <c r="O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2"/>
      <c r="AB1074" s="1"/>
      <c r="AC1074" s="1"/>
      <c r="AD1074" s="1"/>
      <c r="AE1074" s="1"/>
      <c r="AF1074" s="1"/>
      <c r="AG1074" s="1"/>
      <c r="AH1074" s="2"/>
      <c r="AI1074" s="2"/>
      <c r="AJ1074" s="2"/>
      <c r="AK1074" s="2"/>
      <c r="AL1074" s="2"/>
      <c r="AM1074" s="1"/>
      <c r="AN1074" s="2"/>
      <c r="AP1074" s="2"/>
      <c r="AQ1074" s="1"/>
      <c r="AR1074" s="2"/>
      <c r="AU1074" s="1"/>
      <c r="AW1074" s="1"/>
      <c r="AY1074" s="2"/>
    </row>
    <row r="1075">
      <c r="A1075" s="1"/>
      <c r="C1075" s="1"/>
      <c r="E1075" s="1"/>
      <c r="F1075" s="1"/>
      <c r="G1075" s="2"/>
      <c r="H1075" s="1"/>
      <c r="I1075" s="1"/>
      <c r="J1075" s="1"/>
      <c r="K1075" s="1"/>
      <c r="M1075" s="1"/>
      <c r="N1075" s="1"/>
      <c r="O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2"/>
      <c r="AB1075" s="1"/>
      <c r="AC1075" s="1"/>
      <c r="AD1075" s="1"/>
      <c r="AE1075" s="1"/>
      <c r="AF1075" s="1"/>
      <c r="AG1075" s="1"/>
      <c r="AH1075" s="2"/>
      <c r="AI1075" s="2"/>
      <c r="AJ1075" s="2"/>
      <c r="AK1075" s="2"/>
      <c r="AL1075" s="2"/>
      <c r="AM1075" s="1"/>
      <c r="AN1075" s="2"/>
      <c r="AP1075" s="2"/>
      <c r="AQ1075" s="1"/>
      <c r="AR1075" s="2"/>
      <c r="AU1075" s="1"/>
      <c r="AW1075" s="1"/>
      <c r="AY1075" s="2"/>
    </row>
    <row r="1076">
      <c r="A1076" s="1"/>
      <c r="C1076" s="1"/>
      <c r="E1076" s="1"/>
      <c r="F1076" s="1"/>
      <c r="G1076" s="2"/>
      <c r="H1076" s="1"/>
      <c r="I1076" s="1"/>
      <c r="J1076" s="1"/>
      <c r="K1076" s="1"/>
      <c r="M1076" s="1"/>
      <c r="N1076" s="1"/>
      <c r="O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2"/>
      <c r="AB1076" s="1"/>
      <c r="AC1076" s="1"/>
      <c r="AD1076" s="1"/>
      <c r="AE1076" s="1"/>
      <c r="AF1076" s="1"/>
      <c r="AG1076" s="1"/>
      <c r="AH1076" s="2"/>
      <c r="AI1076" s="2"/>
      <c r="AJ1076" s="2"/>
      <c r="AK1076" s="2"/>
      <c r="AL1076" s="2"/>
      <c r="AM1076" s="1"/>
      <c r="AN1076" s="2"/>
      <c r="AP1076" s="2"/>
      <c r="AQ1076" s="1"/>
      <c r="AR1076" s="2"/>
      <c r="AU1076" s="1"/>
      <c r="AW1076" s="1"/>
      <c r="AY1076" s="2"/>
    </row>
    <row r="1077">
      <c r="A1077" s="1"/>
      <c r="C1077" s="1"/>
      <c r="E1077" s="1"/>
      <c r="F1077" s="1"/>
      <c r="G1077" s="2"/>
      <c r="H1077" s="1"/>
      <c r="I1077" s="1"/>
      <c r="J1077" s="1"/>
      <c r="K1077" s="1"/>
      <c r="M1077" s="1"/>
      <c r="N1077" s="1"/>
      <c r="O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2"/>
      <c r="AB1077" s="1"/>
      <c r="AC1077" s="1"/>
      <c r="AD1077" s="1"/>
      <c r="AE1077" s="1"/>
      <c r="AF1077" s="1"/>
      <c r="AG1077" s="1"/>
      <c r="AH1077" s="2"/>
      <c r="AI1077" s="2"/>
      <c r="AJ1077" s="2"/>
      <c r="AK1077" s="2"/>
      <c r="AL1077" s="2"/>
      <c r="AM1077" s="1"/>
      <c r="AN1077" s="2"/>
      <c r="AP1077" s="2"/>
      <c r="AQ1077" s="1"/>
      <c r="AR1077" s="2"/>
      <c r="AU1077" s="1"/>
      <c r="AW1077" s="1"/>
      <c r="AY1077" s="2"/>
    </row>
    <row r="1078">
      <c r="A1078" s="1"/>
      <c r="C1078" s="1"/>
      <c r="E1078" s="1"/>
      <c r="F1078" s="1"/>
      <c r="G1078" s="2"/>
      <c r="H1078" s="1"/>
      <c r="I1078" s="1"/>
      <c r="J1078" s="1"/>
      <c r="K1078" s="1"/>
      <c r="M1078" s="1"/>
      <c r="N1078" s="1"/>
      <c r="O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2"/>
      <c r="AB1078" s="1"/>
      <c r="AC1078" s="1"/>
      <c r="AD1078" s="1"/>
      <c r="AE1078" s="1"/>
      <c r="AF1078" s="1"/>
      <c r="AG1078" s="1"/>
      <c r="AH1078" s="2"/>
      <c r="AI1078" s="2"/>
      <c r="AJ1078" s="2"/>
      <c r="AK1078" s="2"/>
      <c r="AL1078" s="2"/>
      <c r="AM1078" s="1"/>
      <c r="AN1078" s="2"/>
      <c r="AP1078" s="2"/>
      <c r="AQ1078" s="1"/>
      <c r="AR1078" s="2"/>
      <c r="AU1078" s="1"/>
      <c r="AW1078" s="1"/>
      <c r="AY1078" s="2"/>
    </row>
    <row r="1079">
      <c r="A1079" s="1"/>
      <c r="C1079" s="1"/>
      <c r="E1079" s="1"/>
      <c r="F1079" s="1"/>
      <c r="G1079" s="2"/>
      <c r="H1079" s="1"/>
      <c r="I1079" s="1"/>
      <c r="J1079" s="1"/>
      <c r="K1079" s="1"/>
      <c r="M1079" s="1"/>
      <c r="N1079" s="1"/>
      <c r="O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2"/>
      <c r="AB1079" s="1"/>
      <c r="AC1079" s="1"/>
      <c r="AD1079" s="1"/>
      <c r="AE1079" s="1"/>
      <c r="AF1079" s="1"/>
      <c r="AG1079" s="1"/>
      <c r="AH1079" s="2"/>
      <c r="AI1079" s="2"/>
      <c r="AJ1079" s="2"/>
      <c r="AK1079" s="2"/>
      <c r="AL1079" s="2"/>
      <c r="AM1079" s="1"/>
      <c r="AN1079" s="2"/>
      <c r="AP1079" s="2"/>
      <c r="AQ1079" s="1"/>
      <c r="AR1079" s="2"/>
      <c r="AU1079" s="1"/>
      <c r="AW1079" s="1"/>
      <c r="AY1079" s="2"/>
    </row>
    <row r="1080">
      <c r="A1080" s="1"/>
      <c r="C1080" s="1"/>
      <c r="E1080" s="1"/>
      <c r="F1080" s="1"/>
      <c r="G1080" s="2"/>
      <c r="H1080" s="1"/>
      <c r="I1080" s="1"/>
      <c r="J1080" s="1"/>
      <c r="K1080" s="1"/>
      <c r="M1080" s="1"/>
      <c r="N1080" s="1"/>
      <c r="O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2"/>
      <c r="AB1080" s="1"/>
      <c r="AC1080" s="1"/>
      <c r="AD1080" s="1"/>
      <c r="AE1080" s="1"/>
      <c r="AF1080" s="1"/>
      <c r="AG1080" s="1"/>
      <c r="AH1080" s="2"/>
      <c r="AI1080" s="2"/>
      <c r="AJ1080" s="2"/>
      <c r="AK1080" s="2"/>
      <c r="AL1080" s="2"/>
      <c r="AM1080" s="1"/>
      <c r="AN1080" s="2"/>
      <c r="AP1080" s="2"/>
      <c r="AQ1080" s="1"/>
      <c r="AR1080" s="2"/>
      <c r="AU1080" s="1"/>
      <c r="AW1080" s="1"/>
      <c r="AY1080" s="2"/>
    </row>
    <row r="1081">
      <c r="A1081" s="1"/>
      <c r="C1081" s="1"/>
      <c r="E1081" s="1"/>
      <c r="F1081" s="1"/>
      <c r="G1081" s="2"/>
      <c r="H1081" s="1"/>
      <c r="I1081" s="1"/>
      <c r="J1081" s="1"/>
      <c r="K1081" s="1"/>
      <c r="M1081" s="1"/>
      <c r="N1081" s="1"/>
      <c r="O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2"/>
      <c r="AB1081" s="1"/>
      <c r="AC1081" s="1"/>
      <c r="AD1081" s="1"/>
      <c r="AE1081" s="1"/>
      <c r="AF1081" s="1"/>
      <c r="AG1081" s="1"/>
      <c r="AH1081" s="2"/>
      <c r="AI1081" s="2"/>
      <c r="AJ1081" s="2"/>
      <c r="AK1081" s="2"/>
      <c r="AL1081" s="2"/>
      <c r="AM1081" s="1"/>
      <c r="AN1081" s="2"/>
      <c r="AP1081" s="2"/>
      <c r="AQ1081" s="1"/>
      <c r="AR1081" s="2"/>
      <c r="AU1081" s="1"/>
      <c r="AW1081" s="1"/>
      <c r="AY1081" s="2"/>
    </row>
    <row r="1082">
      <c r="A1082" s="1"/>
      <c r="C1082" s="1"/>
      <c r="E1082" s="1"/>
      <c r="F1082" s="1"/>
      <c r="G1082" s="2"/>
      <c r="H1082" s="1"/>
      <c r="I1082" s="1"/>
      <c r="J1082" s="1"/>
      <c r="K1082" s="1"/>
      <c r="M1082" s="1"/>
      <c r="N1082" s="1"/>
      <c r="O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2"/>
      <c r="AB1082" s="1"/>
      <c r="AC1082" s="1"/>
      <c r="AD1082" s="1"/>
      <c r="AE1082" s="1"/>
      <c r="AF1082" s="1"/>
      <c r="AG1082" s="1"/>
      <c r="AH1082" s="2"/>
      <c r="AI1082" s="2"/>
      <c r="AJ1082" s="2"/>
      <c r="AK1082" s="2"/>
      <c r="AL1082" s="2"/>
      <c r="AM1082" s="1"/>
      <c r="AN1082" s="2"/>
      <c r="AP1082" s="2"/>
      <c r="AQ1082" s="1"/>
      <c r="AR1082" s="2"/>
      <c r="AU1082" s="1"/>
      <c r="AW1082" s="1"/>
      <c r="AY1082" s="2"/>
    </row>
    <row r="1083">
      <c r="A1083" s="1"/>
      <c r="C1083" s="1"/>
      <c r="E1083" s="1"/>
      <c r="F1083" s="1"/>
      <c r="G1083" s="2"/>
      <c r="H1083" s="1"/>
      <c r="I1083" s="1"/>
      <c r="J1083" s="1"/>
      <c r="K1083" s="1"/>
      <c r="M1083" s="1"/>
      <c r="N1083" s="1"/>
      <c r="O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2"/>
      <c r="AB1083" s="1"/>
      <c r="AC1083" s="1"/>
      <c r="AD1083" s="1"/>
      <c r="AE1083" s="1"/>
      <c r="AF1083" s="1"/>
      <c r="AG1083" s="1"/>
      <c r="AH1083" s="2"/>
      <c r="AI1083" s="2"/>
      <c r="AJ1083" s="2"/>
      <c r="AK1083" s="2"/>
      <c r="AL1083" s="2"/>
      <c r="AM1083" s="1"/>
      <c r="AN1083" s="2"/>
      <c r="AP1083" s="2"/>
      <c r="AQ1083" s="1"/>
      <c r="AR1083" s="2"/>
      <c r="AU1083" s="1"/>
      <c r="AW1083" s="1"/>
      <c r="AY1083" s="2"/>
    </row>
    <row r="1084">
      <c r="A1084" s="1"/>
      <c r="C1084" s="1"/>
      <c r="E1084" s="1"/>
      <c r="F1084" s="1"/>
      <c r="G1084" s="2"/>
      <c r="H1084" s="1"/>
      <c r="I1084" s="1"/>
      <c r="J1084" s="1"/>
      <c r="K1084" s="1"/>
      <c r="M1084" s="1"/>
      <c r="N1084" s="1"/>
      <c r="O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2"/>
      <c r="AB1084" s="1"/>
      <c r="AC1084" s="1"/>
      <c r="AD1084" s="1"/>
      <c r="AE1084" s="1"/>
      <c r="AF1084" s="1"/>
      <c r="AG1084" s="1"/>
      <c r="AH1084" s="2"/>
      <c r="AI1084" s="2"/>
      <c r="AJ1084" s="2"/>
      <c r="AK1084" s="2"/>
      <c r="AL1084" s="2"/>
      <c r="AM1084" s="1"/>
      <c r="AN1084" s="2"/>
      <c r="AP1084" s="2"/>
      <c r="AQ1084" s="1"/>
      <c r="AR1084" s="2"/>
      <c r="AU1084" s="1"/>
      <c r="AW1084" s="1"/>
      <c r="AY1084" s="2"/>
    </row>
    <row r="1085">
      <c r="A1085" s="1"/>
      <c r="C1085" s="1"/>
      <c r="E1085" s="1"/>
      <c r="F1085" s="1"/>
      <c r="G1085" s="2"/>
      <c r="H1085" s="1"/>
      <c r="I1085" s="1"/>
      <c r="J1085" s="1"/>
      <c r="K1085" s="1"/>
      <c r="M1085" s="1"/>
      <c r="N1085" s="1"/>
      <c r="O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2"/>
      <c r="AB1085" s="1"/>
      <c r="AC1085" s="1"/>
      <c r="AD1085" s="1"/>
      <c r="AE1085" s="1"/>
      <c r="AF1085" s="1"/>
      <c r="AG1085" s="1"/>
      <c r="AH1085" s="2"/>
      <c r="AI1085" s="2"/>
      <c r="AJ1085" s="2"/>
      <c r="AK1085" s="2"/>
      <c r="AL1085" s="2"/>
      <c r="AM1085" s="1"/>
      <c r="AN1085" s="2"/>
      <c r="AP1085" s="2"/>
      <c r="AQ1085" s="1"/>
      <c r="AR1085" s="2"/>
      <c r="AU1085" s="1"/>
      <c r="AW1085" s="1"/>
      <c r="AY1085" s="2"/>
    </row>
    <row r="1086">
      <c r="A1086" s="1"/>
      <c r="C1086" s="1"/>
      <c r="E1086" s="1"/>
      <c r="F1086" s="1"/>
      <c r="G1086" s="2"/>
      <c r="H1086" s="1"/>
      <c r="I1086" s="1"/>
      <c r="J1086" s="1"/>
      <c r="K1086" s="1"/>
      <c r="M1086" s="1"/>
      <c r="N1086" s="1"/>
      <c r="O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2"/>
      <c r="AB1086" s="1"/>
      <c r="AC1086" s="1"/>
      <c r="AD1086" s="1"/>
      <c r="AE1086" s="1"/>
      <c r="AF1086" s="1"/>
      <c r="AG1086" s="1"/>
      <c r="AH1086" s="2"/>
      <c r="AI1086" s="2"/>
      <c r="AJ1086" s="2"/>
      <c r="AK1086" s="2"/>
      <c r="AL1086" s="2"/>
      <c r="AM1086" s="1"/>
      <c r="AN1086" s="2"/>
      <c r="AP1086" s="2"/>
      <c r="AQ1086" s="1"/>
      <c r="AR1086" s="2"/>
      <c r="AU1086" s="1"/>
      <c r="AW1086" s="1"/>
      <c r="AY1086" s="2"/>
    </row>
    <row r="1087">
      <c r="A1087" s="1"/>
      <c r="C1087" s="1"/>
      <c r="E1087" s="1"/>
      <c r="F1087" s="1"/>
      <c r="G1087" s="2"/>
      <c r="H1087" s="1"/>
      <c r="I1087" s="1"/>
      <c r="J1087" s="1"/>
      <c r="K1087" s="1"/>
      <c r="M1087" s="1"/>
      <c r="N1087" s="1"/>
      <c r="O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2"/>
      <c r="AB1087" s="1"/>
      <c r="AC1087" s="1"/>
      <c r="AD1087" s="1"/>
      <c r="AE1087" s="1"/>
      <c r="AF1087" s="1"/>
      <c r="AG1087" s="1"/>
      <c r="AH1087" s="2"/>
      <c r="AI1087" s="2"/>
      <c r="AJ1087" s="2"/>
      <c r="AK1087" s="2"/>
      <c r="AL1087" s="2"/>
      <c r="AM1087" s="1"/>
      <c r="AN1087" s="2"/>
      <c r="AP1087" s="2"/>
      <c r="AQ1087" s="1"/>
      <c r="AR1087" s="2"/>
      <c r="AU1087" s="1"/>
      <c r="AW1087" s="1"/>
      <c r="AY1087" s="2"/>
    </row>
    <row r="1088">
      <c r="A1088" s="1"/>
      <c r="C1088" s="1"/>
      <c r="E1088" s="1"/>
      <c r="F1088" s="1"/>
      <c r="G1088" s="2"/>
      <c r="H1088" s="1"/>
      <c r="I1088" s="1"/>
      <c r="J1088" s="1"/>
      <c r="K1088" s="1"/>
      <c r="M1088" s="1"/>
      <c r="N1088" s="1"/>
      <c r="O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2"/>
      <c r="AB1088" s="1"/>
      <c r="AC1088" s="1"/>
      <c r="AD1088" s="1"/>
      <c r="AE1088" s="1"/>
      <c r="AF1088" s="1"/>
      <c r="AG1088" s="1"/>
      <c r="AH1088" s="2"/>
      <c r="AI1088" s="2"/>
      <c r="AJ1088" s="2"/>
      <c r="AK1088" s="2"/>
      <c r="AL1088" s="2"/>
      <c r="AM1088" s="1"/>
      <c r="AN1088" s="2"/>
      <c r="AP1088" s="2"/>
      <c r="AQ1088" s="1"/>
      <c r="AR1088" s="2"/>
      <c r="AU1088" s="1"/>
      <c r="AW1088" s="1"/>
      <c r="AY1088" s="2"/>
    </row>
    <row r="1089">
      <c r="A1089" s="1"/>
      <c r="C1089" s="1"/>
      <c r="E1089" s="1"/>
      <c r="F1089" s="1"/>
      <c r="G1089" s="2"/>
      <c r="H1089" s="1"/>
      <c r="I1089" s="1"/>
      <c r="J1089" s="1"/>
      <c r="K1089" s="1"/>
      <c r="M1089" s="1"/>
      <c r="N1089" s="1"/>
      <c r="O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2"/>
      <c r="AB1089" s="1"/>
      <c r="AC1089" s="1"/>
      <c r="AD1089" s="1"/>
      <c r="AE1089" s="1"/>
      <c r="AF1089" s="1"/>
      <c r="AG1089" s="1"/>
      <c r="AH1089" s="2"/>
      <c r="AI1089" s="2"/>
      <c r="AJ1089" s="2"/>
      <c r="AK1089" s="2"/>
      <c r="AL1089" s="2"/>
      <c r="AM1089" s="1"/>
      <c r="AN1089" s="2"/>
      <c r="AP1089" s="2"/>
      <c r="AQ1089" s="1"/>
      <c r="AR1089" s="2"/>
      <c r="AU1089" s="1"/>
      <c r="AW1089" s="1"/>
      <c r="AY1089" s="2"/>
    </row>
    <row r="1090">
      <c r="A1090" s="1"/>
      <c r="C1090" s="1"/>
      <c r="E1090" s="1"/>
      <c r="F1090" s="1"/>
      <c r="G1090" s="2"/>
      <c r="H1090" s="1"/>
      <c r="I1090" s="1"/>
      <c r="J1090" s="1"/>
      <c r="K1090" s="1"/>
      <c r="M1090" s="1"/>
      <c r="N1090" s="1"/>
      <c r="O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2"/>
      <c r="AB1090" s="1"/>
      <c r="AC1090" s="1"/>
      <c r="AD1090" s="1"/>
      <c r="AE1090" s="1"/>
      <c r="AF1090" s="1"/>
      <c r="AG1090" s="1"/>
      <c r="AH1090" s="2"/>
      <c r="AI1090" s="2"/>
      <c r="AJ1090" s="2"/>
      <c r="AK1090" s="2"/>
      <c r="AL1090" s="2"/>
      <c r="AM1090" s="1"/>
      <c r="AN1090" s="2"/>
      <c r="AP1090" s="2"/>
      <c r="AQ1090" s="1"/>
      <c r="AR1090" s="2"/>
      <c r="AU1090" s="1"/>
      <c r="AW1090" s="1"/>
      <c r="AY1090" s="2"/>
    </row>
    <row r="1091">
      <c r="A1091" s="1"/>
      <c r="C1091" s="1"/>
      <c r="E1091" s="1"/>
      <c r="F1091" s="1"/>
      <c r="G1091" s="2"/>
      <c r="H1091" s="1"/>
      <c r="I1091" s="1"/>
      <c r="J1091" s="1"/>
      <c r="K1091" s="1"/>
      <c r="M1091" s="1"/>
      <c r="N1091" s="1"/>
      <c r="O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2"/>
      <c r="AB1091" s="1"/>
      <c r="AC1091" s="1"/>
      <c r="AD1091" s="1"/>
      <c r="AE1091" s="1"/>
      <c r="AF1091" s="1"/>
      <c r="AG1091" s="1"/>
      <c r="AH1091" s="2"/>
      <c r="AI1091" s="2"/>
      <c r="AJ1091" s="2"/>
      <c r="AK1091" s="2"/>
      <c r="AL1091" s="2"/>
      <c r="AM1091" s="1"/>
      <c r="AN1091" s="2"/>
      <c r="AP1091" s="2"/>
      <c r="AQ1091" s="1"/>
      <c r="AR1091" s="2"/>
      <c r="AU1091" s="1"/>
      <c r="AW1091" s="1"/>
      <c r="AY1091" s="2"/>
    </row>
    <row r="1092">
      <c r="A1092" s="1"/>
      <c r="C1092" s="1"/>
      <c r="E1092" s="1"/>
      <c r="F1092" s="1"/>
      <c r="G1092" s="2"/>
      <c r="H1092" s="1"/>
      <c r="I1092" s="1"/>
      <c r="J1092" s="1"/>
      <c r="K1092" s="1"/>
      <c r="M1092" s="1"/>
      <c r="N1092" s="1"/>
      <c r="O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2"/>
      <c r="AB1092" s="1"/>
      <c r="AC1092" s="1"/>
      <c r="AD1092" s="1"/>
      <c r="AE1092" s="1"/>
      <c r="AF1092" s="1"/>
      <c r="AG1092" s="1"/>
      <c r="AH1092" s="2"/>
      <c r="AI1092" s="2"/>
      <c r="AJ1092" s="2"/>
      <c r="AK1092" s="2"/>
      <c r="AL1092" s="2"/>
      <c r="AM1092" s="1"/>
      <c r="AN1092" s="2"/>
      <c r="AP1092" s="2"/>
      <c r="AQ1092" s="1"/>
      <c r="AR1092" s="2"/>
      <c r="AU1092" s="1"/>
      <c r="AW1092" s="1"/>
      <c r="AY1092" s="2"/>
    </row>
    <row r="1093">
      <c r="A1093" s="1"/>
      <c r="C1093" s="1"/>
      <c r="E1093" s="1"/>
      <c r="F1093" s="1"/>
      <c r="G1093" s="2"/>
      <c r="H1093" s="1"/>
      <c r="I1093" s="1"/>
      <c r="J1093" s="1"/>
      <c r="K1093" s="1"/>
      <c r="M1093" s="1"/>
      <c r="N1093" s="1"/>
      <c r="O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2"/>
      <c r="AB1093" s="1"/>
      <c r="AC1093" s="1"/>
      <c r="AD1093" s="1"/>
      <c r="AE1093" s="1"/>
      <c r="AF1093" s="1"/>
      <c r="AG1093" s="1"/>
      <c r="AH1093" s="2"/>
      <c r="AI1093" s="2"/>
      <c r="AJ1093" s="2"/>
      <c r="AK1093" s="2"/>
      <c r="AL1093" s="2"/>
      <c r="AM1093" s="1"/>
      <c r="AN1093" s="2"/>
      <c r="AP1093" s="2"/>
      <c r="AQ1093" s="1"/>
      <c r="AR1093" s="2"/>
      <c r="AU1093" s="1"/>
      <c r="AW1093" s="1"/>
      <c r="AY1093" s="2"/>
    </row>
    <row r="1094">
      <c r="A1094" s="1"/>
      <c r="C1094" s="1"/>
      <c r="E1094" s="1"/>
      <c r="F1094" s="1"/>
      <c r="G1094" s="2"/>
      <c r="H1094" s="1"/>
      <c r="I1094" s="1"/>
      <c r="J1094" s="1"/>
      <c r="K1094" s="1"/>
      <c r="M1094" s="1"/>
      <c r="N1094" s="1"/>
      <c r="O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2"/>
      <c r="AB1094" s="1"/>
      <c r="AC1094" s="1"/>
      <c r="AD1094" s="1"/>
      <c r="AE1094" s="1"/>
      <c r="AF1094" s="1"/>
      <c r="AG1094" s="1"/>
      <c r="AH1094" s="2"/>
      <c r="AI1094" s="2"/>
      <c r="AJ1094" s="2"/>
      <c r="AK1094" s="2"/>
      <c r="AL1094" s="2"/>
      <c r="AM1094" s="1"/>
      <c r="AN1094" s="2"/>
      <c r="AP1094" s="2"/>
      <c r="AQ1094" s="1"/>
      <c r="AR1094" s="2"/>
      <c r="AU1094" s="1"/>
      <c r="AW1094" s="1"/>
      <c r="AY1094" s="2"/>
    </row>
    <row r="1095">
      <c r="A1095" s="1"/>
      <c r="C1095" s="1"/>
      <c r="E1095" s="1"/>
      <c r="F1095" s="1"/>
      <c r="G1095" s="2"/>
      <c r="H1095" s="1"/>
      <c r="I1095" s="1"/>
      <c r="J1095" s="1"/>
      <c r="K1095" s="1"/>
      <c r="M1095" s="1"/>
      <c r="N1095" s="1"/>
      <c r="O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2"/>
      <c r="AB1095" s="1"/>
      <c r="AC1095" s="1"/>
      <c r="AD1095" s="1"/>
      <c r="AE1095" s="1"/>
      <c r="AF1095" s="1"/>
      <c r="AG1095" s="1"/>
      <c r="AH1095" s="2"/>
      <c r="AI1095" s="2"/>
      <c r="AJ1095" s="2"/>
      <c r="AK1095" s="2"/>
      <c r="AL1095" s="2"/>
      <c r="AM1095" s="1"/>
      <c r="AN1095" s="2"/>
      <c r="AP1095" s="2"/>
      <c r="AQ1095" s="1"/>
      <c r="AR1095" s="2"/>
      <c r="AU1095" s="1"/>
      <c r="AW1095" s="1"/>
      <c r="AY1095" s="2"/>
    </row>
    <row r="1096">
      <c r="A1096" s="1"/>
      <c r="C1096" s="1"/>
      <c r="E1096" s="1"/>
      <c r="F1096" s="1"/>
      <c r="G1096" s="2"/>
      <c r="H1096" s="1"/>
      <c r="I1096" s="1"/>
      <c r="J1096" s="1"/>
      <c r="K1096" s="1"/>
      <c r="M1096" s="1"/>
      <c r="N1096" s="1"/>
      <c r="O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2"/>
      <c r="AB1096" s="1"/>
      <c r="AC1096" s="1"/>
      <c r="AD1096" s="1"/>
      <c r="AE1096" s="1"/>
      <c r="AF1096" s="1"/>
      <c r="AG1096" s="1"/>
      <c r="AH1096" s="2"/>
      <c r="AI1096" s="2"/>
      <c r="AJ1096" s="2"/>
      <c r="AK1096" s="2"/>
      <c r="AL1096" s="2"/>
      <c r="AM1096" s="1"/>
      <c r="AN1096" s="2"/>
      <c r="AP1096" s="2"/>
      <c r="AQ1096" s="1"/>
      <c r="AR1096" s="2"/>
      <c r="AU1096" s="1"/>
      <c r="AW1096" s="1"/>
      <c r="AY1096" s="2"/>
    </row>
    <row r="1097">
      <c r="A1097" s="1"/>
      <c r="C1097" s="1"/>
      <c r="E1097" s="1"/>
      <c r="F1097" s="1"/>
      <c r="G1097" s="2"/>
      <c r="H1097" s="1"/>
      <c r="I1097" s="1"/>
      <c r="J1097" s="1"/>
      <c r="K1097" s="1"/>
      <c r="M1097" s="1"/>
      <c r="N1097" s="1"/>
      <c r="O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2"/>
      <c r="AB1097" s="1"/>
      <c r="AC1097" s="1"/>
      <c r="AD1097" s="1"/>
      <c r="AE1097" s="1"/>
      <c r="AF1097" s="1"/>
      <c r="AG1097" s="1"/>
      <c r="AH1097" s="2"/>
      <c r="AI1097" s="2"/>
      <c r="AJ1097" s="2"/>
      <c r="AK1097" s="2"/>
      <c r="AL1097" s="2"/>
      <c r="AM1097" s="1"/>
      <c r="AN1097" s="2"/>
      <c r="AP1097" s="2"/>
      <c r="AQ1097" s="1"/>
      <c r="AR1097" s="2"/>
      <c r="AU1097" s="1"/>
      <c r="AW1097" s="1"/>
      <c r="AY1097" s="2"/>
    </row>
    <row r="1098">
      <c r="A1098" s="1"/>
      <c r="C1098" s="1"/>
      <c r="E1098" s="1"/>
      <c r="F1098" s="1"/>
      <c r="G1098" s="2"/>
      <c r="H1098" s="1"/>
      <c r="I1098" s="1"/>
      <c r="J1098" s="1"/>
      <c r="K1098" s="1"/>
      <c r="M1098" s="1"/>
      <c r="N1098" s="1"/>
      <c r="O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2"/>
      <c r="AB1098" s="1"/>
      <c r="AC1098" s="1"/>
      <c r="AD1098" s="1"/>
      <c r="AE1098" s="1"/>
      <c r="AF1098" s="1"/>
      <c r="AG1098" s="1"/>
      <c r="AH1098" s="2"/>
      <c r="AI1098" s="2"/>
      <c r="AJ1098" s="2"/>
      <c r="AK1098" s="2"/>
      <c r="AL1098" s="2"/>
      <c r="AM1098" s="1"/>
      <c r="AN1098" s="2"/>
      <c r="AP1098" s="2"/>
      <c r="AQ1098" s="1"/>
      <c r="AR1098" s="2"/>
      <c r="AU1098" s="1"/>
      <c r="AW1098" s="1"/>
      <c r="AY1098" s="2"/>
    </row>
    <row r="1099">
      <c r="A1099" s="1"/>
      <c r="C1099" s="1"/>
      <c r="E1099" s="1"/>
      <c r="F1099" s="1"/>
      <c r="G1099" s="2"/>
      <c r="H1099" s="1"/>
      <c r="I1099" s="1"/>
      <c r="J1099" s="1"/>
      <c r="K1099" s="1"/>
      <c r="M1099" s="1"/>
      <c r="N1099" s="1"/>
      <c r="O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2"/>
      <c r="AB1099" s="1"/>
      <c r="AC1099" s="1"/>
      <c r="AD1099" s="1"/>
      <c r="AE1099" s="1"/>
      <c r="AF1099" s="1"/>
      <c r="AG1099" s="1"/>
      <c r="AH1099" s="2"/>
      <c r="AI1099" s="2"/>
      <c r="AJ1099" s="2"/>
      <c r="AK1099" s="2"/>
      <c r="AL1099" s="2"/>
      <c r="AM1099" s="1"/>
      <c r="AN1099" s="2"/>
      <c r="AP1099" s="2"/>
      <c r="AQ1099" s="1"/>
      <c r="AR1099" s="2"/>
      <c r="AU1099" s="1"/>
      <c r="AW1099" s="1"/>
      <c r="AY1099" s="2"/>
    </row>
    <row r="1100">
      <c r="A1100" s="1"/>
      <c r="C1100" s="1"/>
      <c r="E1100" s="1"/>
      <c r="F1100" s="1"/>
      <c r="G1100" s="2"/>
      <c r="H1100" s="1"/>
      <c r="I1100" s="1"/>
      <c r="J1100" s="1"/>
      <c r="K1100" s="1"/>
      <c r="M1100" s="1"/>
      <c r="N1100" s="1"/>
      <c r="O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2"/>
      <c r="AB1100" s="1"/>
      <c r="AC1100" s="1"/>
      <c r="AD1100" s="1"/>
      <c r="AE1100" s="1"/>
      <c r="AF1100" s="1"/>
      <c r="AG1100" s="1"/>
      <c r="AH1100" s="2"/>
      <c r="AI1100" s="2"/>
      <c r="AJ1100" s="2"/>
      <c r="AK1100" s="2"/>
      <c r="AL1100" s="2"/>
      <c r="AM1100" s="1"/>
      <c r="AN1100" s="2"/>
      <c r="AP1100" s="2"/>
      <c r="AQ1100" s="1"/>
      <c r="AR1100" s="2"/>
      <c r="AU1100" s="1"/>
      <c r="AW1100" s="1"/>
      <c r="AY1100" s="2"/>
    </row>
    <row r="1101">
      <c r="A1101" s="1"/>
      <c r="C1101" s="1"/>
      <c r="E1101" s="1"/>
      <c r="F1101" s="1"/>
      <c r="G1101" s="2"/>
      <c r="H1101" s="1"/>
      <c r="I1101" s="1"/>
      <c r="J1101" s="1"/>
      <c r="K1101" s="1"/>
      <c r="M1101" s="1"/>
      <c r="N1101" s="1"/>
      <c r="O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2"/>
      <c r="AB1101" s="1"/>
      <c r="AC1101" s="1"/>
      <c r="AD1101" s="1"/>
      <c r="AE1101" s="1"/>
      <c r="AF1101" s="1"/>
      <c r="AG1101" s="1"/>
      <c r="AH1101" s="2"/>
      <c r="AI1101" s="2"/>
      <c r="AJ1101" s="2"/>
      <c r="AK1101" s="2"/>
      <c r="AL1101" s="2"/>
      <c r="AM1101" s="1"/>
      <c r="AN1101" s="2"/>
      <c r="AP1101" s="2"/>
      <c r="AQ1101" s="1"/>
      <c r="AR1101" s="2"/>
      <c r="AU1101" s="1"/>
      <c r="AW1101" s="1"/>
      <c r="AY1101" s="2"/>
    </row>
    <row r="1102">
      <c r="A1102" s="1"/>
      <c r="C1102" s="1"/>
      <c r="E1102" s="1"/>
      <c r="F1102" s="1"/>
      <c r="G1102" s="2"/>
      <c r="H1102" s="1"/>
      <c r="I1102" s="1"/>
      <c r="J1102" s="1"/>
      <c r="K1102" s="1"/>
      <c r="M1102" s="1"/>
      <c r="N1102" s="1"/>
      <c r="O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2"/>
      <c r="AB1102" s="1"/>
      <c r="AC1102" s="1"/>
      <c r="AD1102" s="1"/>
      <c r="AE1102" s="1"/>
      <c r="AF1102" s="1"/>
      <c r="AG1102" s="1"/>
      <c r="AH1102" s="2"/>
      <c r="AI1102" s="2"/>
      <c r="AJ1102" s="2"/>
      <c r="AK1102" s="2"/>
      <c r="AL1102" s="2"/>
      <c r="AM1102" s="1"/>
      <c r="AN1102" s="2"/>
      <c r="AP1102" s="2"/>
      <c r="AQ1102" s="1"/>
      <c r="AR1102" s="2"/>
      <c r="AU1102" s="1"/>
      <c r="AW1102" s="1"/>
      <c r="AY1102" s="2"/>
    </row>
    <row r="1103">
      <c r="A1103" s="1"/>
      <c r="C1103" s="1"/>
      <c r="E1103" s="1"/>
      <c r="F1103" s="1"/>
      <c r="G1103" s="2"/>
      <c r="H1103" s="1"/>
      <c r="I1103" s="1"/>
      <c r="J1103" s="1"/>
      <c r="K1103" s="1"/>
      <c r="M1103" s="1"/>
      <c r="N1103" s="1"/>
      <c r="O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2"/>
      <c r="AB1103" s="1"/>
      <c r="AC1103" s="1"/>
      <c r="AD1103" s="1"/>
      <c r="AE1103" s="1"/>
      <c r="AF1103" s="1"/>
      <c r="AG1103" s="1"/>
      <c r="AH1103" s="2"/>
      <c r="AI1103" s="2"/>
      <c r="AJ1103" s="2"/>
      <c r="AK1103" s="2"/>
      <c r="AL1103" s="2"/>
      <c r="AM1103" s="1"/>
      <c r="AN1103" s="2"/>
      <c r="AP1103" s="2"/>
      <c r="AQ1103" s="1"/>
      <c r="AR1103" s="2"/>
      <c r="AU1103" s="1"/>
      <c r="AW1103" s="1"/>
      <c r="AY1103" s="2"/>
    </row>
    <row r="1104">
      <c r="A1104" s="1"/>
      <c r="C1104" s="1"/>
      <c r="E1104" s="1"/>
      <c r="F1104" s="1"/>
      <c r="G1104" s="2"/>
      <c r="H1104" s="1"/>
      <c r="I1104" s="1"/>
      <c r="J1104" s="1"/>
      <c r="K1104" s="1"/>
      <c r="M1104" s="1"/>
      <c r="N1104" s="1"/>
      <c r="O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2"/>
      <c r="AB1104" s="1"/>
      <c r="AC1104" s="1"/>
      <c r="AD1104" s="1"/>
      <c r="AE1104" s="1"/>
      <c r="AF1104" s="1"/>
      <c r="AG1104" s="1"/>
      <c r="AH1104" s="2"/>
      <c r="AI1104" s="2"/>
      <c r="AJ1104" s="2"/>
      <c r="AK1104" s="2"/>
      <c r="AL1104" s="2"/>
      <c r="AM1104" s="1"/>
      <c r="AN1104" s="2"/>
      <c r="AP1104" s="2"/>
      <c r="AQ1104" s="1"/>
      <c r="AR1104" s="2"/>
      <c r="AU1104" s="1"/>
      <c r="AW1104" s="1"/>
      <c r="AY1104" s="2"/>
    </row>
    <row r="1105">
      <c r="A1105" s="1"/>
      <c r="C1105" s="1"/>
      <c r="E1105" s="1"/>
      <c r="F1105" s="1"/>
      <c r="G1105" s="2"/>
      <c r="H1105" s="1"/>
      <c r="I1105" s="1"/>
      <c r="J1105" s="1"/>
      <c r="K1105" s="1"/>
      <c r="M1105" s="1"/>
      <c r="N1105" s="1"/>
      <c r="O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2"/>
      <c r="AB1105" s="1"/>
      <c r="AC1105" s="1"/>
      <c r="AD1105" s="1"/>
      <c r="AE1105" s="1"/>
      <c r="AF1105" s="1"/>
      <c r="AG1105" s="1"/>
      <c r="AH1105" s="2"/>
      <c r="AI1105" s="2"/>
      <c r="AJ1105" s="2"/>
      <c r="AK1105" s="2"/>
      <c r="AL1105" s="2"/>
      <c r="AM1105" s="1"/>
      <c r="AN1105" s="2"/>
      <c r="AP1105" s="2"/>
      <c r="AQ1105" s="1"/>
      <c r="AR1105" s="2"/>
      <c r="AU1105" s="1"/>
      <c r="AW1105" s="1"/>
      <c r="AY1105" s="2"/>
    </row>
    <row r="1106">
      <c r="A1106" s="1"/>
      <c r="C1106" s="1"/>
      <c r="E1106" s="1"/>
      <c r="F1106" s="1"/>
      <c r="G1106" s="2"/>
      <c r="H1106" s="1"/>
      <c r="I1106" s="1"/>
      <c r="J1106" s="1"/>
      <c r="K1106" s="1"/>
      <c r="M1106" s="1"/>
      <c r="N1106" s="1"/>
      <c r="O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2"/>
      <c r="AB1106" s="1"/>
      <c r="AC1106" s="1"/>
      <c r="AD1106" s="1"/>
      <c r="AE1106" s="1"/>
      <c r="AF1106" s="1"/>
      <c r="AG1106" s="1"/>
      <c r="AH1106" s="2"/>
      <c r="AI1106" s="2"/>
      <c r="AJ1106" s="2"/>
      <c r="AK1106" s="2"/>
      <c r="AL1106" s="2"/>
      <c r="AM1106" s="1"/>
      <c r="AN1106" s="2"/>
      <c r="AP1106" s="2"/>
      <c r="AQ1106" s="1"/>
      <c r="AR1106" s="2"/>
      <c r="AU1106" s="1"/>
      <c r="AW1106" s="1"/>
      <c r="AY1106" s="2"/>
    </row>
    <row r="1107">
      <c r="A1107" s="1"/>
      <c r="C1107" s="1"/>
      <c r="E1107" s="1"/>
      <c r="F1107" s="1"/>
      <c r="G1107" s="2"/>
      <c r="H1107" s="1"/>
      <c r="I1107" s="1"/>
      <c r="J1107" s="1"/>
      <c r="K1107" s="1"/>
      <c r="M1107" s="1"/>
      <c r="N1107" s="1"/>
      <c r="O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2"/>
      <c r="AB1107" s="1"/>
      <c r="AC1107" s="1"/>
      <c r="AD1107" s="1"/>
      <c r="AE1107" s="1"/>
      <c r="AF1107" s="1"/>
      <c r="AG1107" s="1"/>
      <c r="AH1107" s="2"/>
      <c r="AI1107" s="2"/>
      <c r="AJ1107" s="2"/>
      <c r="AK1107" s="2"/>
      <c r="AL1107" s="2"/>
      <c r="AM1107" s="1"/>
      <c r="AN1107" s="2"/>
      <c r="AP1107" s="2"/>
      <c r="AQ1107" s="1"/>
      <c r="AR1107" s="2"/>
      <c r="AU1107" s="1"/>
      <c r="AW1107" s="1"/>
      <c r="AY1107" s="2"/>
    </row>
    <row r="1108">
      <c r="A1108" s="1"/>
      <c r="C1108" s="1"/>
      <c r="E1108" s="1"/>
      <c r="F1108" s="1"/>
      <c r="G1108" s="2"/>
      <c r="H1108" s="1"/>
      <c r="I1108" s="1"/>
      <c r="J1108" s="1"/>
      <c r="K1108" s="1"/>
      <c r="M1108" s="1"/>
      <c r="N1108" s="1"/>
      <c r="O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2"/>
      <c r="AB1108" s="1"/>
      <c r="AC1108" s="1"/>
      <c r="AD1108" s="1"/>
      <c r="AE1108" s="1"/>
      <c r="AF1108" s="1"/>
      <c r="AG1108" s="1"/>
      <c r="AH1108" s="2"/>
      <c r="AI1108" s="2"/>
      <c r="AJ1108" s="2"/>
      <c r="AK1108" s="2"/>
      <c r="AL1108" s="2"/>
      <c r="AM1108" s="1"/>
      <c r="AN1108" s="2"/>
      <c r="AP1108" s="2"/>
      <c r="AQ1108" s="1"/>
      <c r="AR1108" s="2"/>
      <c r="AU1108" s="1"/>
      <c r="AW1108" s="1"/>
      <c r="AY1108" s="2"/>
    </row>
    <row r="1109">
      <c r="A1109" s="1"/>
      <c r="C1109" s="1"/>
      <c r="E1109" s="1"/>
      <c r="F1109" s="1"/>
      <c r="G1109" s="2"/>
      <c r="H1109" s="1"/>
      <c r="I1109" s="1"/>
      <c r="J1109" s="1"/>
      <c r="K1109" s="1"/>
      <c r="M1109" s="1"/>
      <c r="N1109" s="1"/>
      <c r="O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2"/>
      <c r="AB1109" s="1"/>
      <c r="AC1109" s="1"/>
      <c r="AD1109" s="1"/>
      <c r="AE1109" s="1"/>
      <c r="AF1109" s="1"/>
      <c r="AG1109" s="1"/>
      <c r="AH1109" s="2"/>
      <c r="AI1109" s="2"/>
      <c r="AJ1109" s="2"/>
      <c r="AK1109" s="2"/>
      <c r="AL1109" s="2"/>
      <c r="AM1109" s="1"/>
      <c r="AN1109" s="2"/>
      <c r="AP1109" s="2"/>
      <c r="AQ1109" s="1"/>
      <c r="AR1109" s="2"/>
      <c r="AU1109" s="1"/>
      <c r="AW1109" s="1"/>
      <c r="AY1109" s="2"/>
    </row>
    <row r="1110">
      <c r="A1110" s="1"/>
      <c r="C1110" s="1"/>
      <c r="E1110" s="1"/>
      <c r="F1110" s="1"/>
      <c r="G1110" s="2"/>
      <c r="H1110" s="1"/>
      <c r="I1110" s="1"/>
      <c r="J1110" s="1"/>
      <c r="K1110" s="1"/>
      <c r="M1110" s="1"/>
      <c r="N1110" s="1"/>
      <c r="O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2"/>
      <c r="AB1110" s="1"/>
      <c r="AC1110" s="1"/>
      <c r="AD1110" s="1"/>
      <c r="AE1110" s="1"/>
      <c r="AF1110" s="1"/>
      <c r="AG1110" s="1"/>
      <c r="AH1110" s="2"/>
      <c r="AI1110" s="2"/>
      <c r="AJ1110" s="2"/>
      <c r="AK1110" s="2"/>
      <c r="AL1110" s="2"/>
      <c r="AM1110" s="1"/>
      <c r="AN1110" s="2"/>
      <c r="AP1110" s="2"/>
      <c r="AQ1110" s="1"/>
      <c r="AR1110" s="2"/>
      <c r="AU1110" s="1"/>
      <c r="AW1110" s="1"/>
      <c r="AY1110" s="2"/>
    </row>
    <row r="1111">
      <c r="A1111" s="1"/>
      <c r="C1111" s="1"/>
      <c r="E1111" s="1"/>
      <c r="F1111" s="1"/>
      <c r="G1111" s="2"/>
      <c r="H1111" s="1"/>
      <c r="I1111" s="1"/>
      <c r="J1111" s="1"/>
      <c r="K1111" s="1"/>
      <c r="M1111" s="1"/>
      <c r="N1111" s="1"/>
      <c r="O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2"/>
      <c r="AB1111" s="1"/>
      <c r="AC1111" s="1"/>
      <c r="AD1111" s="1"/>
      <c r="AE1111" s="1"/>
      <c r="AF1111" s="1"/>
      <c r="AG1111" s="1"/>
      <c r="AH1111" s="2"/>
      <c r="AI1111" s="2"/>
      <c r="AJ1111" s="2"/>
      <c r="AK1111" s="2"/>
      <c r="AL1111" s="2"/>
      <c r="AM1111" s="1"/>
      <c r="AN1111" s="2"/>
      <c r="AP1111" s="2"/>
      <c r="AQ1111" s="1"/>
      <c r="AR1111" s="2"/>
      <c r="AU1111" s="1"/>
      <c r="AW1111" s="1"/>
      <c r="AY1111" s="2"/>
    </row>
    <row r="1112">
      <c r="A1112" s="1"/>
      <c r="C1112" s="1"/>
      <c r="E1112" s="1"/>
      <c r="F1112" s="1"/>
      <c r="G1112" s="2"/>
      <c r="H1112" s="1"/>
      <c r="I1112" s="1"/>
      <c r="J1112" s="1"/>
      <c r="K1112" s="1"/>
      <c r="M1112" s="1"/>
      <c r="N1112" s="1"/>
      <c r="O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2"/>
      <c r="AB1112" s="1"/>
      <c r="AC1112" s="1"/>
      <c r="AD1112" s="1"/>
      <c r="AE1112" s="1"/>
      <c r="AF1112" s="1"/>
      <c r="AG1112" s="1"/>
      <c r="AH1112" s="2"/>
      <c r="AI1112" s="2"/>
      <c r="AJ1112" s="2"/>
      <c r="AK1112" s="2"/>
      <c r="AL1112" s="2"/>
      <c r="AM1112" s="1"/>
      <c r="AN1112" s="2"/>
      <c r="AP1112" s="2"/>
      <c r="AQ1112" s="1"/>
      <c r="AR1112" s="2"/>
      <c r="AU1112" s="1"/>
      <c r="AW1112" s="1"/>
      <c r="AY1112" s="2"/>
    </row>
    <row r="1113">
      <c r="A1113" s="1"/>
      <c r="C1113" s="1"/>
      <c r="E1113" s="1"/>
      <c r="F1113" s="1"/>
      <c r="G1113" s="2"/>
      <c r="H1113" s="1"/>
      <c r="I1113" s="1"/>
      <c r="J1113" s="1"/>
      <c r="K1113" s="1"/>
      <c r="M1113" s="1"/>
      <c r="N1113" s="1"/>
      <c r="O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2"/>
      <c r="AB1113" s="1"/>
      <c r="AC1113" s="1"/>
      <c r="AD1113" s="1"/>
      <c r="AE1113" s="1"/>
      <c r="AF1113" s="1"/>
      <c r="AG1113" s="1"/>
      <c r="AH1113" s="2"/>
      <c r="AI1113" s="2"/>
      <c r="AJ1113" s="2"/>
      <c r="AK1113" s="2"/>
      <c r="AL1113" s="2"/>
      <c r="AM1113" s="1"/>
      <c r="AN1113" s="2"/>
      <c r="AP1113" s="2"/>
      <c r="AQ1113" s="1"/>
      <c r="AR1113" s="2"/>
      <c r="AU1113" s="1"/>
      <c r="AW1113" s="1"/>
      <c r="AY1113" s="2"/>
    </row>
    <row r="1114">
      <c r="A1114" s="1"/>
      <c r="C1114" s="1"/>
      <c r="E1114" s="1"/>
      <c r="F1114" s="1"/>
      <c r="G1114" s="2"/>
      <c r="H1114" s="1"/>
      <c r="I1114" s="1"/>
      <c r="J1114" s="1"/>
      <c r="K1114" s="1"/>
      <c r="M1114" s="1"/>
      <c r="N1114" s="1"/>
      <c r="O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2"/>
      <c r="AB1114" s="1"/>
      <c r="AC1114" s="1"/>
      <c r="AD1114" s="1"/>
      <c r="AE1114" s="1"/>
      <c r="AF1114" s="1"/>
      <c r="AG1114" s="1"/>
      <c r="AH1114" s="2"/>
      <c r="AI1114" s="2"/>
      <c r="AJ1114" s="2"/>
      <c r="AK1114" s="2"/>
      <c r="AL1114" s="2"/>
      <c r="AM1114" s="1"/>
      <c r="AN1114" s="2"/>
      <c r="AP1114" s="2"/>
      <c r="AQ1114" s="1"/>
      <c r="AR1114" s="2"/>
      <c r="AU1114" s="1"/>
      <c r="AW1114" s="1"/>
      <c r="AY1114" s="2"/>
    </row>
    <row r="1115">
      <c r="A1115" s="1"/>
      <c r="C1115" s="1"/>
      <c r="E1115" s="1"/>
      <c r="F1115" s="1"/>
      <c r="G1115" s="2"/>
      <c r="H1115" s="1"/>
      <c r="I1115" s="1"/>
      <c r="J1115" s="1"/>
      <c r="K1115" s="1"/>
      <c r="M1115" s="1"/>
      <c r="N1115" s="1"/>
      <c r="O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2"/>
      <c r="AB1115" s="1"/>
      <c r="AC1115" s="1"/>
      <c r="AD1115" s="1"/>
      <c r="AE1115" s="1"/>
      <c r="AF1115" s="1"/>
      <c r="AG1115" s="1"/>
      <c r="AH1115" s="2"/>
      <c r="AI1115" s="2"/>
      <c r="AJ1115" s="2"/>
      <c r="AK1115" s="2"/>
      <c r="AL1115" s="2"/>
      <c r="AM1115" s="1"/>
      <c r="AN1115" s="2"/>
      <c r="AP1115" s="2"/>
      <c r="AQ1115" s="1"/>
      <c r="AR1115" s="2"/>
      <c r="AU1115" s="1"/>
      <c r="AW1115" s="1"/>
      <c r="AY1115" s="2"/>
    </row>
    <row r="1116">
      <c r="A1116" s="1"/>
      <c r="C1116" s="1"/>
      <c r="E1116" s="1"/>
      <c r="F1116" s="1"/>
      <c r="G1116" s="2"/>
      <c r="H1116" s="1"/>
      <c r="I1116" s="1"/>
      <c r="J1116" s="1"/>
      <c r="K1116" s="1"/>
      <c r="M1116" s="1"/>
      <c r="N1116" s="1"/>
      <c r="O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2"/>
      <c r="AB1116" s="1"/>
      <c r="AC1116" s="1"/>
      <c r="AD1116" s="1"/>
      <c r="AE1116" s="1"/>
      <c r="AF1116" s="1"/>
      <c r="AG1116" s="1"/>
      <c r="AH1116" s="2"/>
      <c r="AI1116" s="2"/>
      <c r="AJ1116" s="2"/>
      <c r="AK1116" s="2"/>
      <c r="AL1116" s="2"/>
      <c r="AM1116" s="1"/>
      <c r="AN1116" s="2"/>
      <c r="AP1116" s="2"/>
      <c r="AQ1116" s="1"/>
      <c r="AR1116" s="2"/>
      <c r="AU1116" s="1"/>
      <c r="AW1116" s="1"/>
      <c r="AY1116" s="2"/>
    </row>
    <row r="1117">
      <c r="A1117" s="1"/>
      <c r="C1117" s="1"/>
      <c r="E1117" s="1"/>
      <c r="F1117" s="1"/>
      <c r="G1117" s="2"/>
      <c r="H1117" s="1"/>
      <c r="I1117" s="1"/>
      <c r="J1117" s="1"/>
      <c r="K1117" s="1"/>
      <c r="M1117" s="1"/>
      <c r="N1117" s="1"/>
      <c r="O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2"/>
      <c r="AB1117" s="1"/>
      <c r="AC1117" s="1"/>
      <c r="AD1117" s="1"/>
      <c r="AE1117" s="1"/>
      <c r="AF1117" s="1"/>
      <c r="AG1117" s="1"/>
      <c r="AH1117" s="2"/>
      <c r="AI1117" s="2"/>
      <c r="AJ1117" s="2"/>
      <c r="AK1117" s="2"/>
      <c r="AL1117" s="2"/>
      <c r="AM1117" s="1"/>
      <c r="AN1117" s="2"/>
      <c r="AP1117" s="2"/>
      <c r="AQ1117" s="1"/>
      <c r="AR1117" s="2"/>
      <c r="AU1117" s="1"/>
      <c r="AW1117" s="1"/>
      <c r="AY1117" s="2"/>
    </row>
    <row r="1118">
      <c r="A1118" s="1"/>
      <c r="C1118" s="1"/>
      <c r="E1118" s="1"/>
      <c r="F1118" s="1"/>
      <c r="G1118" s="2"/>
      <c r="H1118" s="1"/>
      <c r="I1118" s="1"/>
      <c r="J1118" s="1"/>
      <c r="K1118" s="1"/>
      <c r="M1118" s="1"/>
      <c r="N1118" s="1"/>
      <c r="O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2"/>
      <c r="AB1118" s="1"/>
      <c r="AC1118" s="1"/>
      <c r="AD1118" s="1"/>
      <c r="AE1118" s="1"/>
      <c r="AF1118" s="1"/>
      <c r="AG1118" s="1"/>
      <c r="AH1118" s="2"/>
      <c r="AI1118" s="2"/>
      <c r="AJ1118" s="2"/>
      <c r="AK1118" s="2"/>
      <c r="AL1118" s="2"/>
      <c r="AM1118" s="1"/>
      <c r="AN1118" s="2"/>
      <c r="AP1118" s="2"/>
      <c r="AQ1118" s="1"/>
      <c r="AR1118" s="2"/>
      <c r="AU1118" s="1"/>
      <c r="AW1118" s="1"/>
      <c r="AY1118" s="2"/>
    </row>
    <row r="1119">
      <c r="A1119" s="1"/>
      <c r="C1119" s="1"/>
      <c r="E1119" s="1"/>
      <c r="F1119" s="1"/>
      <c r="G1119" s="2"/>
      <c r="H1119" s="1"/>
      <c r="I1119" s="1"/>
      <c r="J1119" s="1"/>
      <c r="K1119" s="1"/>
      <c r="M1119" s="1"/>
      <c r="N1119" s="1"/>
      <c r="O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2"/>
      <c r="AB1119" s="1"/>
      <c r="AC1119" s="1"/>
      <c r="AD1119" s="1"/>
      <c r="AE1119" s="1"/>
      <c r="AF1119" s="1"/>
      <c r="AG1119" s="1"/>
      <c r="AH1119" s="2"/>
      <c r="AI1119" s="2"/>
      <c r="AJ1119" s="2"/>
      <c r="AK1119" s="2"/>
      <c r="AL1119" s="2"/>
      <c r="AM1119" s="1"/>
      <c r="AN1119" s="2"/>
      <c r="AP1119" s="2"/>
      <c r="AQ1119" s="1"/>
      <c r="AR1119" s="2"/>
      <c r="AU1119" s="1"/>
      <c r="AW1119" s="1"/>
      <c r="AY1119" s="2"/>
    </row>
    <row r="1120">
      <c r="A1120" s="1"/>
      <c r="C1120" s="1"/>
      <c r="E1120" s="1"/>
      <c r="F1120" s="1"/>
      <c r="G1120" s="2"/>
      <c r="H1120" s="1"/>
      <c r="I1120" s="1"/>
      <c r="J1120" s="1"/>
      <c r="K1120" s="1"/>
      <c r="M1120" s="1"/>
      <c r="N1120" s="1"/>
      <c r="O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2"/>
      <c r="AB1120" s="1"/>
      <c r="AC1120" s="1"/>
      <c r="AD1120" s="1"/>
      <c r="AE1120" s="1"/>
      <c r="AF1120" s="1"/>
      <c r="AG1120" s="1"/>
      <c r="AH1120" s="2"/>
      <c r="AI1120" s="2"/>
      <c r="AJ1120" s="2"/>
      <c r="AK1120" s="2"/>
      <c r="AL1120" s="2"/>
      <c r="AM1120" s="1"/>
      <c r="AN1120" s="2"/>
      <c r="AP1120" s="2"/>
      <c r="AQ1120" s="1"/>
      <c r="AR1120" s="2"/>
      <c r="AU1120" s="1"/>
      <c r="AW1120" s="1"/>
      <c r="AY1120" s="2"/>
    </row>
    <row r="1121">
      <c r="A1121" s="1"/>
      <c r="C1121" s="1"/>
      <c r="E1121" s="1"/>
      <c r="F1121" s="1"/>
      <c r="G1121" s="2"/>
      <c r="H1121" s="1"/>
      <c r="I1121" s="1"/>
      <c r="J1121" s="1"/>
      <c r="K1121" s="1"/>
      <c r="M1121" s="1"/>
      <c r="N1121" s="1"/>
      <c r="O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2"/>
      <c r="AB1121" s="1"/>
      <c r="AC1121" s="1"/>
      <c r="AD1121" s="1"/>
      <c r="AE1121" s="1"/>
      <c r="AF1121" s="1"/>
      <c r="AG1121" s="1"/>
      <c r="AH1121" s="2"/>
      <c r="AI1121" s="2"/>
      <c r="AJ1121" s="2"/>
      <c r="AK1121" s="2"/>
      <c r="AL1121" s="2"/>
      <c r="AM1121" s="1"/>
      <c r="AN1121" s="2"/>
      <c r="AP1121" s="2"/>
      <c r="AQ1121" s="1"/>
      <c r="AR1121" s="2"/>
      <c r="AU1121" s="1"/>
      <c r="AW1121" s="1"/>
      <c r="AY1121" s="2"/>
    </row>
    <row r="1122">
      <c r="A1122" s="1"/>
      <c r="C1122" s="1"/>
      <c r="E1122" s="1"/>
      <c r="F1122" s="1"/>
      <c r="G1122" s="2"/>
      <c r="H1122" s="1"/>
      <c r="I1122" s="1"/>
      <c r="J1122" s="1"/>
      <c r="K1122" s="1"/>
      <c r="M1122" s="1"/>
      <c r="N1122" s="1"/>
      <c r="O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2"/>
      <c r="AB1122" s="1"/>
      <c r="AC1122" s="1"/>
      <c r="AD1122" s="1"/>
      <c r="AE1122" s="1"/>
      <c r="AF1122" s="1"/>
      <c r="AG1122" s="1"/>
      <c r="AH1122" s="2"/>
      <c r="AI1122" s="2"/>
      <c r="AJ1122" s="2"/>
      <c r="AK1122" s="2"/>
      <c r="AL1122" s="2"/>
      <c r="AM1122" s="1"/>
      <c r="AN1122" s="2"/>
      <c r="AP1122" s="2"/>
      <c r="AQ1122" s="1"/>
      <c r="AR1122" s="2"/>
      <c r="AU1122" s="1"/>
      <c r="AW1122" s="1"/>
      <c r="AY1122" s="2"/>
    </row>
    <row r="1123">
      <c r="A1123" s="1"/>
      <c r="C1123" s="1"/>
      <c r="E1123" s="1"/>
      <c r="F1123" s="1"/>
      <c r="G1123" s="2"/>
      <c r="H1123" s="1"/>
      <c r="I1123" s="1"/>
      <c r="J1123" s="1"/>
      <c r="K1123" s="1"/>
      <c r="M1123" s="1"/>
      <c r="N1123" s="1"/>
      <c r="O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2"/>
      <c r="AB1123" s="1"/>
      <c r="AC1123" s="1"/>
      <c r="AD1123" s="1"/>
      <c r="AE1123" s="1"/>
      <c r="AF1123" s="1"/>
      <c r="AG1123" s="1"/>
      <c r="AH1123" s="2"/>
      <c r="AI1123" s="2"/>
      <c r="AJ1123" s="2"/>
      <c r="AK1123" s="2"/>
      <c r="AL1123" s="2"/>
      <c r="AM1123" s="1"/>
      <c r="AN1123" s="2"/>
      <c r="AP1123" s="2"/>
      <c r="AQ1123" s="1"/>
      <c r="AR1123" s="2"/>
      <c r="AU1123" s="1"/>
      <c r="AW1123" s="1"/>
      <c r="AY1123" s="2"/>
    </row>
    <row r="1124">
      <c r="A1124" s="1"/>
      <c r="C1124" s="1"/>
      <c r="E1124" s="1"/>
      <c r="F1124" s="1"/>
      <c r="G1124" s="2"/>
      <c r="H1124" s="1"/>
      <c r="I1124" s="1"/>
      <c r="J1124" s="1"/>
      <c r="K1124" s="1"/>
      <c r="M1124" s="1"/>
      <c r="N1124" s="1"/>
      <c r="O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2"/>
      <c r="AB1124" s="1"/>
      <c r="AC1124" s="1"/>
      <c r="AD1124" s="1"/>
      <c r="AE1124" s="1"/>
      <c r="AF1124" s="1"/>
      <c r="AG1124" s="1"/>
      <c r="AH1124" s="2"/>
      <c r="AI1124" s="2"/>
      <c r="AJ1124" s="2"/>
      <c r="AK1124" s="2"/>
      <c r="AL1124" s="2"/>
      <c r="AM1124" s="1"/>
      <c r="AN1124" s="2"/>
      <c r="AP1124" s="2"/>
      <c r="AQ1124" s="1"/>
      <c r="AR1124" s="2"/>
      <c r="AU1124" s="1"/>
      <c r="AW1124" s="1"/>
      <c r="AY1124" s="2"/>
    </row>
    <row r="1125">
      <c r="A1125" s="1"/>
      <c r="C1125" s="1"/>
      <c r="E1125" s="1"/>
      <c r="F1125" s="1"/>
      <c r="G1125" s="2"/>
      <c r="H1125" s="1"/>
      <c r="I1125" s="1"/>
      <c r="J1125" s="1"/>
      <c r="K1125" s="1"/>
      <c r="M1125" s="1"/>
      <c r="N1125" s="1"/>
      <c r="O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2"/>
      <c r="AB1125" s="1"/>
      <c r="AC1125" s="1"/>
      <c r="AD1125" s="1"/>
      <c r="AE1125" s="1"/>
      <c r="AF1125" s="1"/>
      <c r="AG1125" s="1"/>
      <c r="AH1125" s="2"/>
      <c r="AI1125" s="2"/>
      <c r="AJ1125" s="2"/>
      <c r="AK1125" s="2"/>
      <c r="AL1125" s="2"/>
      <c r="AM1125" s="1"/>
      <c r="AN1125" s="2"/>
      <c r="AP1125" s="2"/>
      <c r="AQ1125" s="1"/>
      <c r="AR1125" s="2"/>
      <c r="AU1125" s="1"/>
      <c r="AW1125" s="1"/>
      <c r="AY1125" s="2"/>
    </row>
    <row r="1126">
      <c r="A1126" s="1"/>
      <c r="C1126" s="1"/>
      <c r="E1126" s="1"/>
      <c r="F1126" s="1"/>
      <c r="G1126" s="2"/>
      <c r="H1126" s="1"/>
      <c r="I1126" s="1"/>
      <c r="J1126" s="1"/>
      <c r="K1126" s="1"/>
      <c r="M1126" s="1"/>
      <c r="N1126" s="1"/>
      <c r="O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2"/>
      <c r="AB1126" s="1"/>
      <c r="AC1126" s="1"/>
      <c r="AD1126" s="1"/>
      <c r="AE1126" s="1"/>
      <c r="AF1126" s="1"/>
      <c r="AG1126" s="1"/>
      <c r="AH1126" s="2"/>
      <c r="AI1126" s="2"/>
      <c r="AJ1126" s="2"/>
      <c r="AK1126" s="2"/>
      <c r="AL1126" s="2"/>
      <c r="AM1126" s="1"/>
      <c r="AN1126" s="2"/>
      <c r="AP1126" s="2"/>
      <c r="AQ1126" s="1"/>
      <c r="AR1126" s="2"/>
      <c r="AU1126" s="1"/>
      <c r="AW1126" s="1"/>
      <c r="AY1126" s="2"/>
    </row>
    <row r="1127">
      <c r="A1127" s="1"/>
      <c r="C1127" s="1"/>
      <c r="E1127" s="1"/>
      <c r="F1127" s="1"/>
      <c r="G1127" s="2"/>
      <c r="H1127" s="1"/>
      <c r="I1127" s="1"/>
      <c r="J1127" s="1"/>
      <c r="K1127" s="1"/>
      <c r="M1127" s="1"/>
      <c r="N1127" s="1"/>
      <c r="O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2"/>
      <c r="AB1127" s="1"/>
      <c r="AC1127" s="1"/>
      <c r="AD1127" s="1"/>
      <c r="AE1127" s="1"/>
      <c r="AF1127" s="1"/>
      <c r="AG1127" s="1"/>
      <c r="AH1127" s="2"/>
      <c r="AI1127" s="2"/>
      <c r="AJ1127" s="2"/>
      <c r="AK1127" s="2"/>
      <c r="AL1127" s="2"/>
      <c r="AM1127" s="1"/>
      <c r="AN1127" s="2"/>
      <c r="AP1127" s="2"/>
      <c r="AQ1127" s="1"/>
      <c r="AR1127" s="2"/>
      <c r="AU1127" s="1"/>
      <c r="AW1127" s="1"/>
      <c r="AY1127" s="2"/>
    </row>
    <row r="1128">
      <c r="A1128" s="1"/>
      <c r="C1128" s="1"/>
      <c r="E1128" s="1"/>
      <c r="F1128" s="1"/>
      <c r="G1128" s="2"/>
      <c r="H1128" s="1"/>
      <c r="I1128" s="1"/>
      <c r="J1128" s="1"/>
      <c r="K1128" s="1"/>
      <c r="M1128" s="1"/>
      <c r="N1128" s="1"/>
      <c r="O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2"/>
      <c r="AB1128" s="1"/>
      <c r="AC1128" s="1"/>
      <c r="AD1128" s="1"/>
      <c r="AE1128" s="1"/>
      <c r="AF1128" s="1"/>
      <c r="AG1128" s="1"/>
      <c r="AH1128" s="2"/>
      <c r="AI1128" s="2"/>
      <c r="AJ1128" s="2"/>
      <c r="AK1128" s="2"/>
      <c r="AL1128" s="2"/>
      <c r="AM1128" s="1"/>
      <c r="AN1128" s="2"/>
      <c r="AP1128" s="2"/>
      <c r="AQ1128" s="1"/>
      <c r="AR1128" s="2"/>
      <c r="AU1128" s="1"/>
      <c r="AW1128" s="1"/>
      <c r="AY1128" s="2"/>
    </row>
    <row r="1129">
      <c r="A1129" s="1"/>
      <c r="C1129" s="1"/>
      <c r="E1129" s="1"/>
      <c r="F1129" s="1"/>
      <c r="G1129" s="2"/>
      <c r="H1129" s="1"/>
      <c r="I1129" s="1"/>
      <c r="J1129" s="1"/>
      <c r="K1129" s="1"/>
      <c r="M1129" s="1"/>
      <c r="N1129" s="1"/>
      <c r="O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2"/>
      <c r="AB1129" s="1"/>
      <c r="AC1129" s="1"/>
      <c r="AD1129" s="1"/>
      <c r="AE1129" s="1"/>
      <c r="AF1129" s="1"/>
      <c r="AG1129" s="1"/>
      <c r="AH1129" s="2"/>
      <c r="AI1129" s="2"/>
      <c r="AJ1129" s="2"/>
      <c r="AK1129" s="2"/>
      <c r="AL1129" s="2"/>
      <c r="AM1129" s="1"/>
      <c r="AN1129" s="2"/>
      <c r="AP1129" s="2"/>
      <c r="AQ1129" s="1"/>
      <c r="AR1129" s="2"/>
      <c r="AU1129" s="1"/>
      <c r="AW1129" s="1"/>
      <c r="AY1129" s="2"/>
    </row>
    <row r="1130">
      <c r="A1130" s="1"/>
      <c r="C1130" s="1"/>
      <c r="E1130" s="1"/>
      <c r="F1130" s="1"/>
      <c r="G1130" s="2"/>
      <c r="H1130" s="1"/>
      <c r="I1130" s="1"/>
      <c r="J1130" s="1"/>
      <c r="K1130" s="1"/>
      <c r="M1130" s="1"/>
      <c r="N1130" s="1"/>
      <c r="O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2"/>
      <c r="AB1130" s="1"/>
      <c r="AC1130" s="1"/>
      <c r="AD1130" s="1"/>
      <c r="AE1130" s="1"/>
      <c r="AF1130" s="1"/>
      <c r="AG1130" s="1"/>
      <c r="AH1130" s="2"/>
      <c r="AI1130" s="2"/>
      <c r="AJ1130" s="2"/>
      <c r="AK1130" s="2"/>
      <c r="AL1130" s="2"/>
      <c r="AM1130" s="1"/>
      <c r="AN1130" s="2"/>
      <c r="AP1130" s="2"/>
      <c r="AQ1130" s="1"/>
      <c r="AR1130" s="2"/>
      <c r="AU1130" s="1"/>
      <c r="AW1130" s="1"/>
      <c r="AY1130" s="2"/>
    </row>
    <row r="1131">
      <c r="A1131" s="1"/>
      <c r="C1131" s="1"/>
      <c r="E1131" s="1"/>
      <c r="F1131" s="1"/>
      <c r="G1131" s="2"/>
      <c r="H1131" s="1"/>
      <c r="I1131" s="1"/>
      <c r="J1131" s="1"/>
      <c r="K1131" s="1"/>
      <c r="M1131" s="1"/>
      <c r="N1131" s="1"/>
      <c r="O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2"/>
      <c r="AB1131" s="1"/>
      <c r="AC1131" s="1"/>
      <c r="AD1131" s="1"/>
      <c r="AE1131" s="1"/>
      <c r="AF1131" s="1"/>
      <c r="AG1131" s="1"/>
      <c r="AH1131" s="2"/>
      <c r="AI1131" s="2"/>
      <c r="AJ1131" s="2"/>
      <c r="AK1131" s="2"/>
      <c r="AL1131" s="2"/>
      <c r="AM1131" s="1"/>
      <c r="AN1131" s="2"/>
      <c r="AP1131" s="2"/>
      <c r="AQ1131" s="1"/>
      <c r="AR1131" s="2"/>
      <c r="AU1131" s="1"/>
      <c r="AW1131" s="1"/>
      <c r="AY1131" s="2"/>
    </row>
    <row r="1132">
      <c r="A1132" s="1"/>
      <c r="C1132" s="1"/>
      <c r="E1132" s="1"/>
      <c r="F1132" s="1"/>
      <c r="G1132" s="2"/>
      <c r="H1132" s="1"/>
      <c r="I1132" s="1"/>
      <c r="J1132" s="1"/>
      <c r="K1132" s="1"/>
      <c r="M1132" s="1"/>
      <c r="N1132" s="1"/>
      <c r="O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2"/>
      <c r="AB1132" s="1"/>
      <c r="AC1132" s="1"/>
      <c r="AD1132" s="1"/>
      <c r="AE1132" s="1"/>
      <c r="AF1132" s="1"/>
      <c r="AG1132" s="1"/>
      <c r="AH1132" s="2"/>
      <c r="AI1132" s="2"/>
      <c r="AJ1132" s="2"/>
      <c r="AK1132" s="2"/>
      <c r="AL1132" s="2"/>
      <c r="AM1132" s="1"/>
      <c r="AN1132" s="2"/>
      <c r="AP1132" s="2"/>
      <c r="AQ1132" s="1"/>
      <c r="AR1132" s="2"/>
      <c r="AU1132" s="1"/>
      <c r="AW1132" s="1"/>
      <c r="AY1132" s="2"/>
    </row>
    <row r="1133">
      <c r="A1133" s="1"/>
      <c r="C1133" s="1"/>
      <c r="E1133" s="1"/>
      <c r="F1133" s="1"/>
      <c r="G1133" s="2"/>
      <c r="H1133" s="1"/>
      <c r="I1133" s="1"/>
      <c r="J1133" s="1"/>
      <c r="K1133" s="1"/>
      <c r="M1133" s="1"/>
      <c r="N1133" s="1"/>
      <c r="O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2"/>
      <c r="AB1133" s="1"/>
      <c r="AC1133" s="1"/>
      <c r="AD1133" s="1"/>
      <c r="AE1133" s="1"/>
      <c r="AF1133" s="1"/>
      <c r="AG1133" s="1"/>
      <c r="AH1133" s="2"/>
      <c r="AI1133" s="2"/>
      <c r="AJ1133" s="2"/>
      <c r="AK1133" s="2"/>
      <c r="AL1133" s="2"/>
      <c r="AM1133" s="1"/>
      <c r="AN1133" s="2"/>
      <c r="AP1133" s="2"/>
      <c r="AQ1133" s="1"/>
      <c r="AR1133" s="2"/>
      <c r="AU1133" s="1"/>
      <c r="AW1133" s="1"/>
      <c r="AY1133" s="2"/>
    </row>
    <row r="1134">
      <c r="A1134" s="1"/>
      <c r="C1134" s="1"/>
      <c r="E1134" s="1"/>
      <c r="F1134" s="1"/>
      <c r="G1134" s="2"/>
      <c r="H1134" s="1"/>
      <c r="I1134" s="1"/>
      <c r="J1134" s="1"/>
      <c r="K1134" s="1"/>
      <c r="M1134" s="1"/>
      <c r="N1134" s="1"/>
      <c r="O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2"/>
      <c r="AB1134" s="1"/>
      <c r="AC1134" s="1"/>
      <c r="AD1134" s="1"/>
      <c r="AE1134" s="1"/>
      <c r="AF1134" s="1"/>
      <c r="AG1134" s="1"/>
      <c r="AH1134" s="2"/>
      <c r="AI1134" s="2"/>
      <c r="AJ1134" s="2"/>
      <c r="AK1134" s="2"/>
      <c r="AL1134" s="2"/>
      <c r="AM1134" s="1"/>
      <c r="AN1134" s="2"/>
      <c r="AP1134" s="2"/>
      <c r="AQ1134" s="1"/>
      <c r="AR1134" s="2"/>
      <c r="AU1134" s="1"/>
      <c r="AW1134" s="1"/>
      <c r="AY1134" s="2"/>
    </row>
    <row r="1135">
      <c r="A1135" s="1"/>
      <c r="C1135" s="1"/>
      <c r="E1135" s="1"/>
      <c r="F1135" s="1"/>
      <c r="G1135" s="2"/>
      <c r="H1135" s="1"/>
      <c r="I1135" s="1"/>
      <c r="J1135" s="1"/>
      <c r="K1135" s="1"/>
      <c r="M1135" s="1"/>
      <c r="N1135" s="1"/>
      <c r="O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2"/>
      <c r="AB1135" s="1"/>
      <c r="AC1135" s="1"/>
      <c r="AD1135" s="1"/>
      <c r="AE1135" s="1"/>
      <c r="AF1135" s="1"/>
      <c r="AG1135" s="1"/>
      <c r="AH1135" s="2"/>
      <c r="AI1135" s="2"/>
      <c r="AJ1135" s="2"/>
      <c r="AK1135" s="2"/>
      <c r="AL1135" s="2"/>
      <c r="AM1135" s="1"/>
      <c r="AN1135" s="2"/>
      <c r="AP1135" s="2"/>
      <c r="AQ1135" s="1"/>
      <c r="AR1135" s="2"/>
      <c r="AU1135" s="1"/>
      <c r="AW1135" s="1"/>
      <c r="AY1135" s="2"/>
    </row>
    <row r="1136">
      <c r="A1136" s="1"/>
      <c r="C1136" s="1"/>
      <c r="E1136" s="1"/>
      <c r="F1136" s="1"/>
      <c r="G1136" s="2"/>
      <c r="H1136" s="1"/>
      <c r="I1136" s="1"/>
      <c r="J1136" s="1"/>
      <c r="K1136" s="1"/>
      <c r="M1136" s="1"/>
      <c r="N1136" s="1"/>
      <c r="O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2"/>
      <c r="AB1136" s="1"/>
      <c r="AC1136" s="1"/>
      <c r="AD1136" s="1"/>
      <c r="AE1136" s="1"/>
      <c r="AF1136" s="1"/>
      <c r="AG1136" s="1"/>
      <c r="AH1136" s="2"/>
      <c r="AI1136" s="2"/>
      <c r="AJ1136" s="2"/>
      <c r="AK1136" s="2"/>
      <c r="AL1136" s="2"/>
      <c r="AM1136" s="1"/>
      <c r="AN1136" s="2"/>
      <c r="AP1136" s="2"/>
      <c r="AQ1136" s="1"/>
      <c r="AR1136" s="2"/>
      <c r="AU1136" s="1"/>
      <c r="AW1136" s="1"/>
      <c r="AY1136" s="2"/>
    </row>
    <row r="1137">
      <c r="A1137" s="1"/>
      <c r="C1137" s="1"/>
      <c r="E1137" s="1"/>
      <c r="F1137" s="1"/>
      <c r="G1137" s="2"/>
      <c r="H1137" s="1"/>
      <c r="I1137" s="1"/>
      <c r="J1137" s="1"/>
      <c r="K1137" s="1"/>
      <c r="M1137" s="1"/>
      <c r="N1137" s="1"/>
      <c r="O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2"/>
      <c r="AB1137" s="1"/>
      <c r="AC1137" s="1"/>
      <c r="AD1137" s="1"/>
      <c r="AE1137" s="1"/>
      <c r="AF1137" s="1"/>
      <c r="AG1137" s="1"/>
      <c r="AH1137" s="2"/>
      <c r="AI1137" s="2"/>
      <c r="AJ1137" s="2"/>
      <c r="AK1137" s="2"/>
      <c r="AL1137" s="2"/>
      <c r="AM1137" s="1"/>
      <c r="AN1137" s="2"/>
      <c r="AP1137" s="2"/>
      <c r="AQ1137" s="1"/>
      <c r="AR1137" s="2"/>
      <c r="AU1137" s="1"/>
      <c r="AW1137" s="1"/>
      <c r="AY1137" s="2"/>
    </row>
    <row r="1138">
      <c r="A1138" s="1"/>
      <c r="C1138" s="1"/>
      <c r="E1138" s="1"/>
      <c r="F1138" s="1"/>
      <c r="G1138" s="2"/>
      <c r="H1138" s="1"/>
      <c r="I1138" s="1"/>
      <c r="J1138" s="1"/>
      <c r="K1138" s="1"/>
      <c r="M1138" s="1"/>
      <c r="N1138" s="1"/>
      <c r="O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2"/>
      <c r="AB1138" s="1"/>
      <c r="AC1138" s="1"/>
      <c r="AD1138" s="1"/>
      <c r="AE1138" s="1"/>
      <c r="AF1138" s="1"/>
      <c r="AG1138" s="1"/>
      <c r="AH1138" s="2"/>
      <c r="AI1138" s="2"/>
      <c r="AJ1138" s="2"/>
      <c r="AK1138" s="2"/>
      <c r="AL1138" s="2"/>
      <c r="AM1138" s="1"/>
      <c r="AN1138" s="2"/>
      <c r="AP1138" s="2"/>
      <c r="AQ1138" s="1"/>
      <c r="AR1138" s="2"/>
      <c r="AU1138" s="1"/>
      <c r="AW1138" s="1"/>
      <c r="AY1138" s="2"/>
    </row>
    <row r="1139">
      <c r="A1139" s="1"/>
      <c r="C1139" s="1"/>
      <c r="E1139" s="1"/>
      <c r="F1139" s="1"/>
      <c r="G1139" s="2"/>
      <c r="H1139" s="1"/>
      <c r="I1139" s="1"/>
      <c r="J1139" s="1"/>
      <c r="K1139" s="1"/>
      <c r="M1139" s="1"/>
      <c r="N1139" s="1"/>
      <c r="O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2"/>
      <c r="AB1139" s="1"/>
      <c r="AC1139" s="1"/>
      <c r="AD1139" s="1"/>
      <c r="AE1139" s="1"/>
      <c r="AF1139" s="1"/>
      <c r="AG1139" s="1"/>
      <c r="AH1139" s="2"/>
      <c r="AI1139" s="2"/>
      <c r="AJ1139" s="2"/>
      <c r="AK1139" s="2"/>
      <c r="AL1139" s="2"/>
      <c r="AM1139" s="1"/>
      <c r="AN1139" s="2"/>
      <c r="AP1139" s="2"/>
      <c r="AQ1139" s="1"/>
      <c r="AR1139" s="2"/>
      <c r="AU1139" s="1"/>
      <c r="AW1139" s="1"/>
      <c r="AY1139" s="2"/>
    </row>
    <row r="1140">
      <c r="A1140" s="1"/>
      <c r="C1140" s="1"/>
      <c r="E1140" s="1"/>
      <c r="F1140" s="1"/>
      <c r="G1140" s="2"/>
      <c r="H1140" s="1"/>
      <c r="I1140" s="1"/>
      <c r="J1140" s="1"/>
      <c r="K1140" s="1"/>
      <c r="M1140" s="1"/>
      <c r="N1140" s="1"/>
      <c r="O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2"/>
      <c r="AB1140" s="1"/>
      <c r="AC1140" s="1"/>
      <c r="AD1140" s="1"/>
      <c r="AE1140" s="1"/>
      <c r="AF1140" s="1"/>
      <c r="AG1140" s="1"/>
      <c r="AH1140" s="2"/>
      <c r="AI1140" s="2"/>
      <c r="AJ1140" s="2"/>
      <c r="AK1140" s="2"/>
      <c r="AL1140" s="2"/>
      <c r="AM1140" s="1"/>
      <c r="AN1140" s="2"/>
      <c r="AP1140" s="2"/>
      <c r="AQ1140" s="1"/>
      <c r="AR1140" s="2"/>
      <c r="AU1140" s="1"/>
      <c r="AW1140" s="1"/>
      <c r="AY1140" s="2"/>
    </row>
    <row r="1141">
      <c r="A1141" s="1"/>
      <c r="C1141" s="1"/>
      <c r="E1141" s="1"/>
      <c r="F1141" s="1"/>
      <c r="G1141" s="2"/>
      <c r="H1141" s="1"/>
      <c r="I1141" s="1"/>
      <c r="J1141" s="1"/>
      <c r="K1141" s="1"/>
      <c r="M1141" s="1"/>
      <c r="N1141" s="1"/>
      <c r="O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2"/>
      <c r="AB1141" s="1"/>
      <c r="AC1141" s="1"/>
      <c r="AD1141" s="1"/>
      <c r="AE1141" s="1"/>
      <c r="AF1141" s="1"/>
      <c r="AG1141" s="1"/>
      <c r="AH1141" s="2"/>
      <c r="AI1141" s="2"/>
      <c r="AJ1141" s="2"/>
      <c r="AK1141" s="2"/>
      <c r="AL1141" s="2"/>
      <c r="AM1141" s="1"/>
      <c r="AN1141" s="2"/>
      <c r="AP1141" s="2"/>
      <c r="AQ1141" s="1"/>
      <c r="AR1141" s="2"/>
      <c r="AU1141" s="1"/>
      <c r="AW1141" s="1"/>
      <c r="AY1141" s="2"/>
    </row>
    <row r="1142">
      <c r="A1142" s="1"/>
      <c r="C1142" s="1"/>
      <c r="E1142" s="1"/>
      <c r="F1142" s="1"/>
      <c r="G1142" s="2"/>
      <c r="H1142" s="1"/>
      <c r="I1142" s="1"/>
      <c r="J1142" s="1"/>
      <c r="K1142" s="1"/>
      <c r="M1142" s="1"/>
      <c r="N1142" s="1"/>
      <c r="O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2"/>
      <c r="AB1142" s="1"/>
      <c r="AC1142" s="1"/>
      <c r="AD1142" s="1"/>
      <c r="AE1142" s="1"/>
      <c r="AF1142" s="1"/>
      <c r="AG1142" s="1"/>
      <c r="AH1142" s="2"/>
      <c r="AI1142" s="2"/>
      <c r="AJ1142" s="2"/>
      <c r="AK1142" s="2"/>
      <c r="AL1142" s="2"/>
      <c r="AM1142" s="1"/>
      <c r="AN1142" s="2"/>
      <c r="AP1142" s="2"/>
      <c r="AQ1142" s="1"/>
      <c r="AR1142" s="2"/>
      <c r="AU1142" s="1"/>
      <c r="AW1142" s="1"/>
      <c r="AY1142" s="2"/>
    </row>
    <row r="1143">
      <c r="A1143" s="1"/>
      <c r="C1143" s="1"/>
      <c r="E1143" s="1"/>
      <c r="F1143" s="1"/>
      <c r="G1143" s="2"/>
      <c r="H1143" s="1"/>
      <c r="I1143" s="1"/>
      <c r="J1143" s="1"/>
      <c r="K1143" s="1"/>
      <c r="M1143" s="1"/>
      <c r="N1143" s="1"/>
      <c r="O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2"/>
      <c r="AB1143" s="1"/>
      <c r="AC1143" s="1"/>
      <c r="AD1143" s="1"/>
      <c r="AE1143" s="1"/>
      <c r="AF1143" s="1"/>
      <c r="AG1143" s="1"/>
      <c r="AH1143" s="2"/>
      <c r="AI1143" s="2"/>
      <c r="AJ1143" s="2"/>
      <c r="AK1143" s="2"/>
      <c r="AL1143" s="2"/>
      <c r="AM1143" s="1"/>
      <c r="AN1143" s="2"/>
      <c r="AP1143" s="2"/>
      <c r="AQ1143" s="1"/>
      <c r="AR1143" s="2"/>
      <c r="AU1143" s="1"/>
      <c r="AW1143" s="1"/>
      <c r="AY1143" s="2"/>
    </row>
    <row r="1144">
      <c r="A1144" s="1"/>
      <c r="C1144" s="1"/>
      <c r="E1144" s="1"/>
      <c r="F1144" s="1"/>
      <c r="G1144" s="2"/>
      <c r="H1144" s="1"/>
      <c r="I1144" s="1"/>
      <c r="J1144" s="1"/>
      <c r="K1144" s="1"/>
      <c r="M1144" s="1"/>
      <c r="N1144" s="1"/>
      <c r="O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2"/>
      <c r="AB1144" s="1"/>
      <c r="AC1144" s="1"/>
      <c r="AD1144" s="1"/>
      <c r="AE1144" s="1"/>
      <c r="AF1144" s="1"/>
      <c r="AG1144" s="1"/>
      <c r="AH1144" s="2"/>
      <c r="AI1144" s="2"/>
      <c r="AJ1144" s="2"/>
      <c r="AK1144" s="2"/>
      <c r="AL1144" s="2"/>
      <c r="AM1144" s="1"/>
      <c r="AN1144" s="2"/>
      <c r="AP1144" s="2"/>
      <c r="AQ1144" s="1"/>
      <c r="AR1144" s="2"/>
      <c r="AU1144" s="1"/>
      <c r="AW1144" s="1"/>
      <c r="AY1144" s="2"/>
    </row>
    <row r="1145">
      <c r="A1145" s="1"/>
      <c r="C1145" s="1"/>
      <c r="E1145" s="1"/>
      <c r="F1145" s="1"/>
      <c r="G1145" s="2"/>
      <c r="H1145" s="1"/>
      <c r="I1145" s="1"/>
      <c r="J1145" s="1"/>
      <c r="K1145" s="1"/>
      <c r="M1145" s="1"/>
      <c r="N1145" s="1"/>
      <c r="O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2"/>
      <c r="AB1145" s="1"/>
      <c r="AC1145" s="1"/>
      <c r="AD1145" s="1"/>
      <c r="AE1145" s="1"/>
      <c r="AF1145" s="1"/>
      <c r="AG1145" s="1"/>
      <c r="AH1145" s="2"/>
      <c r="AI1145" s="2"/>
      <c r="AJ1145" s="2"/>
      <c r="AK1145" s="2"/>
      <c r="AL1145" s="2"/>
      <c r="AM1145" s="1"/>
      <c r="AN1145" s="2"/>
      <c r="AP1145" s="2"/>
      <c r="AQ1145" s="1"/>
      <c r="AR1145" s="2"/>
      <c r="AU1145" s="1"/>
      <c r="AW1145" s="1"/>
      <c r="AY1145" s="2"/>
    </row>
    <row r="1146">
      <c r="A1146" s="1"/>
      <c r="C1146" s="1"/>
      <c r="E1146" s="1"/>
      <c r="F1146" s="1"/>
      <c r="G1146" s="2"/>
      <c r="H1146" s="1"/>
      <c r="I1146" s="1"/>
      <c r="J1146" s="1"/>
      <c r="K1146" s="1"/>
      <c r="M1146" s="1"/>
      <c r="N1146" s="1"/>
      <c r="O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2"/>
      <c r="AB1146" s="1"/>
      <c r="AC1146" s="1"/>
      <c r="AD1146" s="1"/>
      <c r="AE1146" s="1"/>
      <c r="AF1146" s="1"/>
      <c r="AG1146" s="1"/>
      <c r="AH1146" s="2"/>
      <c r="AI1146" s="2"/>
      <c r="AJ1146" s="2"/>
      <c r="AK1146" s="2"/>
      <c r="AL1146" s="2"/>
      <c r="AM1146" s="1"/>
      <c r="AN1146" s="2"/>
      <c r="AP1146" s="2"/>
      <c r="AQ1146" s="1"/>
      <c r="AR1146" s="2"/>
      <c r="AU1146" s="1"/>
      <c r="AW1146" s="1"/>
      <c r="AY1146" s="2"/>
    </row>
    <row r="1147">
      <c r="A1147" s="1"/>
      <c r="C1147" s="1"/>
      <c r="E1147" s="1"/>
      <c r="F1147" s="1"/>
      <c r="G1147" s="2"/>
      <c r="H1147" s="1"/>
      <c r="I1147" s="1"/>
      <c r="J1147" s="1"/>
      <c r="K1147" s="1"/>
      <c r="M1147" s="1"/>
      <c r="N1147" s="1"/>
      <c r="O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2"/>
      <c r="AB1147" s="1"/>
      <c r="AC1147" s="1"/>
      <c r="AD1147" s="1"/>
      <c r="AE1147" s="1"/>
      <c r="AF1147" s="1"/>
      <c r="AG1147" s="1"/>
      <c r="AH1147" s="2"/>
      <c r="AI1147" s="2"/>
      <c r="AJ1147" s="2"/>
      <c r="AK1147" s="2"/>
      <c r="AL1147" s="2"/>
      <c r="AM1147" s="1"/>
      <c r="AN1147" s="2"/>
      <c r="AP1147" s="2"/>
      <c r="AQ1147" s="1"/>
      <c r="AR1147" s="2"/>
      <c r="AU1147" s="1"/>
      <c r="AW1147" s="1"/>
      <c r="AY1147" s="2"/>
    </row>
    <row r="1148">
      <c r="A1148" s="1"/>
      <c r="C1148" s="1"/>
      <c r="E1148" s="1"/>
      <c r="F1148" s="1"/>
      <c r="G1148" s="2"/>
      <c r="H1148" s="1"/>
      <c r="I1148" s="1"/>
      <c r="J1148" s="1"/>
      <c r="K1148" s="1"/>
      <c r="M1148" s="1"/>
      <c r="N1148" s="1"/>
      <c r="O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2"/>
      <c r="AB1148" s="1"/>
      <c r="AC1148" s="1"/>
      <c r="AD1148" s="1"/>
      <c r="AE1148" s="1"/>
      <c r="AF1148" s="1"/>
      <c r="AG1148" s="1"/>
      <c r="AH1148" s="2"/>
      <c r="AI1148" s="2"/>
      <c r="AJ1148" s="2"/>
      <c r="AK1148" s="2"/>
      <c r="AL1148" s="2"/>
      <c r="AM1148" s="1"/>
      <c r="AN1148" s="2"/>
      <c r="AP1148" s="2"/>
      <c r="AQ1148" s="1"/>
      <c r="AR1148" s="2"/>
      <c r="AU1148" s="1"/>
      <c r="AW1148" s="1"/>
      <c r="AY1148" s="2"/>
    </row>
    <row r="1149">
      <c r="A1149" s="1"/>
      <c r="C1149" s="1"/>
      <c r="E1149" s="1"/>
      <c r="F1149" s="1"/>
      <c r="G1149" s="2"/>
      <c r="H1149" s="1"/>
      <c r="I1149" s="1"/>
      <c r="J1149" s="1"/>
      <c r="K1149" s="1"/>
      <c r="M1149" s="1"/>
      <c r="N1149" s="1"/>
      <c r="O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2"/>
      <c r="AB1149" s="1"/>
      <c r="AC1149" s="1"/>
      <c r="AD1149" s="1"/>
      <c r="AE1149" s="1"/>
      <c r="AF1149" s="1"/>
      <c r="AG1149" s="1"/>
      <c r="AH1149" s="2"/>
      <c r="AI1149" s="2"/>
      <c r="AJ1149" s="2"/>
      <c r="AK1149" s="2"/>
      <c r="AL1149" s="2"/>
      <c r="AM1149" s="1"/>
      <c r="AN1149" s="2"/>
      <c r="AP1149" s="2"/>
      <c r="AQ1149" s="1"/>
      <c r="AR1149" s="2"/>
      <c r="AU1149" s="1"/>
      <c r="AW1149" s="1"/>
      <c r="AY1149" s="2"/>
    </row>
    <row r="1150">
      <c r="A1150" s="1"/>
      <c r="C1150" s="1"/>
      <c r="E1150" s="1"/>
      <c r="F1150" s="1"/>
      <c r="G1150" s="2"/>
      <c r="H1150" s="1"/>
      <c r="I1150" s="1"/>
      <c r="J1150" s="1"/>
      <c r="K1150" s="1"/>
      <c r="M1150" s="1"/>
      <c r="N1150" s="1"/>
      <c r="O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2"/>
      <c r="AB1150" s="1"/>
      <c r="AC1150" s="1"/>
      <c r="AD1150" s="1"/>
      <c r="AE1150" s="1"/>
      <c r="AF1150" s="1"/>
      <c r="AG1150" s="1"/>
      <c r="AH1150" s="2"/>
      <c r="AI1150" s="2"/>
      <c r="AJ1150" s="2"/>
      <c r="AK1150" s="2"/>
      <c r="AL1150" s="2"/>
      <c r="AM1150" s="1"/>
      <c r="AN1150" s="2"/>
      <c r="AP1150" s="2"/>
      <c r="AQ1150" s="1"/>
      <c r="AR1150" s="2"/>
      <c r="AU1150" s="1"/>
      <c r="AW1150" s="1"/>
      <c r="AY1150" s="2"/>
    </row>
    <row r="1151">
      <c r="A1151" s="1"/>
      <c r="C1151" s="1"/>
      <c r="E1151" s="1"/>
      <c r="F1151" s="1"/>
      <c r="G1151" s="2"/>
      <c r="H1151" s="1"/>
      <c r="I1151" s="1"/>
      <c r="J1151" s="1"/>
      <c r="K1151" s="1"/>
      <c r="M1151" s="1"/>
      <c r="N1151" s="1"/>
      <c r="O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2"/>
      <c r="AB1151" s="1"/>
      <c r="AC1151" s="1"/>
      <c r="AD1151" s="1"/>
      <c r="AE1151" s="1"/>
      <c r="AF1151" s="1"/>
      <c r="AG1151" s="1"/>
      <c r="AH1151" s="2"/>
      <c r="AI1151" s="2"/>
      <c r="AJ1151" s="2"/>
      <c r="AK1151" s="2"/>
      <c r="AL1151" s="2"/>
      <c r="AM1151" s="1"/>
      <c r="AN1151" s="2"/>
      <c r="AP1151" s="2"/>
      <c r="AQ1151" s="1"/>
      <c r="AR1151" s="2"/>
      <c r="AU1151" s="1"/>
      <c r="AW1151" s="1"/>
      <c r="AY1151" s="2"/>
    </row>
    <row r="1152">
      <c r="A1152" s="1"/>
      <c r="C1152" s="1"/>
      <c r="E1152" s="1"/>
      <c r="F1152" s="1"/>
      <c r="G1152" s="2"/>
      <c r="H1152" s="1"/>
      <c r="I1152" s="1"/>
      <c r="J1152" s="1"/>
      <c r="K1152" s="1"/>
      <c r="M1152" s="1"/>
      <c r="N1152" s="1"/>
      <c r="O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2"/>
      <c r="AB1152" s="1"/>
      <c r="AC1152" s="1"/>
      <c r="AD1152" s="1"/>
      <c r="AE1152" s="1"/>
      <c r="AF1152" s="1"/>
      <c r="AG1152" s="1"/>
      <c r="AH1152" s="2"/>
      <c r="AI1152" s="2"/>
      <c r="AJ1152" s="2"/>
      <c r="AK1152" s="2"/>
      <c r="AL1152" s="2"/>
      <c r="AM1152" s="1"/>
      <c r="AN1152" s="2"/>
      <c r="AP1152" s="2"/>
      <c r="AQ1152" s="1"/>
      <c r="AR1152" s="2"/>
      <c r="AU1152" s="1"/>
      <c r="AW1152" s="1"/>
      <c r="AY1152" s="2"/>
    </row>
    <row r="1153">
      <c r="A1153" s="1"/>
      <c r="C1153" s="1"/>
      <c r="E1153" s="1"/>
      <c r="F1153" s="1"/>
      <c r="G1153" s="2"/>
      <c r="H1153" s="1"/>
      <c r="I1153" s="1"/>
      <c r="J1153" s="1"/>
      <c r="K1153" s="1"/>
      <c r="M1153" s="1"/>
      <c r="N1153" s="1"/>
      <c r="O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2"/>
      <c r="AB1153" s="1"/>
      <c r="AC1153" s="1"/>
      <c r="AD1153" s="1"/>
      <c r="AE1153" s="1"/>
      <c r="AF1153" s="1"/>
      <c r="AG1153" s="1"/>
      <c r="AH1153" s="2"/>
      <c r="AI1153" s="2"/>
      <c r="AJ1153" s="2"/>
      <c r="AK1153" s="2"/>
      <c r="AL1153" s="2"/>
      <c r="AM1153" s="1"/>
      <c r="AN1153" s="2"/>
      <c r="AP1153" s="2"/>
      <c r="AQ1153" s="1"/>
      <c r="AR1153" s="2"/>
      <c r="AU1153" s="1"/>
      <c r="AW1153" s="1"/>
      <c r="AY1153" s="2"/>
    </row>
    <row r="1154">
      <c r="A1154" s="1"/>
      <c r="C1154" s="1"/>
      <c r="E1154" s="1"/>
      <c r="F1154" s="1"/>
      <c r="G1154" s="2"/>
      <c r="H1154" s="1"/>
      <c r="I1154" s="1"/>
      <c r="J1154" s="1"/>
      <c r="K1154" s="1"/>
      <c r="M1154" s="1"/>
      <c r="N1154" s="1"/>
      <c r="O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2"/>
      <c r="AB1154" s="1"/>
      <c r="AC1154" s="1"/>
      <c r="AD1154" s="1"/>
      <c r="AE1154" s="1"/>
      <c r="AF1154" s="1"/>
      <c r="AG1154" s="1"/>
      <c r="AH1154" s="2"/>
      <c r="AI1154" s="2"/>
      <c r="AJ1154" s="2"/>
      <c r="AK1154" s="2"/>
      <c r="AL1154" s="2"/>
      <c r="AM1154" s="1"/>
      <c r="AN1154" s="2"/>
      <c r="AP1154" s="2"/>
      <c r="AQ1154" s="1"/>
      <c r="AR1154" s="2"/>
      <c r="AU1154" s="1"/>
      <c r="AW1154" s="1"/>
      <c r="AY1154" s="2"/>
    </row>
    <row r="1155">
      <c r="A1155" s="1"/>
      <c r="C1155" s="1"/>
      <c r="E1155" s="1"/>
      <c r="F1155" s="1"/>
      <c r="G1155" s="2"/>
      <c r="H1155" s="1"/>
      <c r="I1155" s="1"/>
      <c r="J1155" s="1"/>
      <c r="K1155" s="1"/>
      <c r="M1155" s="1"/>
      <c r="N1155" s="1"/>
      <c r="O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2"/>
      <c r="AB1155" s="1"/>
      <c r="AC1155" s="1"/>
      <c r="AD1155" s="1"/>
      <c r="AE1155" s="1"/>
      <c r="AF1155" s="1"/>
      <c r="AG1155" s="1"/>
      <c r="AH1155" s="2"/>
      <c r="AI1155" s="2"/>
      <c r="AJ1155" s="2"/>
      <c r="AK1155" s="2"/>
      <c r="AL1155" s="2"/>
      <c r="AM1155" s="1"/>
      <c r="AN1155" s="2"/>
      <c r="AP1155" s="2"/>
      <c r="AQ1155" s="1"/>
      <c r="AR1155" s="2"/>
      <c r="AU1155" s="1"/>
      <c r="AW1155" s="1"/>
      <c r="AY1155" s="2"/>
    </row>
    <row r="1156">
      <c r="A1156" s="1"/>
      <c r="C1156" s="1"/>
      <c r="E1156" s="1"/>
      <c r="F1156" s="1"/>
      <c r="G1156" s="2"/>
      <c r="H1156" s="1"/>
      <c r="I1156" s="1"/>
      <c r="J1156" s="1"/>
      <c r="K1156" s="1"/>
      <c r="M1156" s="1"/>
      <c r="N1156" s="1"/>
      <c r="O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2"/>
      <c r="AB1156" s="1"/>
      <c r="AC1156" s="1"/>
      <c r="AD1156" s="1"/>
      <c r="AE1156" s="1"/>
      <c r="AF1156" s="1"/>
      <c r="AG1156" s="1"/>
      <c r="AH1156" s="2"/>
      <c r="AI1156" s="2"/>
      <c r="AJ1156" s="2"/>
      <c r="AK1156" s="2"/>
      <c r="AL1156" s="2"/>
      <c r="AM1156" s="1"/>
      <c r="AN1156" s="2"/>
      <c r="AP1156" s="2"/>
      <c r="AQ1156" s="1"/>
      <c r="AR1156" s="2"/>
      <c r="AU1156" s="1"/>
      <c r="AW1156" s="1"/>
      <c r="AY1156" s="2"/>
    </row>
    <row r="1157">
      <c r="A1157" s="1"/>
      <c r="C1157" s="1"/>
      <c r="E1157" s="1"/>
      <c r="F1157" s="1"/>
      <c r="G1157" s="2"/>
      <c r="H1157" s="1"/>
      <c r="I1157" s="1"/>
      <c r="J1157" s="1"/>
      <c r="K1157" s="1"/>
      <c r="M1157" s="1"/>
      <c r="N1157" s="1"/>
      <c r="O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2"/>
      <c r="AB1157" s="1"/>
      <c r="AC1157" s="1"/>
      <c r="AD1157" s="1"/>
      <c r="AE1157" s="1"/>
      <c r="AF1157" s="1"/>
      <c r="AG1157" s="1"/>
      <c r="AH1157" s="2"/>
      <c r="AI1157" s="2"/>
      <c r="AJ1157" s="2"/>
      <c r="AK1157" s="2"/>
      <c r="AL1157" s="2"/>
      <c r="AM1157" s="1"/>
      <c r="AN1157" s="2"/>
      <c r="AP1157" s="2"/>
      <c r="AQ1157" s="1"/>
      <c r="AR1157" s="2"/>
      <c r="AU1157" s="1"/>
      <c r="AW1157" s="1"/>
      <c r="AY1157" s="2"/>
    </row>
    <row r="1158">
      <c r="A1158" s="1"/>
      <c r="C1158" s="1"/>
      <c r="E1158" s="1"/>
      <c r="F1158" s="1"/>
      <c r="G1158" s="2"/>
      <c r="H1158" s="1"/>
      <c r="I1158" s="1"/>
      <c r="J1158" s="1"/>
      <c r="K1158" s="1"/>
      <c r="M1158" s="1"/>
      <c r="N1158" s="1"/>
      <c r="O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2"/>
      <c r="AB1158" s="1"/>
      <c r="AC1158" s="1"/>
      <c r="AD1158" s="1"/>
      <c r="AE1158" s="1"/>
      <c r="AF1158" s="1"/>
      <c r="AG1158" s="1"/>
      <c r="AH1158" s="2"/>
      <c r="AI1158" s="2"/>
      <c r="AJ1158" s="2"/>
      <c r="AK1158" s="2"/>
      <c r="AL1158" s="2"/>
      <c r="AM1158" s="1"/>
      <c r="AN1158" s="2"/>
      <c r="AP1158" s="2"/>
      <c r="AQ1158" s="1"/>
      <c r="AR1158" s="2"/>
      <c r="AU1158" s="1"/>
      <c r="AW1158" s="1"/>
      <c r="AY1158" s="2"/>
    </row>
    <row r="1159">
      <c r="A1159" s="1"/>
      <c r="C1159" s="1"/>
      <c r="E1159" s="1"/>
      <c r="F1159" s="1"/>
      <c r="G1159" s="2"/>
      <c r="H1159" s="1"/>
      <c r="I1159" s="1"/>
      <c r="J1159" s="1"/>
      <c r="K1159" s="1"/>
      <c r="M1159" s="1"/>
      <c r="N1159" s="1"/>
      <c r="O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2"/>
      <c r="AB1159" s="1"/>
      <c r="AC1159" s="1"/>
      <c r="AD1159" s="1"/>
      <c r="AE1159" s="1"/>
      <c r="AF1159" s="1"/>
      <c r="AG1159" s="1"/>
      <c r="AH1159" s="2"/>
      <c r="AI1159" s="2"/>
      <c r="AJ1159" s="2"/>
      <c r="AK1159" s="2"/>
      <c r="AL1159" s="2"/>
      <c r="AM1159" s="1"/>
      <c r="AN1159" s="2"/>
      <c r="AP1159" s="2"/>
      <c r="AQ1159" s="1"/>
      <c r="AR1159" s="2"/>
      <c r="AU1159" s="1"/>
      <c r="AW1159" s="1"/>
      <c r="AY1159" s="2"/>
    </row>
    <row r="1160">
      <c r="A1160" s="1"/>
      <c r="C1160" s="1"/>
      <c r="E1160" s="1"/>
      <c r="F1160" s="1"/>
      <c r="G1160" s="2"/>
      <c r="H1160" s="1"/>
      <c r="I1160" s="1"/>
      <c r="J1160" s="1"/>
      <c r="K1160" s="1"/>
      <c r="M1160" s="1"/>
      <c r="N1160" s="1"/>
      <c r="O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2"/>
      <c r="AB1160" s="1"/>
      <c r="AC1160" s="1"/>
      <c r="AD1160" s="1"/>
      <c r="AE1160" s="1"/>
      <c r="AF1160" s="1"/>
      <c r="AG1160" s="1"/>
      <c r="AH1160" s="2"/>
      <c r="AI1160" s="2"/>
      <c r="AJ1160" s="2"/>
      <c r="AK1160" s="2"/>
      <c r="AL1160" s="2"/>
      <c r="AM1160" s="1"/>
      <c r="AN1160" s="2"/>
      <c r="AP1160" s="2"/>
      <c r="AQ1160" s="1"/>
      <c r="AR1160" s="2"/>
      <c r="AU1160" s="1"/>
      <c r="AW1160" s="1"/>
      <c r="AY1160" s="2"/>
    </row>
    <row r="1161">
      <c r="A1161" s="1"/>
      <c r="C1161" s="1"/>
      <c r="E1161" s="1"/>
      <c r="F1161" s="1"/>
      <c r="G1161" s="2"/>
      <c r="H1161" s="1"/>
      <c r="I1161" s="1"/>
      <c r="J1161" s="1"/>
      <c r="K1161" s="1"/>
      <c r="M1161" s="1"/>
      <c r="N1161" s="1"/>
      <c r="O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2"/>
      <c r="AB1161" s="1"/>
      <c r="AC1161" s="1"/>
      <c r="AD1161" s="1"/>
      <c r="AE1161" s="1"/>
      <c r="AF1161" s="1"/>
      <c r="AG1161" s="1"/>
      <c r="AH1161" s="2"/>
      <c r="AI1161" s="2"/>
      <c r="AJ1161" s="2"/>
      <c r="AK1161" s="2"/>
      <c r="AL1161" s="2"/>
      <c r="AM1161" s="1"/>
      <c r="AN1161" s="2"/>
      <c r="AP1161" s="2"/>
      <c r="AQ1161" s="1"/>
      <c r="AR1161" s="2"/>
      <c r="AU1161" s="1"/>
      <c r="AW1161" s="1"/>
      <c r="AY1161" s="2"/>
    </row>
    <row r="1162">
      <c r="A1162" s="1"/>
      <c r="C1162" s="1"/>
      <c r="E1162" s="1"/>
      <c r="F1162" s="1"/>
      <c r="G1162" s="2"/>
      <c r="H1162" s="1"/>
      <c r="I1162" s="1"/>
      <c r="J1162" s="1"/>
      <c r="K1162" s="1"/>
      <c r="M1162" s="1"/>
      <c r="N1162" s="1"/>
      <c r="O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2"/>
      <c r="AB1162" s="1"/>
      <c r="AC1162" s="1"/>
      <c r="AD1162" s="1"/>
      <c r="AE1162" s="1"/>
      <c r="AF1162" s="1"/>
      <c r="AG1162" s="1"/>
      <c r="AH1162" s="2"/>
      <c r="AI1162" s="2"/>
      <c r="AJ1162" s="2"/>
      <c r="AK1162" s="2"/>
      <c r="AL1162" s="2"/>
      <c r="AM1162" s="1"/>
      <c r="AN1162" s="2"/>
      <c r="AP1162" s="2"/>
      <c r="AQ1162" s="1"/>
      <c r="AR1162" s="2"/>
      <c r="AU1162" s="1"/>
      <c r="AW1162" s="1"/>
      <c r="AY1162" s="2"/>
    </row>
    <row r="1163">
      <c r="A1163" s="1"/>
      <c r="C1163" s="1"/>
      <c r="E1163" s="1"/>
      <c r="F1163" s="1"/>
      <c r="G1163" s="2"/>
      <c r="H1163" s="1"/>
      <c r="I1163" s="1"/>
      <c r="J1163" s="1"/>
      <c r="K1163" s="1"/>
      <c r="M1163" s="1"/>
      <c r="N1163" s="1"/>
      <c r="O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2"/>
      <c r="AB1163" s="1"/>
      <c r="AC1163" s="1"/>
      <c r="AD1163" s="1"/>
      <c r="AE1163" s="1"/>
      <c r="AF1163" s="1"/>
      <c r="AG1163" s="1"/>
      <c r="AH1163" s="2"/>
      <c r="AI1163" s="2"/>
      <c r="AJ1163" s="2"/>
      <c r="AK1163" s="2"/>
      <c r="AL1163" s="2"/>
      <c r="AM1163" s="1"/>
      <c r="AN1163" s="2"/>
      <c r="AP1163" s="2"/>
      <c r="AQ1163" s="1"/>
      <c r="AR1163" s="2"/>
      <c r="AU1163" s="1"/>
      <c r="AW1163" s="1"/>
      <c r="AY1163" s="2"/>
    </row>
    <row r="1164">
      <c r="A1164" s="1"/>
      <c r="C1164" s="1"/>
      <c r="E1164" s="1"/>
      <c r="F1164" s="1"/>
      <c r="G1164" s="2"/>
      <c r="H1164" s="1"/>
      <c r="I1164" s="1"/>
      <c r="J1164" s="1"/>
      <c r="K1164" s="1"/>
      <c r="M1164" s="1"/>
      <c r="N1164" s="1"/>
      <c r="O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2"/>
      <c r="AB1164" s="1"/>
      <c r="AC1164" s="1"/>
      <c r="AD1164" s="1"/>
      <c r="AE1164" s="1"/>
      <c r="AF1164" s="1"/>
      <c r="AG1164" s="1"/>
      <c r="AH1164" s="2"/>
      <c r="AI1164" s="2"/>
      <c r="AJ1164" s="2"/>
      <c r="AK1164" s="2"/>
      <c r="AL1164" s="2"/>
      <c r="AM1164" s="1"/>
      <c r="AN1164" s="2"/>
      <c r="AP1164" s="2"/>
      <c r="AQ1164" s="1"/>
      <c r="AR1164" s="2"/>
      <c r="AU1164" s="1"/>
      <c r="AW1164" s="1"/>
      <c r="AY1164" s="2"/>
    </row>
    <row r="1165">
      <c r="A1165" s="1"/>
      <c r="C1165" s="1"/>
      <c r="E1165" s="1"/>
      <c r="F1165" s="1"/>
      <c r="G1165" s="2"/>
      <c r="H1165" s="1"/>
      <c r="I1165" s="1"/>
      <c r="J1165" s="1"/>
      <c r="K1165" s="1"/>
      <c r="M1165" s="1"/>
      <c r="N1165" s="1"/>
      <c r="O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2"/>
      <c r="AB1165" s="1"/>
      <c r="AC1165" s="1"/>
      <c r="AD1165" s="1"/>
      <c r="AE1165" s="1"/>
      <c r="AF1165" s="1"/>
      <c r="AG1165" s="1"/>
      <c r="AH1165" s="2"/>
      <c r="AI1165" s="2"/>
      <c r="AJ1165" s="2"/>
      <c r="AK1165" s="2"/>
      <c r="AL1165" s="2"/>
      <c r="AM1165" s="1"/>
      <c r="AN1165" s="2"/>
      <c r="AP1165" s="2"/>
      <c r="AQ1165" s="1"/>
      <c r="AR1165" s="2"/>
      <c r="AU1165" s="1"/>
      <c r="AW1165" s="1"/>
      <c r="AY1165" s="2"/>
    </row>
    <row r="1166">
      <c r="A1166" s="1"/>
      <c r="C1166" s="1"/>
      <c r="E1166" s="1"/>
      <c r="F1166" s="1"/>
      <c r="G1166" s="2"/>
      <c r="H1166" s="1"/>
      <c r="I1166" s="1"/>
      <c r="J1166" s="1"/>
      <c r="K1166" s="1"/>
      <c r="M1166" s="1"/>
      <c r="N1166" s="1"/>
      <c r="O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2"/>
      <c r="AB1166" s="1"/>
      <c r="AC1166" s="1"/>
      <c r="AD1166" s="1"/>
      <c r="AE1166" s="1"/>
      <c r="AF1166" s="1"/>
      <c r="AG1166" s="1"/>
      <c r="AH1166" s="2"/>
      <c r="AI1166" s="2"/>
      <c r="AJ1166" s="2"/>
      <c r="AK1166" s="2"/>
      <c r="AL1166" s="2"/>
      <c r="AM1166" s="1"/>
      <c r="AN1166" s="2"/>
      <c r="AP1166" s="2"/>
      <c r="AQ1166" s="1"/>
      <c r="AR1166" s="2"/>
      <c r="AU1166" s="1"/>
      <c r="AW1166" s="1"/>
      <c r="AY1166" s="2"/>
    </row>
    <row r="1167">
      <c r="A1167" s="1"/>
      <c r="C1167" s="1"/>
      <c r="E1167" s="1"/>
      <c r="F1167" s="1"/>
      <c r="G1167" s="2"/>
      <c r="H1167" s="1"/>
      <c r="I1167" s="1"/>
      <c r="J1167" s="1"/>
      <c r="K1167" s="1"/>
      <c r="M1167" s="1"/>
      <c r="N1167" s="1"/>
      <c r="O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2"/>
      <c r="AB1167" s="1"/>
      <c r="AC1167" s="1"/>
      <c r="AD1167" s="1"/>
      <c r="AE1167" s="1"/>
      <c r="AF1167" s="1"/>
      <c r="AG1167" s="1"/>
      <c r="AH1167" s="2"/>
      <c r="AI1167" s="2"/>
      <c r="AJ1167" s="2"/>
      <c r="AK1167" s="2"/>
      <c r="AL1167" s="2"/>
      <c r="AM1167" s="1"/>
      <c r="AN1167" s="2"/>
      <c r="AP1167" s="2"/>
      <c r="AQ1167" s="1"/>
      <c r="AR1167" s="2"/>
      <c r="AU1167" s="1"/>
      <c r="AW1167" s="1"/>
      <c r="AY1167" s="2"/>
    </row>
    <row r="1168">
      <c r="A1168" s="1"/>
      <c r="C1168" s="1"/>
      <c r="E1168" s="1"/>
      <c r="F1168" s="1"/>
      <c r="G1168" s="2"/>
      <c r="H1168" s="1"/>
      <c r="I1168" s="1"/>
      <c r="J1168" s="1"/>
      <c r="K1168" s="1"/>
      <c r="M1168" s="1"/>
      <c r="N1168" s="1"/>
      <c r="O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2"/>
      <c r="AB1168" s="1"/>
      <c r="AC1168" s="1"/>
      <c r="AD1168" s="1"/>
      <c r="AE1168" s="1"/>
      <c r="AF1168" s="1"/>
      <c r="AG1168" s="1"/>
      <c r="AH1168" s="2"/>
      <c r="AI1168" s="2"/>
      <c r="AJ1168" s="2"/>
      <c r="AK1168" s="2"/>
      <c r="AL1168" s="2"/>
      <c r="AM1168" s="1"/>
      <c r="AN1168" s="2"/>
      <c r="AP1168" s="2"/>
      <c r="AQ1168" s="1"/>
      <c r="AR1168" s="2"/>
      <c r="AU1168" s="1"/>
      <c r="AW1168" s="1"/>
      <c r="AY1168" s="2"/>
    </row>
    <row r="1169">
      <c r="A1169" s="1"/>
      <c r="C1169" s="1"/>
      <c r="E1169" s="1"/>
      <c r="F1169" s="1"/>
      <c r="G1169" s="2"/>
      <c r="H1169" s="1"/>
      <c r="I1169" s="1"/>
      <c r="J1169" s="1"/>
      <c r="K1169" s="1"/>
      <c r="M1169" s="1"/>
      <c r="N1169" s="1"/>
      <c r="O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2"/>
      <c r="AB1169" s="1"/>
      <c r="AC1169" s="1"/>
      <c r="AD1169" s="1"/>
      <c r="AE1169" s="1"/>
      <c r="AF1169" s="1"/>
      <c r="AG1169" s="1"/>
      <c r="AH1169" s="2"/>
      <c r="AI1169" s="2"/>
      <c r="AJ1169" s="2"/>
      <c r="AK1169" s="2"/>
      <c r="AL1169" s="2"/>
      <c r="AM1169" s="1"/>
      <c r="AN1169" s="2"/>
      <c r="AP1169" s="2"/>
      <c r="AQ1169" s="1"/>
      <c r="AR1169" s="2"/>
      <c r="AU1169" s="1"/>
      <c r="AW1169" s="1"/>
      <c r="AY1169" s="2"/>
    </row>
    <row r="1170">
      <c r="A1170" s="1"/>
      <c r="C1170" s="1"/>
      <c r="E1170" s="1"/>
      <c r="F1170" s="1"/>
      <c r="G1170" s="2"/>
      <c r="H1170" s="1"/>
      <c r="I1170" s="1"/>
      <c r="J1170" s="1"/>
      <c r="K1170" s="1"/>
      <c r="M1170" s="1"/>
      <c r="N1170" s="1"/>
      <c r="O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2"/>
      <c r="AB1170" s="1"/>
      <c r="AC1170" s="1"/>
      <c r="AD1170" s="1"/>
      <c r="AE1170" s="1"/>
      <c r="AF1170" s="1"/>
      <c r="AG1170" s="1"/>
      <c r="AH1170" s="2"/>
      <c r="AI1170" s="2"/>
      <c r="AJ1170" s="2"/>
      <c r="AK1170" s="2"/>
      <c r="AL1170" s="2"/>
      <c r="AM1170" s="1"/>
      <c r="AN1170" s="2"/>
      <c r="AP1170" s="2"/>
      <c r="AQ1170" s="1"/>
      <c r="AR1170" s="2"/>
      <c r="AU1170" s="1"/>
      <c r="AW1170" s="1"/>
      <c r="AY1170" s="2"/>
    </row>
    <row r="1171">
      <c r="A1171" s="1"/>
      <c r="C1171" s="1"/>
      <c r="E1171" s="1"/>
      <c r="F1171" s="1"/>
      <c r="G1171" s="2"/>
      <c r="H1171" s="1"/>
      <c r="I1171" s="1"/>
      <c r="J1171" s="1"/>
      <c r="K1171" s="1"/>
      <c r="M1171" s="1"/>
      <c r="N1171" s="1"/>
      <c r="O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2"/>
      <c r="AB1171" s="1"/>
      <c r="AC1171" s="1"/>
      <c r="AD1171" s="1"/>
      <c r="AE1171" s="1"/>
      <c r="AF1171" s="1"/>
      <c r="AG1171" s="1"/>
      <c r="AH1171" s="2"/>
      <c r="AI1171" s="2"/>
      <c r="AJ1171" s="2"/>
      <c r="AK1171" s="2"/>
      <c r="AL1171" s="2"/>
      <c r="AM1171" s="1"/>
      <c r="AN1171" s="2"/>
      <c r="AP1171" s="2"/>
      <c r="AQ1171" s="1"/>
      <c r="AR1171" s="2"/>
      <c r="AU1171" s="1"/>
      <c r="AW1171" s="1"/>
      <c r="AY1171" s="2"/>
    </row>
    <row r="1172">
      <c r="A1172" s="1"/>
      <c r="C1172" s="1"/>
      <c r="E1172" s="1"/>
      <c r="F1172" s="1"/>
      <c r="G1172" s="2"/>
      <c r="H1172" s="1"/>
      <c r="I1172" s="1"/>
      <c r="J1172" s="1"/>
      <c r="K1172" s="1"/>
      <c r="M1172" s="1"/>
      <c r="N1172" s="1"/>
      <c r="O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2"/>
      <c r="AB1172" s="1"/>
      <c r="AC1172" s="1"/>
      <c r="AD1172" s="1"/>
      <c r="AE1172" s="1"/>
      <c r="AF1172" s="1"/>
      <c r="AG1172" s="1"/>
      <c r="AH1172" s="2"/>
      <c r="AI1172" s="2"/>
      <c r="AJ1172" s="2"/>
      <c r="AK1172" s="2"/>
      <c r="AL1172" s="2"/>
      <c r="AM1172" s="1"/>
      <c r="AN1172" s="2"/>
      <c r="AP1172" s="2"/>
      <c r="AQ1172" s="1"/>
      <c r="AR1172" s="2"/>
      <c r="AU1172" s="1"/>
      <c r="AW1172" s="1"/>
      <c r="AY1172" s="2"/>
    </row>
    <row r="1173">
      <c r="A1173" s="1"/>
      <c r="C1173" s="1"/>
      <c r="E1173" s="1"/>
      <c r="F1173" s="1"/>
      <c r="G1173" s="2"/>
      <c r="H1173" s="1"/>
      <c r="I1173" s="1"/>
      <c r="J1173" s="1"/>
      <c r="K1173" s="1"/>
      <c r="M1173" s="1"/>
      <c r="N1173" s="1"/>
      <c r="O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2"/>
      <c r="AB1173" s="1"/>
      <c r="AC1173" s="1"/>
      <c r="AD1173" s="1"/>
      <c r="AE1173" s="1"/>
      <c r="AF1173" s="1"/>
      <c r="AG1173" s="1"/>
      <c r="AH1173" s="2"/>
      <c r="AI1173" s="2"/>
      <c r="AJ1173" s="2"/>
      <c r="AK1173" s="2"/>
      <c r="AL1173" s="2"/>
      <c r="AM1173" s="1"/>
      <c r="AN1173" s="2"/>
      <c r="AP1173" s="2"/>
      <c r="AQ1173" s="1"/>
      <c r="AR1173" s="2"/>
      <c r="AU1173" s="1"/>
      <c r="AW1173" s="1"/>
      <c r="AY1173" s="2"/>
    </row>
    <row r="1174">
      <c r="A1174" s="1"/>
      <c r="C1174" s="1"/>
      <c r="E1174" s="1"/>
      <c r="F1174" s="1"/>
      <c r="G1174" s="2"/>
      <c r="H1174" s="1"/>
      <c r="I1174" s="1"/>
      <c r="J1174" s="1"/>
      <c r="K1174" s="1"/>
      <c r="M1174" s="1"/>
      <c r="N1174" s="1"/>
      <c r="O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2"/>
      <c r="AB1174" s="1"/>
      <c r="AC1174" s="1"/>
      <c r="AD1174" s="1"/>
      <c r="AE1174" s="1"/>
      <c r="AF1174" s="1"/>
      <c r="AG1174" s="1"/>
      <c r="AH1174" s="2"/>
      <c r="AI1174" s="2"/>
      <c r="AJ1174" s="2"/>
      <c r="AK1174" s="2"/>
      <c r="AL1174" s="2"/>
      <c r="AM1174" s="1"/>
      <c r="AN1174" s="2"/>
      <c r="AP1174" s="2"/>
      <c r="AQ1174" s="1"/>
      <c r="AR1174" s="2"/>
      <c r="AU1174" s="1"/>
      <c r="AW1174" s="1"/>
      <c r="AY1174" s="2"/>
    </row>
    <row r="1175">
      <c r="A1175" s="1"/>
      <c r="C1175" s="1"/>
      <c r="E1175" s="1"/>
      <c r="F1175" s="1"/>
      <c r="G1175" s="2"/>
      <c r="H1175" s="1"/>
      <c r="I1175" s="1"/>
      <c r="J1175" s="1"/>
      <c r="K1175" s="1"/>
      <c r="M1175" s="1"/>
      <c r="N1175" s="1"/>
      <c r="O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2"/>
      <c r="AB1175" s="1"/>
      <c r="AC1175" s="1"/>
      <c r="AD1175" s="1"/>
      <c r="AE1175" s="1"/>
      <c r="AF1175" s="1"/>
      <c r="AG1175" s="1"/>
      <c r="AH1175" s="2"/>
      <c r="AI1175" s="2"/>
      <c r="AJ1175" s="2"/>
      <c r="AK1175" s="2"/>
      <c r="AL1175" s="2"/>
      <c r="AM1175" s="1"/>
      <c r="AN1175" s="2"/>
      <c r="AP1175" s="2"/>
      <c r="AQ1175" s="1"/>
      <c r="AR1175" s="2"/>
      <c r="AU1175" s="1"/>
      <c r="AW1175" s="1"/>
      <c r="AY1175" s="2"/>
    </row>
    <row r="1176">
      <c r="A1176" s="1"/>
      <c r="C1176" s="1"/>
      <c r="E1176" s="1"/>
      <c r="F1176" s="1"/>
      <c r="G1176" s="2"/>
      <c r="H1176" s="1"/>
      <c r="I1176" s="1"/>
      <c r="J1176" s="1"/>
      <c r="K1176" s="1"/>
      <c r="M1176" s="1"/>
      <c r="N1176" s="1"/>
      <c r="O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2"/>
      <c r="AB1176" s="1"/>
      <c r="AC1176" s="1"/>
      <c r="AD1176" s="1"/>
      <c r="AE1176" s="1"/>
      <c r="AF1176" s="1"/>
      <c r="AG1176" s="1"/>
      <c r="AH1176" s="2"/>
      <c r="AI1176" s="2"/>
      <c r="AJ1176" s="2"/>
      <c r="AK1176" s="2"/>
      <c r="AL1176" s="2"/>
      <c r="AM1176" s="1"/>
      <c r="AN1176" s="2"/>
      <c r="AP1176" s="2"/>
      <c r="AQ1176" s="1"/>
      <c r="AR1176" s="2"/>
      <c r="AU1176" s="1"/>
      <c r="AW1176" s="1"/>
      <c r="AY1176" s="2"/>
    </row>
    <row r="1177">
      <c r="A1177" s="1"/>
      <c r="C1177" s="1"/>
      <c r="E1177" s="1"/>
      <c r="F1177" s="1"/>
      <c r="G1177" s="2"/>
      <c r="H1177" s="1"/>
      <c r="I1177" s="1"/>
      <c r="J1177" s="1"/>
      <c r="K1177" s="1"/>
      <c r="M1177" s="1"/>
      <c r="N1177" s="1"/>
      <c r="O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2"/>
      <c r="AB1177" s="1"/>
      <c r="AC1177" s="1"/>
      <c r="AD1177" s="1"/>
      <c r="AE1177" s="1"/>
      <c r="AF1177" s="1"/>
      <c r="AG1177" s="1"/>
      <c r="AH1177" s="2"/>
      <c r="AI1177" s="2"/>
      <c r="AJ1177" s="2"/>
      <c r="AK1177" s="2"/>
      <c r="AL1177" s="2"/>
      <c r="AM1177" s="1"/>
      <c r="AN1177" s="2"/>
      <c r="AP1177" s="2"/>
      <c r="AQ1177" s="1"/>
      <c r="AR1177" s="2"/>
      <c r="AU1177" s="1"/>
      <c r="AW1177" s="1"/>
      <c r="AY1177" s="2"/>
    </row>
    <row r="1178">
      <c r="A1178" s="1"/>
      <c r="C1178" s="1"/>
      <c r="E1178" s="1"/>
      <c r="F1178" s="1"/>
      <c r="G1178" s="2"/>
      <c r="H1178" s="1"/>
      <c r="I1178" s="1"/>
      <c r="J1178" s="1"/>
      <c r="K1178" s="1"/>
      <c r="M1178" s="1"/>
      <c r="N1178" s="1"/>
      <c r="O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2"/>
      <c r="AB1178" s="1"/>
      <c r="AC1178" s="1"/>
      <c r="AD1178" s="1"/>
      <c r="AE1178" s="1"/>
      <c r="AF1178" s="1"/>
      <c r="AG1178" s="1"/>
      <c r="AH1178" s="2"/>
      <c r="AI1178" s="2"/>
      <c r="AJ1178" s="2"/>
      <c r="AK1178" s="2"/>
      <c r="AL1178" s="2"/>
      <c r="AM1178" s="1"/>
      <c r="AN1178" s="2"/>
      <c r="AP1178" s="2"/>
      <c r="AQ1178" s="1"/>
      <c r="AR1178" s="2"/>
      <c r="AU1178" s="1"/>
      <c r="AW1178" s="1"/>
      <c r="AY1178" s="2"/>
    </row>
    <row r="1179">
      <c r="A1179" s="1"/>
      <c r="C1179" s="1"/>
      <c r="E1179" s="1"/>
      <c r="F1179" s="1"/>
      <c r="G1179" s="2"/>
      <c r="H1179" s="1"/>
      <c r="I1179" s="1"/>
      <c r="J1179" s="1"/>
      <c r="K1179" s="1"/>
      <c r="M1179" s="1"/>
      <c r="N1179" s="1"/>
      <c r="O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2"/>
      <c r="AB1179" s="1"/>
      <c r="AC1179" s="1"/>
      <c r="AD1179" s="1"/>
      <c r="AE1179" s="1"/>
      <c r="AF1179" s="1"/>
      <c r="AG1179" s="1"/>
      <c r="AH1179" s="2"/>
      <c r="AI1179" s="2"/>
      <c r="AJ1179" s="2"/>
      <c r="AK1179" s="2"/>
      <c r="AL1179" s="2"/>
      <c r="AM1179" s="1"/>
      <c r="AN1179" s="2"/>
      <c r="AP1179" s="2"/>
      <c r="AQ1179" s="1"/>
      <c r="AR1179" s="2"/>
      <c r="AU1179" s="1"/>
      <c r="AW1179" s="1"/>
      <c r="AY1179" s="2"/>
    </row>
    <row r="1180">
      <c r="A1180" s="1"/>
      <c r="C1180" s="1"/>
      <c r="E1180" s="1"/>
      <c r="F1180" s="1"/>
      <c r="G1180" s="2"/>
      <c r="H1180" s="1"/>
      <c r="I1180" s="1"/>
      <c r="J1180" s="1"/>
      <c r="K1180" s="1"/>
      <c r="M1180" s="1"/>
      <c r="N1180" s="1"/>
      <c r="O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2"/>
      <c r="AB1180" s="1"/>
      <c r="AC1180" s="1"/>
      <c r="AD1180" s="1"/>
      <c r="AE1180" s="1"/>
      <c r="AF1180" s="1"/>
      <c r="AG1180" s="1"/>
      <c r="AH1180" s="2"/>
      <c r="AI1180" s="2"/>
      <c r="AJ1180" s="2"/>
      <c r="AK1180" s="2"/>
      <c r="AL1180" s="2"/>
      <c r="AM1180" s="1"/>
      <c r="AN1180" s="2"/>
      <c r="AP1180" s="2"/>
      <c r="AQ1180" s="1"/>
      <c r="AR1180" s="2"/>
      <c r="AU1180" s="1"/>
      <c r="AW1180" s="1"/>
      <c r="AY1180" s="2"/>
    </row>
    <row r="1181">
      <c r="A1181" s="1"/>
      <c r="C1181" s="1"/>
      <c r="E1181" s="1"/>
      <c r="F1181" s="1"/>
      <c r="G1181" s="2"/>
      <c r="H1181" s="1"/>
      <c r="I1181" s="1"/>
      <c r="J1181" s="1"/>
      <c r="K1181" s="1"/>
      <c r="M1181" s="1"/>
      <c r="N1181" s="1"/>
      <c r="O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2"/>
      <c r="AB1181" s="1"/>
      <c r="AC1181" s="1"/>
      <c r="AD1181" s="1"/>
      <c r="AE1181" s="1"/>
      <c r="AF1181" s="1"/>
      <c r="AG1181" s="1"/>
      <c r="AH1181" s="2"/>
      <c r="AI1181" s="2"/>
      <c r="AJ1181" s="2"/>
      <c r="AK1181" s="2"/>
      <c r="AL1181" s="2"/>
      <c r="AM1181" s="1"/>
      <c r="AN1181" s="2"/>
      <c r="AP1181" s="2"/>
      <c r="AQ1181" s="1"/>
      <c r="AR1181" s="2"/>
      <c r="AU1181" s="1"/>
      <c r="AW1181" s="1"/>
      <c r="AY1181" s="2"/>
    </row>
    <row r="1182">
      <c r="A1182" s="1"/>
      <c r="C1182" s="1"/>
      <c r="E1182" s="1"/>
      <c r="F1182" s="1"/>
      <c r="G1182" s="2"/>
      <c r="H1182" s="1"/>
      <c r="I1182" s="1"/>
      <c r="J1182" s="1"/>
      <c r="K1182" s="1"/>
      <c r="M1182" s="1"/>
      <c r="N1182" s="1"/>
      <c r="O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2"/>
      <c r="AB1182" s="1"/>
      <c r="AC1182" s="1"/>
      <c r="AD1182" s="1"/>
      <c r="AE1182" s="1"/>
      <c r="AF1182" s="1"/>
      <c r="AG1182" s="1"/>
      <c r="AH1182" s="2"/>
      <c r="AI1182" s="2"/>
      <c r="AJ1182" s="2"/>
      <c r="AK1182" s="2"/>
      <c r="AL1182" s="2"/>
      <c r="AM1182" s="1"/>
      <c r="AN1182" s="2"/>
      <c r="AP1182" s="2"/>
      <c r="AQ1182" s="1"/>
      <c r="AR1182" s="2"/>
      <c r="AU1182" s="1"/>
      <c r="AW1182" s="1"/>
      <c r="AY1182" s="2"/>
    </row>
    <row r="1183">
      <c r="A1183" s="1"/>
      <c r="C1183" s="1"/>
      <c r="E1183" s="1"/>
      <c r="F1183" s="1"/>
      <c r="G1183" s="2"/>
      <c r="H1183" s="1"/>
      <c r="I1183" s="1"/>
      <c r="J1183" s="1"/>
      <c r="K1183" s="1"/>
      <c r="M1183" s="1"/>
      <c r="N1183" s="1"/>
      <c r="O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2"/>
      <c r="AB1183" s="1"/>
      <c r="AC1183" s="1"/>
      <c r="AD1183" s="1"/>
      <c r="AE1183" s="1"/>
      <c r="AF1183" s="1"/>
      <c r="AG1183" s="1"/>
      <c r="AH1183" s="2"/>
      <c r="AI1183" s="2"/>
      <c r="AJ1183" s="2"/>
      <c r="AK1183" s="2"/>
      <c r="AL1183" s="2"/>
      <c r="AM1183" s="1"/>
      <c r="AN1183" s="2"/>
      <c r="AP1183" s="2"/>
      <c r="AQ1183" s="1"/>
      <c r="AR1183" s="2"/>
      <c r="AU1183" s="1"/>
      <c r="AW1183" s="1"/>
      <c r="AY1183" s="2"/>
    </row>
    <row r="1184">
      <c r="A1184" s="1"/>
      <c r="C1184" s="1"/>
      <c r="E1184" s="1"/>
      <c r="F1184" s="1"/>
      <c r="G1184" s="2"/>
      <c r="H1184" s="1"/>
      <c r="I1184" s="1"/>
      <c r="J1184" s="1"/>
      <c r="K1184" s="1"/>
      <c r="M1184" s="1"/>
      <c r="N1184" s="1"/>
      <c r="O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2"/>
      <c r="AB1184" s="1"/>
      <c r="AC1184" s="1"/>
      <c r="AD1184" s="1"/>
      <c r="AE1184" s="1"/>
      <c r="AF1184" s="1"/>
      <c r="AG1184" s="1"/>
      <c r="AH1184" s="2"/>
      <c r="AI1184" s="2"/>
      <c r="AJ1184" s="2"/>
      <c r="AK1184" s="2"/>
      <c r="AL1184" s="2"/>
      <c r="AM1184" s="1"/>
      <c r="AN1184" s="2"/>
      <c r="AP1184" s="2"/>
      <c r="AQ1184" s="1"/>
      <c r="AR1184" s="2"/>
      <c r="AU1184" s="1"/>
      <c r="AW1184" s="1"/>
      <c r="AY1184" s="2"/>
    </row>
    <row r="1185">
      <c r="A1185" s="1"/>
      <c r="C1185" s="1"/>
      <c r="E1185" s="1"/>
      <c r="F1185" s="1"/>
      <c r="G1185" s="2"/>
      <c r="H1185" s="1"/>
      <c r="I1185" s="1"/>
      <c r="J1185" s="1"/>
      <c r="K1185" s="1"/>
      <c r="M1185" s="1"/>
      <c r="N1185" s="1"/>
      <c r="O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2"/>
      <c r="AB1185" s="1"/>
      <c r="AC1185" s="1"/>
      <c r="AD1185" s="1"/>
      <c r="AE1185" s="1"/>
      <c r="AF1185" s="1"/>
      <c r="AG1185" s="1"/>
      <c r="AH1185" s="2"/>
      <c r="AI1185" s="2"/>
      <c r="AJ1185" s="2"/>
      <c r="AK1185" s="2"/>
      <c r="AL1185" s="2"/>
      <c r="AM1185" s="1"/>
      <c r="AN1185" s="2"/>
      <c r="AP1185" s="2"/>
      <c r="AQ1185" s="1"/>
      <c r="AR1185" s="2"/>
      <c r="AU1185" s="1"/>
      <c r="AW1185" s="1"/>
      <c r="AY1185" s="2"/>
    </row>
    <row r="1186">
      <c r="A1186" s="1"/>
      <c r="C1186" s="1"/>
      <c r="E1186" s="1"/>
      <c r="F1186" s="1"/>
      <c r="G1186" s="2"/>
      <c r="H1186" s="1"/>
      <c r="I1186" s="1"/>
      <c r="J1186" s="1"/>
      <c r="K1186" s="1"/>
      <c r="M1186" s="1"/>
      <c r="N1186" s="1"/>
      <c r="O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2"/>
      <c r="AB1186" s="1"/>
      <c r="AC1186" s="1"/>
      <c r="AD1186" s="1"/>
      <c r="AE1186" s="1"/>
      <c r="AF1186" s="1"/>
      <c r="AG1186" s="1"/>
      <c r="AH1186" s="2"/>
      <c r="AI1186" s="2"/>
      <c r="AJ1186" s="2"/>
      <c r="AK1186" s="2"/>
      <c r="AL1186" s="2"/>
      <c r="AM1186" s="1"/>
      <c r="AN1186" s="2"/>
      <c r="AP1186" s="2"/>
      <c r="AQ1186" s="1"/>
      <c r="AR1186" s="2"/>
      <c r="AU1186" s="1"/>
      <c r="AW1186" s="1"/>
      <c r="AY1186" s="2"/>
    </row>
    <row r="1187">
      <c r="A1187" s="1"/>
      <c r="C1187" s="1"/>
      <c r="E1187" s="1"/>
      <c r="F1187" s="1"/>
      <c r="G1187" s="2"/>
      <c r="H1187" s="1"/>
      <c r="I1187" s="1"/>
      <c r="J1187" s="1"/>
      <c r="K1187" s="1"/>
      <c r="M1187" s="1"/>
      <c r="N1187" s="1"/>
      <c r="O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2"/>
      <c r="AB1187" s="1"/>
      <c r="AC1187" s="1"/>
      <c r="AD1187" s="1"/>
      <c r="AE1187" s="1"/>
      <c r="AF1187" s="1"/>
      <c r="AG1187" s="1"/>
      <c r="AH1187" s="2"/>
      <c r="AI1187" s="2"/>
      <c r="AJ1187" s="2"/>
      <c r="AK1187" s="2"/>
      <c r="AL1187" s="2"/>
      <c r="AM1187" s="1"/>
      <c r="AN1187" s="2"/>
      <c r="AP1187" s="2"/>
      <c r="AQ1187" s="1"/>
      <c r="AR1187" s="2"/>
      <c r="AU1187" s="1"/>
      <c r="AW1187" s="1"/>
      <c r="AY1187" s="2"/>
    </row>
    <row r="1188">
      <c r="A1188" s="1"/>
      <c r="C1188" s="1"/>
      <c r="E1188" s="1"/>
      <c r="F1188" s="1"/>
      <c r="G1188" s="2"/>
      <c r="H1188" s="1"/>
      <c r="I1188" s="1"/>
      <c r="J1188" s="1"/>
      <c r="K1188" s="1"/>
      <c r="M1188" s="1"/>
      <c r="N1188" s="1"/>
      <c r="O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2"/>
      <c r="AB1188" s="1"/>
      <c r="AC1188" s="1"/>
      <c r="AD1188" s="1"/>
      <c r="AE1188" s="1"/>
      <c r="AF1188" s="1"/>
      <c r="AG1188" s="1"/>
      <c r="AH1188" s="2"/>
      <c r="AI1188" s="2"/>
      <c r="AJ1188" s="2"/>
      <c r="AK1188" s="2"/>
      <c r="AL1188" s="2"/>
      <c r="AM1188" s="1"/>
      <c r="AN1188" s="2"/>
      <c r="AP1188" s="2"/>
      <c r="AQ1188" s="1"/>
      <c r="AR1188" s="2"/>
      <c r="AU1188" s="1"/>
      <c r="AW1188" s="1"/>
      <c r="AY1188" s="2"/>
    </row>
    <row r="1189">
      <c r="A1189" s="1"/>
      <c r="C1189" s="1"/>
      <c r="E1189" s="1"/>
      <c r="F1189" s="1"/>
      <c r="G1189" s="2"/>
      <c r="H1189" s="1"/>
      <c r="I1189" s="1"/>
      <c r="J1189" s="1"/>
      <c r="K1189" s="1"/>
      <c r="M1189" s="1"/>
      <c r="N1189" s="1"/>
      <c r="O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2"/>
      <c r="AB1189" s="1"/>
      <c r="AC1189" s="1"/>
      <c r="AD1189" s="1"/>
      <c r="AE1189" s="1"/>
      <c r="AF1189" s="1"/>
      <c r="AG1189" s="1"/>
      <c r="AH1189" s="2"/>
      <c r="AI1189" s="2"/>
      <c r="AJ1189" s="2"/>
      <c r="AK1189" s="2"/>
      <c r="AL1189" s="2"/>
      <c r="AM1189" s="1"/>
      <c r="AN1189" s="2"/>
      <c r="AP1189" s="2"/>
      <c r="AQ1189" s="1"/>
      <c r="AR1189" s="2"/>
      <c r="AU1189" s="1"/>
      <c r="AW1189" s="1"/>
      <c r="AY1189" s="2"/>
    </row>
    <row r="1190">
      <c r="A1190" s="1"/>
      <c r="C1190" s="1"/>
      <c r="E1190" s="1"/>
      <c r="F1190" s="1"/>
      <c r="G1190" s="2"/>
      <c r="H1190" s="1"/>
      <c r="I1190" s="1"/>
      <c r="J1190" s="1"/>
      <c r="K1190" s="1"/>
      <c r="M1190" s="1"/>
      <c r="N1190" s="1"/>
      <c r="O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2"/>
      <c r="AB1190" s="1"/>
      <c r="AC1190" s="1"/>
      <c r="AD1190" s="1"/>
      <c r="AE1190" s="1"/>
      <c r="AF1190" s="1"/>
      <c r="AG1190" s="1"/>
      <c r="AH1190" s="2"/>
      <c r="AI1190" s="2"/>
      <c r="AJ1190" s="2"/>
      <c r="AK1190" s="2"/>
      <c r="AL1190" s="2"/>
      <c r="AM1190" s="1"/>
      <c r="AN1190" s="2"/>
      <c r="AP1190" s="2"/>
      <c r="AQ1190" s="1"/>
      <c r="AR1190" s="2"/>
      <c r="AU1190" s="1"/>
      <c r="AW1190" s="1"/>
      <c r="AY1190" s="2"/>
    </row>
    <row r="1191">
      <c r="A1191" s="1"/>
      <c r="C1191" s="1"/>
      <c r="E1191" s="1"/>
      <c r="F1191" s="1"/>
      <c r="G1191" s="2"/>
      <c r="H1191" s="1"/>
      <c r="I1191" s="1"/>
      <c r="J1191" s="1"/>
      <c r="K1191" s="1"/>
      <c r="M1191" s="1"/>
      <c r="N1191" s="1"/>
      <c r="O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2"/>
      <c r="AB1191" s="1"/>
      <c r="AC1191" s="1"/>
      <c r="AD1191" s="1"/>
      <c r="AE1191" s="1"/>
      <c r="AF1191" s="1"/>
      <c r="AG1191" s="1"/>
      <c r="AH1191" s="2"/>
      <c r="AI1191" s="2"/>
      <c r="AJ1191" s="2"/>
      <c r="AK1191" s="2"/>
      <c r="AL1191" s="2"/>
      <c r="AM1191" s="1"/>
      <c r="AN1191" s="2"/>
      <c r="AP1191" s="2"/>
      <c r="AQ1191" s="1"/>
      <c r="AR1191" s="2"/>
      <c r="AU1191" s="1"/>
      <c r="AW1191" s="1"/>
      <c r="AY1191" s="2"/>
    </row>
    <row r="1192">
      <c r="A1192" s="1"/>
      <c r="C1192" s="1"/>
      <c r="E1192" s="1"/>
      <c r="F1192" s="1"/>
      <c r="G1192" s="2"/>
      <c r="H1192" s="1"/>
      <c r="I1192" s="1"/>
      <c r="J1192" s="1"/>
      <c r="K1192" s="1"/>
      <c r="M1192" s="1"/>
      <c r="N1192" s="1"/>
      <c r="O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2"/>
      <c r="AB1192" s="1"/>
      <c r="AC1192" s="1"/>
      <c r="AD1192" s="1"/>
      <c r="AE1192" s="1"/>
      <c r="AF1192" s="1"/>
      <c r="AG1192" s="1"/>
      <c r="AH1192" s="2"/>
      <c r="AI1192" s="2"/>
      <c r="AJ1192" s="2"/>
      <c r="AK1192" s="2"/>
      <c r="AL1192" s="2"/>
      <c r="AM1192" s="1"/>
      <c r="AN1192" s="2"/>
      <c r="AP1192" s="2"/>
      <c r="AQ1192" s="1"/>
      <c r="AR1192" s="2"/>
      <c r="AU1192" s="1"/>
      <c r="AW1192" s="1"/>
      <c r="AY1192" s="2"/>
    </row>
    <row r="1193">
      <c r="A1193" s="1"/>
      <c r="C1193" s="1"/>
      <c r="E1193" s="1"/>
      <c r="F1193" s="1"/>
      <c r="G1193" s="2"/>
      <c r="H1193" s="1"/>
      <c r="I1193" s="1"/>
      <c r="J1193" s="1"/>
      <c r="K1193" s="1"/>
      <c r="M1193" s="1"/>
      <c r="N1193" s="1"/>
      <c r="O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2"/>
      <c r="AB1193" s="1"/>
      <c r="AC1193" s="1"/>
      <c r="AD1193" s="1"/>
      <c r="AE1193" s="1"/>
      <c r="AF1193" s="1"/>
      <c r="AG1193" s="1"/>
      <c r="AH1193" s="2"/>
      <c r="AI1193" s="2"/>
      <c r="AJ1193" s="2"/>
      <c r="AK1193" s="2"/>
      <c r="AL1193" s="2"/>
      <c r="AM1193" s="1"/>
      <c r="AN1193" s="2"/>
      <c r="AP1193" s="2"/>
      <c r="AQ1193" s="1"/>
      <c r="AR1193" s="2"/>
      <c r="AU1193" s="1"/>
      <c r="AW1193" s="1"/>
      <c r="AY1193" s="2"/>
    </row>
    <row r="1194">
      <c r="A1194" s="1"/>
      <c r="C1194" s="1"/>
      <c r="E1194" s="1"/>
      <c r="F1194" s="1"/>
      <c r="G1194" s="2"/>
      <c r="H1194" s="1"/>
      <c r="I1194" s="1"/>
      <c r="J1194" s="1"/>
      <c r="K1194" s="1"/>
      <c r="M1194" s="1"/>
      <c r="N1194" s="1"/>
      <c r="O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2"/>
      <c r="AB1194" s="1"/>
      <c r="AC1194" s="1"/>
      <c r="AD1194" s="1"/>
      <c r="AE1194" s="1"/>
      <c r="AF1194" s="1"/>
      <c r="AG1194" s="1"/>
      <c r="AH1194" s="2"/>
      <c r="AI1194" s="2"/>
      <c r="AJ1194" s="2"/>
      <c r="AK1194" s="2"/>
      <c r="AL1194" s="2"/>
      <c r="AM1194" s="1"/>
      <c r="AN1194" s="2"/>
      <c r="AP1194" s="2"/>
      <c r="AQ1194" s="1"/>
      <c r="AR1194" s="2"/>
      <c r="AU1194" s="1"/>
      <c r="AW1194" s="1"/>
      <c r="AY1194" s="2"/>
    </row>
    <row r="1195">
      <c r="A1195" s="1"/>
      <c r="C1195" s="1"/>
      <c r="E1195" s="1"/>
      <c r="F1195" s="1"/>
      <c r="G1195" s="2"/>
      <c r="H1195" s="1"/>
      <c r="I1195" s="1"/>
      <c r="J1195" s="1"/>
      <c r="K1195" s="1"/>
      <c r="M1195" s="1"/>
      <c r="N1195" s="1"/>
      <c r="O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2"/>
      <c r="AB1195" s="1"/>
      <c r="AC1195" s="1"/>
      <c r="AD1195" s="1"/>
      <c r="AE1195" s="1"/>
      <c r="AF1195" s="1"/>
      <c r="AG1195" s="1"/>
      <c r="AH1195" s="2"/>
      <c r="AI1195" s="2"/>
      <c r="AJ1195" s="2"/>
      <c r="AK1195" s="2"/>
      <c r="AL1195" s="2"/>
      <c r="AM1195" s="1"/>
      <c r="AN1195" s="2"/>
      <c r="AP1195" s="2"/>
      <c r="AQ1195" s="1"/>
      <c r="AR1195" s="2"/>
      <c r="AU1195" s="1"/>
      <c r="AW1195" s="1"/>
      <c r="AY1195" s="2"/>
    </row>
    <row r="1196">
      <c r="A1196" s="1"/>
      <c r="C1196" s="1"/>
      <c r="E1196" s="1"/>
      <c r="F1196" s="1"/>
      <c r="G1196" s="2"/>
      <c r="H1196" s="1"/>
      <c r="I1196" s="1"/>
      <c r="J1196" s="1"/>
      <c r="K1196" s="1"/>
      <c r="M1196" s="1"/>
      <c r="N1196" s="1"/>
      <c r="O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2"/>
      <c r="AB1196" s="1"/>
      <c r="AC1196" s="1"/>
      <c r="AD1196" s="1"/>
      <c r="AE1196" s="1"/>
      <c r="AF1196" s="1"/>
      <c r="AG1196" s="1"/>
      <c r="AH1196" s="2"/>
      <c r="AI1196" s="2"/>
      <c r="AJ1196" s="2"/>
      <c r="AK1196" s="2"/>
      <c r="AL1196" s="2"/>
      <c r="AM1196" s="1"/>
      <c r="AN1196" s="2"/>
      <c r="AP1196" s="2"/>
      <c r="AQ1196" s="1"/>
      <c r="AR1196" s="2"/>
      <c r="AU1196" s="1"/>
      <c r="AW1196" s="1"/>
      <c r="AY1196" s="2"/>
    </row>
    <row r="1197">
      <c r="A1197" s="1"/>
      <c r="C1197" s="1"/>
      <c r="E1197" s="1"/>
      <c r="F1197" s="1"/>
      <c r="G1197" s="2"/>
      <c r="H1197" s="1"/>
      <c r="I1197" s="1"/>
      <c r="J1197" s="1"/>
      <c r="K1197" s="1"/>
      <c r="M1197" s="1"/>
      <c r="N1197" s="1"/>
      <c r="O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2"/>
      <c r="AB1197" s="1"/>
      <c r="AC1197" s="1"/>
      <c r="AD1197" s="1"/>
      <c r="AE1197" s="1"/>
      <c r="AF1197" s="1"/>
      <c r="AG1197" s="1"/>
      <c r="AH1197" s="2"/>
      <c r="AI1197" s="2"/>
      <c r="AJ1197" s="2"/>
      <c r="AK1197" s="2"/>
      <c r="AL1197" s="2"/>
      <c r="AM1197" s="1"/>
      <c r="AN1197" s="2"/>
      <c r="AP1197" s="2"/>
      <c r="AQ1197" s="1"/>
      <c r="AR1197" s="2"/>
      <c r="AU1197" s="1"/>
      <c r="AW1197" s="1"/>
      <c r="AY1197" s="2"/>
    </row>
    <row r="1198">
      <c r="A1198" s="1"/>
      <c r="C1198" s="1"/>
      <c r="E1198" s="1"/>
      <c r="F1198" s="1"/>
      <c r="G1198" s="2"/>
      <c r="H1198" s="1"/>
      <c r="I1198" s="1"/>
      <c r="J1198" s="1"/>
      <c r="K1198" s="1"/>
      <c r="M1198" s="1"/>
      <c r="N1198" s="1"/>
      <c r="O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2"/>
      <c r="AB1198" s="1"/>
      <c r="AC1198" s="1"/>
      <c r="AD1198" s="1"/>
      <c r="AE1198" s="1"/>
      <c r="AF1198" s="1"/>
      <c r="AG1198" s="1"/>
      <c r="AH1198" s="2"/>
      <c r="AI1198" s="2"/>
      <c r="AJ1198" s="2"/>
      <c r="AK1198" s="2"/>
      <c r="AL1198" s="2"/>
      <c r="AM1198" s="1"/>
      <c r="AN1198" s="2"/>
      <c r="AP1198" s="2"/>
      <c r="AQ1198" s="1"/>
      <c r="AR1198" s="2"/>
      <c r="AU1198" s="1"/>
      <c r="AW1198" s="1"/>
      <c r="AY1198" s="2"/>
    </row>
    <row r="1199">
      <c r="A1199" s="1"/>
      <c r="C1199" s="1"/>
      <c r="E1199" s="1"/>
      <c r="F1199" s="1"/>
      <c r="G1199" s="2"/>
      <c r="H1199" s="1"/>
      <c r="I1199" s="1"/>
      <c r="J1199" s="1"/>
      <c r="K1199" s="1"/>
      <c r="M1199" s="1"/>
      <c r="N1199" s="1"/>
      <c r="O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2"/>
      <c r="AB1199" s="1"/>
      <c r="AC1199" s="1"/>
      <c r="AD1199" s="1"/>
      <c r="AE1199" s="1"/>
      <c r="AF1199" s="1"/>
      <c r="AG1199" s="1"/>
      <c r="AH1199" s="2"/>
      <c r="AI1199" s="2"/>
      <c r="AJ1199" s="2"/>
      <c r="AK1199" s="2"/>
      <c r="AL1199" s="2"/>
      <c r="AM1199" s="1"/>
      <c r="AN1199" s="2"/>
      <c r="AP1199" s="2"/>
      <c r="AQ1199" s="1"/>
      <c r="AR1199" s="2"/>
      <c r="AU1199" s="1"/>
      <c r="AW1199" s="1"/>
      <c r="AY1199" s="2"/>
    </row>
    <row r="1200">
      <c r="A1200" s="1"/>
      <c r="C1200" s="1"/>
      <c r="E1200" s="1"/>
      <c r="F1200" s="1"/>
      <c r="G1200" s="2"/>
      <c r="H1200" s="1"/>
      <c r="I1200" s="1"/>
      <c r="J1200" s="1"/>
      <c r="K1200" s="1"/>
      <c r="M1200" s="1"/>
      <c r="N1200" s="1"/>
      <c r="O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2"/>
      <c r="AB1200" s="1"/>
      <c r="AC1200" s="1"/>
      <c r="AD1200" s="1"/>
      <c r="AE1200" s="1"/>
      <c r="AF1200" s="1"/>
      <c r="AG1200" s="1"/>
      <c r="AH1200" s="2"/>
      <c r="AI1200" s="2"/>
      <c r="AJ1200" s="2"/>
      <c r="AK1200" s="2"/>
      <c r="AL1200" s="2"/>
      <c r="AM1200" s="1"/>
      <c r="AN1200" s="2"/>
      <c r="AP1200" s="2"/>
      <c r="AQ1200" s="1"/>
      <c r="AR1200" s="2"/>
      <c r="AU1200" s="1"/>
      <c r="AW1200" s="1"/>
      <c r="AY1200" s="2"/>
    </row>
    <row r="1201">
      <c r="A1201" s="1"/>
      <c r="C1201" s="1"/>
      <c r="E1201" s="1"/>
      <c r="F1201" s="1"/>
      <c r="G1201" s="2"/>
      <c r="H1201" s="1"/>
      <c r="I1201" s="1"/>
      <c r="J1201" s="1"/>
      <c r="K1201" s="1"/>
      <c r="M1201" s="1"/>
      <c r="N1201" s="1"/>
      <c r="O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2"/>
      <c r="AB1201" s="1"/>
      <c r="AC1201" s="1"/>
      <c r="AD1201" s="1"/>
      <c r="AE1201" s="1"/>
      <c r="AF1201" s="1"/>
      <c r="AG1201" s="1"/>
      <c r="AH1201" s="2"/>
      <c r="AI1201" s="2"/>
      <c r="AJ1201" s="2"/>
      <c r="AK1201" s="2"/>
      <c r="AL1201" s="2"/>
      <c r="AM1201" s="1"/>
      <c r="AN1201" s="2"/>
      <c r="AP1201" s="2"/>
      <c r="AQ1201" s="1"/>
      <c r="AR1201" s="2"/>
      <c r="AU1201" s="1"/>
      <c r="AW1201" s="1"/>
      <c r="AY1201" s="2"/>
    </row>
    <row r="1202">
      <c r="A1202" s="1"/>
      <c r="C1202" s="1"/>
      <c r="E1202" s="1"/>
      <c r="F1202" s="1"/>
      <c r="G1202" s="2"/>
      <c r="H1202" s="1"/>
      <c r="I1202" s="1"/>
      <c r="J1202" s="1"/>
      <c r="K1202" s="1"/>
      <c r="M1202" s="1"/>
      <c r="N1202" s="1"/>
      <c r="O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2"/>
      <c r="AB1202" s="1"/>
      <c r="AC1202" s="1"/>
      <c r="AD1202" s="1"/>
      <c r="AE1202" s="1"/>
      <c r="AF1202" s="1"/>
      <c r="AG1202" s="1"/>
      <c r="AH1202" s="2"/>
      <c r="AI1202" s="2"/>
      <c r="AJ1202" s="2"/>
      <c r="AK1202" s="2"/>
      <c r="AL1202" s="2"/>
      <c r="AM1202" s="1"/>
      <c r="AN1202" s="2"/>
      <c r="AP1202" s="2"/>
      <c r="AQ1202" s="1"/>
      <c r="AR1202" s="2"/>
      <c r="AU1202" s="1"/>
      <c r="AW1202" s="1"/>
      <c r="AY1202" s="2"/>
    </row>
    <row r="1203">
      <c r="A1203" s="1"/>
      <c r="C1203" s="1"/>
      <c r="E1203" s="1"/>
      <c r="F1203" s="1"/>
      <c r="G1203" s="2"/>
      <c r="H1203" s="1"/>
      <c r="I1203" s="1"/>
      <c r="J1203" s="1"/>
      <c r="K1203" s="1"/>
      <c r="M1203" s="1"/>
      <c r="N1203" s="1"/>
      <c r="O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2"/>
      <c r="AB1203" s="1"/>
      <c r="AC1203" s="1"/>
      <c r="AD1203" s="1"/>
      <c r="AE1203" s="1"/>
      <c r="AF1203" s="1"/>
      <c r="AG1203" s="1"/>
      <c r="AH1203" s="2"/>
      <c r="AI1203" s="2"/>
      <c r="AJ1203" s="2"/>
      <c r="AK1203" s="2"/>
      <c r="AL1203" s="2"/>
      <c r="AM1203" s="1"/>
      <c r="AN1203" s="2"/>
      <c r="AP1203" s="2"/>
      <c r="AQ1203" s="1"/>
      <c r="AR1203" s="2"/>
      <c r="AU1203" s="1"/>
      <c r="AW1203" s="1"/>
      <c r="AY1203" s="2"/>
    </row>
    <row r="1204">
      <c r="A1204" s="1"/>
      <c r="C1204" s="1"/>
      <c r="E1204" s="1"/>
      <c r="F1204" s="1"/>
      <c r="G1204" s="2"/>
      <c r="H1204" s="1"/>
      <c r="I1204" s="1"/>
      <c r="J1204" s="1"/>
      <c r="K1204" s="1"/>
      <c r="M1204" s="1"/>
      <c r="N1204" s="1"/>
      <c r="O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2"/>
      <c r="AB1204" s="1"/>
      <c r="AC1204" s="1"/>
      <c r="AD1204" s="1"/>
      <c r="AE1204" s="1"/>
      <c r="AF1204" s="1"/>
      <c r="AG1204" s="1"/>
      <c r="AH1204" s="2"/>
      <c r="AI1204" s="2"/>
      <c r="AJ1204" s="2"/>
      <c r="AK1204" s="2"/>
      <c r="AL1204" s="2"/>
      <c r="AM1204" s="1"/>
      <c r="AN1204" s="2"/>
      <c r="AP1204" s="2"/>
      <c r="AQ1204" s="1"/>
      <c r="AR1204" s="2"/>
      <c r="AU1204" s="1"/>
      <c r="AW1204" s="1"/>
      <c r="AY1204" s="2"/>
    </row>
    <row r="1205">
      <c r="A1205" s="1"/>
      <c r="C1205" s="1"/>
      <c r="E1205" s="1"/>
      <c r="F1205" s="1"/>
      <c r="G1205" s="2"/>
      <c r="H1205" s="1"/>
      <c r="I1205" s="1"/>
      <c r="J1205" s="1"/>
      <c r="K1205" s="1"/>
      <c r="M1205" s="1"/>
      <c r="N1205" s="1"/>
      <c r="O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2"/>
      <c r="AB1205" s="1"/>
      <c r="AC1205" s="1"/>
      <c r="AD1205" s="1"/>
      <c r="AE1205" s="1"/>
      <c r="AF1205" s="1"/>
      <c r="AG1205" s="1"/>
      <c r="AH1205" s="2"/>
      <c r="AI1205" s="2"/>
      <c r="AJ1205" s="2"/>
      <c r="AK1205" s="2"/>
      <c r="AL1205" s="2"/>
      <c r="AM1205" s="1"/>
      <c r="AN1205" s="2"/>
      <c r="AP1205" s="2"/>
      <c r="AQ1205" s="1"/>
      <c r="AR1205" s="2"/>
      <c r="AU1205" s="1"/>
      <c r="AW1205" s="1"/>
      <c r="AY1205" s="2"/>
    </row>
    <row r="1206">
      <c r="A1206" s="1"/>
      <c r="C1206" s="1"/>
      <c r="E1206" s="1"/>
      <c r="F1206" s="1"/>
      <c r="G1206" s="2"/>
      <c r="H1206" s="1"/>
      <c r="I1206" s="1"/>
      <c r="J1206" s="1"/>
      <c r="K1206" s="1"/>
      <c r="M1206" s="1"/>
      <c r="N1206" s="1"/>
      <c r="O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2"/>
      <c r="AB1206" s="1"/>
      <c r="AC1206" s="1"/>
      <c r="AD1206" s="1"/>
      <c r="AE1206" s="1"/>
      <c r="AF1206" s="1"/>
      <c r="AG1206" s="1"/>
      <c r="AH1206" s="2"/>
      <c r="AI1206" s="2"/>
      <c r="AJ1206" s="2"/>
      <c r="AK1206" s="2"/>
      <c r="AL1206" s="2"/>
      <c r="AM1206" s="1"/>
      <c r="AN1206" s="2"/>
      <c r="AP1206" s="2"/>
      <c r="AQ1206" s="1"/>
      <c r="AR1206" s="2"/>
      <c r="AU1206" s="1"/>
      <c r="AW1206" s="1"/>
      <c r="AY1206" s="2"/>
    </row>
    <row r="1207">
      <c r="A1207" s="1"/>
      <c r="C1207" s="1"/>
      <c r="E1207" s="1"/>
      <c r="F1207" s="1"/>
      <c r="G1207" s="2"/>
      <c r="H1207" s="1"/>
      <c r="I1207" s="1"/>
      <c r="J1207" s="1"/>
      <c r="K1207" s="1"/>
      <c r="M1207" s="1"/>
      <c r="N1207" s="1"/>
      <c r="O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2"/>
      <c r="AB1207" s="1"/>
      <c r="AC1207" s="1"/>
      <c r="AD1207" s="1"/>
      <c r="AE1207" s="1"/>
      <c r="AF1207" s="1"/>
      <c r="AG1207" s="1"/>
      <c r="AH1207" s="2"/>
      <c r="AI1207" s="2"/>
      <c r="AJ1207" s="2"/>
      <c r="AK1207" s="2"/>
      <c r="AL1207" s="2"/>
      <c r="AM1207" s="1"/>
      <c r="AN1207" s="2"/>
      <c r="AP1207" s="2"/>
      <c r="AQ1207" s="1"/>
      <c r="AR1207" s="2"/>
      <c r="AU1207" s="1"/>
      <c r="AW1207" s="1"/>
      <c r="AY1207" s="2"/>
    </row>
    <row r="1208">
      <c r="A1208" s="1"/>
      <c r="C1208" s="1"/>
      <c r="E1208" s="1"/>
      <c r="F1208" s="1"/>
      <c r="G1208" s="2"/>
      <c r="H1208" s="1"/>
      <c r="I1208" s="1"/>
      <c r="J1208" s="1"/>
      <c r="K1208" s="1"/>
      <c r="M1208" s="1"/>
      <c r="N1208" s="1"/>
      <c r="O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2"/>
      <c r="AB1208" s="1"/>
      <c r="AC1208" s="1"/>
      <c r="AD1208" s="1"/>
      <c r="AE1208" s="1"/>
      <c r="AF1208" s="1"/>
      <c r="AG1208" s="1"/>
      <c r="AH1208" s="2"/>
      <c r="AI1208" s="2"/>
      <c r="AJ1208" s="2"/>
      <c r="AK1208" s="2"/>
      <c r="AL1208" s="2"/>
      <c r="AM1208" s="1"/>
      <c r="AN1208" s="2"/>
      <c r="AP1208" s="2"/>
      <c r="AQ1208" s="1"/>
      <c r="AR1208" s="2"/>
      <c r="AU1208" s="1"/>
      <c r="AW1208" s="1"/>
      <c r="AY1208" s="2"/>
    </row>
    <row r="1209">
      <c r="A1209" s="1"/>
      <c r="C1209" s="1"/>
      <c r="E1209" s="1"/>
      <c r="F1209" s="1"/>
      <c r="G1209" s="2"/>
      <c r="H1209" s="1"/>
      <c r="I1209" s="1"/>
      <c r="J1209" s="1"/>
      <c r="K1209" s="1"/>
      <c r="M1209" s="1"/>
      <c r="N1209" s="1"/>
      <c r="O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2"/>
      <c r="AB1209" s="1"/>
      <c r="AC1209" s="1"/>
      <c r="AD1209" s="1"/>
      <c r="AE1209" s="1"/>
      <c r="AF1209" s="1"/>
      <c r="AG1209" s="1"/>
      <c r="AH1209" s="2"/>
      <c r="AI1209" s="2"/>
      <c r="AJ1209" s="2"/>
      <c r="AK1209" s="2"/>
      <c r="AL1209" s="2"/>
      <c r="AM1209" s="1"/>
      <c r="AN1209" s="2"/>
      <c r="AP1209" s="2"/>
      <c r="AQ1209" s="1"/>
      <c r="AR1209" s="2"/>
      <c r="AU1209" s="1"/>
      <c r="AW1209" s="1"/>
      <c r="AY1209" s="2"/>
    </row>
    <row r="1210">
      <c r="A1210" s="1"/>
      <c r="C1210" s="1"/>
      <c r="E1210" s="1"/>
      <c r="F1210" s="1"/>
      <c r="G1210" s="2"/>
      <c r="H1210" s="1"/>
      <c r="I1210" s="1"/>
      <c r="J1210" s="1"/>
      <c r="K1210" s="1"/>
      <c r="M1210" s="1"/>
      <c r="N1210" s="1"/>
      <c r="O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2"/>
      <c r="AB1210" s="1"/>
      <c r="AC1210" s="1"/>
      <c r="AD1210" s="1"/>
      <c r="AE1210" s="1"/>
      <c r="AF1210" s="1"/>
      <c r="AG1210" s="1"/>
      <c r="AH1210" s="2"/>
      <c r="AI1210" s="2"/>
      <c r="AJ1210" s="2"/>
      <c r="AK1210" s="2"/>
      <c r="AL1210" s="2"/>
      <c r="AM1210" s="1"/>
      <c r="AN1210" s="2"/>
      <c r="AP1210" s="2"/>
      <c r="AQ1210" s="1"/>
      <c r="AR1210" s="2"/>
      <c r="AU1210" s="1"/>
      <c r="AW1210" s="1"/>
      <c r="AY1210" s="2"/>
    </row>
    <row r="1211">
      <c r="A1211" s="1"/>
      <c r="C1211" s="1"/>
      <c r="E1211" s="1"/>
      <c r="F1211" s="1"/>
      <c r="G1211" s="2"/>
      <c r="H1211" s="1"/>
      <c r="I1211" s="1"/>
      <c r="J1211" s="1"/>
      <c r="K1211" s="1"/>
      <c r="M1211" s="1"/>
      <c r="N1211" s="1"/>
      <c r="O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2"/>
      <c r="AB1211" s="1"/>
      <c r="AC1211" s="1"/>
      <c r="AD1211" s="1"/>
      <c r="AE1211" s="1"/>
      <c r="AF1211" s="1"/>
      <c r="AG1211" s="1"/>
      <c r="AH1211" s="2"/>
      <c r="AI1211" s="2"/>
      <c r="AJ1211" s="2"/>
      <c r="AK1211" s="2"/>
      <c r="AL1211" s="2"/>
      <c r="AM1211" s="1"/>
      <c r="AN1211" s="2"/>
      <c r="AP1211" s="2"/>
      <c r="AQ1211" s="1"/>
      <c r="AR1211" s="2"/>
      <c r="AU1211" s="1"/>
      <c r="AW1211" s="1"/>
      <c r="AY1211" s="2"/>
    </row>
    <row r="1212">
      <c r="A1212" s="1"/>
      <c r="C1212" s="1"/>
      <c r="E1212" s="1"/>
      <c r="F1212" s="1"/>
      <c r="G1212" s="2"/>
      <c r="H1212" s="1"/>
      <c r="I1212" s="1"/>
      <c r="J1212" s="1"/>
      <c r="K1212" s="1"/>
      <c r="M1212" s="1"/>
      <c r="N1212" s="1"/>
      <c r="O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2"/>
      <c r="AB1212" s="1"/>
      <c r="AC1212" s="1"/>
      <c r="AD1212" s="1"/>
      <c r="AE1212" s="1"/>
      <c r="AF1212" s="1"/>
      <c r="AG1212" s="1"/>
      <c r="AH1212" s="2"/>
      <c r="AI1212" s="2"/>
      <c r="AJ1212" s="2"/>
      <c r="AK1212" s="2"/>
      <c r="AL1212" s="2"/>
      <c r="AM1212" s="1"/>
      <c r="AN1212" s="2"/>
      <c r="AP1212" s="2"/>
      <c r="AQ1212" s="1"/>
      <c r="AR1212" s="2"/>
      <c r="AU1212" s="1"/>
      <c r="AW1212" s="1"/>
      <c r="AY1212" s="2"/>
    </row>
    <row r="1213">
      <c r="A1213" s="1"/>
      <c r="C1213" s="1"/>
      <c r="E1213" s="1"/>
      <c r="F1213" s="1"/>
      <c r="G1213" s="2"/>
      <c r="H1213" s="1"/>
      <c r="I1213" s="1"/>
      <c r="J1213" s="1"/>
      <c r="K1213" s="1"/>
      <c r="M1213" s="1"/>
      <c r="N1213" s="1"/>
      <c r="O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2"/>
      <c r="AB1213" s="1"/>
      <c r="AC1213" s="1"/>
      <c r="AD1213" s="1"/>
      <c r="AE1213" s="1"/>
      <c r="AF1213" s="1"/>
      <c r="AG1213" s="1"/>
      <c r="AH1213" s="2"/>
      <c r="AI1213" s="2"/>
      <c r="AJ1213" s="2"/>
      <c r="AK1213" s="2"/>
      <c r="AL1213" s="2"/>
      <c r="AM1213" s="1"/>
      <c r="AN1213" s="2"/>
      <c r="AP1213" s="2"/>
      <c r="AQ1213" s="1"/>
      <c r="AR1213" s="2"/>
      <c r="AU1213" s="1"/>
      <c r="AW1213" s="1"/>
      <c r="AY1213" s="2"/>
    </row>
    <row r="1214">
      <c r="A1214" s="1"/>
      <c r="C1214" s="1"/>
      <c r="E1214" s="1"/>
      <c r="F1214" s="1"/>
      <c r="G1214" s="2"/>
      <c r="H1214" s="1"/>
      <c r="I1214" s="1"/>
      <c r="J1214" s="1"/>
      <c r="K1214" s="1"/>
      <c r="M1214" s="1"/>
      <c r="N1214" s="1"/>
      <c r="O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2"/>
      <c r="AB1214" s="1"/>
      <c r="AC1214" s="1"/>
      <c r="AD1214" s="1"/>
      <c r="AE1214" s="1"/>
      <c r="AF1214" s="1"/>
      <c r="AG1214" s="1"/>
      <c r="AH1214" s="2"/>
      <c r="AI1214" s="2"/>
      <c r="AJ1214" s="2"/>
      <c r="AK1214" s="2"/>
      <c r="AL1214" s="2"/>
      <c r="AM1214" s="1"/>
      <c r="AN1214" s="2"/>
      <c r="AP1214" s="2"/>
      <c r="AQ1214" s="1"/>
      <c r="AR1214" s="2"/>
      <c r="AU1214" s="1"/>
      <c r="AW1214" s="1"/>
      <c r="AY1214" s="2"/>
    </row>
    <row r="1215">
      <c r="A1215" s="1"/>
      <c r="C1215" s="1"/>
      <c r="E1215" s="1"/>
      <c r="F1215" s="1"/>
      <c r="G1215" s="2"/>
      <c r="H1215" s="1"/>
      <c r="I1215" s="1"/>
      <c r="J1215" s="1"/>
      <c r="K1215" s="1"/>
      <c r="M1215" s="1"/>
      <c r="N1215" s="1"/>
      <c r="O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2"/>
      <c r="AB1215" s="1"/>
      <c r="AC1215" s="1"/>
      <c r="AD1215" s="1"/>
      <c r="AE1215" s="1"/>
      <c r="AF1215" s="1"/>
      <c r="AG1215" s="1"/>
      <c r="AH1215" s="2"/>
      <c r="AI1215" s="2"/>
      <c r="AJ1215" s="2"/>
      <c r="AK1215" s="2"/>
      <c r="AL1215" s="2"/>
      <c r="AM1215" s="1"/>
      <c r="AN1215" s="2"/>
      <c r="AP1215" s="2"/>
      <c r="AQ1215" s="1"/>
      <c r="AR1215" s="2"/>
      <c r="AU1215" s="1"/>
      <c r="AW1215" s="1"/>
      <c r="AY1215" s="2"/>
    </row>
    <row r="1216">
      <c r="A1216" s="1"/>
      <c r="C1216" s="1"/>
      <c r="E1216" s="1"/>
      <c r="F1216" s="1"/>
      <c r="G1216" s="2"/>
      <c r="H1216" s="1"/>
      <c r="I1216" s="1"/>
      <c r="J1216" s="1"/>
      <c r="K1216" s="1"/>
      <c r="M1216" s="1"/>
      <c r="N1216" s="1"/>
      <c r="O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2"/>
      <c r="AB1216" s="1"/>
      <c r="AC1216" s="1"/>
      <c r="AD1216" s="1"/>
      <c r="AE1216" s="1"/>
      <c r="AF1216" s="1"/>
      <c r="AG1216" s="1"/>
      <c r="AH1216" s="2"/>
      <c r="AI1216" s="2"/>
      <c r="AJ1216" s="2"/>
      <c r="AK1216" s="2"/>
      <c r="AL1216" s="2"/>
      <c r="AM1216" s="1"/>
      <c r="AN1216" s="2"/>
      <c r="AP1216" s="2"/>
      <c r="AQ1216" s="1"/>
      <c r="AR1216" s="2"/>
      <c r="AU1216" s="1"/>
      <c r="AW1216" s="1"/>
      <c r="AY1216" s="2"/>
    </row>
    <row r="1217">
      <c r="A1217" s="1"/>
      <c r="C1217" s="1"/>
      <c r="E1217" s="1"/>
      <c r="F1217" s="1"/>
      <c r="G1217" s="2"/>
      <c r="H1217" s="1"/>
      <c r="I1217" s="1"/>
      <c r="J1217" s="1"/>
      <c r="K1217" s="1"/>
      <c r="M1217" s="1"/>
      <c r="N1217" s="1"/>
      <c r="O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2"/>
      <c r="AB1217" s="1"/>
      <c r="AC1217" s="1"/>
      <c r="AD1217" s="1"/>
      <c r="AE1217" s="1"/>
      <c r="AF1217" s="1"/>
      <c r="AG1217" s="1"/>
      <c r="AH1217" s="2"/>
      <c r="AI1217" s="2"/>
      <c r="AJ1217" s="2"/>
      <c r="AK1217" s="2"/>
      <c r="AL1217" s="2"/>
      <c r="AM1217" s="1"/>
      <c r="AN1217" s="2"/>
      <c r="AP1217" s="2"/>
      <c r="AQ1217" s="1"/>
      <c r="AR1217" s="2"/>
      <c r="AU1217" s="1"/>
      <c r="AW1217" s="1"/>
      <c r="AY1217" s="2"/>
    </row>
    <row r="1218">
      <c r="A1218" s="1"/>
      <c r="C1218" s="1"/>
      <c r="E1218" s="1"/>
      <c r="F1218" s="1"/>
      <c r="G1218" s="2"/>
      <c r="H1218" s="1"/>
      <c r="I1218" s="1"/>
      <c r="J1218" s="1"/>
      <c r="K1218" s="1"/>
      <c r="M1218" s="1"/>
      <c r="N1218" s="1"/>
      <c r="O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2"/>
      <c r="AB1218" s="1"/>
      <c r="AC1218" s="1"/>
      <c r="AD1218" s="1"/>
      <c r="AE1218" s="1"/>
      <c r="AF1218" s="1"/>
      <c r="AG1218" s="1"/>
      <c r="AH1218" s="2"/>
      <c r="AI1218" s="2"/>
      <c r="AJ1218" s="2"/>
      <c r="AK1218" s="2"/>
      <c r="AL1218" s="2"/>
      <c r="AM1218" s="1"/>
      <c r="AN1218" s="2"/>
      <c r="AP1218" s="2"/>
      <c r="AQ1218" s="1"/>
      <c r="AR1218" s="2"/>
      <c r="AU1218" s="1"/>
      <c r="AW1218" s="1"/>
      <c r="AY1218" s="2"/>
    </row>
    <row r="1219">
      <c r="A1219" s="1"/>
      <c r="C1219" s="1"/>
      <c r="E1219" s="1"/>
      <c r="F1219" s="1"/>
      <c r="G1219" s="2"/>
      <c r="H1219" s="1"/>
      <c r="I1219" s="1"/>
      <c r="J1219" s="1"/>
      <c r="K1219" s="1"/>
      <c r="M1219" s="1"/>
      <c r="N1219" s="1"/>
      <c r="O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2"/>
      <c r="AB1219" s="1"/>
      <c r="AC1219" s="1"/>
      <c r="AD1219" s="1"/>
      <c r="AE1219" s="1"/>
      <c r="AF1219" s="1"/>
      <c r="AG1219" s="1"/>
      <c r="AH1219" s="2"/>
      <c r="AI1219" s="2"/>
      <c r="AJ1219" s="2"/>
      <c r="AK1219" s="2"/>
      <c r="AL1219" s="2"/>
      <c r="AM1219" s="1"/>
      <c r="AN1219" s="2"/>
      <c r="AP1219" s="2"/>
      <c r="AQ1219" s="1"/>
      <c r="AR1219" s="2"/>
      <c r="AU1219" s="1"/>
      <c r="AW1219" s="1"/>
      <c r="AY1219" s="2"/>
    </row>
    <row r="1220">
      <c r="A1220" s="1"/>
      <c r="C1220" s="1"/>
      <c r="E1220" s="1"/>
      <c r="F1220" s="1"/>
      <c r="G1220" s="2"/>
      <c r="H1220" s="1"/>
      <c r="I1220" s="1"/>
      <c r="J1220" s="1"/>
      <c r="K1220" s="1"/>
      <c r="M1220" s="1"/>
      <c r="N1220" s="1"/>
      <c r="O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2"/>
      <c r="AB1220" s="1"/>
      <c r="AC1220" s="1"/>
      <c r="AD1220" s="1"/>
      <c r="AE1220" s="1"/>
      <c r="AF1220" s="1"/>
      <c r="AG1220" s="1"/>
      <c r="AH1220" s="2"/>
      <c r="AI1220" s="2"/>
      <c r="AJ1220" s="2"/>
      <c r="AK1220" s="2"/>
      <c r="AL1220" s="2"/>
      <c r="AM1220" s="1"/>
      <c r="AN1220" s="2"/>
      <c r="AP1220" s="2"/>
      <c r="AQ1220" s="1"/>
      <c r="AR1220" s="2"/>
      <c r="AU1220" s="1"/>
      <c r="AW1220" s="1"/>
      <c r="AY1220" s="2"/>
    </row>
    <row r="1221">
      <c r="A1221" s="1"/>
      <c r="C1221" s="1"/>
      <c r="E1221" s="1"/>
      <c r="F1221" s="1"/>
      <c r="G1221" s="2"/>
      <c r="H1221" s="1"/>
      <c r="I1221" s="1"/>
      <c r="J1221" s="1"/>
      <c r="K1221" s="1"/>
      <c r="M1221" s="1"/>
      <c r="N1221" s="1"/>
      <c r="O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2"/>
      <c r="AB1221" s="1"/>
      <c r="AC1221" s="1"/>
      <c r="AD1221" s="1"/>
      <c r="AE1221" s="1"/>
      <c r="AF1221" s="1"/>
      <c r="AG1221" s="1"/>
      <c r="AH1221" s="2"/>
      <c r="AI1221" s="2"/>
      <c r="AJ1221" s="2"/>
      <c r="AK1221" s="2"/>
      <c r="AL1221" s="2"/>
      <c r="AM1221" s="1"/>
      <c r="AN1221" s="2"/>
      <c r="AP1221" s="2"/>
      <c r="AQ1221" s="1"/>
      <c r="AR1221" s="2"/>
      <c r="AU1221" s="1"/>
      <c r="AW1221" s="1"/>
      <c r="AY1221" s="2"/>
    </row>
    <row r="1222">
      <c r="A1222" s="1"/>
      <c r="C1222" s="1"/>
      <c r="E1222" s="1"/>
      <c r="F1222" s="1"/>
      <c r="G1222" s="2"/>
      <c r="H1222" s="1"/>
      <c r="I1222" s="1"/>
      <c r="J1222" s="1"/>
      <c r="K1222" s="1"/>
      <c r="M1222" s="1"/>
      <c r="N1222" s="1"/>
      <c r="O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2"/>
      <c r="AB1222" s="1"/>
      <c r="AC1222" s="1"/>
      <c r="AD1222" s="1"/>
      <c r="AE1222" s="1"/>
      <c r="AF1222" s="1"/>
      <c r="AG1222" s="1"/>
      <c r="AH1222" s="2"/>
      <c r="AI1222" s="2"/>
      <c r="AJ1222" s="2"/>
      <c r="AK1222" s="2"/>
      <c r="AL1222" s="2"/>
      <c r="AM1222" s="1"/>
      <c r="AN1222" s="2"/>
      <c r="AP1222" s="2"/>
      <c r="AQ1222" s="1"/>
      <c r="AR1222" s="2"/>
      <c r="AU1222" s="1"/>
      <c r="AW1222" s="1"/>
      <c r="AY1222" s="2"/>
    </row>
    <row r="1223">
      <c r="A1223" s="1"/>
      <c r="C1223" s="1"/>
      <c r="E1223" s="1"/>
      <c r="F1223" s="1"/>
      <c r="G1223" s="2"/>
      <c r="H1223" s="1"/>
      <c r="I1223" s="1"/>
      <c r="J1223" s="1"/>
      <c r="K1223" s="1"/>
      <c r="M1223" s="1"/>
      <c r="N1223" s="1"/>
      <c r="O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2"/>
      <c r="AB1223" s="1"/>
      <c r="AC1223" s="1"/>
      <c r="AD1223" s="1"/>
      <c r="AE1223" s="1"/>
      <c r="AF1223" s="1"/>
      <c r="AG1223" s="1"/>
      <c r="AH1223" s="2"/>
      <c r="AI1223" s="2"/>
      <c r="AJ1223" s="2"/>
      <c r="AK1223" s="2"/>
      <c r="AL1223" s="2"/>
      <c r="AM1223" s="1"/>
      <c r="AN1223" s="2"/>
      <c r="AP1223" s="2"/>
      <c r="AQ1223" s="1"/>
      <c r="AR1223" s="2"/>
      <c r="AU1223" s="1"/>
      <c r="AW1223" s="1"/>
      <c r="AY1223" s="2"/>
    </row>
    <row r="1224">
      <c r="A1224" s="1"/>
      <c r="C1224" s="1"/>
      <c r="E1224" s="1"/>
      <c r="F1224" s="1"/>
      <c r="G1224" s="2"/>
      <c r="H1224" s="1"/>
      <c r="I1224" s="1"/>
      <c r="J1224" s="1"/>
      <c r="K1224" s="1"/>
      <c r="M1224" s="1"/>
      <c r="N1224" s="1"/>
      <c r="O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2"/>
      <c r="AB1224" s="1"/>
      <c r="AC1224" s="1"/>
      <c r="AD1224" s="1"/>
      <c r="AE1224" s="1"/>
      <c r="AF1224" s="1"/>
      <c r="AG1224" s="1"/>
      <c r="AH1224" s="2"/>
      <c r="AI1224" s="2"/>
      <c r="AJ1224" s="2"/>
      <c r="AK1224" s="2"/>
      <c r="AL1224" s="2"/>
      <c r="AM1224" s="1"/>
      <c r="AN1224" s="2"/>
      <c r="AP1224" s="2"/>
      <c r="AQ1224" s="1"/>
      <c r="AR1224" s="2"/>
      <c r="AU1224" s="1"/>
      <c r="AW1224" s="1"/>
      <c r="AY1224" s="2"/>
    </row>
    <row r="1225">
      <c r="A1225" s="1"/>
      <c r="C1225" s="1"/>
      <c r="E1225" s="1"/>
      <c r="F1225" s="1"/>
      <c r="G1225" s="2"/>
      <c r="H1225" s="1"/>
      <c r="I1225" s="1"/>
      <c r="J1225" s="1"/>
      <c r="K1225" s="1"/>
      <c r="M1225" s="1"/>
      <c r="N1225" s="1"/>
      <c r="O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2"/>
      <c r="AB1225" s="1"/>
      <c r="AC1225" s="1"/>
      <c r="AD1225" s="1"/>
      <c r="AE1225" s="1"/>
      <c r="AF1225" s="1"/>
      <c r="AG1225" s="1"/>
      <c r="AH1225" s="2"/>
      <c r="AI1225" s="2"/>
      <c r="AJ1225" s="2"/>
      <c r="AK1225" s="2"/>
      <c r="AL1225" s="2"/>
      <c r="AM1225" s="1"/>
      <c r="AN1225" s="2"/>
      <c r="AP1225" s="2"/>
      <c r="AQ1225" s="1"/>
      <c r="AR1225" s="2"/>
      <c r="AU1225" s="1"/>
      <c r="AW1225" s="1"/>
      <c r="AY1225" s="2"/>
    </row>
    <row r="1226">
      <c r="A1226" s="1"/>
      <c r="C1226" s="1"/>
      <c r="E1226" s="1"/>
      <c r="F1226" s="1"/>
      <c r="G1226" s="2"/>
      <c r="H1226" s="1"/>
      <c r="I1226" s="1"/>
      <c r="J1226" s="1"/>
      <c r="K1226" s="1"/>
      <c r="M1226" s="1"/>
      <c r="N1226" s="1"/>
      <c r="O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2"/>
      <c r="AB1226" s="1"/>
      <c r="AC1226" s="1"/>
      <c r="AD1226" s="1"/>
      <c r="AE1226" s="1"/>
      <c r="AF1226" s="1"/>
      <c r="AG1226" s="1"/>
      <c r="AH1226" s="2"/>
      <c r="AI1226" s="2"/>
      <c r="AJ1226" s="2"/>
      <c r="AK1226" s="2"/>
      <c r="AL1226" s="2"/>
      <c r="AM1226" s="1"/>
      <c r="AN1226" s="2"/>
      <c r="AP1226" s="2"/>
      <c r="AQ1226" s="1"/>
      <c r="AR1226" s="2"/>
      <c r="AU1226" s="1"/>
      <c r="AW1226" s="1"/>
      <c r="AY1226" s="2"/>
    </row>
    <row r="1227">
      <c r="A1227" s="1"/>
      <c r="C1227" s="1"/>
      <c r="E1227" s="1"/>
      <c r="F1227" s="1"/>
      <c r="G1227" s="2"/>
      <c r="H1227" s="1"/>
      <c r="I1227" s="1"/>
      <c r="J1227" s="1"/>
      <c r="K1227" s="1"/>
      <c r="M1227" s="1"/>
      <c r="N1227" s="1"/>
      <c r="O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2"/>
      <c r="AB1227" s="1"/>
      <c r="AC1227" s="1"/>
      <c r="AD1227" s="1"/>
      <c r="AE1227" s="1"/>
      <c r="AF1227" s="1"/>
      <c r="AG1227" s="1"/>
      <c r="AH1227" s="2"/>
      <c r="AI1227" s="2"/>
      <c r="AJ1227" s="2"/>
      <c r="AK1227" s="2"/>
      <c r="AL1227" s="2"/>
      <c r="AM1227" s="1"/>
      <c r="AN1227" s="2"/>
      <c r="AP1227" s="2"/>
      <c r="AQ1227" s="1"/>
      <c r="AR1227" s="2"/>
      <c r="AU1227" s="1"/>
      <c r="AW1227" s="1"/>
      <c r="AY1227" s="2"/>
    </row>
    <row r="1228">
      <c r="A1228" s="1"/>
      <c r="C1228" s="1"/>
      <c r="E1228" s="1"/>
      <c r="F1228" s="1"/>
      <c r="G1228" s="2"/>
      <c r="H1228" s="1"/>
      <c r="I1228" s="1"/>
      <c r="J1228" s="1"/>
      <c r="K1228" s="1"/>
      <c r="M1228" s="1"/>
      <c r="N1228" s="1"/>
      <c r="O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2"/>
      <c r="AB1228" s="1"/>
      <c r="AC1228" s="1"/>
      <c r="AD1228" s="1"/>
      <c r="AE1228" s="1"/>
      <c r="AF1228" s="1"/>
      <c r="AG1228" s="1"/>
      <c r="AH1228" s="2"/>
      <c r="AI1228" s="2"/>
      <c r="AJ1228" s="2"/>
      <c r="AK1228" s="2"/>
      <c r="AL1228" s="2"/>
      <c r="AM1228" s="1"/>
      <c r="AN1228" s="2"/>
      <c r="AP1228" s="2"/>
      <c r="AQ1228" s="1"/>
      <c r="AR1228" s="2"/>
      <c r="AU1228" s="1"/>
      <c r="AW1228" s="1"/>
      <c r="AY1228" s="2"/>
    </row>
    <row r="1229">
      <c r="A1229" s="1"/>
      <c r="C1229" s="1"/>
      <c r="E1229" s="1"/>
      <c r="F1229" s="1"/>
      <c r="G1229" s="2"/>
      <c r="H1229" s="1"/>
      <c r="I1229" s="1"/>
      <c r="J1229" s="1"/>
      <c r="K1229" s="1"/>
      <c r="M1229" s="1"/>
      <c r="N1229" s="1"/>
      <c r="O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2"/>
      <c r="AB1229" s="1"/>
      <c r="AC1229" s="1"/>
      <c r="AD1229" s="1"/>
      <c r="AE1229" s="1"/>
      <c r="AF1229" s="1"/>
      <c r="AG1229" s="1"/>
      <c r="AH1229" s="2"/>
      <c r="AI1229" s="2"/>
      <c r="AJ1229" s="2"/>
      <c r="AK1229" s="2"/>
      <c r="AL1229" s="2"/>
      <c r="AM1229" s="1"/>
      <c r="AN1229" s="2"/>
      <c r="AP1229" s="2"/>
      <c r="AQ1229" s="1"/>
      <c r="AR1229" s="2"/>
      <c r="AU1229" s="1"/>
      <c r="AW1229" s="1"/>
      <c r="AY1229" s="2"/>
    </row>
    <row r="1230">
      <c r="A1230" s="1"/>
      <c r="C1230" s="1"/>
      <c r="E1230" s="1"/>
      <c r="F1230" s="1"/>
      <c r="G1230" s="2"/>
      <c r="H1230" s="1"/>
      <c r="I1230" s="1"/>
      <c r="J1230" s="1"/>
      <c r="K1230" s="1"/>
      <c r="M1230" s="1"/>
      <c r="N1230" s="1"/>
      <c r="O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2"/>
      <c r="AB1230" s="1"/>
      <c r="AC1230" s="1"/>
      <c r="AD1230" s="1"/>
      <c r="AE1230" s="1"/>
      <c r="AF1230" s="1"/>
      <c r="AG1230" s="1"/>
      <c r="AH1230" s="2"/>
      <c r="AI1230" s="2"/>
      <c r="AJ1230" s="2"/>
      <c r="AK1230" s="2"/>
      <c r="AL1230" s="2"/>
      <c r="AM1230" s="1"/>
      <c r="AN1230" s="2"/>
      <c r="AP1230" s="2"/>
      <c r="AQ1230" s="1"/>
      <c r="AR1230" s="2"/>
      <c r="AU1230" s="1"/>
      <c r="AW1230" s="1"/>
      <c r="AY1230" s="2"/>
    </row>
    <row r="1231">
      <c r="A1231" s="1"/>
      <c r="C1231" s="1"/>
      <c r="E1231" s="1"/>
      <c r="F1231" s="1"/>
      <c r="G1231" s="2"/>
      <c r="H1231" s="1"/>
      <c r="I1231" s="1"/>
      <c r="J1231" s="1"/>
      <c r="K1231" s="1"/>
      <c r="M1231" s="1"/>
      <c r="N1231" s="1"/>
      <c r="O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2"/>
      <c r="AB1231" s="1"/>
      <c r="AC1231" s="1"/>
      <c r="AD1231" s="1"/>
      <c r="AE1231" s="1"/>
      <c r="AF1231" s="1"/>
      <c r="AG1231" s="1"/>
      <c r="AH1231" s="2"/>
      <c r="AI1231" s="2"/>
      <c r="AJ1231" s="2"/>
      <c r="AK1231" s="2"/>
      <c r="AL1231" s="2"/>
      <c r="AM1231" s="1"/>
      <c r="AN1231" s="2"/>
      <c r="AP1231" s="2"/>
      <c r="AQ1231" s="1"/>
      <c r="AR1231" s="2"/>
      <c r="AU1231" s="1"/>
      <c r="AW1231" s="1"/>
      <c r="AY1231" s="2"/>
    </row>
    <row r="1232">
      <c r="A1232" s="1"/>
      <c r="C1232" s="1"/>
      <c r="E1232" s="1"/>
      <c r="F1232" s="1"/>
      <c r="G1232" s="2"/>
      <c r="H1232" s="1"/>
      <c r="I1232" s="1"/>
      <c r="J1232" s="1"/>
      <c r="K1232" s="1"/>
      <c r="M1232" s="1"/>
      <c r="N1232" s="1"/>
      <c r="O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2"/>
      <c r="AB1232" s="1"/>
      <c r="AC1232" s="1"/>
      <c r="AD1232" s="1"/>
      <c r="AE1232" s="1"/>
      <c r="AF1232" s="1"/>
      <c r="AG1232" s="1"/>
      <c r="AH1232" s="2"/>
      <c r="AI1232" s="2"/>
      <c r="AJ1232" s="2"/>
      <c r="AK1232" s="2"/>
      <c r="AL1232" s="2"/>
      <c r="AM1232" s="1"/>
      <c r="AN1232" s="2"/>
      <c r="AP1232" s="2"/>
      <c r="AQ1232" s="1"/>
      <c r="AR1232" s="2"/>
      <c r="AU1232" s="1"/>
      <c r="AW1232" s="1"/>
      <c r="AY1232" s="2"/>
    </row>
    <row r="1233">
      <c r="A1233" s="1"/>
      <c r="C1233" s="1"/>
      <c r="E1233" s="1"/>
      <c r="F1233" s="1"/>
      <c r="G1233" s="2"/>
      <c r="H1233" s="1"/>
      <c r="I1233" s="1"/>
      <c r="J1233" s="1"/>
      <c r="K1233" s="1"/>
      <c r="M1233" s="1"/>
      <c r="N1233" s="1"/>
      <c r="O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2"/>
      <c r="AB1233" s="1"/>
      <c r="AC1233" s="1"/>
      <c r="AD1233" s="1"/>
      <c r="AE1233" s="1"/>
      <c r="AF1233" s="1"/>
      <c r="AG1233" s="1"/>
      <c r="AH1233" s="2"/>
      <c r="AI1233" s="2"/>
      <c r="AJ1233" s="2"/>
      <c r="AK1233" s="2"/>
      <c r="AL1233" s="2"/>
      <c r="AM1233" s="1"/>
      <c r="AN1233" s="2"/>
      <c r="AP1233" s="2"/>
      <c r="AQ1233" s="1"/>
      <c r="AR1233" s="2"/>
      <c r="AU1233" s="1"/>
      <c r="AW1233" s="1"/>
      <c r="AY1233" s="2"/>
    </row>
    <row r="1234">
      <c r="A1234" s="1"/>
      <c r="C1234" s="1"/>
      <c r="E1234" s="1"/>
      <c r="F1234" s="1"/>
      <c r="G1234" s="2"/>
      <c r="H1234" s="1"/>
      <c r="I1234" s="1"/>
      <c r="J1234" s="1"/>
      <c r="K1234" s="1"/>
      <c r="M1234" s="1"/>
      <c r="N1234" s="1"/>
      <c r="O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2"/>
      <c r="AB1234" s="1"/>
      <c r="AC1234" s="1"/>
      <c r="AD1234" s="1"/>
      <c r="AE1234" s="1"/>
      <c r="AF1234" s="1"/>
      <c r="AG1234" s="1"/>
      <c r="AH1234" s="2"/>
      <c r="AI1234" s="2"/>
      <c r="AJ1234" s="2"/>
      <c r="AK1234" s="2"/>
      <c r="AL1234" s="2"/>
      <c r="AM1234" s="1"/>
      <c r="AN1234" s="2"/>
      <c r="AP1234" s="2"/>
      <c r="AQ1234" s="1"/>
      <c r="AR1234" s="2"/>
      <c r="AU1234" s="1"/>
      <c r="AW1234" s="1"/>
      <c r="AY1234" s="2"/>
    </row>
    <row r="1235">
      <c r="A1235" s="1"/>
      <c r="C1235" s="1"/>
      <c r="E1235" s="1"/>
      <c r="F1235" s="1"/>
      <c r="G1235" s="2"/>
      <c r="H1235" s="1"/>
      <c r="I1235" s="1"/>
      <c r="J1235" s="1"/>
      <c r="K1235" s="1"/>
      <c r="M1235" s="1"/>
      <c r="N1235" s="1"/>
      <c r="O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2"/>
      <c r="AB1235" s="1"/>
      <c r="AC1235" s="1"/>
      <c r="AD1235" s="1"/>
      <c r="AE1235" s="1"/>
      <c r="AF1235" s="1"/>
      <c r="AG1235" s="1"/>
      <c r="AH1235" s="2"/>
      <c r="AI1235" s="2"/>
      <c r="AJ1235" s="2"/>
      <c r="AK1235" s="2"/>
      <c r="AL1235" s="2"/>
      <c r="AM1235" s="1"/>
      <c r="AN1235" s="2"/>
      <c r="AP1235" s="2"/>
      <c r="AQ1235" s="1"/>
      <c r="AR1235" s="2"/>
      <c r="AU1235" s="1"/>
      <c r="AW1235" s="1"/>
      <c r="AY1235" s="2"/>
    </row>
    <row r="1236">
      <c r="A1236" s="1"/>
      <c r="C1236" s="1"/>
      <c r="E1236" s="1"/>
      <c r="F1236" s="1"/>
      <c r="G1236" s="2"/>
      <c r="H1236" s="1"/>
      <c r="I1236" s="1"/>
      <c r="J1236" s="1"/>
      <c r="K1236" s="1"/>
      <c r="M1236" s="1"/>
      <c r="N1236" s="1"/>
      <c r="O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2"/>
      <c r="AB1236" s="1"/>
      <c r="AC1236" s="1"/>
      <c r="AD1236" s="1"/>
      <c r="AE1236" s="1"/>
      <c r="AF1236" s="1"/>
      <c r="AG1236" s="1"/>
      <c r="AH1236" s="2"/>
      <c r="AI1236" s="2"/>
      <c r="AJ1236" s="2"/>
      <c r="AK1236" s="2"/>
      <c r="AL1236" s="2"/>
      <c r="AM1236" s="1"/>
      <c r="AN1236" s="2"/>
      <c r="AP1236" s="2"/>
      <c r="AQ1236" s="1"/>
      <c r="AR1236" s="2"/>
      <c r="AU1236" s="1"/>
      <c r="AW1236" s="1"/>
      <c r="AY1236" s="2"/>
    </row>
    <row r="1237">
      <c r="A1237" s="1"/>
      <c r="C1237" s="1"/>
      <c r="E1237" s="1"/>
      <c r="F1237" s="1"/>
      <c r="G1237" s="2"/>
      <c r="H1237" s="1"/>
      <c r="I1237" s="1"/>
      <c r="J1237" s="1"/>
      <c r="K1237" s="1"/>
      <c r="M1237" s="1"/>
      <c r="N1237" s="1"/>
      <c r="O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2"/>
      <c r="AB1237" s="1"/>
      <c r="AC1237" s="1"/>
      <c r="AD1237" s="1"/>
      <c r="AE1237" s="1"/>
      <c r="AF1237" s="1"/>
      <c r="AG1237" s="1"/>
      <c r="AH1237" s="2"/>
      <c r="AI1237" s="2"/>
      <c r="AJ1237" s="2"/>
      <c r="AK1237" s="2"/>
      <c r="AL1237" s="2"/>
      <c r="AM1237" s="1"/>
      <c r="AN1237" s="2"/>
      <c r="AP1237" s="2"/>
      <c r="AQ1237" s="1"/>
      <c r="AR1237" s="2"/>
      <c r="AU1237" s="1"/>
      <c r="AW1237" s="1"/>
      <c r="AY1237" s="2"/>
    </row>
    <row r="1238">
      <c r="A1238" s="1"/>
      <c r="C1238" s="1"/>
      <c r="E1238" s="1"/>
      <c r="F1238" s="1"/>
      <c r="G1238" s="2"/>
      <c r="H1238" s="1"/>
      <c r="I1238" s="1"/>
      <c r="J1238" s="1"/>
      <c r="K1238" s="1"/>
      <c r="M1238" s="1"/>
      <c r="N1238" s="1"/>
      <c r="O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2"/>
      <c r="AB1238" s="1"/>
      <c r="AC1238" s="1"/>
      <c r="AD1238" s="1"/>
      <c r="AE1238" s="1"/>
      <c r="AF1238" s="1"/>
      <c r="AG1238" s="1"/>
      <c r="AH1238" s="2"/>
      <c r="AI1238" s="2"/>
      <c r="AJ1238" s="2"/>
      <c r="AK1238" s="2"/>
      <c r="AL1238" s="2"/>
      <c r="AM1238" s="1"/>
      <c r="AN1238" s="2"/>
      <c r="AP1238" s="2"/>
      <c r="AQ1238" s="1"/>
      <c r="AR1238" s="2"/>
      <c r="AU1238" s="1"/>
      <c r="AW1238" s="1"/>
      <c r="AY1238" s="2"/>
    </row>
    <row r="1239">
      <c r="A1239" s="1"/>
      <c r="C1239" s="1"/>
      <c r="E1239" s="1"/>
      <c r="F1239" s="1"/>
      <c r="G1239" s="2"/>
      <c r="H1239" s="1"/>
      <c r="I1239" s="1"/>
      <c r="J1239" s="1"/>
      <c r="K1239" s="1"/>
      <c r="M1239" s="1"/>
      <c r="N1239" s="1"/>
      <c r="O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2"/>
      <c r="AB1239" s="1"/>
      <c r="AC1239" s="1"/>
      <c r="AD1239" s="1"/>
      <c r="AE1239" s="1"/>
      <c r="AF1239" s="1"/>
      <c r="AG1239" s="1"/>
      <c r="AH1239" s="2"/>
      <c r="AI1239" s="2"/>
      <c r="AJ1239" s="2"/>
      <c r="AK1239" s="2"/>
      <c r="AL1239" s="2"/>
      <c r="AM1239" s="1"/>
      <c r="AN1239" s="2"/>
      <c r="AP1239" s="2"/>
      <c r="AQ1239" s="1"/>
      <c r="AR1239" s="2"/>
      <c r="AU1239" s="1"/>
      <c r="AW1239" s="1"/>
      <c r="AY1239" s="2"/>
    </row>
    <row r="1240">
      <c r="A1240" s="1"/>
      <c r="C1240" s="1"/>
      <c r="E1240" s="1"/>
      <c r="F1240" s="1"/>
      <c r="G1240" s="2"/>
      <c r="H1240" s="1"/>
      <c r="I1240" s="1"/>
      <c r="J1240" s="1"/>
      <c r="K1240" s="1"/>
      <c r="M1240" s="1"/>
      <c r="N1240" s="1"/>
      <c r="O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2"/>
      <c r="AB1240" s="1"/>
      <c r="AC1240" s="1"/>
      <c r="AD1240" s="1"/>
      <c r="AE1240" s="1"/>
      <c r="AF1240" s="1"/>
      <c r="AG1240" s="1"/>
      <c r="AH1240" s="2"/>
      <c r="AI1240" s="2"/>
      <c r="AJ1240" s="2"/>
      <c r="AK1240" s="2"/>
      <c r="AL1240" s="2"/>
      <c r="AM1240" s="1"/>
      <c r="AN1240" s="2"/>
      <c r="AP1240" s="2"/>
      <c r="AQ1240" s="1"/>
      <c r="AR1240" s="2"/>
      <c r="AU1240" s="1"/>
      <c r="AW1240" s="1"/>
      <c r="AY1240" s="2"/>
    </row>
    <row r="1241">
      <c r="A1241" s="1"/>
      <c r="C1241" s="1"/>
      <c r="E1241" s="1"/>
      <c r="F1241" s="1"/>
      <c r="G1241" s="2"/>
      <c r="H1241" s="1"/>
      <c r="I1241" s="1"/>
      <c r="J1241" s="1"/>
      <c r="K1241" s="1"/>
      <c r="M1241" s="1"/>
      <c r="N1241" s="1"/>
      <c r="O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2"/>
      <c r="AB1241" s="1"/>
      <c r="AC1241" s="1"/>
      <c r="AD1241" s="1"/>
      <c r="AE1241" s="1"/>
      <c r="AF1241" s="1"/>
      <c r="AG1241" s="1"/>
      <c r="AH1241" s="2"/>
      <c r="AI1241" s="2"/>
      <c r="AJ1241" s="2"/>
      <c r="AK1241" s="2"/>
      <c r="AL1241" s="2"/>
      <c r="AM1241" s="1"/>
      <c r="AN1241" s="2"/>
      <c r="AP1241" s="2"/>
      <c r="AQ1241" s="1"/>
      <c r="AR1241" s="2"/>
      <c r="AU1241" s="1"/>
      <c r="AW1241" s="1"/>
      <c r="AY1241" s="2"/>
    </row>
    <row r="1242">
      <c r="A1242" s="1"/>
      <c r="C1242" s="1"/>
      <c r="E1242" s="1"/>
      <c r="F1242" s="1"/>
      <c r="G1242" s="2"/>
      <c r="H1242" s="1"/>
      <c r="I1242" s="1"/>
      <c r="J1242" s="1"/>
      <c r="K1242" s="1"/>
      <c r="M1242" s="1"/>
      <c r="N1242" s="1"/>
      <c r="O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2"/>
      <c r="AB1242" s="1"/>
      <c r="AC1242" s="1"/>
      <c r="AD1242" s="1"/>
      <c r="AE1242" s="1"/>
      <c r="AF1242" s="1"/>
      <c r="AG1242" s="1"/>
      <c r="AH1242" s="2"/>
      <c r="AI1242" s="2"/>
      <c r="AJ1242" s="2"/>
      <c r="AK1242" s="2"/>
      <c r="AL1242" s="2"/>
      <c r="AM1242" s="1"/>
      <c r="AN1242" s="2"/>
      <c r="AP1242" s="2"/>
      <c r="AQ1242" s="1"/>
      <c r="AR1242" s="2"/>
      <c r="AU1242" s="1"/>
      <c r="AW1242" s="1"/>
      <c r="AY1242" s="2"/>
    </row>
    <row r="1243">
      <c r="A1243" s="1"/>
      <c r="C1243" s="1"/>
      <c r="E1243" s="1"/>
      <c r="F1243" s="1"/>
      <c r="G1243" s="2"/>
      <c r="H1243" s="1"/>
      <c r="I1243" s="1"/>
      <c r="J1243" s="1"/>
      <c r="K1243" s="1"/>
      <c r="M1243" s="1"/>
      <c r="N1243" s="1"/>
      <c r="O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2"/>
      <c r="AB1243" s="1"/>
      <c r="AC1243" s="1"/>
      <c r="AD1243" s="1"/>
      <c r="AE1243" s="1"/>
      <c r="AF1243" s="1"/>
      <c r="AG1243" s="1"/>
      <c r="AH1243" s="2"/>
      <c r="AI1243" s="2"/>
      <c r="AJ1243" s="2"/>
      <c r="AK1243" s="2"/>
      <c r="AL1243" s="2"/>
      <c r="AM1243" s="1"/>
      <c r="AN1243" s="2"/>
      <c r="AP1243" s="2"/>
      <c r="AQ1243" s="1"/>
      <c r="AR1243" s="2"/>
      <c r="AU1243" s="1"/>
      <c r="AW1243" s="1"/>
      <c r="AY1243" s="2"/>
    </row>
    <row r="1244">
      <c r="A1244" s="1"/>
      <c r="C1244" s="1"/>
      <c r="E1244" s="1"/>
      <c r="F1244" s="1"/>
      <c r="G1244" s="2"/>
      <c r="H1244" s="1"/>
      <c r="I1244" s="1"/>
      <c r="J1244" s="1"/>
      <c r="K1244" s="1"/>
      <c r="M1244" s="1"/>
      <c r="N1244" s="1"/>
      <c r="O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2"/>
      <c r="AB1244" s="1"/>
      <c r="AC1244" s="1"/>
      <c r="AD1244" s="1"/>
      <c r="AE1244" s="1"/>
      <c r="AF1244" s="1"/>
      <c r="AG1244" s="1"/>
      <c r="AH1244" s="2"/>
      <c r="AI1244" s="2"/>
      <c r="AJ1244" s="2"/>
      <c r="AK1244" s="2"/>
      <c r="AL1244" s="2"/>
      <c r="AM1244" s="1"/>
      <c r="AN1244" s="2"/>
      <c r="AP1244" s="2"/>
      <c r="AQ1244" s="1"/>
      <c r="AR1244" s="2"/>
      <c r="AU1244" s="1"/>
      <c r="AW1244" s="1"/>
      <c r="AY1244" s="2"/>
    </row>
    <row r="1245">
      <c r="A1245" s="1"/>
      <c r="C1245" s="1"/>
      <c r="E1245" s="1"/>
      <c r="F1245" s="1"/>
      <c r="G1245" s="2"/>
      <c r="H1245" s="1"/>
      <c r="I1245" s="1"/>
      <c r="J1245" s="1"/>
      <c r="K1245" s="1"/>
      <c r="M1245" s="1"/>
      <c r="N1245" s="1"/>
      <c r="O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2"/>
      <c r="AB1245" s="1"/>
      <c r="AC1245" s="1"/>
      <c r="AD1245" s="1"/>
      <c r="AE1245" s="1"/>
      <c r="AF1245" s="1"/>
      <c r="AG1245" s="1"/>
      <c r="AH1245" s="2"/>
      <c r="AI1245" s="2"/>
      <c r="AJ1245" s="2"/>
      <c r="AK1245" s="2"/>
      <c r="AL1245" s="2"/>
      <c r="AM1245" s="1"/>
      <c r="AN1245" s="2"/>
      <c r="AP1245" s="2"/>
      <c r="AQ1245" s="1"/>
      <c r="AR1245" s="2"/>
      <c r="AU1245" s="1"/>
      <c r="AW1245" s="1"/>
      <c r="AY1245" s="2"/>
    </row>
    <row r="1246">
      <c r="A1246" s="1"/>
      <c r="C1246" s="1"/>
      <c r="E1246" s="1"/>
      <c r="F1246" s="1"/>
      <c r="G1246" s="2"/>
      <c r="H1246" s="1"/>
      <c r="I1246" s="1"/>
      <c r="J1246" s="1"/>
      <c r="K1246" s="1"/>
      <c r="M1246" s="1"/>
      <c r="N1246" s="1"/>
      <c r="O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2"/>
      <c r="AB1246" s="1"/>
      <c r="AC1246" s="1"/>
      <c r="AD1246" s="1"/>
      <c r="AE1246" s="1"/>
      <c r="AF1246" s="1"/>
      <c r="AG1246" s="1"/>
      <c r="AH1246" s="2"/>
      <c r="AI1246" s="2"/>
      <c r="AJ1246" s="2"/>
      <c r="AK1246" s="2"/>
      <c r="AL1246" s="2"/>
      <c r="AM1246" s="1"/>
      <c r="AN1246" s="2"/>
      <c r="AP1246" s="2"/>
      <c r="AQ1246" s="1"/>
      <c r="AR1246" s="2"/>
      <c r="AU1246" s="1"/>
      <c r="AW1246" s="1"/>
      <c r="AY1246" s="2"/>
    </row>
    <row r="1247">
      <c r="A1247" s="1"/>
      <c r="C1247" s="1"/>
      <c r="E1247" s="1"/>
      <c r="F1247" s="1"/>
      <c r="G1247" s="2"/>
      <c r="H1247" s="1"/>
      <c r="I1247" s="1"/>
      <c r="J1247" s="1"/>
      <c r="K1247" s="1"/>
      <c r="M1247" s="1"/>
      <c r="N1247" s="1"/>
      <c r="O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2"/>
      <c r="AB1247" s="1"/>
      <c r="AC1247" s="1"/>
      <c r="AD1247" s="1"/>
      <c r="AE1247" s="1"/>
      <c r="AF1247" s="1"/>
      <c r="AG1247" s="1"/>
      <c r="AH1247" s="2"/>
      <c r="AI1247" s="2"/>
      <c r="AJ1247" s="2"/>
      <c r="AK1247" s="2"/>
      <c r="AL1247" s="2"/>
      <c r="AM1247" s="1"/>
      <c r="AN1247" s="2"/>
      <c r="AP1247" s="2"/>
      <c r="AQ1247" s="1"/>
      <c r="AR1247" s="2"/>
      <c r="AU1247" s="1"/>
      <c r="AW1247" s="1"/>
      <c r="AY1247" s="2"/>
    </row>
    <row r="1248">
      <c r="A1248" s="1"/>
      <c r="C1248" s="1"/>
      <c r="E1248" s="1"/>
      <c r="F1248" s="1"/>
      <c r="G1248" s="2"/>
      <c r="H1248" s="1"/>
      <c r="I1248" s="1"/>
      <c r="J1248" s="1"/>
      <c r="K1248" s="1"/>
      <c r="M1248" s="1"/>
      <c r="N1248" s="1"/>
      <c r="O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2"/>
      <c r="AB1248" s="1"/>
      <c r="AC1248" s="1"/>
      <c r="AD1248" s="1"/>
      <c r="AE1248" s="1"/>
      <c r="AF1248" s="1"/>
      <c r="AG1248" s="1"/>
      <c r="AH1248" s="2"/>
      <c r="AI1248" s="2"/>
      <c r="AJ1248" s="2"/>
      <c r="AK1248" s="2"/>
      <c r="AL1248" s="2"/>
      <c r="AM1248" s="1"/>
      <c r="AN1248" s="2"/>
      <c r="AP1248" s="2"/>
      <c r="AQ1248" s="1"/>
      <c r="AR1248" s="2"/>
      <c r="AU1248" s="1"/>
      <c r="AW1248" s="1"/>
      <c r="AY1248" s="2"/>
    </row>
    <row r="1249">
      <c r="A1249" s="1"/>
      <c r="C1249" s="1"/>
      <c r="E1249" s="1"/>
      <c r="F1249" s="1"/>
      <c r="G1249" s="2"/>
      <c r="H1249" s="1"/>
      <c r="I1249" s="1"/>
      <c r="J1249" s="1"/>
      <c r="K1249" s="1"/>
      <c r="M1249" s="1"/>
      <c r="N1249" s="1"/>
      <c r="O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2"/>
      <c r="AB1249" s="1"/>
      <c r="AC1249" s="1"/>
      <c r="AD1249" s="1"/>
      <c r="AE1249" s="1"/>
      <c r="AF1249" s="1"/>
      <c r="AG1249" s="1"/>
      <c r="AH1249" s="2"/>
      <c r="AI1249" s="2"/>
      <c r="AJ1249" s="2"/>
      <c r="AK1249" s="2"/>
      <c r="AL1249" s="2"/>
      <c r="AM1249" s="1"/>
      <c r="AN1249" s="2"/>
      <c r="AP1249" s="2"/>
      <c r="AQ1249" s="1"/>
      <c r="AR1249" s="2"/>
      <c r="AU1249" s="1"/>
      <c r="AW1249" s="1"/>
      <c r="AY1249" s="2"/>
    </row>
    <row r="1250">
      <c r="A1250" s="1"/>
      <c r="C1250" s="1"/>
      <c r="E1250" s="1"/>
      <c r="F1250" s="1"/>
      <c r="G1250" s="2"/>
      <c r="H1250" s="1"/>
      <c r="I1250" s="1"/>
      <c r="J1250" s="1"/>
      <c r="K1250" s="1"/>
      <c r="M1250" s="1"/>
      <c r="N1250" s="1"/>
      <c r="O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2"/>
      <c r="AB1250" s="1"/>
      <c r="AC1250" s="1"/>
      <c r="AD1250" s="1"/>
      <c r="AE1250" s="1"/>
      <c r="AF1250" s="1"/>
      <c r="AG1250" s="1"/>
      <c r="AH1250" s="2"/>
      <c r="AI1250" s="2"/>
      <c r="AJ1250" s="2"/>
      <c r="AK1250" s="2"/>
      <c r="AL1250" s="2"/>
      <c r="AM1250" s="1"/>
      <c r="AN1250" s="2"/>
      <c r="AP1250" s="2"/>
      <c r="AQ1250" s="1"/>
      <c r="AR1250" s="2"/>
      <c r="AU1250" s="1"/>
      <c r="AW1250" s="1"/>
      <c r="AY1250" s="2"/>
    </row>
    <row r="1251">
      <c r="A1251" s="1"/>
      <c r="C1251" s="1"/>
      <c r="E1251" s="1"/>
      <c r="F1251" s="1"/>
      <c r="G1251" s="2"/>
      <c r="H1251" s="1"/>
      <c r="I1251" s="1"/>
      <c r="J1251" s="1"/>
      <c r="K1251" s="1"/>
      <c r="M1251" s="1"/>
      <c r="N1251" s="1"/>
      <c r="O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2"/>
      <c r="AB1251" s="1"/>
      <c r="AC1251" s="1"/>
      <c r="AD1251" s="1"/>
      <c r="AE1251" s="1"/>
      <c r="AF1251" s="1"/>
      <c r="AG1251" s="1"/>
      <c r="AH1251" s="2"/>
      <c r="AI1251" s="2"/>
      <c r="AJ1251" s="2"/>
      <c r="AK1251" s="2"/>
      <c r="AL1251" s="2"/>
      <c r="AM1251" s="1"/>
      <c r="AN1251" s="2"/>
      <c r="AP1251" s="2"/>
      <c r="AQ1251" s="1"/>
      <c r="AR1251" s="2"/>
      <c r="AU1251" s="1"/>
      <c r="AW1251" s="1"/>
      <c r="AY1251" s="2"/>
    </row>
    <row r="1252">
      <c r="A1252" s="1"/>
      <c r="C1252" s="1"/>
      <c r="E1252" s="1"/>
      <c r="F1252" s="1"/>
      <c r="G1252" s="2"/>
      <c r="H1252" s="1"/>
      <c r="I1252" s="1"/>
      <c r="J1252" s="1"/>
      <c r="K1252" s="1"/>
      <c r="M1252" s="1"/>
      <c r="N1252" s="1"/>
      <c r="O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2"/>
      <c r="AB1252" s="1"/>
      <c r="AC1252" s="1"/>
      <c r="AD1252" s="1"/>
      <c r="AE1252" s="1"/>
      <c r="AF1252" s="1"/>
      <c r="AG1252" s="1"/>
      <c r="AH1252" s="2"/>
      <c r="AI1252" s="2"/>
      <c r="AJ1252" s="2"/>
      <c r="AK1252" s="2"/>
      <c r="AL1252" s="2"/>
      <c r="AM1252" s="1"/>
      <c r="AN1252" s="2"/>
      <c r="AP1252" s="2"/>
      <c r="AQ1252" s="1"/>
      <c r="AR1252" s="2"/>
      <c r="AU1252" s="1"/>
      <c r="AW1252" s="1"/>
      <c r="AY1252" s="2"/>
    </row>
    <row r="1253">
      <c r="A1253" s="1"/>
      <c r="C1253" s="1"/>
      <c r="E1253" s="1"/>
      <c r="F1253" s="1"/>
      <c r="G1253" s="2"/>
      <c r="H1253" s="1"/>
      <c r="I1253" s="1"/>
      <c r="J1253" s="1"/>
      <c r="K1253" s="1"/>
      <c r="M1253" s="1"/>
      <c r="N1253" s="1"/>
      <c r="O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2"/>
      <c r="AB1253" s="1"/>
      <c r="AC1253" s="1"/>
      <c r="AD1253" s="1"/>
      <c r="AE1253" s="1"/>
      <c r="AF1253" s="1"/>
      <c r="AG1253" s="1"/>
      <c r="AH1253" s="2"/>
      <c r="AI1253" s="2"/>
      <c r="AJ1253" s="2"/>
      <c r="AK1253" s="2"/>
      <c r="AL1253" s="2"/>
      <c r="AM1253" s="1"/>
      <c r="AN1253" s="2"/>
      <c r="AP1253" s="2"/>
      <c r="AQ1253" s="1"/>
      <c r="AR1253" s="2"/>
      <c r="AU1253" s="1"/>
      <c r="AW1253" s="1"/>
      <c r="AY1253" s="2"/>
    </row>
    <row r="1254">
      <c r="A1254" s="1"/>
      <c r="C1254" s="1"/>
      <c r="E1254" s="1"/>
      <c r="F1254" s="1"/>
      <c r="G1254" s="2"/>
      <c r="H1254" s="1"/>
      <c r="I1254" s="1"/>
      <c r="J1254" s="1"/>
      <c r="K1254" s="1"/>
      <c r="M1254" s="1"/>
      <c r="N1254" s="1"/>
      <c r="O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2"/>
      <c r="AB1254" s="1"/>
      <c r="AC1254" s="1"/>
      <c r="AD1254" s="1"/>
      <c r="AE1254" s="1"/>
      <c r="AF1254" s="1"/>
      <c r="AG1254" s="1"/>
      <c r="AH1254" s="2"/>
      <c r="AI1254" s="2"/>
      <c r="AJ1254" s="2"/>
      <c r="AK1254" s="2"/>
      <c r="AL1254" s="2"/>
      <c r="AM1254" s="1"/>
      <c r="AN1254" s="2"/>
      <c r="AP1254" s="2"/>
      <c r="AQ1254" s="1"/>
      <c r="AR1254" s="2"/>
      <c r="AU1254" s="1"/>
      <c r="AW1254" s="1"/>
      <c r="AY1254" s="2"/>
    </row>
    <row r="1255">
      <c r="A1255" s="1"/>
      <c r="C1255" s="1"/>
      <c r="E1255" s="1"/>
      <c r="F1255" s="1"/>
      <c r="G1255" s="2"/>
      <c r="H1255" s="1"/>
      <c r="I1255" s="1"/>
      <c r="J1255" s="1"/>
      <c r="K1255" s="1"/>
      <c r="M1255" s="1"/>
      <c r="N1255" s="1"/>
      <c r="O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2"/>
      <c r="AB1255" s="1"/>
      <c r="AC1255" s="1"/>
      <c r="AD1255" s="1"/>
      <c r="AE1255" s="1"/>
      <c r="AF1255" s="1"/>
      <c r="AG1255" s="1"/>
      <c r="AH1255" s="2"/>
      <c r="AI1255" s="2"/>
      <c r="AJ1255" s="2"/>
      <c r="AK1255" s="2"/>
      <c r="AL1255" s="2"/>
      <c r="AM1255" s="1"/>
      <c r="AN1255" s="2"/>
      <c r="AP1255" s="2"/>
      <c r="AQ1255" s="1"/>
      <c r="AR1255" s="2"/>
      <c r="AU1255" s="1"/>
      <c r="AW1255" s="1"/>
      <c r="AY1255" s="2"/>
    </row>
    <row r="1256">
      <c r="A1256" s="1"/>
      <c r="C1256" s="1"/>
      <c r="E1256" s="1"/>
      <c r="F1256" s="1"/>
      <c r="G1256" s="2"/>
      <c r="H1256" s="1"/>
      <c r="I1256" s="1"/>
      <c r="J1256" s="1"/>
      <c r="K1256" s="1"/>
      <c r="M1256" s="1"/>
      <c r="N1256" s="1"/>
      <c r="O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2"/>
      <c r="AB1256" s="1"/>
      <c r="AC1256" s="1"/>
      <c r="AD1256" s="1"/>
      <c r="AE1256" s="1"/>
      <c r="AF1256" s="1"/>
      <c r="AG1256" s="1"/>
      <c r="AH1256" s="2"/>
      <c r="AI1256" s="2"/>
      <c r="AJ1256" s="2"/>
      <c r="AK1256" s="2"/>
      <c r="AL1256" s="2"/>
      <c r="AM1256" s="1"/>
      <c r="AN1256" s="2"/>
      <c r="AP1256" s="2"/>
      <c r="AQ1256" s="1"/>
      <c r="AR1256" s="2"/>
      <c r="AU1256" s="1"/>
      <c r="AW1256" s="1"/>
      <c r="AY1256" s="2"/>
    </row>
    <row r="1257">
      <c r="A1257" s="1"/>
      <c r="C1257" s="1"/>
      <c r="E1257" s="1"/>
      <c r="F1257" s="1"/>
      <c r="G1257" s="2"/>
      <c r="H1257" s="1"/>
      <c r="I1257" s="1"/>
      <c r="J1257" s="1"/>
      <c r="K1257" s="1"/>
      <c r="M1257" s="1"/>
      <c r="N1257" s="1"/>
      <c r="O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2"/>
      <c r="AB1257" s="1"/>
      <c r="AC1257" s="1"/>
      <c r="AD1257" s="1"/>
      <c r="AE1257" s="1"/>
      <c r="AF1257" s="1"/>
      <c r="AG1257" s="1"/>
      <c r="AH1257" s="2"/>
      <c r="AI1257" s="2"/>
      <c r="AJ1257" s="2"/>
      <c r="AK1257" s="2"/>
      <c r="AL1257" s="2"/>
      <c r="AM1257" s="1"/>
      <c r="AN1257" s="2"/>
      <c r="AP1257" s="2"/>
      <c r="AQ1257" s="1"/>
      <c r="AR1257" s="2"/>
      <c r="AU1257" s="1"/>
      <c r="AW1257" s="1"/>
      <c r="AY1257" s="2"/>
    </row>
    <row r="1258">
      <c r="A1258" s="1"/>
      <c r="C1258" s="1"/>
      <c r="E1258" s="1"/>
      <c r="F1258" s="1"/>
      <c r="G1258" s="2"/>
      <c r="H1258" s="1"/>
      <c r="I1258" s="1"/>
      <c r="J1258" s="1"/>
      <c r="K1258" s="1"/>
      <c r="M1258" s="1"/>
      <c r="N1258" s="1"/>
      <c r="O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2"/>
      <c r="AB1258" s="1"/>
      <c r="AC1258" s="1"/>
      <c r="AD1258" s="1"/>
      <c r="AE1258" s="1"/>
      <c r="AF1258" s="1"/>
      <c r="AG1258" s="1"/>
      <c r="AH1258" s="2"/>
      <c r="AI1258" s="2"/>
      <c r="AJ1258" s="2"/>
      <c r="AK1258" s="2"/>
      <c r="AL1258" s="2"/>
      <c r="AM1258" s="1"/>
      <c r="AN1258" s="2"/>
      <c r="AP1258" s="2"/>
      <c r="AQ1258" s="1"/>
      <c r="AR1258" s="2"/>
      <c r="AU1258" s="1"/>
      <c r="AW1258" s="1"/>
      <c r="AY1258" s="2"/>
    </row>
    <row r="1259">
      <c r="A1259" s="1"/>
      <c r="C1259" s="1"/>
      <c r="E1259" s="1"/>
      <c r="F1259" s="1"/>
      <c r="G1259" s="2"/>
      <c r="H1259" s="1"/>
      <c r="I1259" s="1"/>
      <c r="J1259" s="1"/>
      <c r="K1259" s="1"/>
      <c r="M1259" s="1"/>
      <c r="N1259" s="1"/>
      <c r="O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2"/>
      <c r="AB1259" s="1"/>
      <c r="AC1259" s="1"/>
      <c r="AD1259" s="1"/>
      <c r="AE1259" s="1"/>
      <c r="AF1259" s="1"/>
      <c r="AG1259" s="1"/>
      <c r="AH1259" s="2"/>
      <c r="AI1259" s="2"/>
      <c r="AJ1259" s="2"/>
      <c r="AK1259" s="2"/>
      <c r="AL1259" s="2"/>
      <c r="AM1259" s="1"/>
      <c r="AN1259" s="2"/>
      <c r="AP1259" s="2"/>
      <c r="AQ1259" s="1"/>
      <c r="AR1259" s="2"/>
      <c r="AU1259" s="1"/>
      <c r="AW1259" s="1"/>
      <c r="AY1259" s="2"/>
    </row>
    <row r="1260">
      <c r="A1260" s="1"/>
      <c r="C1260" s="1"/>
      <c r="E1260" s="1"/>
      <c r="F1260" s="1"/>
      <c r="G1260" s="2"/>
      <c r="H1260" s="1"/>
      <c r="I1260" s="1"/>
      <c r="J1260" s="1"/>
      <c r="K1260" s="1"/>
      <c r="M1260" s="1"/>
      <c r="N1260" s="1"/>
      <c r="O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2"/>
      <c r="AB1260" s="1"/>
      <c r="AC1260" s="1"/>
      <c r="AD1260" s="1"/>
      <c r="AE1260" s="1"/>
      <c r="AF1260" s="1"/>
      <c r="AG1260" s="1"/>
      <c r="AH1260" s="2"/>
      <c r="AI1260" s="2"/>
      <c r="AJ1260" s="2"/>
      <c r="AK1260" s="2"/>
      <c r="AL1260" s="2"/>
      <c r="AM1260" s="1"/>
      <c r="AN1260" s="2"/>
      <c r="AP1260" s="2"/>
      <c r="AQ1260" s="1"/>
      <c r="AR1260" s="2"/>
      <c r="AU1260" s="1"/>
      <c r="AW1260" s="1"/>
      <c r="AY1260" s="2"/>
    </row>
    <row r="1261">
      <c r="A1261" s="1"/>
      <c r="C1261" s="1"/>
      <c r="E1261" s="1"/>
      <c r="F1261" s="1"/>
      <c r="G1261" s="2"/>
      <c r="H1261" s="1"/>
      <c r="I1261" s="1"/>
      <c r="J1261" s="1"/>
      <c r="K1261" s="1"/>
      <c r="M1261" s="1"/>
      <c r="N1261" s="1"/>
      <c r="O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2"/>
      <c r="AB1261" s="1"/>
      <c r="AC1261" s="1"/>
      <c r="AD1261" s="1"/>
      <c r="AE1261" s="1"/>
      <c r="AF1261" s="1"/>
      <c r="AG1261" s="1"/>
      <c r="AH1261" s="2"/>
      <c r="AI1261" s="2"/>
      <c r="AJ1261" s="2"/>
      <c r="AK1261" s="2"/>
      <c r="AL1261" s="2"/>
      <c r="AM1261" s="1"/>
      <c r="AN1261" s="2"/>
      <c r="AP1261" s="2"/>
      <c r="AQ1261" s="1"/>
      <c r="AR1261" s="2"/>
      <c r="AU1261" s="1"/>
      <c r="AW1261" s="1"/>
      <c r="AY1261" s="2"/>
    </row>
    <row r="1262">
      <c r="A1262" s="1"/>
      <c r="C1262" s="1"/>
      <c r="E1262" s="1"/>
      <c r="F1262" s="1"/>
      <c r="G1262" s="2"/>
      <c r="H1262" s="1"/>
      <c r="I1262" s="1"/>
      <c r="J1262" s="1"/>
      <c r="K1262" s="1"/>
      <c r="M1262" s="1"/>
      <c r="N1262" s="1"/>
      <c r="O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2"/>
      <c r="AB1262" s="1"/>
      <c r="AC1262" s="1"/>
      <c r="AD1262" s="1"/>
      <c r="AE1262" s="1"/>
      <c r="AF1262" s="1"/>
      <c r="AG1262" s="1"/>
      <c r="AH1262" s="2"/>
      <c r="AI1262" s="2"/>
      <c r="AJ1262" s="2"/>
      <c r="AK1262" s="2"/>
      <c r="AL1262" s="2"/>
      <c r="AM1262" s="1"/>
      <c r="AN1262" s="2"/>
      <c r="AP1262" s="2"/>
      <c r="AQ1262" s="1"/>
      <c r="AR1262" s="2"/>
      <c r="AU1262" s="1"/>
      <c r="AW1262" s="1"/>
      <c r="AY1262" s="2"/>
    </row>
    <row r="1263">
      <c r="A1263" s="1"/>
      <c r="C1263" s="1"/>
      <c r="E1263" s="1"/>
      <c r="F1263" s="1"/>
      <c r="G1263" s="2"/>
      <c r="H1263" s="1"/>
      <c r="I1263" s="1"/>
      <c r="J1263" s="1"/>
      <c r="K1263" s="1"/>
      <c r="M1263" s="1"/>
      <c r="N1263" s="1"/>
      <c r="O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2"/>
      <c r="AB1263" s="1"/>
      <c r="AC1263" s="1"/>
      <c r="AD1263" s="1"/>
      <c r="AE1263" s="1"/>
      <c r="AF1263" s="1"/>
      <c r="AG1263" s="1"/>
      <c r="AH1263" s="2"/>
      <c r="AI1263" s="2"/>
      <c r="AJ1263" s="2"/>
      <c r="AK1263" s="2"/>
      <c r="AL1263" s="2"/>
      <c r="AM1263" s="1"/>
      <c r="AN1263" s="2"/>
      <c r="AP1263" s="2"/>
      <c r="AQ1263" s="1"/>
      <c r="AR1263" s="2"/>
      <c r="AU1263" s="1"/>
      <c r="AW1263" s="1"/>
      <c r="AY1263" s="2"/>
    </row>
    <row r="1264">
      <c r="A1264" s="1"/>
      <c r="C1264" s="1"/>
      <c r="E1264" s="1"/>
      <c r="F1264" s="1"/>
      <c r="G1264" s="2"/>
      <c r="H1264" s="1"/>
      <c r="I1264" s="1"/>
      <c r="J1264" s="1"/>
      <c r="K1264" s="1"/>
      <c r="M1264" s="1"/>
      <c r="N1264" s="1"/>
      <c r="O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2"/>
      <c r="AB1264" s="1"/>
      <c r="AC1264" s="1"/>
      <c r="AD1264" s="1"/>
      <c r="AE1264" s="1"/>
      <c r="AF1264" s="1"/>
      <c r="AG1264" s="1"/>
      <c r="AH1264" s="2"/>
      <c r="AI1264" s="2"/>
      <c r="AJ1264" s="2"/>
      <c r="AK1264" s="2"/>
      <c r="AL1264" s="2"/>
      <c r="AM1264" s="1"/>
      <c r="AN1264" s="2"/>
      <c r="AP1264" s="2"/>
      <c r="AQ1264" s="1"/>
      <c r="AR1264" s="2"/>
      <c r="AU1264" s="1"/>
      <c r="AW1264" s="1"/>
      <c r="AY1264" s="2"/>
    </row>
    <row r="1265">
      <c r="A1265" s="1"/>
      <c r="C1265" s="1"/>
      <c r="E1265" s="1"/>
      <c r="F1265" s="1"/>
      <c r="G1265" s="2"/>
      <c r="H1265" s="1"/>
      <c r="I1265" s="1"/>
      <c r="J1265" s="1"/>
      <c r="K1265" s="1"/>
      <c r="M1265" s="1"/>
      <c r="N1265" s="1"/>
      <c r="O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2"/>
      <c r="AB1265" s="1"/>
      <c r="AC1265" s="1"/>
      <c r="AD1265" s="1"/>
      <c r="AE1265" s="1"/>
      <c r="AF1265" s="1"/>
      <c r="AG1265" s="1"/>
      <c r="AH1265" s="2"/>
      <c r="AI1265" s="2"/>
      <c r="AJ1265" s="2"/>
      <c r="AK1265" s="2"/>
      <c r="AL1265" s="2"/>
      <c r="AM1265" s="1"/>
      <c r="AN1265" s="2"/>
      <c r="AP1265" s="2"/>
      <c r="AQ1265" s="1"/>
      <c r="AR1265" s="2"/>
      <c r="AU1265" s="1"/>
      <c r="AW1265" s="1"/>
      <c r="AY1265" s="2"/>
    </row>
    <row r="1266">
      <c r="A1266" s="1"/>
      <c r="C1266" s="1"/>
      <c r="E1266" s="1"/>
      <c r="F1266" s="1"/>
      <c r="G1266" s="2"/>
      <c r="H1266" s="1"/>
      <c r="I1266" s="1"/>
      <c r="J1266" s="1"/>
      <c r="K1266" s="1"/>
      <c r="M1266" s="1"/>
      <c r="N1266" s="1"/>
      <c r="O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2"/>
      <c r="AB1266" s="1"/>
      <c r="AC1266" s="1"/>
      <c r="AD1266" s="1"/>
      <c r="AE1266" s="1"/>
      <c r="AF1266" s="1"/>
      <c r="AG1266" s="1"/>
      <c r="AH1266" s="2"/>
      <c r="AI1266" s="2"/>
      <c r="AJ1266" s="2"/>
      <c r="AK1266" s="2"/>
      <c r="AL1266" s="2"/>
      <c r="AM1266" s="1"/>
      <c r="AN1266" s="2"/>
      <c r="AP1266" s="2"/>
      <c r="AQ1266" s="1"/>
      <c r="AR1266" s="2"/>
      <c r="AU1266" s="1"/>
      <c r="AW1266" s="1"/>
      <c r="AY1266" s="2"/>
    </row>
    <row r="1267">
      <c r="A1267" s="1"/>
      <c r="C1267" s="1"/>
      <c r="E1267" s="1"/>
      <c r="F1267" s="1"/>
      <c r="G1267" s="2"/>
      <c r="H1267" s="1"/>
      <c r="I1267" s="1"/>
      <c r="J1267" s="1"/>
      <c r="K1267" s="1"/>
      <c r="M1267" s="1"/>
      <c r="N1267" s="1"/>
      <c r="O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2"/>
      <c r="AB1267" s="1"/>
      <c r="AC1267" s="1"/>
      <c r="AD1267" s="1"/>
      <c r="AE1267" s="1"/>
      <c r="AF1267" s="1"/>
      <c r="AG1267" s="1"/>
      <c r="AH1267" s="2"/>
      <c r="AI1267" s="2"/>
      <c r="AJ1267" s="2"/>
      <c r="AK1267" s="2"/>
      <c r="AL1267" s="2"/>
      <c r="AM1267" s="1"/>
      <c r="AN1267" s="2"/>
      <c r="AP1267" s="2"/>
      <c r="AQ1267" s="1"/>
      <c r="AR1267" s="2"/>
      <c r="AU1267" s="1"/>
      <c r="AW1267" s="1"/>
      <c r="AY1267" s="2"/>
    </row>
    <row r="1268">
      <c r="A1268" s="1"/>
      <c r="C1268" s="1"/>
      <c r="E1268" s="1"/>
      <c r="F1268" s="1"/>
      <c r="G1268" s="2"/>
      <c r="H1268" s="1"/>
      <c r="I1268" s="1"/>
      <c r="J1268" s="1"/>
      <c r="K1268" s="1"/>
      <c r="M1268" s="1"/>
      <c r="N1268" s="1"/>
      <c r="O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2"/>
      <c r="AB1268" s="1"/>
      <c r="AC1268" s="1"/>
      <c r="AD1268" s="1"/>
      <c r="AE1268" s="1"/>
      <c r="AF1268" s="1"/>
      <c r="AG1268" s="1"/>
      <c r="AH1268" s="2"/>
      <c r="AI1268" s="2"/>
      <c r="AJ1268" s="2"/>
      <c r="AK1268" s="2"/>
      <c r="AL1268" s="2"/>
      <c r="AM1268" s="1"/>
      <c r="AN1268" s="2"/>
      <c r="AP1268" s="2"/>
      <c r="AQ1268" s="1"/>
      <c r="AR1268" s="2"/>
      <c r="AU1268" s="1"/>
      <c r="AW1268" s="1"/>
      <c r="AY1268" s="2"/>
    </row>
    <row r="1269">
      <c r="A1269" s="1"/>
      <c r="C1269" s="1"/>
      <c r="E1269" s="1"/>
      <c r="F1269" s="1"/>
      <c r="G1269" s="2"/>
      <c r="H1269" s="1"/>
      <c r="I1269" s="1"/>
      <c r="J1269" s="1"/>
      <c r="K1269" s="1"/>
      <c r="M1269" s="1"/>
      <c r="N1269" s="1"/>
      <c r="O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2"/>
      <c r="AB1269" s="1"/>
      <c r="AC1269" s="1"/>
      <c r="AD1269" s="1"/>
      <c r="AE1269" s="1"/>
      <c r="AF1269" s="1"/>
      <c r="AG1269" s="1"/>
      <c r="AH1269" s="2"/>
      <c r="AI1269" s="2"/>
      <c r="AJ1269" s="2"/>
      <c r="AK1269" s="2"/>
      <c r="AL1269" s="2"/>
      <c r="AM1269" s="1"/>
      <c r="AN1269" s="2"/>
      <c r="AP1269" s="2"/>
      <c r="AQ1269" s="1"/>
      <c r="AR1269" s="2"/>
      <c r="AU1269" s="1"/>
      <c r="AW1269" s="1"/>
      <c r="AY1269" s="2"/>
    </row>
    <row r="1270">
      <c r="A1270" s="1"/>
      <c r="C1270" s="1"/>
      <c r="E1270" s="1"/>
      <c r="F1270" s="1"/>
      <c r="G1270" s="2"/>
      <c r="H1270" s="1"/>
      <c r="I1270" s="1"/>
      <c r="J1270" s="1"/>
      <c r="K1270" s="1"/>
      <c r="M1270" s="1"/>
      <c r="N1270" s="1"/>
      <c r="O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2"/>
      <c r="AB1270" s="1"/>
      <c r="AC1270" s="1"/>
      <c r="AD1270" s="1"/>
      <c r="AE1270" s="1"/>
      <c r="AF1270" s="1"/>
      <c r="AG1270" s="1"/>
      <c r="AH1270" s="2"/>
      <c r="AI1270" s="2"/>
      <c r="AJ1270" s="2"/>
      <c r="AK1270" s="2"/>
      <c r="AL1270" s="2"/>
      <c r="AM1270" s="1"/>
      <c r="AN1270" s="2"/>
      <c r="AP1270" s="2"/>
      <c r="AQ1270" s="1"/>
      <c r="AR1270" s="2"/>
      <c r="AU1270" s="1"/>
      <c r="AW1270" s="1"/>
      <c r="AY1270" s="2"/>
    </row>
    <row r="1271">
      <c r="A1271" s="1"/>
      <c r="C1271" s="1"/>
      <c r="E1271" s="1"/>
      <c r="F1271" s="1"/>
      <c r="G1271" s="2"/>
      <c r="H1271" s="1"/>
      <c r="I1271" s="1"/>
      <c r="J1271" s="1"/>
      <c r="K1271" s="1"/>
      <c r="M1271" s="1"/>
      <c r="N1271" s="1"/>
      <c r="O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2"/>
      <c r="AB1271" s="1"/>
      <c r="AC1271" s="1"/>
      <c r="AD1271" s="1"/>
      <c r="AE1271" s="1"/>
      <c r="AF1271" s="1"/>
      <c r="AG1271" s="1"/>
      <c r="AH1271" s="2"/>
      <c r="AI1271" s="2"/>
      <c r="AJ1271" s="2"/>
      <c r="AK1271" s="2"/>
      <c r="AL1271" s="2"/>
      <c r="AM1271" s="1"/>
      <c r="AN1271" s="2"/>
      <c r="AP1271" s="2"/>
      <c r="AQ1271" s="1"/>
      <c r="AR1271" s="2"/>
      <c r="AU1271" s="1"/>
      <c r="AW1271" s="1"/>
      <c r="AY1271" s="2"/>
    </row>
    <row r="1272">
      <c r="A1272" s="1"/>
      <c r="C1272" s="1"/>
      <c r="E1272" s="1"/>
      <c r="F1272" s="1"/>
      <c r="G1272" s="2"/>
      <c r="H1272" s="1"/>
      <c r="I1272" s="1"/>
      <c r="J1272" s="1"/>
      <c r="K1272" s="1"/>
      <c r="M1272" s="1"/>
      <c r="N1272" s="1"/>
      <c r="O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2"/>
      <c r="AB1272" s="1"/>
      <c r="AC1272" s="1"/>
      <c r="AD1272" s="1"/>
      <c r="AE1272" s="1"/>
      <c r="AF1272" s="1"/>
      <c r="AG1272" s="1"/>
      <c r="AH1272" s="2"/>
      <c r="AI1272" s="2"/>
      <c r="AJ1272" s="2"/>
      <c r="AK1272" s="2"/>
      <c r="AL1272" s="2"/>
      <c r="AM1272" s="1"/>
      <c r="AN1272" s="2"/>
      <c r="AP1272" s="2"/>
      <c r="AQ1272" s="1"/>
      <c r="AR1272" s="2"/>
      <c r="AU1272" s="1"/>
      <c r="AW1272" s="1"/>
      <c r="AY1272" s="2"/>
    </row>
    <row r="1273">
      <c r="A1273" s="1"/>
      <c r="C1273" s="1"/>
      <c r="E1273" s="1"/>
      <c r="F1273" s="1"/>
      <c r="G1273" s="2"/>
      <c r="H1273" s="1"/>
      <c r="I1273" s="1"/>
      <c r="J1273" s="1"/>
      <c r="K1273" s="1"/>
      <c r="M1273" s="1"/>
      <c r="N1273" s="1"/>
      <c r="O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2"/>
      <c r="AB1273" s="1"/>
      <c r="AC1273" s="1"/>
      <c r="AD1273" s="1"/>
      <c r="AE1273" s="1"/>
      <c r="AF1273" s="1"/>
      <c r="AG1273" s="1"/>
      <c r="AH1273" s="2"/>
      <c r="AI1273" s="2"/>
      <c r="AJ1273" s="2"/>
      <c r="AK1273" s="2"/>
      <c r="AL1273" s="2"/>
      <c r="AM1273" s="1"/>
      <c r="AN1273" s="2"/>
      <c r="AP1273" s="2"/>
      <c r="AQ1273" s="1"/>
      <c r="AR1273" s="2"/>
      <c r="AU1273" s="1"/>
      <c r="AW1273" s="1"/>
      <c r="AY1273" s="2"/>
    </row>
    <row r="1274">
      <c r="A1274" s="1"/>
      <c r="C1274" s="1"/>
      <c r="E1274" s="1"/>
      <c r="F1274" s="1"/>
      <c r="G1274" s="2"/>
      <c r="H1274" s="1"/>
      <c r="I1274" s="1"/>
      <c r="J1274" s="1"/>
      <c r="K1274" s="1"/>
      <c r="M1274" s="1"/>
      <c r="N1274" s="1"/>
      <c r="O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2"/>
      <c r="AB1274" s="1"/>
      <c r="AC1274" s="1"/>
      <c r="AD1274" s="1"/>
      <c r="AE1274" s="1"/>
      <c r="AF1274" s="1"/>
      <c r="AG1274" s="1"/>
      <c r="AH1274" s="2"/>
      <c r="AI1274" s="2"/>
      <c r="AJ1274" s="2"/>
      <c r="AK1274" s="2"/>
      <c r="AL1274" s="2"/>
      <c r="AM1274" s="1"/>
      <c r="AN1274" s="2"/>
      <c r="AP1274" s="2"/>
      <c r="AQ1274" s="1"/>
      <c r="AR1274" s="2"/>
      <c r="AU1274" s="1"/>
      <c r="AW1274" s="1"/>
      <c r="AY1274" s="2"/>
    </row>
    <row r="1275">
      <c r="A1275" s="1"/>
      <c r="C1275" s="1"/>
      <c r="E1275" s="1"/>
      <c r="F1275" s="1"/>
      <c r="G1275" s="2"/>
      <c r="H1275" s="1"/>
      <c r="I1275" s="1"/>
      <c r="J1275" s="1"/>
      <c r="K1275" s="1"/>
      <c r="M1275" s="1"/>
      <c r="N1275" s="1"/>
      <c r="O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2"/>
      <c r="AB1275" s="1"/>
      <c r="AC1275" s="1"/>
      <c r="AD1275" s="1"/>
      <c r="AE1275" s="1"/>
      <c r="AF1275" s="1"/>
      <c r="AG1275" s="1"/>
      <c r="AH1275" s="2"/>
      <c r="AI1275" s="2"/>
      <c r="AJ1275" s="2"/>
      <c r="AK1275" s="2"/>
      <c r="AL1275" s="2"/>
      <c r="AM1275" s="1"/>
      <c r="AN1275" s="2"/>
      <c r="AP1275" s="2"/>
      <c r="AQ1275" s="1"/>
      <c r="AR1275" s="2"/>
      <c r="AU1275" s="1"/>
      <c r="AW1275" s="1"/>
      <c r="AY1275" s="2"/>
    </row>
    <row r="1276">
      <c r="A1276" s="1"/>
      <c r="C1276" s="1"/>
      <c r="E1276" s="1"/>
      <c r="F1276" s="1"/>
      <c r="G1276" s="2"/>
      <c r="H1276" s="1"/>
      <c r="I1276" s="1"/>
      <c r="J1276" s="1"/>
      <c r="K1276" s="1"/>
      <c r="M1276" s="1"/>
      <c r="N1276" s="1"/>
      <c r="O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2"/>
      <c r="AB1276" s="1"/>
      <c r="AC1276" s="1"/>
      <c r="AD1276" s="1"/>
      <c r="AE1276" s="1"/>
      <c r="AF1276" s="1"/>
      <c r="AG1276" s="1"/>
      <c r="AH1276" s="2"/>
      <c r="AI1276" s="2"/>
      <c r="AJ1276" s="2"/>
      <c r="AK1276" s="2"/>
      <c r="AL1276" s="2"/>
      <c r="AM1276" s="1"/>
      <c r="AN1276" s="2"/>
      <c r="AP1276" s="2"/>
      <c r="AQ1276" s="1"/>
      <c r="AR1276" s="2"/>
      <c r="AU1276" s="1"/>
      <c r="AW1276" s="1"/>
      <c r="AY1276" s="2"/>
    </row>
    <row r="1277">
      <c r="A1277" s="1"/>
      <c r="C1277" s="1"/>
      <c r="E1277" s="1"/>
      <c r="F1277" s="1"/>
      <c r="G1277" s="2"/>
      <c r="H1277" s="1"/>
      <c r="I1277" s="1"/>
      <c r="J1277" s="1"/>
      <c r="K1277" s="1"/>
      <c r="M1277" s="1"/>
      <c r="N1277" s="1"/>
      <c r="O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2"/>
      <c r="AB1277" s="1"/>
      <c r="AC1277" s="1"/>
      <c r="AD1277" s="1"/>
      <c r="AE1277" s="1"/>
      <c r="AF1277" s="1"/>
      <c r="AG1277" s="1"/>
      <c r="AH1277" s="2"/>
      <c r="AI1277" s="2"/>
      <c r="AJ1277" s="2"/>
      <c r="AK1277" s="2"/>
      <c r="AL1277" s="2"/>
      <c r="AM1277" s="1"/>
      <c r="AN1277" s="2"/>
      <c r="AP1277" s="2"/>
      <c r="AQ1277" s="1"/>
      <c r="AR1277" s="2"/>
      <c r="AU1277" s="1"/>
      <c r="AW1277" s="1"/>
      <c r="AY1277" s="2"/>
    </row>
    <row r="1278">
      <c r="A1278" s="1"/>
      <c r="C1278" s="1"/>
      <c r="E1278" s="1"/>
      <c r="F1278" s="1"/>
      <c r="G1278" s="2"/>
      <c r="H1278" s="1"/>
      <c r="I1278" s="1"/>
      <c r="J1278" s="1"/>
      <c r="K1278" s="1"/>
      <c r="M1278" s="1"/>
      <c r="N1278" s="1"/>
      <c r="O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2"/>
      <c r="AB1278" s="1"/>
      <c r="AC1278" s="1"/>
      <c r="AD1278" s="1"/>
      <c r="AE1278" s="1"/>
      <c r="AF1278" s="1"/>
      <c r="AG1278" s="1"/>
      <c r="AH1278" s="2"/>
      <c r="AI1278" s="2"/>
      <c r="AJ1278" s="2"/>
      <c r="AK1278" s="2"/>
      <c r="AL1278" s="2"/>
      <c r="AM1278" s="1"/>
      <c r="AN1278" s="2"/>
      <c r="AP1278" s="2"/>
      <c r="AQ1278" s="1"/>
      <c r="AR1278" s="2"/>
      <c r="AU1278" s="1"/>
      <c r="AW1278" s="1"/>
      <c r="AY1278" s="2"/>
    </row>
    <row r="1279">
      <c r="A1279" s="1"/>
      <c r="C1279" s="1"/>
      <c r="E1279" s="1"/>
      <c r="F1279" s="1"/>
      <c r="G1279" s="2"/>
      <c r="H1279" s="1"/>
      <c r="I1279" s="1"/>
      <c r="J1279" s="1"/>
      <c r="K1279" s="1"/>
      <c r="M1279" s="1"/>
      <c r="N1279" s="1"/>
      <c r="O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2"/>
      <c r="AB1279" s="1"/>
      <c r="AC1279" s="1"/>
      <c r="AD1279" s="1"/>
      <c r="AE1279" s="1"/>
      <c r="AF1279" s="1"/>
      <c r="AG1279" s="1"/>
      <c r="AH1279" s="2"/>
      <c r="AI1279" s="2"/>
      <c r="AJ1279" s="2"/>
      <c r="AK1279" s="2"/>
      <c r="AL1279" s="2"/>
      <c r="AM1279" s="1"/>
      <c r="AN1279" s="2"/>
      <c r="AP1279" s="2"/>
      <c r="AQ1279" s="1"/>
      <c r="AR1279" s="2"/>
      <c r="AU1279" s="1"/>
      <c r="AW1279" s="1"/>
      <c r="AY1279" s="2"/>
    </row>
    <row r="1280">
      <c r="A1280" s="1"/>
      <c r="C1280" s="1"/>
      <c r="E1280" s="1"/>
      <c r="F1280" s="1"/>
      <c r="G1280" s="2"/>
      <c r="H1280" s="1"/>
      <c r="I1280" s="1"/>
      <c r="J1280" s="1"/>
      <c r="K1280" s="1"/>
      <c r="M1280" s="1"/>
      <c r="N1280" s="1"/>
      <c r="O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2"/>
      <c r="AB1280" s="1"/>
      <c r="AC1280" s="1"/>
      <c r="AD1280" s="1"/>
      <c r="AE1280" s="1"/>
      <c r="AF1280" s="1"/>
      <c r="AG1280" s="1"/>
      <c r="AH1280" s="2"/>
      <c r="AI1280" s="2"/>
      <c r="AJ1280" s="2"/>
      <c r="AK1280" s="2"/>
      <c r="AL1280" s="2"/>
      <c r="AM1280" s="1"/>
      <c r="AN1280" s="2"/>
      <c r="AP1280" s="2"/>
      <c r="AQ1280" s="1"/>
      <c r="AR1280" s="2"/>
      <c r="AU1280" s="1"/>
      <c r="AW1280" s="1"/>
      <c r="AY1280" s="2"/>
    </row>
    <row r="1281">
      <c r="A1281" s="1"/>
      <c r="C1281" s="1"/>
      <c r="E1281" s="1"/>
      <c r="F1281" s="1"/>
      <c r="G1281" s="2"/>
      <c r="H1281" s="1"/>
      <c r="I1281" s="1"/>
      <c r="J1281" s="1"/>
      <c r="K1281" s="1"/>
      <c r="M1281" s="1"/>
      <c r="N1281" s="1"/>
      <c r="O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2"/>
      <c r="AB1281" s="1"/>
      <c r="AC1281" s="1"/>
      <c r="AD1281" s="1"/>
      <c r="AE1281" s="1"/>
      <c r="AF1281" s="1"/>
      <c r="AG1281" s="1"/>
      <c r="AH1281" s="2"/>
      <c r="AI1281" s="2"/>
      <c r="AJ1281" s="2"/>
      <c r="AK1281" s="2"/>
      <c r="AL1281" s="2"/>
      <c r="AM1281" s="1"/>
      <c r="AN1281" s="2"/>
      <c r="AP1281" s="2"/>
      <c r="AQ1281" s="1"/>
      <c r="AR1281" s="2"/>
      <c r="AU1281" s="1"/>
      <c r="AW1281" s="1"/>
      <c r="AY1281" s="2"/>
    </row>
    <row r="1282">
      <c r="A1282" s="1"/>
      <c r="C1282" s="1"/>
      <c r="E1282" s="1"/>
      <c r="F1282" s="1"/>
      <c r="G1282" s="2"/>
      <c r="H1282" s="1"/>
      <c r="I1282" s="1"/>
      <c r="J1282" s="1"/>
      <c r="K1282" s="1"/>
      <c r="M1282" s="1"/>
      <c r="N1282" s="1"/>
      <c r="O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2"/>
      <c r="AB1282" s="1"/>
      <c r="AC1282" s="1"/>
      <c r="AD1282" s="1"/>
      <c r="AE1282" s="1"/>
      <c r="AF1282" s="1"/>
      <c r="AG1282" s="1"/>
      <c r="AH1282" s="2"/>
      <c r="AI1282" s="2"/>
      <c r="AJ1282" s="2"/>
      <c r="AK1282" s="2"/>
      <c r="AL1282" s="2"/>
      <c r="AM1282" s="1"/>
      <c r="AN1282" s="2"/>
      <c r="AP1282" s="2"/>
      <c r="AQ1282" s="1"/>
      <c r="AR1282" s="2"/>
      <c r="AU1282" s="1"/>
      <c r="AW1282" s="1"/>
      <c r="AY1282" s="2"/>
    </row>
    <row r="1283">
      <c r="A1283" s="1"/>
      <c r="C1283" s="1"/>
      <c r="E1283" s="1"/>
      <c r="F1283" s="1"/>
      <c r="G1283" s="2"/>
      <c r="H1283" s="1"/>
      <c r="I1283" s="1"/>
      <c r="J1283" s="1"/>
      <c r="K1283" s="1"/>
      <c r="M1283" s="1"/>
      <c r="N1283" s="1"/>
      <c r="O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2"/>
      <c r="AB1283" s="1"/>
      <c r="AC1283" s="1"/>
      <c r="AD1283" s="1"/>
      <c r="AE1283" s="1"/>
      <c r="AF1283" s="1"/>
      <c r="AG1283" s="1"/>
      <c r="AH1283" s="2"/>
      <c r="AI1283" s="2"/>
      <c r="AJ1283" s="2"/>
      <c r="AK1283" s="2"/>
      <c r="AL1283" s="2"/>
      <c r="AM1283" s="1"/>
      <c r="AN1283" s="2"/>
      <c r="AP1283" s="2"/>
      <c r="AQ1283" s="1"/>
      <c r="AR1283" s="2"/>
      <c r="AU1283" s="1"/>
      <c r="AW1283" s="1"/>
      <c r="AY1283" s="2"/>
    </row>
    <row r="1284">
      <c r="A1284" s="1"/>
      <c r="C1284" s="1"/>
      <c r="E1284" s="1"/>
      <c r="F1284" s="1"/>
      <c r="G1284" s="2"/>
      <c r="H1284" s="1"/>
      <c r="I1284" s="1"/>
      <c r="J1284" s="1"/>
      <c r="K1284" s="1"/>
      <c r="M1284" s="1"/>
      <c r="N1284" s="1"/>
      <c r="O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2"/>
      <c r="AB1284" s="1"/>
      <c r="AC1284" s="1"/>
      <c r="AD1284" s="1"/>
      <c r="AE1284" s="1"/>
      <c r="AF1284" s="1"/>
      <c r="AG1284" s="1"/>
      <c r="AH1284" s="2"/>
      <c r="AI1284" s="2"/>
      <c r="AJ1284" s="2"/>
      <c r="AK1284" s="2"/>
      <c r="AL1284" s="2"/>
      <c r="AM1284" s="1"/>
      <c r="AN1284" s="2"/>
      <c r="AP1284" s="2"/>
      <c r="AQ1284" s="1"/>
      <c r="AR1284" s="2"/>
      <c r="AU1284" s="1"/>
      <c r="AW1284" s="1"/>
      <c r="AY1284" s="2"/>
    </row>
    <row r="1285">
      <c r="A1285" s="1"/>
      <c r="C1285" s="1"/>
      <c r="E1285" s="1"/>
      <c r="F1285" s="1"/>
      <c r="G1285" s="2"/>
      <c r="H1285" s="1"/>
      <c r="I1285" s="1"/>
      <c r="J1285" s="1"/>
      <c r="K1285" s="1"/>
      <c r="M1285" s="1"/>
      <c r="N1285" s="1"/>
      <c r="O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2"/>
      <c r="AB1285" s="1"/>
      <c r="AC1285" s="1"/>
      <c r="AD1285" s="1"/>
      <c r="AE1285" s="1"/>
      <c r="AF1285" s="1"/>
      <c r="AG1285" s="1"/>
      <c r="AH1285" s="2"/>
      <c r="AI1285" s="2"/>
      <c r="AJ1285" s="2"/>
      <c r="AK1285" s="2"/>
      <c r="AL1285" s="2"/>
      <c r="AM1285" s="1"/>
      <c r="AN1285" s="2"/>
      <c r="AP1285" s="2"/>
      <c r="AQ1285" s="1"/>
      <c r="AR1285" s="2"/>
      <c r="AU1285" s="1"/>
      <c r="AW1285" s="1"/>
      <c r="AY1285" s="2"/>
    </row>
    <row r="1286">
      <c r="A1286" s="1"/>
      <c r="C1286" s="1"/>
      <c r="E1286" s="1"/>
      <c r="F1286" s="1"/>
      <c r="G1286" s="2"/>
      <c r="H1286" s="1"/>
      <c r="I1286" s="1"/>
      <c r="J1286" s="1"/>
      <c r="K1286" s="1"/>
      <c r="M1286" s="1"/>
      <c r="N1286" s="1"/>
      <c r="O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2"/>
      <c r="AB1286" s="1"/>
      <c r="AC1286" s="1"/>
      <c r="AD1286" s="1"/>
      <c r="AE1286" s="1"/>
      <c r="AF1286" s="1"/>
      <c r="AG1286" s="1"/>
      <c r="AH1286" s="2"/>
      <c r="AI1286" s="2"/>
      <c r="AJ1286" s="2"/>
      <c r="AK1286" s="2"/>
      <c r="AL1286" s="2"/>
      <c r="AM1286" s="1"/>
      <c r="AN1286" s="2"/>
      <c r="AP1286" s="2"/>
      <c r="AQ1286" s="1"/>
      <c r="AR1286" s="2"/>
      <c r="AU1286" s="1"/>
      <c r="AW1286" s="1"/>
      <c r="AY1286" s="2"/>
    </row>
    <row r="1287">
      <c r="A1287" s="1"/>
      <c r="C1287" s="1"/>
      <c r="E1287" s="1"/>
      <c r="F1287" s="1"/>
      <c r="G1287" s="2"/>
      <c r="H1287" s="1"/>
      <c r="I1287" s="1"/>
      <c r="J1287" s="1"/>
      <c r="K1287" s="1"/>
      <c r="M1287" s="1"/>
      <c r="N1287" s="1"/>
      <c r="O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2"/>
      <c r="AB1287" s="1"/>
      <c r="AC1287" s="1"/>
      <c r="AD1287" s="1"/>
      <c r="AE1287" s="1"/>
      <c r="AF1287" s="1"/>
      <c r="AG1287" s="1"/>
      <c r="AH1287" s="2"/>
      <c r="AI1287" s="2"/>
      <c r="AJ1287" s="2"/>
      <c r="AK1287" s="2"/>
      <c r="AL1287" s="2"/>
      <c r="AM1287" s="1"/>
      <c r="AN1287" s="2"/>
      <c r="AP1287" s="2"/>
      <c r="AQ1287" s="1"/>
      <c r="AR1287" s="2"/>
      <c r="AU1287" s="1"/>
      <c r="AW1287" s="1"/>
      <c r="AY1287" s="2"/>
    </row>
    <row r="1288">
      <c r="A1288" s="1"/>
      <c r="C1288" s="1"/>
      <c r="E1288" s="1"/>
      <c r="F1288" s="1"/>
      <c r="G1288" s="2"/>
      <c r="H1288" s="1"/>
      <c r="I1288" s="1"/>
      <c r="J1288" s="1"/>
      <c r="K1288" s="1"/>
      <c r="M1288" s="1"/>
      <c r="N1288" s="1"/>
      <c r="O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2"/>
      <c r="AB1288" s="1"/>
      <c r="AC1288" s="1"/>
      <c r="AD1288" s="1"/>
      <c r="AE1288" s="1"/>
      <c r="AF1288" s="1"/>
      <c r="AG1288" s="1"/>
      <c r="AH1288" s="2"/>
      <c r="AI1288" s="2"/>
      <c r="AJ1288" s="2"/>
      <c r="AK1288" s="2"/>
      <c r="AL1288" s="2"/>
      <c r="AM1288" s="1"/>
      <c r="AN1288" s="2"/>
      <c r="AP1288" s="2"/>
      <c r="AQ1288" s="1"/>
      <c r="AR1288" s="2"/>
      <c r="AU1288" s="1"/>
      <c r="AW1288" s="1"/>
      <c r="AY1288" s="2"/>
    </row>
    <row r="1289">
      <c r="A1289" s="1"/>
      <c r="C1289" s="1"/>
      <c r="E1289" s="1"/>
      <c r="F1289" s="1"/>
      <c r="G1289" s="2"/>
      <c r="H1289" s="1"/>
      <c r="I1289" s="1"/>
      <c r="J1289" s="1"/>
      <c r="K1289" s="1"/>
      <c r="M1289" s="1"/>
      <c r="N1289" s="1"/>
      <c r="O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2"/>
      <c r="AB1289" s="1"/>
      <c r="AC1289" s="1"/>
      <c r="AD1289" s="1"/>
      <c r="AE1289" s="1"/>
      <c r="AF1289" s="1"/>
      <c r="AG1289" s="1"/>
      <c r="AH1289" s="2"/>
      <c r="AI1289" s="2"/>
      <c r="AJ1289" s="2"/>
      <c r="AK1289" s="2"/>
      <c r="AL1289" s="2"/>
      <c r="AM1289" s="1"/>
      <c r="AN1289" s="2"/>
      <c r="AP1289" s="2"/>
      <c r="AQ1289" s="1"/>
      <c r="AR1289" s="2"/>
      <c r="AU1289" s="1"/>
      <c r="AW1289" s="1"/>
      <c r="AY1289" s="2"/>
    </row>
    <row r="1290">
      <c r="A1290" s="1"/>
      <c r="C1290" s="1"/>
      <c r="E1290" s="1"/>
      <c r="F1290" s="1"/>
      <c r="G1290" s="2"/>
      <c r="H1290" s="1"/>
      <c r="I1290" s="1"/>
      <c r="J1290" s="1"/>
      <c r="K1290" s="1"/>
      <c r="M1290" s="1"/>
      <c r="N1290" s="1"/>
      <c r="O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2"/>
      <c r="AB1290" s="1"/>
      <c r="AC1290" s="1"/>
      <c r="AD1290" s="1"/>
      <c r="AE1290" s="1"/>
      <c r="AF1290" s="1"/>
      <c r="AG1290" s="1"/>
      <c r="AH1290" s="2"/>
      <c r="AI1290" s="2"/>
      <c r="AJ1290" s="2"/>
      <c r="AK1290" s="2"/>
      <c r="AL1290" s="2"/>
      <c r="AM1290" s="1"/>
      <c r="AN1290" s="2"/>
      <c r="AP1290" s="2"/>
      <c r="AQ1290" s="1"/>
      <c r="AR1290" s="2"/>
      <c r="AU1290" s="1"/>
      <c r="AW1290" s="1"/>
      <c r="AY1290" s="2"/>
    </row>
    <row r="1291">
      <c r="A1291" s="1"/>
      <c r="C1291" s="1"/>
      <c r="E1291" s="1"/>
      <c r="F1291" s="1"/>
      <c r="G1291" s="2"/>
      <c r="H1291" s="1"/>
      <c r="I1291" s="1"/>
      <c r="J1291" s="1"/>
      <c r="K1291" s="1"/>
      <c r="M1291" s="1"/>
      <c r="N1291" s="1"/>
      <c r="O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2"/>
      <c r="AB1291" s="1"/>
      <c r="AC1291" s="1"/>
      <c r="AD1291" s="1"/>
      <c r="AE1291" s="1"/>
      <c r="AF1291" s="1"/>
      <c r="AG1291" s="1"/>
      <c r="AH1291" s="2"/>
      <c r="AI1291" s="2"/>
      <c r="AJ1291" s="2"/>
      <c r="AK1291" s="2"/>
      <c r="AL1291" s="2"/>
      <c r="AM1291" s="1"/>
      <c r="AN1291" s="2"/>
      <c r="AP1291" s="2"/>
      <c r="AQ1291" s="1"/>
      <c r="AR1291" s="2"/>
      <c r="AU1291" s="1"/>
      <c r="AW1291" s="1"/>
      <c r="AY1291" s="2"/>
    </row>
    <row r="1292">
      <c r="A1292" s="1"/>
      <c r="C1292" s="1"/>
      <c r="E1292" s="1"/>
      <c r="F1292" s="1"/>
      <c r="G1292" s="2"/>
      <c r="H1292" s="1"/>
      <c r="I1292" s="1"/>
      <c r="J1292" s="1"/>
      <c r="K1292" s="1"/>
      <c r="M1292" s="1"/>
      <c r="N1292" s="1"/>
      <c r="O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2"/>
      <c r="AB1292" s="1"/>
      <c r="AC1292" s="1"/>
      <c r="AD1292" s="1"/>
      <c r="AE1292" s="1"/>
      <c r="AF1292" s="1"/>
      <c r="AG1292" s="1"/>
      <c r="AH1292" s="2"/>
      <c r="AI1292" s="2"/>
      <c r="AJ1292" s="2"/>
      <c r="AK1292" s="2"/>
      <c r="AL1292" s="2"/>
      <c r="AM1292" s="1"/>
      <c r="AN1292" s="2"/>
      <c r="AP1292" s="2"/>
      <c r="AQ1292" s="1"/>
      <c r="AR1292" s="2"/>
      <c r="AU1292" s="1"/>
      <c r="AW1292" s="1"/>
      <c r="AY1292" s="2"/>
    </row>
    <row r="1293">
      <c r="A1293" s="1"/>
      <c r="C1293" s="1"/>
      <c r="E1293" s="1"/>
      <c r="F1293" s="1"/>
      <c r="G1293" s="2"/>
      <c r="H1293" s="1"/>
      <c r="I1293" s="1"/>
      <c r="J1293" s="1"/>
      <c r="K1293" s="1"/>
      <c r="M1293" s="1"/>
      <c r="N1293" s="1"/>
      <c r="O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2"/>
      <c r="AB1293" s="1"/>
      <c r="AC1293" s="1"/>
      <c r="AD1293" s="1"/>
      <c r="AE1293" s="1"/>
      <c r="AF1293" s="1"/>
      <c r="AG1293" s="1"/>
      <c r="AH1293" s="2"/>
      <c r="AI1293" s="2"/>
      <c r="AJ1293" s="2"/>
      <c r="AK1293" s="2"/>
      <c r="AL1293" s="2"/>
      <c r="AM1293" s="1"/>
      <c r="AN1293" s="2"/>
      <c r="AP1293" s="2"/>
      <c r="AQ1293" s="1"/>
      <c r="AR1293" s="2"/>
      <c r="AU1293" s="1"/>
      <c r="AW1293" s="1"/>
      <c r="AY1293" s="2"/>
    </row>
    <row r="1294">
      <c r="A1294" s="1"/>
      <c r="C1294" s="1"/>
      <c r="E1294" s="1"/>
      <c r="F1294" s="1"/>
      <c r="G1294" s="2"/>
      <c r="H1294" s="1"/>
      <c r="I1294" s="1"/>
      <c r="J1294" s="1"/>
      <c r="K1294" s="1"/>
      <c r="M1294" s="1"/>
      <c r="N1294" s="1"/>
      <c r="O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2"/>
      <c r="AB1294" s="1"/>
      <c r="AC1294" s="1"/>
      <c r="AD1294" s="1"/>
      <c r="AE1294" s="1"/>
      <c r="AF1294" s="1"/>
      <c r="AG1294" s="1"/>
      <c r="AH1294" s="2"/>
      <c r="AI1294" s="2"/>
      <c r="AJ1294" s="2"/>
      <c r="AK1294" s="2"/>
      <c r="AL1294" s="2"/>
      <c r="AM1294" s="1"/>
      <c r="AN1294" s="2"/>
      <c r="AP1294" s="2"/>
      <c r="AQ1294" s="1"/>
      <c r="AR1294" s="2"/>
      <c r="AU1294" s="1"/>
      <c r="AW1294" s="1"/>
      <c r="AY1294" s="2"/>
    </row>
    <row r="1295">
      <c r="A1295" s="1"/>
      <c r="C1295" s="1"/>
      <c r="E1295" s="1"/>
      <c r="F1295" s="1"/>
      <c r="G1295" s="2"/>
      <c r="H1295" s="1"/>
      <c r="I1295" s="1"/>
      <c r="J1295" s="1"/>
      <c r="K1295" s="1"/>
      <c r="M1295" s="1"/>
      <c r="N1295" s="1"/>
      <c r="O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2"/>
      <c r="AB1295" s="1"/>
      <c r="AC1295" s="1"/>
      <c r="AD1295" s="1"/>
      <c r="AE1295" s="1"/>
      <c r="AF1295" s="1"/>
      <c r="AG1295" s="1"/>
      <c r="AH1295" s="2"/>
      <c r="AI1295" s="2"/>
      <c r="AJ1295" s="2"/>
      <c r="AK1295" s="2"/>
      <c r="AL1295" s="2"/>
      <c r="AM1295" s="1"/>
      <c r="AN1295" s="2"/>
      <c r="AP1295" s="2"/>
      <c r="AQ1295" s="1"/>
      <c r="AR1295" s="2"/>
      <c r="AU1295" s="1"/>
      <c r="AW1295" s="1"/>
      <c r="AY1295" s="2"/>
    </row>
    <row r="1296">
      <c r="A1296" s="1"/>
      <c r="C1296" s="1"/>
      <c r="E1296" s="1"/>
      <c r="F1296" s="1"/>
      <c r="G1296" s="2"/>
      <c r="H1296" s="1"/>
      <c r="I1296" s="1"/>
      <c r="J1296" s="1"/>
      <c r="K1296" s="1"/>
      <c r="M1296" s="1"/>
      <c r="N1296" s="1"/>
      <c r="O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2"/>
      <c r="AB1296" s="1"/>
      <c r="AC1296" s="1"/>
      <c r="AD1296" s="1"/>
      <c r="AE1296" s="1"/>
      <c r="AF1296" s="1"/>
      <c r="AG1296" s="1"/>
      <c r="AH1296" s="2"/>
      <c r="AI1296" s="2"/>
      <c r="AJ1296" s="2"/>
      <c r="AK1296" s="2"/>
      <c r="AL1296" s="2"/>
      <c r="AM1296" s="1"/>
      <c r="AN1296" s="2"/>
      <c r="AP1296" s="2"/>
      <c r="AQ1296" s="1"/>
      <c r="AR1296" s="2"/>
      <c r="AU1296" s="1"/>
      <c r="AW1296" s="1"/>
      <c r="AY1296" s="2"/>
    </row>
    <row r="1297">
      <c r="A1297" s="1"/>
      <c r="C1297" s="1"/>
      <c r="E1297" s="1"/>
      <c r="F1297" s="1"/>
      <c r="G1297" s="2"/>
      <c r="H1297" s="1"/>
      <c r="I1297" s="1"/>
      <c r="J1297" s="1"/>
      <c r="K1297" s="1"/>
      <c r="M1297" s="1"/>
      <c r="N1297" s="1"/>
      <c r="O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2"/>
      <c r="AB1297" s="1"/>
      <c r="AC1297" s="1"/>
      <c r="AD1297" s="1"/>
      <c r="AE1297" s="1"/>
      <c r="AF1297" s="1"/>
      <c r="AG1297" s="1"/>
      <c r="AH1297" s="2"/>
      <c r="AI1297" s="2"/>
      <c r="AJ1297" s="2"/>
      <c r="AK1297" s="2"/>
      <c r="AL1297" s="2"/>
      <c r="AM1297" s="1"/>
      <c r="AN1297" s="2"/>
      <c r="AP1297" s="2"/>
      <c r="AQ1297" s="1"/>
      <c r="AR1297" s="2"/>
      <c r="AU1297" s="1"/>
      <c r="AW1297" s="1"/>
      <c r="AY1297" s="2"/>
    </row>
    <row r="1298">
      <c r="A1298" s="1"/>
      <c r="C1298" s="1"/>
      <c r="E1298" s="1"/>
      <c r="F1298" s="1"/>
      <c r="G1298" s="2"/>
      <c r="H1298" s="1"/>
      <c r="I1298" s="1"/>
      <c r="J1298" s="1"/>
      <c r="K1298" s="1"/>
      <c r="M1298" s="1"/>
      <c r="N1298" s="1"/>
      <c r="O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2"/>
      <c r="AB1298" s="1"/>
      <c r="AC1298" s="1"/>
      <c r="AD1298" s="1"/>
      <c r="AE1298" s="1"/>
      <c r="AF1298" s="1"/>
      <c r="AG1298" s="1"/>
      <c r="AH1298" s="2"/>
      <c r="AI1298" s="2"/>
      <c r="AJ1298" s="2"/>
      <c r="AK1298" s="2"/>
      <c r="AL1298" s="2"/>
      <c r="AM1298" s="1"/>
      <c r="AN1298" s="2"/>
      <c r="AP1298" s="2"/>
      <c r="AQ1298" s="1"/>
      <c r="AR1298" s="2"/>
      <c r="AU1298" s="1"/>
      <c r="AW1298" s="1"/>
      <c r="AY1298" s="2"/>
    </row>
    <row r="1299">
      <c r="A1299" s="1"/>
      <c r="C1299" s="1"/>
      <c r="E1299" s="1"/>
      <c r="F1299" s="1"/>
      <c r="G1299" s="2"/>
      <c r="H1299" s="1"/>
      <c r="I1299" s="1"/>
      <c r="J1299" s="1"/>
      <c r="K1299" s="1"/>
      <c r="M1299" s="1"/>
      <c r="N1299" s="1"/>
      <c r="O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2"/>
      <c r="AB1299" s="1"/>
      <c r="AC1299" s="1"/>
      <c r="AD1299" s="1"/>
      <c r="AE1299" s="1"/>
      <c r="AF1299" s="1"/>
      <c r="AG1299" s="1"/>
      <c r="AH1299" s="2"/>
      <c r="AI1299" s="2"/>
      <c r="AJ1299" s="2"/>
      <c r="AK1299" s="2"/>
      <c r="AL1299" s="2"/>
      <c r="AM1299" s="1"/>
      <c r="AN1299" s="2"/>
      <c r="AP1299" s="2"/>
      <c r="AQ1299" s="1"/>
      <c r="AR1299" s="2"/>
      <c r="AU1299" s="1"/>
      <c r="AW1299" s="1"/>
      <c r="AY1299" s="2"/>
    </row>
    <row r="1300">
      <c r="A1300" s="1"/>
      <c r="C1300" s="1"/>
      <c r="E1300" s="1"/>
      <c r="F1300" s="1"/>
      <c r="G1300" s="2"/>
      <c r="H1300" s="1"/>
      <c r="I1300" s="1"/>
      <c r="J1300" s="1"/>
      <c r="K1300" s="1"/>
      <c r="M1300" s="1"/>
      <c r="N1300" s="1"/>
      <c r="O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2"/>
      <c r="AB1300" s="1"/>
      <c r="AC1300" s="1"/>
      <c r="AD1300" s="1"/>
      <c r="AE1300" s="1"/>
      <c r="AF1300" s="1"/>
      <c r="AG1300" s="1"/>
      <c r="AH1300" s="2"/>
      <c r="AI1300" s="2"/>
      <c r="AJ1300" s="2"/>
      <c r="AK1300" s="2"/>
      <c r="AL1300" s="2"/>
      <c r="AM1300" s="1"/>
      <c r="AN1300" s="2"/>
      <c r="AP1300" s="2"/>
      <c r="AQ1300" s="1"/>
      <c r="AR1300" s="2"/>
      <c r="AU1300" s="1"/>
      <c r="AW1300" s="1"/>
      <c r="AY1300" s="2"/>
    </row>
    <row r="1301">
      <c r="A1301" s="1"/>
      <c r="C1301" s="1"/>
      <c r="E1301" s="1"/>
      <c r="F1301" s="1"/>
      <c r="G1301" s="2"/>
      <c r="H1301" s="1"/>
      <c r="I1301" s="1"/>
      <c r="J1301" s="1"/>
      <c r="K1301" s="1"/>
      <c r="M1301" s="1"/>
      <c r="N1301" s="1"/>
      <c r="O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2"/>
      <c r="AB1301" s="1"/>
      <c r="AC1301" s="1"/>
      <c r="AD1301" s="1"/>
      <c r="AE1301" s="1"/>
      <c r="AF1301" s="1"/>
      <c r="AG1301" s="1"/>
      <c r="AH1301" s="2"/>
      <c r="AI1301" s="2"/>
      <c r="AJ1301" s="2"/>
      <c r="AK1301" s="2"/>
      <c r="AL1301" s="2"/>
      <c r="AM1301" s="1"/>
      <c r="AN1301" s="2"/>
      <c r="AP1301" s="2"/>
      <c r="AQ1301" s="1"/>
      <c r="AR1301" s="2"/>
      <c r="AU1301" s="1"/>
      <c r="AW1301" s="1"/>
      <c r="AY1301" s="2"/>
    </row>
    <row r="1302">
      <c r="A1302" s="1"/>
      <c r="C1302" s="1"/>
      <c r="E1302" s="1"/>
      <c r="F1302" s="1"/>
      <c r="G1302" s="2"/>
      <c r="H1302" s="1"/>
      <c r="I1302" s="1"/>
      <c r="J1302" s="1"/>
      <c r="K1302" s="1"/>
      <c r="M1302" s="1"/>
      <c r="N1302" s="1"/>
      <c r="O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2"/>
      <c r="AB1302" s="1"/>
      <c r="AC1302" s="1"/>
      <c r="AD1302" s="1"/>
      <c r="AE1302" s="1"/>
      <c r="AF1302" s="1"/>
      <c r="AG1302" s="1"/>
      <c r="AH1302" s="2"/>
      <c r="AI1302" s="2"/>
      <c r="AJ1302" s="2"/>
      <c r="AK1302" s="2"/>
      <c r="AL1302" s="2"/>
      <c r="AM1302" s="1"/>
      <c r="AN1302" s="2"/>
      <c r="AP1302" s="2"/>
      <c r="AQ1302" s="1"/>
      <c r="AR1302" s="2"/>
      <c r="AU1302" s="1"/>
      <c r="AW1302" s="1"/>
      <c r="AY1302" s="2"/>
    </row>
    <row r="1303">
      <c r="A1303" s="1"/>
      <c r="C1303" s="1"/>
      <c r="E1303" s="1"/>
      <c r="F1303" s="1"/>
      <c r="G1303" s="2"/>
      <c r="H1303" s="1"/>
      <c r="I1303" s="1"/>
      <c r="J1303" s="1"/>
      <c r="K1303" s="1"/>
      <c r="M1303" s="1"/>
      <c r="N1303" s="1"/>
      <c r="O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2"/>
      <c r="AB1303" s="1"/>
      <c r="AC1303" s="1"/>
      <c r="AD1303" s="1"/>
      <c r="AE1303" s="1"/>
      <c r="AF1303" s="1"/>
      <c r="AG1303" s="1"/>
      <c r="AH1303" s="2"/>
      <c r="AI1303" s="2"/>
      <c r="AJ1303" s="2"/>
      <c r="AK1303" s="2"/>
      <c r="AL1303" s="2"/>
      <c r="AM1303" s="1"/>
      <c r="AN1303" s="2"/>
      <c r="AP1303" s="2"/>
      <c r="AQ1303" s="1"/>
      <c r="AR1303" s="2"/>
      <c r="AU1303" s="1"/>
      <c r="AW1303" s="1"/>
      <c r="AY1303" s="2"/>
    </row>
    <row r="1304">
      <c r="A1304" s="1"/>
      <c r="C1304" s="1"/>
      <c r="E1304" s="1"/>
      <c r="F1304" s="1"/>
      <c r="G1304" s="2"/>
      <c r="H1304" s="1"/>
      <c r="I1304" s="1"/>
      <c r="J1304" s="1"/>
      <c r="K1304" s="1"/>
      <c r="M1304" s="1"/>
      <c r="N1304" s="1"/>
      <c r="O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2"/>
      <c r="AB1304" s="1"/>
      <c r="AC1304" s="1"/>
      <c r="AD1304" s="1"/>
      <c r="AE1304" s="1"/>
      <c r="AF1304" s="1"/>
      <c r="AG1304" s="1"/>
      <c r="AH1304" s="2"/>
      <c r="AI1304" s="2"/>
      <c r="AJ1304" s="2"/>
      <c r="AK1304" s="2"/>
      <c r="AL1304" s="2"/>
      <c r="AM1304" s="1"/>
      <c r="AN1304" s="2"/>
      <c r="AP1304" s="2"/>
      <c r="AQ1304" s="1"/>
      <c r="AR1304" s="2"/>
      <c r="AU1304" s="1"/>
      <c r="AW1304" s="1"/>
      <c r="AY1304" s="2"/>
    </row>
    <row r="1305">
      <c r="A1305" s="1"/>
      <c r="C1305" s="1"/>
      <c r="E1305" s="1"/>
      <c r="F1305" s="1"/>
      <c r="G1305" s="2"/>
      <c r="H1305" s="1"/>
      <c r="I1305" s="1"/>
      <c r="J1305" s="1"/>
      <c r="K1305" s="1"/>
      <c r="M1305" s="1"/>
      <c r="N1305" s="1"/>
      <c r="O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2"/>
      <c r="AB1305" s="1"/>
      <c r="AC1305" s="1"/>
      <c r="AD1305" s="1"/>
      <c r="AE1305" s="1"/>
      <c r="AF1305" s="1"/>
      <c r="AG1305" s="1"/>
      <c r="AH1305" s="2"/>
      <c r="AI1305" s="2"/>
      <c r="AJ1305" s="2"/>
      <c r="AK1305" s="2"/>
      <c r="AL1305" s="2"/>
      <c r="AM1305" s="1"/>
      <c r="AN1305" s="2"/>
      <c r="AP1305" s="2"/>
      <c r="AQ1305" s="1"/>
      <c r="AR1305" s="2"/>
      <c r="AU1305" s="1"/>
      <c r="AW1305" s="1"/>
      <c r="AY1305" s="2"/>
    </row>
    <row r="1306">
      <c r="A1306" s="1"/>
      <c r="C1306" s="1"/>
      <c r="E1306" s="1"/>
      <c r="F1306" s="1"/>
      <c r="G1306" s="2"/>
      <c r="H1306" s="1"/>
      <c r="I1306" s="1"/>
      <c r="J1306" s="1"/>
      <c r="K1306" s="1"/>
      <c r="M1306" s="1"/>
      <c r="N1306" s="1"/>
      <c r="O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2"/>
      <c r="AB1306" s="1"/>
      <c r="AC1306" s="1"/>
      <c r="AD1306" s="1"/>
      <c r="AE1306" s="1"/>
      <c r="AF1306" s="1"/>
      <c r="AG1306" s="1"/>
      <c r="AH1306" s="2"/>
      <c r="AI1306" s="2"/>
      <c r="AJ1306" s="2"/>
      <c r="AK1306" s="2"/>
      <c r="AL1306" s="2"/>
      <c r="AM1306" s="1"/>
      <c r="AN1306" s="2"/>
      <c r="AP1306" s="2"/>
      <c r="AQ1306" s="1"/>
      <c r="AR1306" s="2"/>
      <c r="AU1306" s="1"/>
      <c r="AW1306" s="1"/>
      <c r="AY1306" s="2"/>
    </row>
    <row r="1307">
      <c r="A1307" s="1"/>
      <c r="C1307" s="1"/>
      <c r="E1307" s="1"/>
      <c r="F1307" s="1"/>
      <c r="G1307" s="2"/>
      <c r="H1307" s="1"/>
      <c r="I1307" s="1"/>
      <c r="J1307" s="1"/>
      <c r="K1307" s="1"/>
      <c r="M1307" s="1"/>
      <c r="N1307" s="1"/>
      <c r="O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2"/>
      <c r="AB1307" s="1"/>
      <c r="AC1307" s="1"/>
      <c r="AD1307" s="1"/>
      <c r="AE1307" s="1"/>
      <c r="AF1307" s="1"/>
      <c r="AG1307" s="1"/>
      <c r="AH1307" s="2"/>
      <c r="AI1307" s="2"/>
      <c r="AJ1307" s="2"/>
      <c r="AK1307" s="2"/>
      <c r="AL1307" s="2"/>
      <c r="AM1307" s="1"/>
      <c r="AN1307" s="2"/>
      <c r="AP1307" s="2"/>
      <c r="AQ1307" s="1"/>
      <c r="AR1307" s="2"/>
      <c r="AU1307" s="1"/>
      <c r="AW1307" s="1"/>
      <c r="AY1307" s="2"/>
    </row>
    <row r="1308">
      <c r="A1308" s="1"/>
      <c r="C1308" s="1"/>
      <c r="E1308" s="1"/>
      <c r="F1308" s="1"/>
      <c r="G1308" s="2"/>
      <c r="H1308" s="1"/>
      <c r="I1308" s="1"/>
      <c r="J1308" s="1"/>
      <c r="K1308" s="1"/>
      <c r="M1308" s="1"/>
      <c r="N1308" s="1"/>
      <c r="O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2"/>
      <c r="AB1308" s="1"/>
      <c r="AC1308" s="1"/>
      <c r="AD1308" s="1"/>
      <c r="AE1308" s="1"/>
      <c r="AF1308" s="1"/>
      <c r="AG1308" s="1"/>
      <c r="AH1308" s="2"/>
      <c r="AI1308" s="2"/>
      <c r="AJ1308" s="2"/>
      <c r="AK1308" s="2"/>
      <c r="AL1308" s="2"/>
      <c r="AM1308" s="1"/>
      <c r="AN1308" s="2"/>
      <c r="AP1308" s="2"/>
      <c r="AQ1308" s="1"/>
      <c r="AR1308" s="2"/>
      <c r="AU1308" s="1"/>
      <c r="AW1308" s="1"/>
      <c r="AY1308" s="2"/>
    </row>
    <row r="1309">
      <c r="A1309" s="1"/>
      <c r="C1309" s="1"/>
      <c r="E1309" s="1"/>
      <c r="F1309" s="1"/>
      <c r="G1309" s="2"/>
      <c r="H1309" s="1"/>
      <c r="I1309" s="1"/>
      <c r="J1309" s="1"/>
      <c r="K1309" s="1"/>
      <c r="M1309" s="1"/>
      <c r="N1309" s="1"/>
      <c r="O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2"/>
      <c r="AB1309" s="1"/>
      <c r="AC1309" s="1"/>
      <c r="AD1309" s="1"/>
      <c r="AE1309" s="1"/>
      <c r="AF1309" s="1"/>
      <c r="AG1309" s="1"/>
      <c r="AH1309" s="2"/>
      <c r="AI1309" s="2"/>
      <c r="AJ1309" s="2"/>
      <c r="AK1309" s="2"/>
      <c r="AL1309" s="2"/>
      <c r="AM1309" s="1"/>
      <c r="AN1309" s="2"/>
      <c r="AP1309" s="2"/>
      <c r="AQ1309" s="1"/>
      <c r="AR1309" s="2"/>
      <c r="AU1309" s="1"/>
      <c r="AW1309" s="1"/>
      <c r="AY1309" s="2"/>
    </row>
    <row r="1310">
      <c r="A1310" s="1"/>
      <c r="C1310" s="1"/>
      <c r="E1310" s="1"/>
      <c r="F1310" s="1"/>
      <c r="G1310" s="2"/>
      <c r="H1310" s="1"/>
      <c r="I1310" s="1"/>
      <c r="J1310" s="1"/>
      <c r="K1310" s="1"/>
      <c r="M1310" s="1"/>
      <c r="N1310" s="1"/>
      <c r="O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2"/>
      <c r="AB1310" s="1"/>
      <c r="AC1310" s="1"/>
      <c r="AD1310" s="1"/>
      <c r="AE1310" s="1"/>
      <c r="AF1310" s="1"/>
      <c r="AG1310" s="1"/>
      <c r="AH1310" s="2"/>
      <c r="AI1310" s="2"/>
      <c r="AJ1310" s="2"/>
      <c r="AK1310" s="2"/>
      <c r="AL1310" s="2"/>
      <c r="AM1310" s="1"/>
      <c r="AN1310" s="2"/>
      <c r="AP1310" s="2"/>
      <c r="AQ1310" s="1"/>
      <c r="AR1310" s="2"/>
      <c r="AU1310" s="1"/>
      <c r="AW1310" s="1"/>
      <c r="AY1310" s="2"/>
    </row>
    <row r="1311">
      <c r="A1311" s="1"/>
      <c r="C1311" s="1"/>
      <c r="E1311" s="1"/>
      <c r="F1311" s="1"/>
      <c r="G1311" s="2"/>
      <c r="H1311" s="1"/>
      <c r="I1311" s="1"/>
      <c r="J1311" s="1"/>
      <c r="K1311" s="1"/>
      <c r="M1311" s="1"/>
      <c r="N1311" s="1"/>
      <c r="O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2"/>
      <c r="AB1311" s="1"/>
      <c r="AC1311" s="1"/>
      <c r="AD1311" s="1"/>
      <c r="AE1311" s="1"/>
      <c r="AF1311" s="1"/>
      <c r="AG1311" s="1"/>
      <c r="AH1311" s="2"/>
      <c r="AI1311" s="2"/>
      <c r="AJ1311" s="2"/>
      <c r="AK1311" s="2"/>
      <c r="AL1311" s="2"/>
      <c r="AM1311" s="1"/>
      <c r="AN1311" s="2"/>
      <c r="AP1311" s="2"/>
      <c r="AQ1311" s="1"/>
      <c r="AR1311" s="2"/>
      <c r="AU1311" s="1"/>
      <c r="AW1311" s="1"/>
      <c r="AY1311" s="2"/>
    </row>
    <row r="1312">
      <c r="A1312" s="1"/>
      <c r="C1312" s="1"/>
      <c r="E1312" s="1"/>
      <c r="F1312" s="1"/>
      <c r="G1312" s="2"/>
      <c r="H1312" s="1"/>
      <c r="I1312" s="1"/>
      <c r="J1312" s="1"/>
      <c r="K1312" s="1"/>
      <c r="M1312" s="1"/>
      <c r="N1312" s="1"/>
      <c r="O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2"/>
      <c r="AB1312" s="1"/>
      <c r="AC1312" s="1"/>
      <c r="AD1312" s="1"/>
      <c r="AE1312" s="1"/>
      <c r="AF1312" s="1"/>
      <c r="AG1312" s="1"/>
      <c r="AH1312" s="2"/>
      <c r="AI1312" s="2"/>
      <c r="AJ1312" s="2"/>
      <c r="AK1312" s="2"/>
      <c r="AL1312" s="2"/>
      <c r="AM1312" s="1"/>
      <c r="AN1312" s="2"/>
      <c r="AP1312" s="2"/>
      <c r="AQ1312" s="1"/>
      <c r="AR1312" s="2"/>
      <c r="AU1312" s="1"/>
      <c r="AW1312" s="1"/>
      <c r="AY1312" s="2"/>
    </row>
    <row r="1313">
      <c r="A1313" s="1"/>
      <c r="C1313" s="1"/>
      <c r="E1313" s="1"/>
      <c r="F1313" s="1"/>
      <c r="G1313" s="2"/>
      <c r="H1313" s="1"/>
      <c r="I1313" s="1"/>
      <c r="J1313" s="1"/>
      <c r="K1313" s="1"/>
      <c r="M1313" s="1"/>
      <c r="N1313" s="1"/>
      <c r="O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2"/>
      <c r="AB1313" s="1"/>
      <c r="AC1313" s="1"/>
      <c r="AD1313" s="1"/>
      <c r="AE1313" s="1"/>
      <c r="AF1313" s="1"/>
      <c r="AG1313" s="1"/>
      <c r="AH1313" s="2"/>
      <c r="AI1313" s="2"/>
      <c r="AJ1313" s="2"/>
      <c r="AK1313" s="2"/>
      <c r="AL1313" s="2"/>
      <c r="AM1313" s="1"/>
      <c r="AN1313" s="2"/>
      <c r="AP1313" s="2"/>
      <c r="AQ1313" s="1"/>
      <c r="AR1313" s="2"/>
      <c r="AU1313" s="1"/>
      <c r="AW1313" s="1"/>
      <c r="AY1313" s="2"/>
    </row>
    <row r="1314">
      <c r="A1314" s="1"/>
      <c r="C1314" s="1"/>
      <c r="E1314" s="1"/>
      <c r="F1314" s="1"/>
      <c r="G1314" s="2"/>
      <c r="H1314" s="1"/>
      <c r="I1314" s="1"/>
      <c r="J1314" s="1"/>
      <c r="K1314" s="1"/>
      <c r="M1314" s="1"/>
      <c r="N1314" s="1"/>
      <c r="O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2"/>
      <c r="AB1314" s="1"/>
      <c r="AC1314" s="1"/>
      <c r="AD1314" s="1"/>
      <c r="AE1314" s="1"/>
      <c r="AF1314" s="1"/>
      <c r="AG1314" s="1"/>
      <c r="AH1314" s="2"/>
      <c r="AI1314" s="2"/>
      <c r="AJ1314" s="2"/>
      <c r="AK1314" s="2"/>
      <c r="AL1314" s="2"/>
      <c r="AM1314" s="1"/>
      <c r="AN1314" s="2"/>
      <c r="AP1314" s="2"/>
      <c r="AQ1314" s="1"/>
      <c r="AR1314" s="2"/>
      <c r="AU1314" s="1"/>
      <c r="AW1314" s="1"/>
      <c r="AY1314" s="2"/>
    </row>
    <row r="1315">
      <c r="A1315" s="1"/>
      <c r="C1315" s="1"/>
      <c r="E1315" s="1"/>
      <c r="F1315" s="1"/>
      <c r="G1315" s="2"/>
      <c r="H1315" s="1"/>
      <c r="I1315" s="1"/>
      <c r="J1315" s="1"/>
      <c r="K1315" s="1"/>
      <c r="M1315" s="1"/>
      <c r="N1315" s="1"/>
      <c r="O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2"/>
      <c r="AB1315" s="1"/>
      <c r="AC1315" s="1"/>
      <c r="AD1315" s="1"/>
      <c r="AE1315" s="1"/>
      <c r="AF1315" s="1"/>
      <c r="AG1315" s="1"/>
      <c r="AH1315" s="2"/>
      <c r="AI1315" s="2"/>
      <c r="AJ1315" s="2"/>
      <c r="AK1315" s="2"/>
      <c r="AL1315" s="2"/>
      <c r="AM1315" s="1"/>
      <c r="AN1315" s="2"/>
      <c r="AP1315" s="2"/>
      <c r="AQ1315" s="1"/>
      <c r="AR1315" s="2"/>
      <c r="AU1315" s="1"/>
      <c r="AW1315" s="1"/>
      <c r="AY1315" s="2"/>
    </row>
    <row r="1316">
      <c r="A1316" s="1"/>
      <c r="C1316" s="1"/>
      <c r="E1316" s="1"/>
      <c r="F1316" s="1"/>
      <c r="G1316" s="2"/>
      <c r="H1316" s="1"/>
      <c r="I1316" s="1"/>
      <c r="J1316" s="1"/>
      <c r="K1316" s="1"/>
      <c r="M1316" s="1"/>
      <c r="N1316" s="1"/>
      <c r="O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2"/>
      <c r="AB1316" s="1"/>
      <c r="AC1316" s="1"/>
      <c r="AD1316" s="1"/>
      <c r="AE1316" s="1"/>
      <c r="AF1316" s="1"/>
      <c r="AG1316" s="1"/>
      <c r="AH1316" s="2"/>
      <c r="AI1316" s="2"/>
      <c r="AJ1316" s="2"/>
      <c r="AK1316" s="2"/>
      <c r="AL1316" s="2"/>
      <c r="AM1316" s="1"/>
      <c r="AN1316" s="2"/>
      <c r="AP1316" s="2"/>
      <c r="AQ1316" s="1"/>
      <c r="AR1316" s="2"/>
      <c r="AU1316" s="1"/>
      <c r="AW1316" s="1"/>
      <c r="AY1316" s="2"/>
    </row>
    <row r="1317">
      <c r="A1317" s="1"/>
      <c r="C1317" s="1"/>
      <c r="E1317" s="1"/>
      <c r="F1317" s="1"/>
      <c r="G1317" s="2"/>
      <c r="H1317" s="1"/>
      <c r="I1317" s="1"/>
      <c r="J1317" s="1"/>
      <c r="K1317" s="1"/>
      <c r="M1317" s="1"/>
      <c r="N1317" s="1"/>
      <c r="O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2"/>
      <c r="AB1317" s="1"/>
      <c r="AC1317" s="1"/>
      <c r="AD1317" s="1"/>
      <c r="AE1317" s="1"/>
      <c r="AF1317" s="1"/>
      <c r="AG1317" s="1"/>
      <c r="AH1317" s="2"/>
      <c r="AI1317" s="2"/>
      <c r="AJ1317" s="2"/>
      <c r="AK1317" s="2"/>
      <c r="AL1317" s="2"/>
      <c r="AM1317" s="1"/>
      <c r="AN1317" s="2"/>
      <c r="AP1317" s="2"/>
      <c r="AQ1317" s="1"/>
      <c r="AR1317" s="2"/>
      <c r="AU1317" s="1"/>
      <c r="AW1317" s="1"/>
      <c r="AY1317" s="2"/>
    </row>
    <row r="1318">
      <c r="A1318" s="1"/>
      <c r="C1318" s="1"/>
      <c r="E1318" s="1"/>
      <c r="F1318" s="1"/>
      <c r="G1318" s="2"/>
      <c r="H1318" s="1"/>
      <c r="I1318" s="1"/>
      <c r="J1318" s="1"/>
      <c r="K1318" s="1"/>
      <c r="M1318" s="1"/>
      <c r="N1318" s="1"/>
      <c r="O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2"/>
      <c r="AB1318" s="1"/>
      <c r="AC1318" s="1"/>
      <c r="AD1318" s="1"/>
      <c r="AE1318" s="1"/>
      <c r="AF1318" s="1"/>
      <c r="AG1318" s="1"/>
      <c r="AH1318" s="2"/>
      <c r="AI1318" s="2"/>
      <c r="AJ1318" s="2"/>
      <c r="AK1318" s="2"/>
      <c r="AL1318" s="2"/>
      <c r="AM1318" s="1"/>
      <c r="AN1318" s="2"/>
      <c r="AP1318" s="2"/>
      <c r="AQ1318" s="1"/>
      <c r="AR1318" s="2"/>
      <c r="AU1318" s="1"/>
      <c r="AW1318" s="1"/>
      <c r="AY1318" s="2"/>
    </row>
    <row r="1319">
      <c r="A1319" s="1"/>
      <c r="C1319" s="1"/>
      <c r="E1319" s="1"/>
      <c r="F1319" s="1"/>
      <c r="G1319" s="2"/>
      <c r="H1319" s="1"/>
      <c r="I1319" s="1"/>
      <c r="J1319" s="1"/>
      <c r="K1319" s="1"/>
      <c r="M1319" s="1"/>
      <c r="N1319" s="1"/>
      <c r="O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2"/>
      <c r="AB1319" s="1"/>
      <c r="AC1319" s="1"/>
      <c r="AD1319" s="1"/>
      <c r="AE1319" s="1"/>
      <c r="AF1319" s="1"/>
      <c r="AG1319" s="1"/>
      <c r="AH1319" s="2"/>
      <c r="AI1319" s="2"/>
      <c r="AJ1319" s="2"/>
      <c r="AK1319" s="2"/>
      <c r="AL1319" s="2"/>
      <c r="AM1319" s="1"/>
      <c r="AN1319" s="2"/>
      <c r="AP1319" s="2"/>
      <c r="AQ1319" s="1"/>
      <c r="AR1319" s="2"/>
      <c r="AU1319" s="1"/>
      <c r="AW1319" s="1"/>
      <c r="AY1319" s="2"/>
    </row>
    <row r="1320">
      <c r="A1320" s="1"/>
      <c r="C1320" s="1"/>
      <c r="E1320" s="1"/>
      <c r="F1320" s="1"/>
      <c r="G1320" s="2"/>
      <c r="H1320" s="1"/>
      <c r="I1320" s="1"/>
      <c r="J1320" s="1"/>
      <c r="K1320" s="1"/>
      <c r="M1320" s="1"/>
      <c r="N1320" s="1"/>
      <c r="O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2"/>
      <c r="AB1320" s="1"/>
      <c r="AC1320" s="1"/>
      <c r="AD1320" s="1"/>
      <c r="AE1320" s="1"/>
      <c r="AF1320" s="1"/>
      <c r="AG1320" s="1"/>
      <c r="AH1320" s="2"/>
      <c r="AI1320" s="2"/>
      <c r="AJ1320" s="2"/>
      <c r="AK1320" s="2"/>
      <c r="AL1320" s="2"/>
      <c r="AM1320" s="1"/>
      <c r="AN1320" s="2"/>
      <c r="AP1320" s="2"/>
      <c r="AQ1320" s="1"/>
      <c r="AR1320" s="2"/>
      <c r="AU1320" s="1"/>
      <c r="AW1320" s="1"/>
      <c r="AY1320" s="2"/>
    </row>
    <row r="1321">
      <c r="A1321" s="1"/>
      <c r="C1321" s="1"/>
      <c r="E1321" s="1"/>
      <c r="F1321" s="1"/>
      <c r="G1321" s="2"/>
      <c r="H1321" s="1"/>
      <c r="I1321" s="1"/>
      <c r="J1321" s="1"/>
      <c r="K1321" s="1"/>
      <c r="M1321" s="1"/>
      <c r="N1321" s="1"/>
      <c r="O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2"/>
      <c r="AB1321" s="1"/>
      <c r="AC1321" s="1"/>
      <c r="AD1321" s="1"/>
      <c r="AE1321" s="1"/>
      <c r="AF1321" s="1"/>
      <c r="AG1321" s="1"/>
      <c r="AH1321" s="2"/>
      <c r="AI1321" s="2"/>
      <c r="AJ1321" s="2"/>
      <c r="AK1321" s="2"/>
      <c r="AL1321" s="2"/>
      <c r="AM1321" s="1"/>
      <c r="AN1321" s="2"/>
      <c r="AP1321" s="2"/>
      <c r="AQ1321" s="1"/>
      <c r="AR1321" s="2"/>
      <c r="AU1321" s="1"/>
      <c r="AW1321" s="1"/>
      <c r="AY1321" s="2"/>
    </row>
    <row r="1322">
      <c r="A1322" s="1"/>
      <c r="C1322" s="1"/>
      <c r="E1322" s="1"/>
      <c r="F1322" s="1"/>
      <c r="G1322" s="2"/>
      <c r="H1322" s="1"/>
      <c r="I1322" s="1"/>
      <c r="J1322" s="1"/>
      <c r="K1322" s="1"/>
      <c r="M1322" s="1"/>
      <c r="N1322" s="1"/>
      <c r="O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2"/>
      <c r="AB1322" s="1"/>
      <c r="AC1322" s="1"/>
      <c r="AD1322" s="1"/>
      <c r="AE1322" s="1"/>
      <c r="AF1322" s="1"/>
      <c r="AG1322" s="1"/>
      <c r="AH1322" s="2"/>
      <c r="AI1322" s="2"/>
      <c r="AJ1322" s="2"/>
      <c r="AK1322" s="2"/>
      <c r="AL1322" s="2"/>
      <c r="AM1322" s="1"/>
      <c r="AN1322" s="2"/>
      <c r="AP1322" s="2"/>
      <c r="AQ1322" s="1"/>
      <c r="AR1322" s="2"/>
      <c r="AU1322" s="1"/>
      <c r="AW1322" s="1"/>
      <c r="AY1322" s="2"/>
    </row>
    <row r="1323">
      <c r="A1323" s="1"/>
      <c r="C1323" s="1"/>
      <c r="E1323" s="1"/>
      <c r="F1323" s="1"/>
      <c r="G1323" s="2"/>
      <c r="H1323" s="1"/>
      <c r="I1323" s="1"/>
      <c r="J1323" s="1"/>
      <c r="K1323" s="1"/>
      <c r="M1323" s="1"/>
      <c r="N1323" s="1"/>
      <c r="O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2"/>
      <c r="AB1323" s="1"/>
      <c r="AC1323" s="1"/>
      <c r="AD1323" s="1"/>
      <c r="AE1323" s="1"/>
      <c r="AF1323" s="1"/>
      <c r="AG1323" s="1"/>
      <c r="AH1323" s="2"/>
      <c r="AI1323" s="2"/>
      <c r="AJ1323" s="2"/>
      <c r="AK1323" s="2"/>
      <c r="AL1323" s="2"/>
      <c r="AM1323" s="1"/>
      <c r="AN1323" s="2"/>
      <c r="AP1323" s="2"/>
      <c r="AQ1323" s="1"/>
      <c r="AR1323" s="2"/>
      <c r="AU1323" s="1"/>
      <c r="AW1323" s="1"/>
      <c r="AY1323" s="2"/>
    </row>
    <row r="1324">
      <c r="A1324" s="1"/>
      <c r="C1324" s="1"/>
      <c r="E1324" s="1"/>
      <c r="F1324" s="1"/>
      <c r="G1324" s="2"/>
      <c r="H1324" s="1"/>
      <c r="I1324" s="1"/>
      <c r="J1324" s="1"/>
      <c r="K1324" s="1"/>
      <c r="M1324" s="1"/>
      <c r="N1324" s="1"/>
      <c r="O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2"/>
      <c r="AB1324" s="1"/>
      <c r="AC1324" s="1"/>
      <c r="AD1324" s="1"/>
      <c r="AE1324" s="1"/>
      <c r="AF1324" s="1"/>
      <c r="AG1324" s="1"/>
      <c r="AH1324" s="2"/>
      <c r="AI1324" s="2"/>
      <c r="AJ1324" s="2"/>
      <c r="AK1324" s="2"/>
      <c r="AL1324" s="2"/>
      <c r="AM1324" s="1"/>
      <c r="AN1324" s="2"/>
      <c r="AP1324" s="2"/>
      <c r="AQ1324" s="1"/>
      <c r="AR1324" s="2"/>
      <c r="AU1324" s="1"/>
      <c r="AW1324" s="1"/>
      <c r="AY1324" s="2"/>
    </row>
    <row r="1325">
      <c r="A1325" s="1"/>
      <c r="C1325" s="1"/>
      <c r="E1325" s="1"/>
      <c r="F1325" s="1"/>
      <c r="G1325" s="2"/>
      <c r="H1325" s="1"/>
      <c r="I1325" s="1"/>
      <c r="J1325" s="1"/>
      <c r="K1325" s="1"/>
      <c r="M1325" s="1"/>
      <c r="N1325" s="1"/>
      <c r="O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2"/>
      <c r="AB1325" s="1"/>
      <c r="AC1325" s="1"/>
      <c r="AD1325" s="1"/>
      <c r="AE1325" s="1"/>
      <c r="AF1325" s="1"/>
      <c r="AG1325" s="1"/>
      <c r="AH1325" s="2"/>
      <c r="AI1325" s="2"/>
      <c r="AJ1325" s="2"/>
      <c r="AK1325" s="2"/>
      <c r="AL1325" s="2"/>
      <c r="AM1325" s="1"/>
      <c r="AN1325" s="2"/>
      <c r="AP1325" s="2"/>
      <c r="AQ1325" s="1"/>
      <c r="AR1325" s="2"/>
      <c r="AU1325" s="1"/>
      <c r="AW1325" s="1"/>
      <c r="AY1325" s="2"/>
    </row>
    <row r="1326">
      <c r="A1326" s="1"/>
      <c r="C1326" s="1"/>
      <c r="E1326" s="1"/>
      <c r="F1326" s="1"/>
      <c r="G1326" s="2"/>
      <c r="H1326" s="1"/>
      <c r="I1326" s="1"/>
      <c r="J1326" s="1"/>
      <c r="K1326" s="1"/>
      <c r="M1326" s="1"/>
      <c r="N1326" s="1"/>
      <c r="O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2"/>
      <c r="AB1326" s="1"/>
      <c r="AC1326" s="1"/>
      <c r="AD1326" s="1"/>
      <c r="AE1326" s="1"/>
      <c r="AF1326" s="1"/>
      <c r="AG1326" s="1"/>
      <c r="AH1326" s="2"/>
      <c r="AI1326" s="2"/>
      <c r="AJ1326" s="2"/>
      <c r="AK1326" s="2"/>
      <c r="AL1326" s="2"/>
      <c r="AM1326" s="1"/>
      <c r="AN1326" s="2"/>
      <c r="AP1326" s="2"/>
      <c r="AQ1326" s="1"/>
      <c r="AR1326" s="2"/>
      <c r="AU1326" s="1"/>
      <c r="AW1326" s="1"/>
      <c r="AY1326" s="2"/>
    </row>
    <row r="1327">
      <c r="A1327" s="1"/>
      <c r="C1327" s="1"/>
      <c r="E1327" s="1"/>
      <c r="F1327" s="1"/>
      <c r="G1327" s="2"/>
      <c r="H1327" s="1"/>
      <c r="I1327" s="1"/>
      <c r="J1327" s="1"/>
      <c r="K1327" s="1"/>
      <c r="M1327" s="1"/>
      <c r="N1327" s="1"/>
      <c r="O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2"/>
      <c r="AB1327" s="1"/>
      <c r="AC1327" s="1"/>
      <c r="AD1327" s="1"/>
      <c r="AE1327" s="1"/>
      <c r="AF1327" s="1"/>
      <c r="AG1327" s="1"/>
      <c r="AH1327" s="2"/>
      <c r="AI1327" s="2"/>
      <c r="AJ1327" s="2"/>
      <c r="AK1327" s="2"/>
      <c r="AL1327" s="2"/>
      <c r="AM1327" s="1"/>
      <c r="AN1327" s="2"/>
      <c r="AP1327" s="2"/>
      <c r="AQ1327" s="1"/>
      <c r="AR1327" s="2"/>
      <c r="AU1327" s="1"/>
      <c r="AW1327" s="1"/>
      <c r="AY1327" s="2"/>
    </row>
    <row r="1328">
      <c r="A1328" s="1"/>
      <c r="C1328" s="1"/>
      <c r="E1328" s="1"/>
      <c r="F1328" s="1"/>
      <c r="G1328" s="2"/>
      <c r="H1328" s="1"/>
      <c r="I1328" s="1"/>
      <c r="J1328" s="1"/>
      <c r="K1328" s="1"/>
      <c r="M1328" s="1"/>
      <c r="N1328" s="1"/>
      <c r="O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2"/>
      <c r="AB1328" s="1"/>
      <c r="AC1328" s="1"/>
      <c r="AD1328" s="1"/>
      <c r="AE1328" s="1"/>
      <c r="AF1328" s="1"/>
      <c r="AG1328" s="1"/>
      <c r="AH1328" s="2"/>
      <c r="AI1328" s="2"/>
      <c r="AJ1328" s="2"/>
      <c r="AK1328" s="2"/>
      <c r="AL1328" s="2"/>
      <c r="AM1328" s="1"/>
      <c r="AN1328" s="2"/>
      <c r="AP1328" s="2"/>
      <c r="AQ1328" s="1"/>
      <c r="AR1328" s="2"/>
      <c r="AU1328" s="1"/>
      <c r="AW1328" s="1"/>
      <c r="AY1328" s="2"/>
    </row>
    <row r="1329">
      <c r="A1329" s="1"/>
      <c r="C1329" s="1"/>
      <c r="E1329" s="1"/>
      <c r="F1329" s="1"/>
      <c r="G1329" s="2"/>
      <c r="H1329" s="1"/>
      <c r="I1329" s="1"/>
      <c r="J1329" s="1"/>
      <c r="K1329" s="1"/>
      <c r="M1329" s="1"/>
      <c r="N1329" s="1"/>
      <c r="O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2"/>
      <c r="AB1329" s="1"/>
      <c r="AC1329" s="1"/>
      <c r="AD1329" s="1"/>
      <c r="AE1329" s="1"/>
      <c r="AF1329" s="1"/>
      <c r="AG1329" s="1"/>
      <c r="AH1329" s="2"/>
      <c r="AI1329" s="2"/>
      <c r="AJ1329" s="2"/>
      <c r="AK1329" s="2"/>
      <c r="AL1329" s="2"/>
      <c r="AM1329" s="1"/>
      <c r="AN1329" s="2"/>
      <c r="AP1329" s="2"/>
      <c r="AQ1329" s="1"/>
      <c r="AR1329" s="2"/>
      <c r="AU1329" s="1"/>
      <c r="AW1329" s="1"/>
      <c r="AY1329" s="2"/>
    </row>
    <row r="1330">
      <c r="A1330" s="1"/>
      <c r="C1330" s="1"/>
      <c r="E1330" s="1"/>
      <c r="F1330" s="1"/>
      <c r="G1330" s="2"/>
      <c r="H1330" s="1"/>
      <c r="I1330" s="1"/>
      <c r="J1330" s="1"/>
      <c r="K1330" s="1"/>
      <c r="M1330" s="1"/>
      <c r="N1330" s="1"/>
      <c r="O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2"/>
      <c r="AB1330" s="1"/>
      <c r="AC1330" s="1"/>
      <c r="AD1330" s="1"/>
      <c r="AE1330" s="1"/>
      <c r="AF1330" s="1"/>
      <c r="AG1330" s="1"/>
      <c r="AH1330" s="2"/>
      <c r="AI1330" s="2"/>
      <c r="AJ1330" s="2"/>
      <c r="AK1330" s="2"/>
      <c r="AL1330" s="2"/>
      <c r="AM1330" s="1"/>
      <c r="AN1330" s="2"/>
      <c r="AP1330" s="2"/>
      <c r="AQ1330" s="1"/>
      <c r="AR1330" s="2"/>
      <c r="AU1330" s="1"/>
      <c r="AW1330" s="1"/>
      <c r="AY1330" s="2"/>
    </row>
    <row r="1331">
      <c r="A1331" s="1"/>
      <c r="C1331" s="1"/>
      <c r="E1331" s="1"/>
      <c r="F1331" s="1"/>
      <c r="G1331" s="2"/>
      <c r="H1331" s="1"/>
      <c r="I1331" s="1"/>
      <c r="J1331" s="1"/>
      <c r="K1331" s="1"/>
      <c r="M1331" s="1"/>
      <c r="N1331" s="1"/>
      <c r="O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2"/>
      <c r="AB1331" s="1"/>
      <c r="AC1331" s="1"/>
      <c r="AD1331" s="1"/>
      <c r="AE1331" s="1"/>
      <c r="AF1331" s="1"/>
      <c r="AG1331" s="1"/>
      <c r="AH1331" s="2"/>
      <c r="AI1331" s="2"/>
      <c r="AJ1331" s="2"/>
      <c r="AK1331" s="2"/>
      <c r="AL1331" s="2"/>
      <c r="AM1331" s="1"/>
      <c r="AN1331" s="2"/>
      <c r="AP1331" s="2"/>
      <c r="AQ1331" s="1"/>
      <c r="AR1331" s="2"/>
      <c r="AU1331" s="1"/>
      <c r="AW1331" s="1"/>
      <c r="AY1331" s="2"/>
    </row>
    <row r="1332">
      <c r="A1332" s="1"/>
      <c r="C1332" s="1"/>
      <c r="E1332" s="1"/>
      <c r="F1332" s="1"/>
      <c r="G1332" s="2"/>
      <c r="H1332" s="1"/>
      <c r="I1332" s="1"/>
      <c r="J1332" s="1"/>
      <c r="K1332" s="1"/>
      <c r="M1332" s="1"/>
      <c r="N1332" s="1"/>
      <c r="O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2"/>
      <c r="AB1332" s="1"/>
      <c r="AC1332" s="1"/>
      <c r="AD1332" s="1"/>
      <c r="AE1332" s="1"/>
      <c r="AF1332" s="1"/>
      <c r="AG1332" s="1"/>
      <c r="AH1332" s="2"/>
      <c r="AI1332" s="2"/>
      <c r="AJ1332" s="2"/>
      <c r="AK1332" s="2"/>
      <c r="AL1332" s="2"/>
      <c r="AM1332" s="1"/>
      <c r="AN1332" s="2"/>
      <c r="AP1332" s="2"/>
      <c r="AQ1332" s="1"/>
      <c r="AR1332" s="2"/>
      <c r="AU1332" s="1"/>
      <c r="AW1332" s="1"/>
      <c r="AY1332" s="2"/>
    </row>
    <row r="1333">
      <c r="A1333" s="1"/>
      <c r="C1333" s="1"/>
      <c r="E1333" s="1"/>
      <c r="F1333" s="1"/>
      <c r="G1333" s="2"/>
      <c r="H1333" s="1"/>
      <c r="I1333" s="1"/>
      <c r="J1333" s="1"/>
      <c r="K1333" s="1"/>
      <c r="M1333" s="1"/>
      <c r="N1333" s="1"/>
      <c r="O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2"/>
      <c r="AB1333" s="1"/>
      <c r="AC1333" s="1"/>
      <c r="AD1333" s="1"/>
      <c r="AE1333" s="1"/>
      <c r="AF1333" s="1"/>
      <c r="AG1333" s="1"/>
      <c r="AH1333" s="2"/>
      <c r="AI1333" s="2"/>
      <c r="AJ1333" s="2"/>
      <c r="AK1333" s="2"/>
      <c r="AL1333" s="2"/>
      <c r="AM1333" s="1"/>
      <c r="AN1333" s="2"/>
      <c r="AP1333" s="2"/>
      <c r="AQ1333" s="1"/>
      <c r="AR1333" s="2"/>
      <c r="AU1333" s="1"/>
      <c r="AW1333" s="1"/>
      <c r="AY1333" s="2"/>
    </row>
    <row r="1334">
      <c r="A1334" s="1"/>
      <c r="C1334" s="1"/>
      <c r="E1334" s="1"/>
      <c r="F1334" s="1"/>
      <c r="G1334" s="2"/>
      <c r="H1334" s="1"/>
      <c r="I1334" s="1"/>
      <c r="J1334" s="1"/>
      <c r="K1334" s="1"/>
      <c r="M1334" s="1"/>
      <c r="N1334" s="1"/>
      <c r="O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2"/>
      <c r="AB1334" s="1"/>
      <c r="AC1334" s="1"/>
      <c r="AD1334" s="1"/>
      <c r="AE1334" s="1"/>
      <c r="AF1334" s="1"/>
      <c r="AG1334" s="1"/>
      <c r="AH1334" s="2"/>
      <c r="AI1334" s="2"/>
      <c r="AJ1334" s="2"/>
      <c r="AK1334" s="2"/>
      <c r="AL1334" s="2"/>
      <c r="AM1334" s="1"/>
      <c r="AN1334" s="2"/>
      <c r="AP1334" s="2"/>
      <c r="AQ1334" s="1"/>
      <c r="AR1334" s="2"/>
      <c r="AU1334" s="1"/>
      <c r="AW1334" s="1"/>
      <c r="AY1334" s="2"/>
    </row>
    <row r="1335">
      <c r="A1335" s="1"/>
      <c r="C1335" s="1"/>
      <c r="E1335" s="1"/>
      <c r="F1335" s="1"/>
      <c r="G1335" s="2"/>
      <c r="H1335" s="1"/>
      <c r="I1335" s="1"/>
      <c r="J1335" s="1"/>
      <c r="K1335" s="1"/>
      <c r="M1335" s="1"/>
      <c r="N1335" s="1"/>
      <c r="O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2"/>
      <c r="AB1335" s="1"/>
      <c r="AC1335" s="1"/>
      <c r="AD1335" s="1"/>
      <c r="AE1335" s="1"/>
      <c r="AF1335" s="1"/>
      <c r="AG1335" s="1"/>
      <c r="AH1335" s="2"/>
      <c r="AI1335" s="2"/>
      <c r="AJ1335" s="2"/>
      <c r="AK1335" s="2"/>
      <c r="AL1335" s="2"/>
      <c r="AM1335" s="1"/>
      <c r="AN1335" s="2"/>
      <c r="AP1335" s="2"/>
      <c r="AQ1335" s="1"/>
      <c r="AR1335" s="2"/>
      <c r="AU1335" s="1"/>
      <c r="AW1335" s="1"/>
      <c r="AY1335" s="2"/>
    </row>
    <row r="1336">
      <c r="A1336" s="1"/>
      <c r="C1336" s="1"/>
      <c r="E1336" s="1"/>
      <c r="F1336" s="1"/>
      <c r="G1336" s="2"/>
      <c r="H1336" s="1"/>
      <c r="I1336" s="1"/>
      <c r="J1336" s="1"/>
      <c r="K1336" s="1"/>
      <c r="M1336" s="1"/>
      <c r="N1336" s="1"/>
      <c r="O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2"/>
      <c r="AB1336" s="1"/>
      <c r="AC1336" s="1"/>
      <c r="AD1336" s="1"/>
      <c r="AE1336" s="1"/>
      <c r="AF1336" s="1"/>
      <c r="AG1336" s="1"/>
      <c r="AH1336" s="2"/>
      <c r="AI1336" s="2"/>
      <c r="AJ1336" s="2"/>
      <c r="AK1336" s="2"/>
      <c r="AL1336" s="2"/>
      <c r="AM1336" s="1"/>
      <c r="AN1336" s="2"/>
      <c r="AP1336" s="2"/>
      <c r="AQ1336" s="1"/>
      <c r="AR1336" s="2"/>
      <c r="AU1336" s="1"/>
      <c r="AW1336" s="1"/>
      <c r="AY1336" s="2"/>
    </row>
    <row r="1337">
      <c r="A1337" s="1"/>
      <c r="C1337" s="1"/>
      <c r="E1337" s="1"/>
      <c r="F1337" s="1"/>
      <c r="G1337" s="2"/>
      <c r="H1337" s="1"/>
      <c r="I1337" s="1"/>
      <c r="J1337" s="1"/>
      <c r="K1337" s="1"/>
      <c r="M1337" s="1"/>
      <c r="N1337" s="1"/>
      <c r="O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2"/>
      <c r="AB1337" s="1"/>
      <c r="AC1337" s="1"/>
      <c r="AD1337" s="1"/>
      <c r="AE1337" s="1"/>
      <c r="AF1337" s="1"/>
      <c r="AG1337" s="1"/>
      <c r="AH1337" s="2"/>
      <c r="AI1337" s="2"/>
      <c r="AJ1337" s="2"/>
      <c r="AK1337" s="2"/>
      <c r="AL1337" s="2"/>
      <c r="AM1337" s="1"/>
      <c r="AN1337" s="2"/>
      <c r="AP1337" s="2"/>
      <c r="AQ1337" s="1"/>
      <c r="AR1337" s="2"/>
      <c r="AU1337" s="1"/>
      <c r="AW1337" s="1"/>
      <c r="AY1337" s="2"/>
    </row>
    <row r="1338">
      <c r="A1338" s="1"/>
      <c r="C1338" s="1"/>
      <c r="E1338" s="1"/>
      <c r="F1338" s="1"/>
      <c r="G1338" s="2"/>
      <c r="H1338" s="1"/>
      <c r="I1338" s="1"/>
      <c r="J1338" s="1"/>
      <c r="K1338" s="1"/>
      <c r="M1338" s="1"/>
      <c r="N1338" s="1"/>
      <c r="O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2"/>
      <c r="AB1338" s="1"/>
      <c r="AC1338" s="1"/>
      <c r="AD1338" s="1"/>
      <c r="AE1338" s="1"/>
      <c r="AF1338" s="1"/>
      <c r="AG1338" s="1"/>
      <c r="AH1338" s="2"/>
      <c r="AI1338" s="2"/>
      <c r="AJ1338" s="2"/>
      <c r="AK1338" s="2"/>
      <c r="AL1338" s="2"/>
      <c r="AM1338" s="1"/>
      <c r="AN1338" s="2"/>
      <c r="AP1338" s="2"/>
      <c r="AQ1338" s="1"/>
      <c r="AR1338" s="2"/>
      <c r="AU1338" s="1"/>
      <c r="AW1338" s="1"/>
      <c r="AY1338" s="2"/>
    </row>
    <row r="1339">
      <c r="A1339" s="1"/>
      <c r="C1339" s="1"/>
      <c r="E1339" s="1"/>
      <c r="F1339" s="1"/>
      <c r="G1339" s="2"/>
      <c r="H1339" s="1"/>
      <c r="I1339" s="1"/>
      <c r="J1339" s="1"/>
      <c r="K1339" s="1"/>
      <c r="M1339" s="1"/>
      <c r="N1339" s="1"/>
      <c r="O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2"/>
      <c r="AB1339" s="1"/>
      <c r="AC1339" s="1"/>
      <c r="AD1339" s="1"/>
      <c r="AE1339" s="1"/>
      <c r="AF1339" s="1"/>
      <c r="AG1339" s="1"/>
      <c r="AH1339" s="2"/>
      <c r="AI1339" s="2"/>
      <c r="AJ1339" s="2"/>
      <c r="AK1339" s="2"/>
      <c r="AL1339" s="2"/>
      <c r="AM1339" s="1"/>
      <c r="AN1339" s="2"/>
      <c r="AP1339" s="2"/>
      <c r="AQ1339" s="1"/>
      <c r="AR1339" s="2"/>
      <c r="AU1339" s="1"/>
      <c r="AW1339" s="1"/>
      <c r="AY1339" s="2"/>
    </row>
    <row r="1340">
      <c r="A1340" s="1"/>
      <c r="C1340" s="1"/>
      <c r="E1340" s="1"/>
      <c r="F1340" s="1"/>
      <c r="G1340" s="2"/>
      <c r="H1340" s="1"/>
      <c r="I1340" s="1"/>
      <c r="J1340" s="1"/>
      <c r="K1340" s="1"/>
      <c r="M1340" s="1"/>
      <c r="N1340" s="1"/>
      <c r="O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2"/>
      <c r="AB1340" s="1"/>
      <c r="AC1340" s="1"/>
      <c r="AD1340" s="1"/>
      <c r="AE1340" s="1"/>
      <c r="AF1340" s="1"/>
      <c r="AG1340" s="1"/>
      <c r="AH1340" s="2"/>
      <c r="AI1340" s="2"/>
      <c r="AJ1340" s="2"/>
      <c r="AK1340" s="2"/>
      <c r="AL1340" s="2"/>
      <c r="AM1340" s="1"/>
      <c r="AN1340" s="2"/>
      <c r="AP1340" s="2"/>
      <c r="AQ1340" s="1"/>
      <c r="AR1340" s="2"/>
      <c r="AU1340" s="1"/>
      <c r="AW1340" s="1"/>
      <c r="AY1340" s="2"/>
    </row>
    <row r="1341">
      <c r="A1341" s="1"/>
      <c r="C1341" s="1"/>
      <c r="E1341" s="1"/>
      <c r="F1341" s="1"/>
      <c r="G1341" s="2"/>
      <c r="H1341" s="1"/>
      <c r="I1341" s="1"/>
      <c r="J1341" s="1"/>
      <c r="K1341" s="1"/>
      <c r="M1341" s="1"/>
      <c r="N1341" s="1"/>
      <c r="O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2"/>
      <c r="AB1341" s="1"/>
      <c r="AC1341" s="1"/>
      <c r="AD1341" s="1"/>
      <c r="AE1341" s="1"/>
      <c r="AF1341" s="1"/>
      <c r="AG1341" s="1"/>
      <c r="AH1341" s="2"/>
      <c r="AI1341" s="2"/>
      <c r="AJ1341" s="2"/>
      <c r="AK1341" s="2"/>
      <c r="AL1341" s="2"/>
      <c r="AM1341" s="1"/>
      <c r="AN1341" s="2"/>
      <c r="AP1341" s="2"/>
      <c r="AQ1341" s="1"/>
      <c r="AR1341" s="2"/>
      <c r="AU1341" s="1"/>
      <c r="AW1341" s="1"/>
      <c r="AY1341" s="2"/>
    </row>
    <row r="1342">
      <c r="A1342" s="1"/>
      <c r="C1342" s="1"/>
      <c r="E1342" s="1"/>
      <c r="F1342" s="1"/>
      <c r="G1342" s="2"/>
      <c r="H1342" s="1"/>
      <c r="I1342" s="1"/>
      <c r="J1342" s="1"/>
      <c r="K1342" s="1"/>
      <c r="M1342" s="1"/>
      <c r="N1342" s="1"/>
      <c r="O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2"/>
      <c r="AB1342" s="1"/>
      <c r="AC1342" s="1"/>
      <c r="AD1342" s="1"/>
      <c r="AE1342" s="1"/>
      <c r="AF1342" s="1"/>
      <c r="AG1342" s="1"/>
      <c r="AH1342" s="2"/>
      <c r="AI1342" s="2"/>
      <c r="AJ1342" s="2"/>
      <c r="AK1342" s="2"/>
      <c r="AL1342" s="2"/>
      <c r="AM1342" s="1"/>
      <c r="AN1342" s="2"/>
      <c r="AP1342" s="2"/>
      <c r="AQ1342" s="1"/>
      <c r="AR1342" s="2"/>
      <c r="AU1342" s="1"/>
      <c r="AW1342" s="1"/>
      <c r="AY1342" s="2"/>
    </row>
    <row r="1343">
      <c r="A1343" s="1"/>
      <c r="C1343" s="1"/>
      <c r="E1343" s="1"/>
      <c r="F1343" s="1"/>
      <c r="G1343" s="2"/>
      <c r="H1343" s="1"/>
      <c r="I1343" s="1"/>
      <c r="J1343" s="1"/>
      <c r="K1343" s="1"/>
      <c r="M1343" s="1"/>
      <c r="N1343" s="1"/>
      <c r="O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2"/>
      <c r="AB1343" s="1"/>
      <c r="AC1343" s="1"/>
      <c r="AD1343" s="1"/>
      <c r="AE1343" s="1"/>
      <c r="AF1343" s="1"/>
      <c r="AG1343" s="1"/>
      <c r="AH1343" s="2"/>
      <c r="AI1343" s="2"/>
      <c r="AJ1343" s="2"/>
      <c r="AK1343" s="2"/>
      <c r="AL1343" s="2"/>
      <c r="AM1343" s="1"/>
      <c r="AN1343" s="2"/>
      <c r="AP1343" s="2"/>
      <c r="AQ1343" s="1"/>
      <c r="AR1343" s="2"/>
      <c r="AU1343" s="1"/>
      <c r="AW1343" s="1"/>
      <c r="AY1343" s="2"/>
    </row>
    <row r="1344">
      <c r="A1344" s="1"/>
      <c r="C1344" s="1"/>
      <c r="E1344" s="1"/>
      <c r="F1344" s="1"/>
      <c r="G1344" s="2"/>
      <c r="H1344" s="1"/>
      <c r="I1344" s="1"/>
      <c r="J1344" s="1"/>
      <c r="K1344" s="1"/>
      <c r="M1344" s="1"/>
      <c r="N1344" s="1"/>
      <c r="O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2"/>
      <c r="AB1344" s="1"/>
      <c r="AC1344" s="1"/>
      <c r="AD1344" s="1"/>
      <c r="AE1344" s="1"/>
      <c r="AF1344" s="1"/>
      <c r="AG1344" s="1"/>
      <c r="AH1344" s="2"/>
      <c r="AI1344" s="2"/>
      <c r="AJ1344" s="2"/>
      <c r="AK1344" s="2"/>
      <c r="AL1344" s="2"/>
      <c r="AM1344" s="1"/>
      <c r="AN1344" s="2"/>
      <c r="AP1344" s="2"/>
      <c r="AQ1344" s="1"/>
      <c r="AR1344" s="2"/>
      <c r="AU1344" s="1"/>
      <c r="AW1344" s="1"/>
      <c r="AY1344" s="2"/>
    </row>
    <row r="1345">
      <c r="A1345" s="1"/>
      <c r="C1345" s="1"/>
      <c r="E1345" s="1"/>
      <c r="F1345" s="1"/>
      <c r="G1345" s="2"/>
      <c r="H1345" s="1"/>
      <c r="I1345" s="1"/>
      <c r="J1345" s="1"/>
      <c r="K1345" s="1"/>
      <c r="M1345" s="1"/>
      <c r="N1345" s="1"/>
      <c r="O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2"/>
      <c r="AB1345" s="1"/>
      <c r="AC1345" s="1"/>
      <c r="AD1345" s="1"/>
      <c r="AE1345" s="1"/>
      <c r="AF1345" s="1"/>
      <c r="AG1345" s="1"/>
      <c r="AH1345" s="2"/>
      <c r="AI1345" s="2"/>
      <c r="AJ1345" s="2"/>
      <c r="AK1345" s="2"/>
      <c r="AL1345" s="2"/>
      <c r="AM1345" s="1"/>
      <c r="AN1345" s="2"/>
      <c r="AP1345" s="2"/>
      <c r="AQ1345" s="1"/>
      <c r="AR1345" s="2"/>
      <c r="AU1345" s="1"/>
      <c r="AW1345" s="1"/>
      <c r="AY1345" s="2"/>
    </row>
    <row r="1346">
      <c r="A1346" s="1"/>
      <c r="C1346" s="1"/>
      <c r="E1346" s="1"/>
      <c r="F1346" s="1"/>
      <c r="G1346" s="2"/>
      <c r="H1346" s="1"/>
      <c r="I1346" s="1"/>
      <c r="J1346" s="1"/>
      <c r="K1346" s="1"/>
      <c r="M1346" s="1"/>
      <c r="N1346" s="1"/>
      <c r="O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2"/>
      <c r="AB1346" s="1"/>
      <c r="AC1346" s="1"/>
      <c r="AD1346" s="1"/>
      <c r="AE1346" s="1"/>
      <c r="AF1346" s="1"/>
      <c r="AG1346" s="1"/>
      <c r="AH1346" s="2"/>
      <c r="AI1346" s="2"/>
      <c r="AJ1346" s="2"/>
      <c r="AK1346" s="2"/>
      <c r="AL1346" s="2"/>
      <c r="AM1346" s="1"/>
      <c r="AN1346" s="2"/>
      <c r="AP1346" s="2"/>
      <c r="AQ1346" s="1"/>
      <c r="AR1346" s="2"/>
      <c r="AU1346" s="1"/>
      <c r="AW1346" s="1"/>
      <c r="AY1346" s="2"/>
    </row>
    <row r="1347">
      <c r="A1347" s="1"/>
      <c r="C1347" s="1"/>
      <c r="E1347" s="1"/>
      <c r="F1347" s="1"/>
      <c r="G1347" s="2"/>
      <c r="H1347" s="1"/>
      <c r="I1347" s="1"/>
      <c r="J1347" s="1"/>
      <c r="K1347" s="1"/>
      <c r="M1347" s="1"/>
      <c r="N1347" s="1"/>
      <c r="O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2"/>
      <c r="AB1347" s="1"/>
      <c r="AC1347" s="1"/>
      <c r="AD1347" s="1"/>
      <c r="AE1347" s="1"/>
      <c r="AF1347" s="1"/>
      <c r="AG1347" s="1"/>
      <c r="AH1347" s="2"/>
      <c r="AI1347" s="2"/>
      <c r="AJ1347" s="2"/>
      <c r="AK1347" s="2"/>
      <c r="AL1347" s="2"/>
      <c r="AM1347" s="1"/>
      <c r="AN1347" s="2"/>
      <c r="AP1347" s="2"/>
      <c r="AQ1347" s="1"/>
      <c r="AR1347" s="2"/>
      <c r="AU1347" s="1"/>
      <c r="AW1347" s="1"/>
      <c r="AY1347" s="2"/>
    </row>
    <row r="1348">
      <c r="A1348" s="1"/>
      <c r="C1348" s="1"/>
      <c r="E1348" s="1"/>
      <c r="F1348" s="1"/>
      <c r="G1348" s="2"/>
      <c r="H1348" s="1"/>
      <c r="I1348" s="1"/>
      <c r="J1348" s="1"/>
      <c r="K1348" s="1"/>
      <c r="M1348" s="1"/>
      <c r="N1348" s="1"/>
      <c r="O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2"/>
      <c r="AB1348" s="1"/>
      <c r="AC1348" s="1"/>
      <c r="AD1348" s="1"/>
      <c r="AE1348" s="1"/>
      <c r="AF1348" s="1"/>
      <c r="AG1348" s="1"/>
      <c r="AH1348" s="2"/>
      <c r="AI1348" s="2"/>
      <c r="AJ1348" s="2"/>
      <c r="AK1348" s="2"/>
      <c r="AL1348" s="2"/>
      <c r="AM1348" s="1"/>
      <c r="AN1348" s="2"/>
      <c r="AP1348" s="2"/>
      <c r="AQ1348" s="1"/>
      <c r="AR1348" s="2"/>
      <c r="AU1348" s="1"/>
      <c r="AW1348" s="1"/>
      <c r="AY1348" s="2"/>
    </row>
    <row r="1349">
      <c r="A1349" s="1"/>
      <c r="C1349" s="1"/>
      <c r="E1349" s="1"/>
      <c r="F1349" s="1"/>
      <c r="G1349" s="2"/>
      <c r="H1349" s="1"/>
      <c r="I1349" s="1"/>
      <c r="J1349" s="1"/>
      <c r="K1349" s="1"/>
      <c r="M1349" s="1"/>
      <c r="N1349" s="1"/>
      <c r="O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2"/>
      <c r="AB1349" s="1"/>
      <c r="AC1349" s="1"/>
      <c r="AD1349" s="1"/>
      <c r="AE1349" s="1"/>
      <c r="AF1349" s="1"/>
      <c r="AG1349" s="1"/>
      <c r="AH1349" s="2"/>
      <c r="AI1349" s="2"/>
      <c r="AJ1349" s="2"/>
      <c r="AK1349" s="2"/>
      <c r="AL1349" s="2"/>
      <c r="AM1349" s="1"/>
      <c r="AN1349" s="2"/>
      <c r="AP1349" s="2"/>
      <c r="AQ1349" s="1"/>
      <c r="AR1349" s="2"/>
      <c r="AU1349" s="1"/>
      <c r="AW1349" s="1"/>
      <c r="AY1349" s="2"/>
    </row>
    <row r="1350">
      <c r="A1350" s="1"/>
      <c r="C1350" s="1"/>
      <c r="E1350" s="1"/>
      <c r="F1350" s="1"/>
      <c r="G1350" s="2"/>
      <c r="H1350" s="1"/>
      <c r="I1350" s="1"/>
      <c r="J1350" s="1"/>
      <c r="K1350" s="1"/>
      <c r="M1350" s="1"/>
      <c r="N1350" s="1"/>
      <c r="O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2"/>
      <c r="AB1350" s="1"/>
      <c r="AC1350" s="1"/>
      <c r="AD1350" s="1"/>
      <c r="AE1350" s="1"/>
      <c r="AF1350" s="1"/>
      <c r="AG1350" s="1"/>
      <c r="AH1350" s="2"/>
      <c r="AI1350" s="2"/>
      <c r="AJ1350" s="2"/>
      <c r="AK1350" s="2"/>
      <c r="AL1350" s="2"/>
      <c r="AM1350" s="1"/>
      <c r="AN1350" s="2"/>
      <c r="AP1350" s="2"/>
      <c r="AQ1350" s="1"/>
      <c r="AR1350" s="2"/>
      <c r="AU1350" s="1"/>
      <c r="AW1350" s="1"/>
      <c r="AY1350" s="2"/>
    </row>
    <row r="1351">
      <c r="A1351" s="1"/>
      <c r="C1351" s="1"/>
      <c r="E1351" s="1"/>
      <c r="F1351" s="1"/>
      <c r="G1351" s="2"/>
      <c r="H1351" s="1"/>
      <c r="I1351" s="1"/>
      <c r="J1351" s="1"/>
      <c r="K1351" s="1"/>
      <c r="M1351" s="1"/>
      <c r="N1351" s="1"/>
      <c r="O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2"/>
      <c r="AB1351" s="1"/>
      <c r="AC1351" s="1"/>
      <c r="AD1351" s="1"/>
      <c r="AE1351" s="1"/>
      <c r="AF1351" s="1"/>
      <c r="AG1351" s="1"/>
      <c r="AH1351" s="2"/>
      <c r="AI1351" s="2"/>
      <c r="AJ1351" s="2"/>
      <c r="AK1351" s="2"/>
      <c r="AL1351" s="2"/>
      <c r="AM1351" s="1"/>
      <c r="AN1351" s="2"/>
      <c r="AP1351" s="2"/>
      <c r="AQ1351" s="1"/>
      <c r="AR1351" s="2"/>
      <c r="AU1351" s="1"/>
      <c r="AW1351" s="1"/>
      <c r="AY1351" s="2"/>
    </row>
    <row r="1352">
      <c r="A1352" s="1"/>
      <c r="C1352" s="1"/>
      <c r="E1352" s="1"/>
      <c r="F1352" s="1"/>
      <c r="G1352" s="2"/>
      <c r="H1352" s="1"/>
      <c r="I1352" s="1"/>
      <c r="J1352" s="1"/>
      <c r="K1352" s="1"/>
      <c r="M1352" s="1"/>
      <c r="N1352" s="1"/>
      <c r="O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2"/>
      <c r="AB1352" s="1"/>
      <c r="AC1352" s="1"/>
      <c r="AD1352" s="1"/>
      <c r="AE1352" s="1"/>
      <c r="AF1352" s="1"/>
      <c r="AG1352" s="1"/>
      <c r="AH1352" s="2"/>
      <c r="AI1352" s="2"/>
      <c r="AJ1352" s="2"/>
      <c r="AK1352" s="2"/>
      <c r="AL1352" s="2"/>
      <c r="AM1352" s="1"/>
      <c r="AN1352" s="2"/>
      <c r="AP1352" s="2"/>
      <c r="AQ1352" s="1"/>
      <c r="AR1352" s="2"/>
      <c r="AU1352" s="1"/>
      <c r="AW1352" s="1"/>
      <c r="AY1352" s="2"/>
    </row>
    <row r="1353">
      <c r="A1353" s="1"/>
      <c r="C1353" s="1"/>
      <c r="E1353" s="1"/>
      <c r="F1353" s="1"/>
      <c r="G1353" s="2"/>
      <c r="H1353" s="1"/>
      <c r="I1353" s="1"/>
      <c r="J1353" s="1"/>
      <c r="K1353" s="1"/>
      <c r="M1353" s="1"/>
      <c r="N1353" s="1"/>
      <c r="O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2"/>
      <c r="AB1353" s="1"/>
      <c r="AC1353" s="1"/>
      <c r="AD1353" s="1"/>
      <c r="AE1353" s="1"/>
      <c r="AF1353" s="1"/>
      <c r="AG1353" s="1"/>
      <c r="AH1353" s="2"/>
      <c r="AI1353" s="2"/>
      <c r="AJ1353" s="2"/>
      <c r="AK1353" s="2"/>
      <c r="AL1353" s="2"/>
      <c r="AM1353" s="1"/>
      <c r="AN1353" s="2"/>
      <c r="AP1353" s="2"/>
      <c r="AQ1353" s="1"/>
      <c r="AR1353" s="2"/>
      <c r="AU1353" s="1"/>
      <c r="AW1353" s="1"/>
      <c r="AY1353" s="2"/>
    </row>
    <row r="1354">
      <c r="A1354" s="1"/>
      <c r="C1354" s="1"/>
      <c r="E1354" s="1"/>
      <c r="F1354" s="1"/>
      <c r="G1354" s="2"/>
      <c r="H1354" s="1"/>
      <c r="I1354" s="1"/>
      <c r="J1354" s="1"/>
      <c r="K1354" s="1"/>
      <c r="M1354" s="1"/>
      <c r="N1354" s="1"/>
      <c r="O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2"/>
      <c r="AB1354" s="1"/>
      <c r="AC1354" s="1"/>
      <c r="AD1354" s="1"/>
      <c r="AE1354" s="1"/>
      <c r="AF1354" s="1"/>
      <c r="AG1354" s="1"/>
      <c r="AH1354" s="2"/>
      <c r="AI1354" s="2"/>
      <c r="AJ1354" s="2"/>
      <c r="AK1354" s="2"/>
      <c r="AL1354" s="2"/>
      <c r="AM1354" s="1"/>
      <c r="AN1354" s="2"/>
      <c r="AP1354" s="2"/>
      <c r="AQ1354" s="1"/>
      <c r="AR1354" s="2"/>
      <c r="AU1354" s="1"/>
      <c r="AW1354" s="1"/>
      <c r="AY1354" s="2"/>
    </row>
    <row r="1355">
      <c r="A1355" s="1"/>
      <c r="C1355" s="1"/>
      <c r="E1355" s="1"/>
      <c r="F1355" s="1"/>
      <c r="G1355" s="2"/>
      <c r="H1355" s="1"/>
      <c r="I1355" s="1"/>
      <c r="J1355" s="1"/>
      <c r="K1355" s="1"/>
      <c r="M1355" s="1"/>
      <c r="N1355" s="1"/>
      <c r="O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2"/>
      <c r="AB1355" s="1"/>
      <c r="AC1355" s="1"/>
      <c r="AD1355" s="1"/>
      <c r="AE1355" s="1"/>
      <c r="AF1355" s="1"/>
      <c r="AG1355" s="1"/>
      <c r="AH1355" s="2"/>
      <c r="AI1355" s="2"/>
      <c r="AJ1355" s="2"/>
      <c r="AK1355" s="2"/>
      <c r="AL1355" s="2"/>
      <c r="AM1355" s="1"/>
      <c r="AN1355" s="2"/>
      <c r="AP1355" s="2"/>
      <c r="AQ1355" s="1"/>
      <c r="AR1355" s="2"/>
      <c r="AU1355" s="1"/>
      <c r="AW1355" s="1"/>
      <c r="AY1355" s="2"/>
    </row>
    <row r="1356">
      <c r="A1356" s="1"/>
      <c r="C1356" s="1"/>
      <c r="E1356" s="1"/>
      <c r="F1356" s="1"/>
      <c r="G1356" s="2"/>
      <c r="H1356" s="1"/>
      <c r="I1356" s="1"/>
      <c r="J1356" s="1"/>
      <c r="K1356" s="1"/>
      <c r="M1356" s="1"/>
      <c r="N1356" s="1"/>
      <c r="O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2"/>
      <c r="AB1356" s="1"/>
      <c r="AC1356" s="1"/>
      <c r="AD1356" s="1"/>
      <c r="AE1356" s="1"/>
      <c r="AF1356" s="1"/>
      <c r="AG1356" s="1"/>
      <c r="AH1356" s="2"/>
      <c r="AI1356" s="2"/>
      <c r="AJ1356" s="2"/>
      <c r="AK1356" s="2"/>
      <c r="AL1356" s="2"/>
      <c r="AM1356" s="1"/>
      <c r="AN1356" s="2"/>
      <c r="AP1356" s="2"/>
      <c r="AQ1356" s="1"/>
      <c r="AR1356" s="2"/>
      <c r="AU1356" s="1"/>
      <c r="AW1356" s="1"/>
      <c r="AY1356" s="2"/>
    </row>
    <row r="1357">
      <c r="A1357" s="1"/>
      <c r="C1357" s="1"/>
      <c r="E1357" s="1"/>
      <c r="F1357" s="1"/>
      <c r="G1357" s="2"/>
      <c r="H1357" s="1"/>
      <c r="I1357" s="1"/>
      <c r="J1357" s="1"/>
      <c r="K1357" s="1"/>
      <c r="M1357" s="1"/>
      <c r="N1357" s="1"/>
      <c r="O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2"/>
      <c r="AB1357" s="1"/>
      <c r="AC1357" s="1"/>
      <c r="AD1357" s="1"/>
      <c r="AE1357" s="1"/>
      <c r="AF1357" s="1"/>
      <c r="AG1357" s="1"/>
      <c r="AH1357" s="2"/>
      <c r="AI1357" s="2"/>
      <c r="AJ1357" s="2"/>
      <c r="AK1357" s="2"/>
      <c r="AL1357" s="2"/>
      <c r="AM1357" s="1"/>
      <c r="AN1357" s="2"/>
      <c r="AP1357" s="2"/>
      <c r="AQ1357" s="1"/>
      <c r="AR1357" s="2"/>
      <c r="AU1357" s="1"/>
      <c r="AW1357" s="1"/>
      <c r="AY1357" s="2"/>
    </row>
    <row r="1358">
      <c r="A1358" s="1"/>
      <c r="C1358" s="1"/>
      <c r="E1358" s="1"/>
      <c r="F1358" s="1"/>
      <c r="G1358" s="2"/>
      <c r="H1358" s="1"/>
      <c r="I1358" s="1"/>
      <c r="J1358" s="1"/>
      <c r="K1358" s="1"/>
      <c r="M1358" s="1"/>
      <c r="N1358" s="1"/>
      <c r="O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2"/>
      <c r="AB1358" s="1"/>
      <c r="AC1358" s="1"/>
      <c r="AD1358" s="1"/>
      <c r="AE1358" s="1"/>
      <c r="AF1358" s="1"/>
      <c r="AG1358" s="1"/>
      <c r="AH1358" s="2"/>
      <c r="AI1358" s="2"/>
      <c r="AJ1358" s="2"/>
      <c r="AK1358" s="2"/>
      <c r="AL1358" s="2"/>
      <c r="AM1358" s="1"/>
      <c r="AN1358" s="2"/>
      <c r="AP1358" s="2"/>
      <c r="AQ1358" s="1"/>
      <c r="AR1358" s="2"/>
      <c r="AU1358" s="1"/>
      <c r="AW1358" s="1"/>
      <c r="AY1358" s="2"/>
    </row>
    <row r="1359">
      <c r="A1359" s="1"/>
      <c r="C1359" s="1"/>
      <c r="E1359" s="1"/>
      <c r="F1359" s="1"/>
      <c r="G1359" s="2"/>
      <c r="H1359" s="1"/>
      <c r="I1359" s="1"/>
      <c r="J1359" s="1"/>
      <c r="K1359" s="1"/>
      <c r="M1359" s="1"/>
      <c r="N1359" s="1"/>
      <c r="O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2"/>
      <c r="AB1359" s="1"/>
      <c r="AC1359" s="1"/>
      <c r="AD1359" s="1"/>
      <c r="AE1359" s="1"/>
      <c r="AF1359" s="1"/>
      <c r="AG1359" s="1"/>
      <c r="AH1359" s="2"/>
      <c r="AI1359" s="2"/>
      <c r="AJ1359" s="2"/>
      <c r="AK1359" s="2"/>
      <c r="AL1359" s="2"/>
      <c r="AM1359" s="1"/>
      <c r="AN1359" s="2"/>
      <c r="AP1359" s="2"/>
      <c r="AQ1359" s="1"/>
      <c r="AR1359" s="2"/>
      <c r="AU1359" s="1"/>
      <c r="AW1359" s="1"/>
      <c r="AY1359" s="2"/>
    </row>
    <row r="1360">
      <c r="A1360" s="1"/>
      <c r="C1360" s="1"/>
      <c r="E1360" s="1"/>
      <c r="F1360" s="1"/>
      <c r="G1360" s="2"/>
      <c r="H1360" s="1"/>
      <c r="I1360" s="1"/>
      <c r="J1360" s="1"/>
      <c r="K1360" s="1"/>
      <c r="M1360" s="1"/>
      <c r="N1360" s="1"/>
      <c r="O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2"/>
      <c r="AB1360" s="1"/>
      <c r="AC1360" s="1"/>
      <c r="AD1360" s="1"/>
      <c r="AE1360" s="1"/>
      <c r="AF1360" s="1"/>
      <c r="AG1360" s="1"/>
      <c r="AH1360" s="2"/>
      <c r="AI1360" s="2"/>
      <c r="AJ1360" s="2"/>
      <c r="AK1360" s="2"/>
      <c r="AL1360" s="2"/>
      <c r="AM1360" s="1"/>
      <c r="AN1360" s="2"/>
      <c r="AP1360" s="2"/>
      <c r="AQ1360" s="1"/>
      <c r="AR1360" s="2"/>
      <c r="AU1360" s="1"/>
      <c r="AW1360" s="1"/>
      <c r="AY1360" s="2"/>
    </row>
    <row r="1361">
      <c r="A1361" s="1"/>
      <c r="C1361" s="1"/>
      <c r="E1361" s="1"/>
      <c r="F1361" s="1"/>
      <c r="G1361" s="2"/>
      <c r="H1361" s="1"/>
      <c r="I1361" s="1"/>
      <c r="J1361" s="1"/>
      <c r="K1361" s="1"/>
      <c r="M1361" s="1"/>
      <c r="N1361" s="1"/>
      <c r="O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2"/>
      <c r="AB1361" s="1"/>
      <c r="AC1361" s="1"/>
      <c r="AD1361" s="1"/>
      <c r="AE1361" s="1"/>
      <c r="AF1361" s="1"/>
      <c r="AG1361" s="1"/>
      <c r="AH1361" s="2"/>
      <c r="AI1361" s="2"/>
      <c r="AJ1361" s="2"/>
      <c r="AK1361" s="2"/>
      <c r="AL1361" s="2"/>
      <c r="AM1361" s="1"/>
      <c r="AN1361" s="2"/>
      <c r="AP1361" s="2"/>
      <c r="AQ1361" s="1"/>
      <c r="AR1361" s="2"/>
      <c r="AU1361" s="1"/>
      <c r="AW1361" s="1"/>
      <c r="AY1361" s="2"/>
    </row>
    <row r="1362">
      <c r="A1362" s="1"/>
      <c r="C1362" s="1"/>
      <c r="E1362" s="1"/>
      <c r="F1362" s="1"/>
      <c r="G1362" s="2"/>
      <c r="H1362" s="1"/>
      <c r="I1362" s="1"/>
      <c r="J1362" s="1"/>
      <c r="K1362" s="1"/>
      <c r="M1362" s="1"/>
      <c r="N1362" s="1"/>
      <c r="O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2"/>
      <c r="AB1362" s="1"/>
      <c r="AC1362" s="1"/>
      <c r="AD1362" s="1"/>
      <c r="AE1362" s="1"/>
      <c r="AF1362" s="1"/>
      <c r="AG1362" s="1"/>
      <c r="AH1362" s="2"/>
      <c r="AI1362" s="2"/>
      <c r="AJ1362" s="2"/>
      <c r="AK1362" s="2"/>
      <c r="AL1362" s="2"/>
      <c r="AM1362" s="1"/>
      <c r="AN1362" s="2"/>
      <c r="AP1362" s="2"/>
      <c r="AQ1362" s="1"/>
      <c r="AR1362" s="2"/>
      <c r="AU1362" s="1"/>
      <c r="AW1362" s="1"/>
      <c r="AY1362" s="2"/>
    </row>
    <row r="1363">
      <c r="A1363" s="1"/>
      <c r="C1363" s="1"/>
      <c r="E1363" s="1"/>
      <c r="F1363" s="1"/>
      <c r="G1363" s="2"/>
      <c r="H1363" s="1"/>
      <c r="I1363" s="1"/>
      <c r="J1363" s="1"/>
      <c r="K1363" s="1"/>
      <c r="M1363" s="1"/>
      <c r="N1363" s="1"/>
      <c r="O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2"/>
      <c r="AB1363" s="1"/>
      <c r="AC1363" s="1"/>
      <c r="AD1363" s="1"/>
      <c r="AE1363" s="1"/>
      <c r="AF1363" s="1"/>
      <c r="AG1363" s="1"/>
      <c r="AH1363" s="2"/>
      <c r="AI1363" s="2"/>
      <c r="AJ1363" s="2"/>
      <c r="AK1363" s="2"/>
      <c r="AL1363" s="2"/>
      <c r="AM1363" s="1"/>
      <c r="AN1363" s="2"/>
      <c r="AP1363" s="2"/>
      <c r="AQ1363" s="1"/>
      <c r="AR1363" s="2"/>
      <c r="AU1363" s="1"/>
      <c r="AW1363" s="1"/>
      <c r="AY1363" s="2"/>
    </row>
    <row r="1364">
      <c r="A1364" s="1"/>
      <c r="C1364" s="1"/>
      <c r="E1364" s="1"/>
      <c r="F1364" s="1"/>
      <c r="G1364" s="2"/>
      <c r="H1364" s="1"/>
      <c r="I1364" s="1"/>
      <c r="J1364" s="1"/>
      <c r="K1364" s="1"/>
      <c r="M1364" s="1"/>
      <c r="N1364" s="1"/>
      <c r="O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2"/>
      <c r="AB1364" s="1"/>
      <c r="AC1364" s="1"/>
      <c r="AD1364" s="1"/>
      <c r="AE1364" s="1"/>
      <c r="AF1364" s="1"/>
      <c r="AG1364" s="1"/>
      <c r="AH1364" s="2"/>
      <c r="AI1364" s="2"/>
      <c r="AJ1364" s="2"/>
      <c r="AK1364" s="2"/>
      <c r="AL1364" s="2"/>
      <c r="AM1364" s="1"/>
      <c r="AN1364" s="2"/>
      <c r="AP1364" s="2"/>
      <c r="AQ1364" s="1"/>
      <c r="AR1364" s="2"/>
      <c r="AU1364" s="1"/>
      <c r="AW1364" s="1"/>
      <c r="AY1364" s="2"/>
    </row>
    <row r="1365">
      <c r="A1365" s="1"/>
      <c r="C1365" s="1"/>
      <c r="E1365" s="1"/>
      <c r="F1365" s="1"/>
      <c r="G1365" s="2"/>
      <c r="H1365" s="1"/>
      <c r="I1365" s="1"/>
      <c r="J1365" s="1"/>
      <c r="K1365" s="1"/>
      <c r="M1365" s="1"/>
      <c r="N1365" s="1"/>
      <c r="O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2"/>
      <c r="AB1365" s="1"/>
      <c r="AC1365" s="1"/>
      <c r="AD1365" s="1"/>
      <c r="AE1365" s="1"/>
      <c r="AF1365" s="1"/>
      <c r="AG1365" s="1"/>
      <c r="AH1365" s="2"/>
      <c r="AI1365" s="2"/>
      <c r="AJ1365" s="2"/>
      <c r="AK1365" s="2"/>
      <c r="AL1365" s="2"/>
      <c r="AM1365" s="1"/>
      <c r="AN1365" s="2"/>
      <c r="AP1365" s="2"/>
      <c r="AQ1365" s="1"/>
      <c r="AR1365" s="2"/>
      <c r="AU1365" s="1"/>
      <c r="AW1365" s="1"/>
      <c r="AY1365" s="2"/>
    </row>
    <row r="1366">
      <c r="A1366" s="1"/>
      <c r="C1366" s="1"/>
      <c r="E1366" s="1"/>
      <c r="F1366" s="1"/>
      <c r="G1366" s="2"/>
      <c r="H1366" s="1"/>
      <c r="I1366" s="1"/>
      <c r="J1366" s="1"/>
      <c r="K1366" s="1"/>
      <c r="M1366" s="1"/>
      <c r="N1366" s="1"/>
      <c r="O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2"/>
      <c r="AB1366" s="1"/>
      <c r="AC1366" s="1"/>
      <c r="AD1366" s="1"/>
      <c r="AE1366" s="1"/>
      <c r="AF1366" s="1"/>
      <c r="AG1366" s="1"/>
      <c r="AH1366" s="2"/>
      <c r="AI1366" s="2"/>
      <c r="AJ1366" s="2"/>
      <c r="AK1366" s="2"/>
      <c r="AL1366" s="2"/>
      <c r="AM1366" s="1"/>
      <c r="AN1366" s="2"/>
      <c r="AP1366" s="2"/>
      <c r="AQ1366" s="1"/>
      <c r="AR1366" s="2"/>
      <c r="AU1366" s="1"/>
      <c r="AW1366" s="1"/>
      <c r="AY1366" s="2"/>
    </row>
    <row r="1367">
      <c r="A1367" s="1"/>
      <c r="C1367" s="1"/>
      <c r="E1367" s="1"/>
      <c r="F1367" s="1"/>
      <c r="G1367" s="2"/>
      <c r="H1367" s="1"/>
      <c r="I1367" s="1"/>
      <c r="J1367" s="1"/>
      <c r="K1367" s="1"/>
      <c r="M1367" s="1"/>
      <c r="N1367" s="1"/>
      <c r="O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2"/>
      <c r="AB1367" s="1"/>
      <c r="AC1367" s="1"/>
      <c r="AD1367" s="1"/>
      <c r="AE1367" s="1"/>
      <c r="AF1367" s="1"/>
      <c r="AG1367" s="1"/>
      <c r="AH1367" s="2"/>
      <c r="AI1367" s="2"/>
      <c r="AJ1367" s="2"/>
      <c r="AK1367" s="2"/>
      <c r="AL1367" s="2"/>
      <c r="AM1367" s="1"/>
      <c r="AN1367" s="2"/>
      <c r="AP1367" s="2"/>
      <c r="AQ1367" s="1"/>
      <c r="AR1367" s="2"/>
      <c r="AU1367" s="1"/>
      <c r="AW1367" s="1"/>
      <c r="AY1367" s="2"/>
    </row>
    <row r="1368">
      <c r="A1368" s="1"/>
      <c r="C1368" s="1"/>
      <c r="E1368" s="1"/>
      <c r="F1368" s="1"/>
      <c r="G1368" s="2"/>
      <c r="H1368" s="1"/>
      <c r="I1368" s="1"/>
      <c r="J1368" s="1"/>
      <c r="K1368" s="1"/>
      <c r="M1368" s="1"/>
      <c r="N1368" s="1"/>
      <c r="O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2"/>
      <c r="AB1368" s="1"/>
      <c r="AC1368" s="1"/>
      <c r="AD1368" s="1"/>
      <c r="AE1368" s="1"/>
      <c r="AF1368" s="1"/>
      <c r="AG1368" s="1"/>
      <c r="AH1368" s="2"/>
      <c r="AI1368" s="2"/>
      <c r="AJ1368" s="2"/>
      <c r="AK1368" s="2"/>
      <c r="AL1368" s="2"/>
      <c r="AM1368" s="1"/>
      <c r="AN1368" s="2"/>
      <c r="AP1368" s="2"/>
      <c r="AQ1368" s="1"/>
      <c r="AR1368" s="2"/>
      <c r="AU1368" s="1"/>
      <c r="AW1368" s="1"/>
      <c r="AY1368" s="2"/>
    </row>
    <row r="1369">
      <c r="A1369" s="1"/>
      <c r="C1369" s="1"/>
      <c r="E1369" s="1"/>
      <c r="F1369" s="1"/>
      <c r="G1369" s="2"/>
      <c r="H1369" s="1"/>
      <c r="I1369" s="1"/>
      <c r="J1369" s="1"/>
      <c r="K1369" s="1"/>
      <c r="M1369" s="1"/>
      <c r="N1369" s="1"/>
      <c r="O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2"/>
      <c r="AB1369" s="1"/>
      <c r="AC1369" s="1"/>
      <c r="AD1369" s="1"/>
      <c r="AE1369" s="1"/>
      <c r="AF1369" s="1"/>
      <c r="AG1369" s="1"/>
      <c r="AH1369" s="2"/>
      <c r="AI1369" s="2"/>
      <c r="AJ1369" s="2"/>
      <c r="AK1369" s="2"/>
      <c r="AL1369" s="2"/>
      <c r="AM1369" s="1"/>
      <c r="AN1369" s="2"/>
      <c r="AP1369" s="2"/>
      <c r="AQ1369" s="1"/>
      <c r="AR1369" s="2"/>
      <c r="AU1369" s="1"/>
      <c r="AW1369" s="1"/>
      <c r="AY1369" s="2"/>
    </row>
    <row r="1370">
      <c r="A1370" s="1"/>
      <c r="C1370" s="1"/>
      <c r="E1370" s="1"/>
      <c r="F1370" s="1"/>
      <c r="G1370" s="2"/>
      <c r="H1370" s="1"/>
      <c r="I1370" s="1"/>
      <c r="J1370" s="1"/>
      <c r="K1370" s="1"/>
      <c r="M1370" s="1"/>
      <c r="N1370" s="1"/>
      <c r="O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2"/>
      <c r="AB1370" s="1"/>
      <c r="AC1370" s="1"/>
      <c r="AD1370" s="1"/>
      <c r="AE1370" s="1"/>
      <c r="AF1370" s="1"/>
      <c r="AG1370" s="1"/>
      <c r="AH1370" s="2"/>
      <c r="AI1370" s="2"/>
      <c r="AJ1370" s="2"/>
      <c r="AK1370" s="2"/>
      <c r="AL1370" s="2"/>
      <c r="AM1370" s="1"/>
      <c r="AN1370" s="2"/>
      <c r="AP1370" s="2"/>
      <c r="AQ1370" s="1"/>
      <c r="AR1370" s="2"/>
      <c r="AU1370" s="1"/>
      <c r="AW1370" s="1"/>
      <c r="AY1370" s="2"/>
    </row>
    <row r="1371">
      <c r="A1371" s="1"/>
      <c r="C1371" s="1"/>
      <c r="E1371" s="1"/>
      <c r="F1371" s="1"/>
      <c r="G1371" s="2"/>
      <c r="H1371" s="1"/>
      <c r="I1371" s="1"/>
      <c r="J1371" s="1"/>
      <c r="K1371" s="1"/>
      <c r="M1371" s="1"/>
      <c r="N1371" s="1"/>
      <c r="O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2"/>
      <c r="AB1371" s="1"/>
      <c r="AC1371" s="1"/>
      <c r="AD1371" s="1"/>
      <c r="AE1371" s="1"/>
      <c r="AF1371" s="1"/>
      <c r="AG1371" s="1"/>
      <c r="AH1371" s="2"/>
      <c r="AI1371" s="2"/>
      <c r="AJ1371" s="2"/>
      <c r="AK1371" s="2"/>
      <c r="AL1371" s="2"/>
      <c r="AM1371" s="1"/>
      <c r="AN1371" s="2"/>
      <c r="AP1371" s="2"/>
      <c r="AQ1371" s="1"/>
      <c r="AR1371" s="2"/>
      <c r="AU1371" s="1"/>
      <c r="AW1371" s="1"/>
      <c r="AY1371" s="2"/>
    </row>
    <row r="1372">
      <c r="A1372" s="1"/>
      <c r="C1372" s="1"/>
      <c r="E1372" s="1"/>
      <c r="F1372" s="1"/>
      <c r="G1372" s="2"/>
      <c r="H1372" s="1"/>
      <c r="I1372" s="1"/>
      <c r="J1372" s="1"/>
      <c r="K1372" s="1"/>
      <c r="M1372" s="1"/>
      <c r="N1372" s="1"/>
      <c r="O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2"/>
      <c r="AB1372" s="1"/>
      <c r="AC1372" s="1"/>
      <c r="AD1372" s="1"/>
      <c r="AE1372" s="1"/>
      <c r="AF1372" s="1"/>
      <c r="AG1372" s="1"/>
      <c r="AH1372" s="2"/>
      <c r="AI1372" s="2"/>
      <c r="AJ1372" s="2"/>
      <c r="AK1372" s="2"/>
      <c r="AL1372" s="2"/>
      <c r="AM1372" s="1"/>
      <c r="AN1372" s="2"/>
      <c r="AP1372" s="2"/>
      <c r="AQ1372" s="1"/>
      <c r="AR1372" s="2"/>
      <c r="AU1372" s="1"/>
      <c r="AW1372" s="1"/>
      <c r="AY1372" s="2"/>
    </row>
    <row r="1373">
      <c r="A1373" s="1"/>
      <c r="C1373" s="1"/>
      <c r="E1373" s="1"/>
      <c r="F1373" s="1"/>
      <c r="G1373" s="2"/>
      <c r="H1373" s="1"/>
      <c r="I1373" s="1"/>
      <c r="J1373" s="1"/>
      <c r="K1373" s="1"/>
      <c r="M1373" s="1"/>
      <c r="N1373" s="1"/>
      <c r="O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2"/>
      <c r="AB1373" s="1"/>
      <c r="AC1373" s="1"/>
      <c r="AD1373" s="1"/>
      <c r="AE1373" s="1"/>
      <c r="AF1373" s="1"/>
      <c r="AG1373" s="1"/>
      <c r="AH1373" s="2"/>
      <c r="AI1373" s="2"/>
      <c r="AJ1373" s="2"/>
      <c r="AK1373" s="2"/>
      <c r="AL1373" s="2"/>
      <c r="AM1373" s="1"/>
      <c r="AN1373" s="2"/>
      <c r="AP1373" s="2"/>
      <c r="AQ1373" s="1"/>
      <c r="AR1373" s="2"/>
      <c r="AU1373" s="1"/>
      <c r="AW1373" s="1"/>
      <c r="AY1373" s="2"/>
    </row>
    <row r="1374">
      <c r="A1374" s="1"/>
      <c r="C1374" s="1"/>
      <c r="E1374" s="1"/>
      <c r="F1374" s="1"/>
      <c r="G1374" s="2"/>
      <c r="H1374" s="1"/>
      <c r="I1374" s="1"/>
      <c r="J1374" s="1"/>
      <c r="K1374" s="1"/>
      <c r="M1374" s="1"/>
      <c r="N1374" s="1"/>
      <c r="O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2"/>
      <c r="AB1374" s="1"/>
      <c r="AC1374" s="1"/>
      <c r="AD1374" s="1"/>
      <c r="AE1374" s="1"/>
      <c r="AF1374" s="1"/>
      <c r="AG1374" s="1"/>
      <c r="AH1374" s="2"/>
      <c r="AI1374" s="2"/>
      <c r="AJ1374" s="2"/>
      <c r="AK1374" s="2"/>
      <c r="AL1374" s="2"/>
      <c r="AM1374" s="1"/>
      <c r="AN1374" s="2"/>
      <c r="AP1374" s="2"/>
      <c r="AQ1374" s="1"/>
      <c r="AR1374" s="2"/>
      <c r="AU1374" s="1"/>
      <c r="AW1374" s="1"/>
      <c r="AY1374" s="2"/>
    </row>
    <row r="1375">
      <c r="A1375" s="1"/>
      <c r="C1375" s="1"/>
      <c r="E1375" s="1"/>
      <c r="F1375" s="1"/>
      <c r="G1375" s="2"/>
      <c r="H1375" s="1"/>
      <c r="I1375" s="1"/>
      <c r="J1375" s="1"/>
      <c r="K1375" s="1"/>
      <c r="M1375" s="1"/>
      <c r="N1375" s="1"/>
      <c r="O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2"/>
      <c r="AB1375" s="1"/>
      <c r="AC1375" s="1"/>
      <c r="AD1375" s="1"/>
      <c r="AE1375" s="1"/>
      <c r="AF1375" s="1"/>
      <c r="AG1375" s="1"/>
      <c r="AH1375" s="2"/>
      <c r="AI1375" s="2"/>
      <c r="AJ1375" s="2"/>
      <c r="AK1375" s="2"/>
      <c r="AL1375" s="2"/>
      <c r="AM1375" s="1"/>
      <c r="AN1375" s="2"/>
      <c r="AP1375" s="2"/>
      <c r="AQ1375" s="1"/>
      <c r="AR1375" s="2"/>
      <c r="AU1375" s="1"/>
      <c r="AW1375" s="1"/>
      <c r="AY1375" s="2"/>
    </row>
    <row r="1376">
      <c r="A1376" s="1"/>
      <c r="C1376" s="1"/>
      <c r="E1376" s="1"/>
      <c r="F1376" s="1"/>
      <c r="G1376" s="2"/>
      <c r="H1376" s="1"/>
      <c r="I1376" s="1"/>
      <c r="J1376" s="1"/>
      <c r="K1376" s="1"/>
      <c r="M1376" s="1"/>
      <c r="N1376" s="1"/>
      <c r="O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2"/>
      <c r="AB1376" s="1"/>
      <c r="AC1376" s="1"/>
      <c r="AD1376" s="1"/>
      <c r="AE1376" s="1"/>
      <c r="AF1376" s="1"/>
      <c r="AG1376" s="1"/>
      <c r="AH1376" s="2"/>
      <c r="AI1376" s="2"/>
      <c r="AJ1376" s="2"/>
      <c r="AK1376" s="2"/>
      <c r="AL1376" s="2"/>
      <c r="AM1376" s="1"/>
      <c r="AN1376" s="2"/>
      <c r="AP1376" s="2"/>
      <c r="AQ1376" s="1"/>
      <c r="AR1376" s="2"/>
      <c r="AU1376" s="1"/>
      <c r="AW1376" s="1"/>
      <c r="AY1376" s="2"/>
    </row>
    <row r="1377">
      <c r="A1377" s="1"/>
      <c r="C1377" s="1"/>
      <c r="E1377" s="1"/>
      <c r="F1377" s="1"/>
      <c r="G1377" s="2"/>
      <c r="H1377" s="1"/>
      <c r="I1377" s="1"/>
      <c r="J1377" s="1"/>
      <c r="K1377" s="1"/>
      <c r="M1377" s="1"/>
      <c r="N1377" s="1"/>
      <c r="O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2"/>
      <c r="AB1377" s="1"/>
      <c r="AC1377" s="1"/>
      <c r="AD1377" s="1"/>
      <c r="AE1377" s="1"/>
      <c r="AF1377" s="1"/>
      <c r="AG1377" s="1"/>
      <c r="AH1377" s="2"/>
      <c r="AI1377" s="2"/>
      <c r="AJ1377" s="2"/>
      <c r="AK1377" s="2"/>
      <c r="AL1377" s="2"/>
      <c r="AM1377" s="1"/>
      <c r="AN1377" s="2"/>
      <c r="AP1377" s="2"/>
      <c r="AQ1377" s="1"/>
      <c r="AR1377" s="2"/>
      <c r="AU1377" s="1"/>
      <c r="AW1377" s="1"/>
      <c r="AY1377" s="2"/>
    </row>
    <row r="1378">
      <c r="A1378" s="1"/>
      <c r="C1378" s="1"/>
      <c r="E1378" s="1"/>
      <c r="F1378" s="1"/>
      <c r="G1378" s="2"/>
      <c r="H1378" s="1"/>
      <c r="I1378" s="1"/>
      <c r="J1378" s="1"/>
      <c r="K1378" s="1"/>
      <c r="M1378" s="1"/>
      <c r="N1378" s="1"/>
      <c r="O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2"/>
      <c r="AB1378" s="1"/>
      <c r="AC1378" s="1"/>
      <c r="AD1378" s="1"/>
      <c r="AE1378" s="1"/>
      <c r="AF1378" s="1"/>
      <c r="AG1378" s="1"/>
      <c r="AH1378" s="2"/>
      <c r="AI1378" s="2"/>
      <c r="AJ1378" s="2"/>
      <c r="AK1378" s="2"/>
      <c r="AL1378" s="2"/>
      <c r="AM1378" s="1"/>
      <c r="AN1378" s="2"/>
      <c r="AP1378" s="2"/>
      <c r="AQ1378" s="1"/>
      <c r="AR1378" s="2"/>
      <c r="AU1378" s="1"/>
      <c r="AW1378" s="1"/>
      <c r="AY1378" s="2"/>
    </row>
    <row r="1379">
      <c r="A1379" s="1"/>
      <c r="C1379" s="1"/>
      <c r="E1379" s="1"/>
      <c r="F1379" s="1"/>
      <c r="G1379" s="2"/>
      <c r="H1379" s="1"/>
      <c r="I1379" s="1"/>
      <c r="J1379" s="1"/>
      <c r="K1379" s="1"/>
      <c r="M1379" s="1"/>
      <c r="N1379" s="1"/>
      <c r="O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2"/>
      <c r="AB1379" s="1"/>
      <c r="AC1379" s="1"/>
      <c r="AD1379" s="1"/>
      <c r="AE1379" s="1"/>
      <c r="AF1379" s="1"/>
      <c r="AG1379" s="1"/>
      <c r="AH1379" s="2"/>
      <c r="AI1379" s="2"/>
      <c r="AJ1379" s="2"/>
      <c r="AK1379" s="2"/>
      <c r="AL1379" s="2"/>
      <c r="AM1379" s="1"/>
      <c r="AN1379" s="2"/>
      <c r="AP1379" s="2"/>
      <c r="AQ1379" s="1"/>
      <c r="AR1379" s="2"/>
      <c r="AU1379" s="1"/>
      <c r="AW1379" s="1"/>
      <c r="AY1379" s="2"/>
    </row>
    <row r="1380">
      <c r="A1380" s="1"/>
      <c r="C1380" s="1"/>
      <c r="E1380" s="1"/>
      <c r="F1380" s="1"/>
      <c r="G1380" s="2"/>
      <c r="H1380" s="1"/>
      <c r="I1380" s="1"/>
      <c r="J1380" s="1"/>
      <c r="K1380" s="1"/>
      <c r="M1380" s="1"/>
      <c r="N1380" s="1"/>
      <c r="O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2"/>
      <c r="AB1380" s="1"/>
      <c r="AC1380" s="1"/>
      <c r="AD1380" s="1"/>
      <c r="AE1380" s="1"/>
      <c r="AF1380" s="1"/>
      <c r="AG1380" s="1"/>
      <c r="AH1380" s="2"/>
      <c r="AI1380" s="2"/>
      <c r="AJ1380" s="2"/>
      <c r="AK1380" s="2"/>
      <c r="AL1380" s="2"/>
      <c r="AM1380" s="1"/>
      <c r="AN1380" s="2"/>
      <c r="AP1380" s="2"/>
      <c r="AQ1380" s="1"/>
      <c r="AR1380" s="2"/>
      <c r="AU1380" s="1"/>
      <c r="AW1380" s="1"/>
      <c r="AY138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3E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C2" s="1" t="s">
        <v>52</v>
      </c>
      <c r="E2" s="1" t="s">
        <v>53</v>
      </c>
      <c r="F2" s="1" t="s">
        <v>54</v>
      </c>
      <c r="G2" s="2">
        <v>45.0</v>
      </c>
      <c r="H2" s="1" t="s">
        <v>55</v>
      </c>
      <c r="J2" s="1" t="s">
        <v>56</v>
      </c>
      <c r="K2" s="1" t="s">
        <v>57</v>
      </c>
      <c r="M2" s="1" t="s">
        <v>58</v>
      </c>
      <c r="N2" s="1" t="s">
        <v>58</v>
      </c>
      <c r="O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59</v>
      </c>
      <c r="Y2" s="1" t="s">
        <v>60</v>
      </c>
      <c r="Z2" s="1" t="s">
        <v>61</v>
      </c>
      <c r="AA2" s="2">
        <v>20.0</v>
      </c>
      <c r="AB2" s="1" t="s">
        <v>62</v>
      </c>
      <c r="AC2" s="1" t="s">
        <v>51</v>
      </c>
      <c r="AD2" s="1" t="s">
        <v>59</v>
      </c>
      <c r="AE2" s="1" t="s">
        <v>51</v>
      </c>
      <c r="AF2" s="1" t="s">
        <v>51</v>
      </c>
      <c r="AG2" s="1" t="s">
        <v>51</v>
      </c>
      <c r="AH2" s="2">
        <v>20000.0</v>
      </c>
      <c r="AI2" s="2">
        <v>1.0</v>
      </c>
      <c r="AJ2" s="2">
        <v>0.0</v>
      </c>
      <c r="AK2" s="2">
        <v>0.0</v>
      </c>
      <c r="AL2" s="2">
        <v>0.0</v>
      </c>
      <c r="AM2" s="1" t="s">
        <v>51</v>
      </c>
      <c r="AN2" s="2">
        <v>7.440664E8</v>
      </c>
      <c r="AP2" s="2">
        <v>4.89854387E8</v>
      </c>
      <c r="AQ2" s="1" t="s">
        <v>63</v>
      </c>
      <c r="AR2" s="2">
        <v>45808.279710648145</v>
      </c>
      <c r="AU2" s="1" t="s">
        <v>64</v>
      </c>
      <c r="AW2" s="1" t="s">
        <v>65</v>
      </c>
      <c r="AY2" s="2">
        <v>1.0</v>
      </c>
    </row>
    <row r="3">
      <c r="A3" s="1" t="s">
        <v>51</v>
      </c>
      <c r="C3" s="1" t="s">
        <v>52</v>
      </c>
      <c r="E3" s="1" t="s">
        <v>53</v>
      </c>
      <c r="F3" s="1" t="s">
        <v>54</v>
      </c>
      <c r="G3" s="2">
        <v>38.0</v>
      </c>
      <c r="H3" s="1" t="s">
        <v>66</v>
      </c>
      <c r="I3" s="1" t="s">
        <v>67</v>
      </c>
      <c r="J3" s="1" t="s">
        <v>68</v>
      </c>
      <c r="K3" s="1" t="s">
        <v>57</v>
      </c>
      <c r="M3" s="1" t="s">
        <v>58</v>
      </c>
      <c r="N3" s="1" t="s">
        <v>58</v>
      </c>
      <c r="O3" s="1" t="s">
        <v>58</v>
      </c>
      <c r="Q3" s="1" t="s">
        <v>69</v>
      </c>
      <c r="R3" s="1" t="s">
        <v>69</v>
      </c>
      <c r="S3" s="1" t="s">
        <v>58</v>
      </c>
      <c r="T3" s="1" t="s">
        <v>58</v>
      </c>
      <c r="U3" s="1" t="s">
        <v>69</v>
      </c>
      <c r="V3" s="1" t="s">
        <v>70</v>
      </c>
      <c r="W3" s="1" t="s">
        <v>69</v>
      </c>
      <c r="X3" s="1" t="s">
        <v>59</v>
      </c>
      <c r="Y3" s="1" t="s">
        <v>60</v>
      </c>
      <c r="Z3" s="1" t="s">
        <v>61</v>
      </c>
      <c r="AA3" s="2">
        <v>30.0</v>
      </c>
      <c r="AB3" s="1" t="s">
        <v>62</v>
      </c>
      <c r="AC3" s="1" t="s">
        <v>71</v>
      </c>
      <c r="AF3" s="1" t="s">
        <v>51</v>
      </c>
      <c r="AG3" s="1" t="s">
        <v>72</v>
      </c>
      <c r="AI3" s="2">
        <v>1.0</v>
      </c>
      <c r="AJ3" s="2">
        <v>0.0</v>
      </c>
      <c r="AK3" s="2">
        <v>0.0</v>
      </c>
      <c r="AL3" s="2">
        <v>0.0</v>
      </c>
      <c r="AM3" s="1" t="s">
        <v>72</v>
      </c>
      <c r="AP3" s="2">
        <v>4.89889246E8</v>
      </c>
      <c r="AQ3" s="1" t="s">
        <v>73</v>
      </c>
      <c r="AR3" s="2">
        <v>45808.33771990741</v>
      </c>
      <c r="AU3" s="1" t="s">
        <v>64</v>
      </c>
      <c r="AW3" s="1" t="s">
        <v>65</v>
      </c>
      <c r="AY3" s="2">
        <v>2.0</v>
      </c>
    </row>
    <row r="4">
      <c r="A4" s="1" t="s">
        <v>51</v>
      </c>
      <c r="C4" s="1" t="s">
        <v>52</v>
      </c>
      <c r="E4" s="1" t="s">
        <v>53</v>
      </c>
      <c r="F4" s="1" t="s">
        <v>54</v>
      </c>
      <c r="G4" s="2">
        <v>39.0</v>
      </c>
      <c r="H4" s="1" t="s">
        <v>66</v>
      </c>
      <c r="I4" s="1" t="s">
        <v>67</v>
      </c>
      <c r="J4" s="1" t="s">
        <v>68</v>
      </c>
      <c r="K4" s="1" t="s">
        <v>74</v>
      </c>
      <c r="M4" s="1" t="s">
        <v>58</v>
      </c>
      <c r="N4" s="1" t="s">
        <v>58</v>
      </c>
      <c r="O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59</v>
      </c>
      <c r="Y4" s="1" t="s">
        <v>60</v>
      </c>
      <c r="Z4" s="1" t="s">
        <v>61</v>
      </c>
      <c r="AA4" s="2">
        <v>30.0</v>
      </c>
      <c r="AB4" s="1" t="s">
        <v>62</v>
      </c>
      <c r="AC4" s="1" t="s">
        <v>71</v>
      </c>
      <c r="AF4" s="1" t="s">
        <v>51</v>
      </c>
      <c r="AG4" s="1" t="s">
        <v>72</v>
      </c>
      <c r="AI4" s="2">
        <v>1.0</v>
      </c>
      <c r="AJ4" s="2">
        <v>0.0</v>
      </c>
      <c r="AK4" s="2">
        <v>0.0</v>
      </c>
      <c r="AL4" s="2">
        <v>0.0</v>
      </c>
      <c r="AM4" s="1" t="s">
        <v>72</v>
      </c>
      <c r="AP4" s="2">
        <v>4.89890054E8</v>
      </c>
      <c r="AQ4" s="1" t="s">
        <v>75</v>
      </c>
      <c r="AR4" s="2">
        <v>45808.339270833334</v>
      </c>
      <c r="AU4" s="1" t="s">
        <v>64</v>
      </c>
      <c r="AW4" s="1" t="s">
        <v>65</v>
      </c>
      <c r="AY4" s="2">
        <v>3.0</v>
      </c>
    </row>
    <row r="5">
      <c r="A5" s="1" t="s">
        <v>51</v>
      </c>
      <c r="C5" s="1" t="s">
        <v>52</v>
      </c>
      <c r="E5" s="1" t="s">
        <v>53</v>
      </c>
      <c r="F5" s="1" t="s">
        <v>54</v>
      </c>
      <c r="G5" s="2">
        <v>27.0</v>
      </c>
      <c r="H5" s="1" t="s">
        <v>66</v>
      </c>
      <c r="I5" s="1" t="s">
        <v>76</v>
      </c>
      <c r="J5" s="1" t="s">
        <v>68</v>
      </c>
      <c r="K5" s="1" t="s">
        <v>74</v>
      </c>
      <c r="M5" s="1" t="s">
        <v>58</v>
      </c>
      <c r="N5" s="1" t="s">
        <v>58</v>
      </c>
      <c r="O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59</v>
      </c>
      <c r="Y5" s="1" t="s">
        <v>60</v>
      </c>
      <c r="Z5" s="1" t="s">
        <v>61</v>
      </c>
      <c r="AA5" s="2">
        <v>40.0</v>
      </c>
      <c r="AB5" s="1" t="s">
        <v>62</v>
      </c>
      <c r="AC5" s="1" t="s">
        <v>71</v>
      </c>
      <c r="AF5" s="1" t="s">
        <v>51</v>
      </c>
      <c r="AG5" s="1" t="s">
        <v>72</v>
      </c>
      <c r="AI5" s="2">
        <v>1.0</v>
      </c>
      <c r="AJ5" s="2">
        <v>0.0</v>
      </c>
      <c r="AK5" s="2">
        <v>0.0</v>
      </c>
      <c r="AL5" s="2">
        <v>0.0</v>
      </c>
      <c r="AM5" s="1" t="s">
        <v>72</v>
      </c>
      <c r="AP5" s="2">
        <v>4.89890911E8</v>
      </c>
      <c r="AQ5" s="1" t="s">
        <v>77</v>
      </c>
      <c r="AR5" s="2">
        <v>45808.340578703705</v>
      </c>
      <c r="AU5" s="1" t="s">
        <v>64</v>
      </c>
      <c r="AW5" s="1" t="s">
        <v>65</v>
      </c>
      <c r="AY5" s="2">
        <v>4.0</v>
      </c>
    </row>
    <row r="6">
      <c r="A6" s="1" t="s">
        <v>51</v>
      </c>
      <c r="C6" s="1" t="s">
        <v>52</v>
      </c>
      <c r="E6" s="1" t="s">
        <v>52</v>
      </c>
      <c r="G6" s="2">
        <v>53.0</v>
      </c>
      <c r="H6" s="1" t="s">
        <v>66</v>
      </c>
      <c r="J6" s="1" t="s">
        <v>68</v>
      </c>
      <c r="K6" s="1" t="s">
        <v>78</v>
      </c>
      <c r="M6" s="1" t="s">
        <v>58</v>
      </c>
      <c r="N6" s="1" t="s">
        <v>58</v>
      </c>
      <c r="O6" s="1" t="s">
        <v>58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58</v>
      </c>
      <c r="W6" s="1" t="s">
        <v>58</v>
      </c>
      <c r="X6" s="1" t="s">
        <v>59</v>
      </c>
      <c r="Y6" s="1" t="s">
        <v>60</v>
      </c>
      <c r="Z6" s="1" t="s">
        <v>61</v>
      </c>
      <c r="AA6" s="2">
        <v>20.0</v>
      </c>
      <c r="AB6" s="1" t="s">
        <v>79</v>
      </c>
      <c r="AC6" s="1" t="s">
        <v>71</v>
      </c>
      <c r="AF6" s="1" t="s">
        <v>51</v>
      </c>
      <c r="AG6" s="1" t="s">
        <v>51</v>
      </c>
      <c r="AH6" s="2">
        <v>5000.0</v>
      </c>
      <c r="AI6" s="2">
        <v>1.0</v>
      </c>
      <c r="AJ6" s="2">
        <v>0.0</v>
      </c>
      <c r="AK6" s="2">
        <v>0.0</v>
      </c>
      <c r="AL6" s="2">
        <v>0.0</v>
      </c>
      <c r="AP6" s="2">
        <v>4.89891719E8</v>
      </c>
      <c r="AQ6" s="1" t="s">
        <v>80</v>
      </c>
      <c r="AR6" s="2">
        <v>45808.34217592593</v>
      </c>
      <c r="AU6" s="1" t="s">
        <v>64</v>
      </c>
      <c r="AW6" s="1" t="s">
        <v>65</v>
      </c>
      <c r="AY6" s="2">
        <v>5.0</v>
      </c>
    </row>
    <row r="7">
      <c r="A7" s="1" t="s">
        <v>51</v>
      </c>
      <c r="C7" s="1" t="s">
        <v>52</v>
      </c>
      <c r="E7" s="1" t="s">
        <v>53</v>
      </c>
      <c r="F7" s="1" t="s">
        <v>54</v>
      </c>
      <c r="G7" s="2">
        <v>36.0</v>
      </c>
      <c r="H7" s="1" t="s">
        <v>66</v>
      </c>
      <c r="I7" s="1" t="s">
        <v>67</v>
      </c>
      <c r="J7" s="1" t="s">
        <v>68</v>
      </c>
      <c r="K7" s="1" t="s">
        <v>74</v>
      </c>
      <c r="M7" s="1" t="s">
        <v>58</v>
      </c>
      <c r="N7" s="1" t="s">
        <v>58</v>
      </c>
      <c r="O7" s="1" t="s">
        <v>69</v>
      </c>
      <c r="Q7" s="1" t="s">
        <v>70</v>
      </c>
      <c r="R7" s="1" t="s">
        <v>58</v>
      </c>
      <c r="S7" s="1" t="s">
        <v>69</v>
      </c>
      <c r="T7" s="1" t="s">
        <v>69</v>
      </c>
      <c r="U7" s="1" t="s">
        <v>70</v>
      </c>
      <c r="V7" s="1" t="s">
        <v>69</v>
      </c>
      <c r="W7" s="1" t="s">
        <v>69</v>
      </c>
      <c r="X7" s="1" t="s">
        <v>81</v>
      </c>
      <c r="Y7" s="1" t="s">
        <v>82</v>
      </c>
      <c r="Z7" s="1" t="s">
        <v>61</v>
      </c>
      <c r="AA7" s="2">
        <v>100.0</v>
      </c>
      <c r="AB7" s="1" t="s">
        <v>79</v>
      </c>
      <c r="AC7" s="1" t="s">
        <v>71</v>
      </c>
      <c r="AF7" s="1" t="s">
        <v>51</v>
      </c>
      <c r="AG7" s="1" t="s">
        <v>51</v>
      </c>
      <c r="AH7" s="2">
        <v>20.0</v>
      </c>
      <c r="AI7" s="2">
        <v>0.0</v>
      </c>
      <c r="AJ7" s="2">
        <v>0.0</v>
      </c>
      <c r="AK7" s="2">
        <v>0.0</v>
      </c>
      <c r="AL7" s="2">
        <v>1.0</v>
      </c>
      <c r="AM7" s="1" t="s">
        <v>51</v>
      </c>
      <c r="AN7" s="2">
        <v>6.03855945E8</v>
      </c>
      <c r="AP7" s="2">
        <v>4.87549124E8</v>
      </c>
      <c r="AQ7" s="1" t="s">
        <v>83</v>
      </c>
      <c r="AR7" s="2">
        <v>45805.156481481485</v>
      </c>
      <c r="AU7" s="1" t="s">
        <v>64</v>
      </c>
      <c r="AW7" s="1" t="s">
        <v>84</v>
      </c>
      <c r="AY7" s="2">
        <v>1.0</v>
      </c>
    </row>
    <row r="8">
      <c r="A8" s="1" t="s">
        <v>51</v>
      </c>
      <c r="C8" s="1" t="s">
        <v>52</v>
      </c>
      <c r="E8" s="1" t="s">
        <v>53</v>
      </c>
      <c r="F8" s="1" t="s">
        <v>85</v>
      </c>
      <c r="G8" s="2">
        <v>41.0</v>
      </c>
      <c r="H8" s="1" t="s">
        <v>55</v>
      </c>
      <c r="I8" s="1" t="s">
        <v>67</v>
      </c>
      <c r="J8" s="1" t="s">
        <v>86</v>
      </c>
      <c r="K8" s="1" t="s">
        <v>87</v>
      </c>
      <c r="M8" s="1" t="s">
        <v>58</v>
      </c>
      <c r="N8" s="1" t="s">
        <v>70</v>
      </c>
      <c r="O8" s="1" t="s">
        <v>58</v>
      </c>
      <c r="Q8" s="1" t="s">
        <v>58</v>
      </c>
      <c r="R8" s="1" t="s">
        <v>58</v>
      </c>
      <c r="S8" s="1" t="s">
        <v>69</v>
      </c>
      <c r="T8" s="1" t="s">
        <v>70</v>
      </c>
      <c r="U8" s="1" t="s">
        <v>58</v>
      </c>
      <c r="V8" s="1" t="s">
        <v>58</v>
      </c>
      <c r="W8" s="1" t="s">
        <v>58</v>
      </c>
      <c r="X8" s="1" t="s">
        <v>88</v>
      </c>
      <c r="Y8" s="1" t="s">
        <v>60</v>
      </c>
      <c r="Z8" s="1" t="s">
        <v>89</v>
      </c>
      <c r="AA8" s="2">
        <v>100.0</v>
      </c>
      <c r="AB8" s="1" t="s">
        <v>62</v>
      </c>
      <c r="AC8" s="1" t="s">
        <v>51</v>
      </c>
      <c r="AD8" s="1" t="s">
        <v>59</v>
      </c>
      <c r="AE8" s="1" t="s">
        <v>51</v>
      </c>
      <c r="AF8" s="1" t="s">
        <v>51</v>
      </c>
      <c r="AG8" s="1" t="s">
        <v>72</v>
      </c>
      <c r="AI8" s="2">
        <v>0.0</v>
      </c>
      <c r="AJ8" s="2">
        <v>0.0</v>
      </c>
      <c r="AK8" s="2">
        <v>0.0</v>
      </c>
      <c r="AL8" s="2">
        <v>1.0</v>
      </c>
      <c r="AM8" s="1" t="s">
        <v>51</v>
      </c>
      <c r="AN8" s="2">
        <v>7.89114176E8</v>
      </c>
      <c r="AP8" s="2">
        <v>4.87569504E8</v>
      </c>
      <c r="AQ8" s="1" t="s">
        <v>90</v>
      </c>
      <c r="AR8" s="2">
        <v>45805.204988425925</v>
      </c>
      <c r="AU8" s="1" t="s">
        <v>64</v>
      </c>
      <c r="AW8" s="1" t="s">
        <v>84</v>
      </c>
      <c r="AY8" s="2">
        <v>2.0</v>
      </c>
    </row>
    <row r="9">
      <c r="A9" s="1" t="s">
        <v>72</v>
      </c>
      <c r="AP9" s="2">
        <v>4.87569554E8</v>
      </c>
      <c r="AQ9" s="1" t="s">
        <v>91</v>
      </c>
      <c r="AR9" s="2">
        <v>45805.20506944445</v>
      </c>
      <c r="AU9" s="1" t="s">
        <v>64</v>
      </c>
      <c r="AW9" s="1" t="s">
        <v>84</v>
      </c>
      <c r="AY9" s="2">
        <v>3.0</v>
      </c>
    </row>
    <row r="10">
      <c r="A10" s="1" t="s">
        <v>51</v>
      </c>
      <c r="C10" s="1" t="s">
        <v>52</v>
      </c>
      <c r="E10" s="1" t="s">
        <v>53</v>
      </c>
      <c r="F10" s="1" t="s">
        <v>54</v>
      </c>
      <c r="G10" s="2">
        <v>36.0</v>
      </c>
      <c r="H10" s="1" t="s">
        <v>55</v>
      </c>
      <c r="I10" s="1" t="s">
        <v>67</v>
      </c>
      <c r="J10" s="1" t="s">
        <v>68</v>
      </c>
      <c r="K10" s="1" t="s">
        <v>92</v>
      </c>
      <c r="M10" s="1" t="s">
        <v>58</v>
      </c>
      <c r="N10" s="1" t="s">
        <v>58</v>
      </c>
      <c r="O10" s="1" t="s">
        <v>58</v>
      </c>
      <c r="Q10" s="1" t="s">
        <v>69</v>
      </c>
      <c r="R10" s="1" t="s">
        <v>58</v>
      </c>
      <c r="S10" s="1" t="s">
        <v>69</v>
      </c>
      <c r="T10" s="1" t="s">
        <v>58</v>
      </c>
      <c r="U10" s="1" t="s">
        <v>58</v>
      </c>
      <c r="V10" s="1" t="s">
        <v>58</v>
      </c>
      <c r="W10" s="1" t="s">
        <v>69</v>
      </c>
      <c r="X10" s="1" t="s">
        <v>81</v>
      </c>
      <c r="Y10" s="1" t="s">
        <v>60</v>
      </c>
      <c r="Z10" s="1" t="s">
        <v>89</v>
      </c>
      <c r="AA10" s="2">
        <v>50.0</v>
      </c>
      <c r="AB10" s="1" t="s">
        <v>79</v>
      </c>
      <c r="AC10" s="1" t="s">
        <v>51</v>
      </c>
      <c r="AD10" s="1" t="s">
        <v>81</v>
      </c>
      <c r="AE10" s="1" t="s">
        <v>51</v>
      </c>
      <c r="AF10" s="1" t="s">
        <v>51</v>
      </c>
      <c r="AG10" s="1" t="s">
        <v>51</v>
      </c>
      <c r="AH10" s="2">
        <v>50.0</v>
      </c>
      <c r="AI10" s="2">
        <v>0.0</v>
      </c>
      <c r="AJ10" s="2">
        <v>0.0</v>
      </c>
      <c r="AK10" s="2">
        <v>0.0</v>
      </c>
      <c r="AL10" s="2">
        <v>1.0</v>
      </c>
      <c r="AM10" s="1" t="s">
        <v>51</v>
      </c>
      <c r="AN10" s="2">
        <v>7.85939885E8</v>
      </c>
      <c r="AP10" s="2">
        <v>4.87579768E8</v>
      </c>
      <c r="AQ10" s="1" t="s">
        <v>93</v>
      </c>
      <c r="AR10" s="2">
        <v>45805.2256712963</v>
      </c>
      <c r="AU10" s="1" t="s">
        <v>64</v>
      </c>
      <c r="AW10" s="1" t="s">
        <v>84</v>
      </c>
      <c r="AY10" s="2">
        <v>4.0</v>
      </c>
    </row>
    <row r="11">
      <c r="A11" s="1" t="s">
        <v>51</v>
      </c>
      <c r="C11" s="1" t="s">
        <v>52</v>
      </c>
      <c r="E11" s="1" t="s">
        <v>53</v>
      </c>
      <c r="F11" s="1" t="s">
        <v>94</v>
      </c>
      <c r="G11" s="2">
        <v>45.0</v>
      </c>
      <c r="H11" s="1" t="s">
        <v>66</v>
      </c>
      <c r="I11" s="1" t="s">
        <v>67</v>
      </c>
      <c r="J11" s="1" t="s">
        <v>86</v>
      </c>
      <c r="K11" s="1" t="s">
        <v>87</v>
      </c>
      <c r="M11" s="1" t="s">
        <v>58</v>
      </c>
      <c r="N11" s="1" t="s">
        <v>58</v>
      </c>
      <c r="O11" s="1" t="s">
        <v>69</v>
      </c>
      <c r="Q11" s="1" t="s">
        <v>69</v>
      </c>
      <c r="R11" s="1" t="s">
        <v>58</v>
      </c>
      <c r="S11" s="1" t="s">
        <v>58</v>
      </c>
      <c r="T11" s="1" t="s">
        <v>58</v>
      </c>
      <c r="U11" s="1" t="s">
        <v>69</v>
      </c>
      <c r="V11" s="1" t="s">
        <v>58</v>
      </c>
      <c r="W11" s="1" t="s">
        <v>58</v>
      </c>
      <c r="X11" s="1" t="s">
        <v>88</v>
      </c>
      <c r="Y11" s="1" t="s">
        <v>95</v>
      </c>
      <c r="Z11" s="1" t="s">
        <v>96</v>
      </c>
      <c r="AA11" s="2">
        <v>100.0</v>
      </c>
      <c r="AB11" s="1" t="s">
        <v>62</v>
      </c>
      <c r="AF11" s="1" t="s">
        <v>51</v>
      </c>
      <c r="AI11" s="2">
        <v>0.0</v>
      </c>
      <c r="AJ11" s="2">
        <v>0.0</v>
      </c>
      <c r="AK11" s="2">
        <v>0.0</v>
      </c>
      <c r="AL11" s="2">
        <v>1.0</v>
      </c>
      <c r="AM11" s="1" t="s">
        <v>51</v>
      </c>
      <c r="AP11" s="2">
        <v>4.87581103E8</v>
      </c>
      <c r="AQ11" s="1" t="s">
        <v>97</v>
      </c>
      <c r="AR11" s="2">
        <v>45805.22862268519</v>
      </c>
      <c r="AU11" s="1" t="s">
        <v>64</v>
      </c>
      <c r="AW11" s="1" t="s">
        <v>84</v>
      </c>
      <c r="AY11" s="2">
        <v>5.0</v>
      </c>
    </row>
    <row r="12">
      <c r="A12" s="1" t="s">
        <v>51</v>
      </c>
      <c r="C12" s="1" t="s">
        <v>52</v>
      </c>
      <c r="E12" s="1" t="s">
        <v>53</v>
      </c>
      <c r="F12" s="1" t="s">
        <v>54</v>
      </c>
      <c r="G12" s="2">
        <v>49.0</v>
      </c>
      <c r="H12" s="1" t="s">
        <v>55</v>
      </c>
      <c r="I12" s="1" t="s">
        <v>67</v>
      </c>
      <c r="J12" s="1" t="s">
        <v>86</v>
      </c>
      <c r="K12" s="1" t="s">
        <v>87</v>
      </c>
      <c r="M12" s="1" t="s">
        <v>58</v>
      </c>
      <c r="N12" s="1" t="s">
        <v>58</v>
      </c>
      <c r="O12" s="1" t="s">
        <v>58</v>
      </c>
      <c r="Q12" s="1" t="s">
        <v>58</v>
      </c>
      <c r="R12" s="1" t="s">
        <v>58</v>
      </c>
      <c r="S12" s="1" t="s">
        <v>58</v>
      </c>
      <c r="T12" s="1" t="s">
        <v>70</v>
      </c>
      <c r="U12" s="1" t="s">
        <v>58</v>
      </c>
      <c r="V12" s="1" t="s">
        <v>58</v>
      </c>
      <c r="W12" s="1" t="s">
        <v>58</v>
      </c>
      <c r="X12" s="1" t="s">
        <v>88</v>
      </c>
      <c r="Y12" s="1" t="s">
        <v>95</v>
      </c>
      <c r="Z12" s="1" t="s">
        <v>96</v>
      </c>
      <c r="AA12" s="2">
        <v>100.0</v>
      </c>
      <c r="AB12" s="1" t="s">
        <v>62</v>
      </c>
      <c r="AC12" s="1" t="s">
        <v>51</v>
      </c>
      <c r="AD12" s="1" t="s">
        <v>81</v>
      </c>
      <c r="AE12" s="1" t="s">
        <v>51</v>
      </c>
      <c r="AF12" s="1" t="s">
        <v>51</v>
      </c>
      <c r="AG12" s="1" t="s">
        <v>51</v>
      </c>
      <c r="AH12" s="2">
        <v>50.0</v>
      </c>
      <c r="AI12" s="2">
        <v>0.0</v>
      </c>
      <c r="AJ12" s="2">
        <v>0.0</v>
      </c>
      <c r="AK12" s="2">
        <v>1.0</v>
      </c>
      <c r="AL12" s="2">
        <v>0.0</v>
      </c>
      <c r="AM12" s="1" t="s">
        <v>51</v>
      </c>
      <c r="AN12" s="2">
        <v>6.80530886E8</v>
      </c>
      <c r="AP12" s="2">
        <v>4.87583535E8</v>
      </c>
      <c r="AQ12" s="1" t="s">
        <v>98</v>
      </c>
      <c r="AR12" s="2">
        <v>45805.23370370371</v>
      </c>
      <c r="AU12" s="1" t="s">
        <v>64</v>
      </c>
      <c r="AW12" s="1" t="s">
        <v>84</v>
      </c>
      <c r="AY12" s="2">
        <v>6.0</v>
      </c>
    </row>
    <row r="13">
      <c r="A13" s="1" t="s">
        <v>51</v>
      </c>
      <c r="C13" s="1" t="s">
        <v>52</v>
      </c>
      <c r="E13" s="1" t="s">
        <v>53</v>
      </c>
      <c r="F13" s="1" t="s">
        <v>54</v>
      </c>
      <c r="G13" s="2">
        <v>39.0</v>
      </c>
      <c r="H13" s="1" t="s">
        <v>55</v>
      </c>
      <c r="I13" s="1" t="s">
        <v>67</v>
      </c>
      <c r="J13" s="1" t="s">
        <v>86</v>
      </c>
      <c r="K13" s="1" t="s">
        <v>87</v>
      </c>
      <c r="M13" s="1" t="s">
        <v>58</v>
      </c>
      <c r="N13" s="1" t="s">
        <v>58</v>
      </c>
      <c r="O13" s="1" t="s">
        <v>69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88</v>
      </c>
      <c r="Y13" s="1" t="s">
        <v>95</v>
      </c>
      <c r="Z13" s="1" t="s">
        <v>89</v>
      </c>
      <c r="AA13" s="2">
        <v>50.0</v>
      </c>
      <c r="AB13" s="1" t="s">
        <v>62</v>
      </c>
      <c r="AC13" s="1" t="s">
        <v>51</v>
      </c>
      <c r="AD13" s="1" t="s">
        <v>81</v>
      </c>
      <c r="AE13" s="1" t="s">
        <v>51</v>
      </c>
      <c r="AF13" s="1" t="s">
        <v>51</v>
      </c>
      <c r="AG13" s="1" t="s">
        <v>72</v>
      </c>
      <c r="AI13" s="2">
        <v>0.0</v>
      </c>
      <c r="AJ13" s="2">
        <v>0.0</v>
      </c>
      <c r="AK13" s="2">
        <v>0.0</v>
      </c>
      <c r="AL13" s="2">
        <v>1.0</v>
      </c>
      <c r="AM13" s="1" t="s">
        <v>72</v>
      </c>
      <c r="AP13" s="2">
        <v>4.87584635E8</v>
      </c>
      <c r="AQ13" s="1" t="s">
        <v>99</v>
      </c>
      <c r="AR13" s="2">
        <v>45805.23600694445</v>
      </c>
      <c r="AU13" s="1" t="s">
        <v>64</v>
      </c>
      <c r="AW13" s="1" t="s">
        <v>84</v>
      </c>
      <c r="AY13" s="2">
        <v>7.0</v>
      </c>
    </row>
    <row r="14">
      <c r="A14" s="1" t="s">
        <v>51</v>
      </c>
      <c r="C14" s="1" t="s">
        <v>53</v>
      </c>
      <c r="E14" s="1" t="s">
        <v>53</v>
      </c>
      <c r="F14" s="1" t="s">
        <v>54</v>
      </c>
      <c r="G14" s="2">
        <v>19.0</v>
      </c>
      <c r="H14" s="1" t="s">
        <v>55</v>
      </c>
      <c r="I14" s="1" t="s">
        <v>100</v>
      </c>
      <c r="J14" s="1" t="s">
        <v>68</v>
      </c>
      <c r="K14" s="1" t="s">
        <v>92</v>
      </c>
      <c r="M14" s="1" t="s">
        <v>58</v>
      </c>
      <c r="N14" s="1" t="s">
        <v>58</v>
      </c>
      <c r="O14" s="1" t="s">
        <v>70</v>
      </c>
      <c r="Q14" s="1" t="s">
        <v>58</v>
      </c>
      <c r="R14" s="1" t="s">
        <v>58</v>
      </c>
      <c r="S14" s="1" t="s">
        <v>69</v>
      </c>
      <c r="T14" s="1" t="s">
        <v>69</v>
      </c>
      <c r="U14" s="1" t="s">
        <v>70</v>
      </c>
      <c r="V14" s="1" t="s">
        <v>58</v>
      </c>
      <c r="W14" s="1" t="s">
        <v>69</v>
      </c>
      <c r="X14" s="1" t="s">
        <v>88</v>
      </c>
      <c r="Y14" s="1" t="s">
        <v>82</v>
      </c>
      <c r="Z14" s="1" t="s">
        <v>89</v>
      </c>
      <c r="AA14" s="2">
        <v>40.0</v>
      </c>
      <c r="AB14" s="1" t="s">
        <v>28</v>
      </c>
      <c r="AC14" s="1" t="s">
        <v>72</v>
      </c>
      <c r="AF14" s="1" t="s">
        <v>51</v>
      </c>
      <c r="AG14" s="1" t="s">
        <v>51</v>
      </c>
      <c r="AH14" s="2">
        <v>20.0</v>
      </c>
      <c r="AI14" s="2">
        <v>0.0</v>
      </c>
      <c r="AJ14" s="2">
        <v>0.0</v>
      </c>
      <c r="AK14" s="2">
        <v>1.0</v>
      </c>
      <c r="AL14" s="2">
        <v>0.0</v>
      </c>
      <c r="AM14" s="1" t="s">
        <v>72</v>
      </c>
      <c r="AP14" s="2">
        <v>4.87590182E8</v>
      </c>
      <c r="AQ14" s="1" t="s">
        <v>101</v>
      </c>
      <c r="AR14" s="2">
        <v>45805.24518518519</v>
      </c>
      <c r="AU14" s="1" t="s">
        <v>64</v>
      </c>
      <c r="AW14" s="1" t="s">
        <v>84</v>
      </c>
      <c r="AY14" s="2">
        <v>8.0</v>
      </c>
    </row>
    <row r="15">
      <c r="A15" s="1" t="s">
        <v>51</v>
      </c>
      <c r="C15" s="1" t="s">
        <v>52</v>
      </c>
      <c r="E15" s="1" t="s">
        <v>53</v>
      </c>
      <c r="F15" s="1" t="s">
        <v>102</v>
      </c>
      <c r="G15" s="2">
        <v>41.0</v>
      </c>
      <c r="H15" s="1" t="s">
        <v>55</v>
      </c>
      <c r="I15" s="1" t="s">
        <v>67</v>
      </c>
      <c r="J15" s="1" t="s">
        <v>56</v>
      </c>
      <c r="K15" s="1" t="s">
        <v>87</v>
      </c>
      <c r="M15" s="1" t="s">
        <v>58</v>
      </c>
      <c r="N15" s="1" t="s">
        <v>58</v>
      </c>
      <c r="O15" s="1" t="s">
        <v>58</v>
      </c>
      <c r="Q15" s="1" t="s">
        <v>70</v>
      </c>
      <c r="R15" s="1" t="s">
        <v>58</v>
      </c>
      <c r="S15" s="1" t="s">
        <v>69</v>
      </c>
      <c r="T15" s="1" t="s">
        <v>69</v>
      </c>
      <c r="U15" s="1" t="s">
        <v>69</v>
      </c>
      <c r="V15" s="1" t="s">
        <v>58</v>
      </c>
      <c r="W15" s="1" t="s">
        <v>69</v>
      </c>
      <c r="X15" s="1" t="s">
        <v>103</v>
      </c>
      <c r="Y15" s="1" t="s">
        <v>95</v>
      </c>
      <c r="Z15" s="1" t="s">
        <v>89</v>
      </c>
      <c r="AA15" s="2">
        <v>100.0</v>
      </c>
      <c r="AB15" s="1" t="s">
        <v>62</v>
      </c>
      <c r="AC15" s="1" t="s">
        <v>71</v>
      </c>
      <c r="AF15" s="1" t="s">
        <v>72</v>
      </c>
      <c r="AG15" s="1" t="s">
        <v>51</v>
      </c>
      <c r="AH15" s="2">
        <v>15.0</v>
      </c>
      <c r="AI15" s="2">
        <v>0.0</v>
      </c>
      <c r="AJ15" s="2">
        <v>0.0</v>
      </c>
      <c r="AK15" s="2">
        <v>1.0</v>
      </c>
      <c r="AL15" s="2">
        <v>0.0</v>
      </c>
      <c r="AM15" s="1" t="s">
        <v>72</v>
      </c>
      <c r="AP15" s="2">
        <v>4.87597851E8</v>
      </c>
      <c r="AQ15" s="1" t="s">
        <v>104</v>
      </c>
      <c r="AR15" s="2">
        <v>45805.25702546296</v>
      </c>
      <c r="AU15" s="1" t="s">
        <v>64</v>
      </c>
      <c r="AW15" s="1" t="s">
        <v>84</v>
      </c>
      <c r="AY15" s="2">
        <v>9.0</v>
      </c>
    </row>
    <row r="16">
      <c r="A16" s="1" t="s">
        <v>51</v>
      </c>
      <c r="C16" s="1" t="s">
        <v>52</v>
      </c>
      <c r="E16" s="1" t="s">
        <v>105</v>
      </c>
      <c r="G16" s="2">
        <v>44.0</v>
      </c>
      <c r="H16" s="1" t="s">
        <v>66</v>
      </c>
      <c r="K16" s="1" t="s">
        <v>92</v>
      </c>
      <c r="M16" s="1" t="s">
        <v>58</v>
      </c>
      <c r="N16" s="1" t="s">
        <v>58</v>
      </c>
      <c r="O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88</v>
      </c>
      <c r="Y16" s="1" t="s">
        <v>95</v>
      </c>
      <c r="Z16" s="1" t="s">
        <v>89</v>
      </c>
      <c r="AA16" s="2">
        <v>100.0</v>
      </c>
      <c r="AB16" s="1" t="s">
        <v>79</v>
      </c>
      <c r="AF16" s="1" t="s">
        <v>51</v>
      </c>
      <c r="AG16" s="1" t="s">
        <v>51</v>
      </c>
      <c r="AI16" s="2">
        <v>0.0</v>
      </c>
      <c r="AJ16" s="2">
        <v>0.0</v>
      </c>
      <c r="AK16" s="2">
        <v>0.0</v>
      </c>
      <c r="AL16" s="2">
        <v>1.0</v>
      </c>
      <c r="AP16" s="2">
        <v>4.87598469E8</v>
      </c>
      <c r="AQ16" s="1" t="s">
        <v>106</v>
      </c>
      <c r="AR16" s="2">
        <v>45805.257789351854</v>
      </c>
      <c r="AU16" s="1" t="s">
        <v>64</v>
      </c>
      <c r="AW16" s="1" t="s">
        <v>84</v>
      </c>
      <c r="AY16" s="2">
        <v>10.0</v>
      </c>
    </row>
    <row r="17">
      <c r="A17" s="1" t="s">
        <v>51</v>
      </c>
      <c r="C17" s="1" t="s">
        <v>52</v>
      </c>
      <c r="E17" s="1" t="s">
        <v>107</v>
      </c>
      <c r="G17" s="2">
        <v>45.0</v>
      </c>
      <c r="H17" s="1" t="s">
        <v>55</v>
      </c>
      <c r="J17" s="1" t="s">
        <v>86</v>
      </c>
      <c r="K17" s="1" t="s">
        <v>87</v>
      </c>
      <c r="M17" s="1" t="s">
        <v>58</v>
      </c>
      <c r="N17" s="1" t="s">
        <v>58</v>
      </c>
      <c r="O17" s="1" t="s">
        <v>58</v>
      </c>
      <c r="Q17" s="1" t="s">
        <v>69</v>
      </c>
      <c r="R17" s="1" t="s">
        <v>58</v>
      </c>
      <c r="S17" s="1" t="s">
        <v>69</v>
      </c>
      <c r="T17" s="1" t="s">
        <v>58</v>
      </c>
      <c r="U17" s="1" t="s">
        <v>58</v>
      </c>
      <c r="V17" s="1" t="s">
        <v>58</v>
      </c>
      <c r="W17" s="1" t="s">
        <v>69</v>
      </c>
      <c r="X17" s="1" t="s">
        <v>103</v>
      </c>
      <c r="Y17" s="1" t="s">
        <v>95</v>
      </c>
      <c r="Z17" s="1" t="s">
        <v>108</v>
      </c>
      <c r="AA17" s="2">
        <v>100.0</v>
      </c>
      <c r="AB17" s="1" t="s">
        <v>62</v>
      </c>
      <c r="AC17" s="1" t="s">
        <v>71</v>
      </c>
      <c r="AF17" s="1" t="s">
        <v>51</v>
      </c>
      <c r="AG17" s="1" t="s">
        <v>72</v>
      </c>
      <c r="AI17" s="2">
        <v>0.0</v>
      </c>
      <c r="AJ17" s="2">
        <v>0.0</v>
      </c>
      <c r="AK17" s="2">
        <v>1.0</v>
      </c>
      <c r="AL17" s="2">
        <v>0.0</v>
      </c>
      <c r="AP17" s="2">
        <v>4.87601692E8</v>
      </c>
      <c r="AQ17" s="1" t="s">
        <v>109</v>
      </c>
      <c r="AR17" s="2">
        <v>45805.2628587963</v>
      </c>
      <c r="AU17" s="1" t="s">
        <v>64</v>
      </c>
      <c r="AW17" s="1" t="s">
        <v>84</v>
      </c>
      <c r="AY17" s="2">
        <v>11.0</v>
      </c>
    </row>
    <row r="18">
      <c r="A18" s="1" t="s">
        <v>51</v>
      </c>
      <c r="C18" s="1" t="s">
        <v>52</v>
      </c>
      <c r="E18" s="1" t="s">
        <v>53</v>
      </c>
      <c r="G18" s="2">
        <v>35.0</v>
      </c>
      <c r="H18" s="1" t="s">
        <v>66</v>
      </c>
      <c r="I18" s="1" t="s">
        <v>67</v>
      </c>
      <c r="J18" s="1" t="s">
        <v>68</v>
      </c>
      <c r="K18" s="1" t="s">
        <v>74</v>
      </c>
      <c r="M18" s="1" t="s">
        <v>58</v>
      </c>
      <c r="N18" s="1" t="s">
        <v>58</v>
      </c>
      <c r="O18" s="1" t="s">
        <v>58</v>
      </c>
      <c r="Q18" s="1" t="s">
        <v>58</v>
      </c>
      <c r="R18" s="1" t="s">
        <v>58</v>
      </c>
      <c r="S18" s="1" t="s">
        <v>69</v>
      </c>
      <c r="T18" s="1" t="s">
        <v>69</v>
      </c>
      <c r="U18" s="1" t="s">
        <v>58</v>
      </c>
      <c r="V18" s="1" t="s">
        <v>58</v>
      </c>
      <c r="W18" s="1" t="s">
        <v>69</v>
      </c>
      <c r="X18" s="1" t="s">
        <v>59</v>
      </c>
      <c r="Y18" s="1" t="s">
        <v>82</v>
      </c>
      <c r="Z18" s="1" t="s">
        <v>108</v>
      </c>
      <c r="AA18" s="2">
        <v>10.0</v>
      </c>
      <c r="AB18" s="1" t="s">
        <v>79</v>
      </c>
      <c r="AC18" s="1" t="s">
        <v>51</v>
      </c>
      <c r="AD18" s="1" t="s">
        <v>81</v>
      </c>
      <c r="AE18" s="1" t="s">
        <v>51</v>
      </c>
      <c r="AF18" s="1" t="s">
        <v>51</v>
      </c>
      <c r="AG18" s="1" t="s">
        <v>51</v>
      </c>
      <c r="AH18" s="2">
        <v>6000.0</v>
      </c>
      <c r="AI18" s="2">
        <v>0.0</v>
      </c>
      <c r="AJ18" s="2">
        <v>1.0</v>
      </c>
      <c r="AK18" s="2">
        <v>0.0</v>
      </c>
      <c r="AL18" s="2">
        <v>0.0</v>
      </c>
      <c r="AM18" s="1" t="s">
        <v>51</v>
      </c>
      <c r="AN18" s="2">
        <v>7.80638071E8</v>
      </c>
      <c r="AP18" s="2">
        <v>4.87603844E8</v>
      </c>
      <c r="AQ18" s="1" t="s">
        <v>110</v>
      </c>
      <c r="AR18" s="2">
        <v>45805.26619212963</v>
      </c>
      <c r="AU18" s="1" t="s">
        <v>64</v>
      </c>
      <c r="AW18" s="1" t="s">
        <v>84</v>
      </c>
      <c r="AY18" s="2">
        <v>12.0</v>
      </c>
    </row>
    <row r="19">
      <c r="A19" s="1" t="s">
        <v>51</v>
      </c>
      <c r="C19" s="1" t="s">
        <v>52</v>
      </c>
      <c r="E19" s="1" t="s">
        <v>53</v>
      </c>
      <c r="F19" s="1" t="s">
        <v>102</v>
      </c>
      <c r="G19" s="2">
        <v>43.0</v>
      </c>
      <c r="H19" s="1" t="s">
        <v>66</v>
      </c>
      <c r="I19" s="1" t="s">
        <v>67</v>
      </c>
      <c r="J19" s="1" t="s">
        <v>111</v>
      </c>
      <c r="K19" s="1" t="s">
        <v>87</v>
      </c>
      <c r="M19" s="1" t="s">
        <v>58</v>
      </c>
      <c r="N19" s="1" t="s">
        <v>58</v>
      </c>
      <c r="O19" s="1" t="s">
        <v>69</v>
      </c>
      <c r="Q19" s="1" t="s">
        <v>69</v>
      </c>
      <c r="R19" s="1" t="s">
        <v>58</v>
      </c>
      <c r="S19" s="1" t="s">
        <v>69</v>
      </c>
      <c r="T19" s="1" t="s">
        <v>69</v>
      </c>
      <c r="U19" s="1" t="s">
        <v>69</v>
      </c>
      <c r="V19" s="1" t="s">
        <v>58</v>
      </c>
      <c r="W19" s="1" t="s">
        <v>70</v>
      </c>
      <c r="X19" s="1" t="s">
        <v>59</v>
      </c>
      <c r="Y19" s="1" t="s">
        <v>95</v>
      </c>
      <c r="Z19" s="1" t="s">
        <v>61</v>
      </c>
      <c r="AA19" s="2">
        <v>10.0</v>
      </c>
      <c r="AB19" s="1" t="s">
        <v>79</v>
      </c>
      <c r="AC19" s="1" t="s">
        <v>51</v>
      </c>
      <c r="AD19" s="1" t="s">
        <v>81</v>
      </c>
      <c r="AE19" s="1" t="s">
        <v>51</v>
      </c>
      <c r="AF19" s="1" t="s">
        <v>51</v>
      </c>
      <c r="AG19" s="1" t="s">
        <v>51</v>
      </c>
      <c r="AH19" s="2">
        <v>100.0</v>
      </c>
      <c r="AI19" s="2">
        <v>0.0</v>
      </c>
      <c r="AJ19" s="2">
        <v>0.0</v>
      </c>
      <c r="AK19" s="2">
        <v>1.0</v>
      </c>
      <c r="AL19" s="2">
        <v>0.0</v>
      </c>
      <c r="AM19" s="1" t="s">
        <v>51</v>
      </c>
      <c r="AN19" s="2">
        <v>7.42878903E8</v>
      </c>
      <c r="AP19" s="2">
        <v>4.8760696E8</v>
      </c>
      <c r="AQ19" s="1" t="s">
        <v>112</v>
      </c>
      <c r="AR19" s="2">
        <v>45805.27038194444</v>
      </c>
      <c r="AU19" s="1" t="s">
        <v>64</v>
      </c>
      <c r="AW19" s="1" t="s">
        <v>84</v>
      </c>
      <c r="AY19" s="2">
        <v>13.0</v>
      </c>
    </row>
    <row r="20">
      <c r="A20" s="1" t="s">
        <v>51</v>
      </c>
      <c r="C20" s="1" t="s">
        <v>52</v>
      </c>
      <c r="E20" s="1" t="s">
        <v>52</v>
      </c>
      <c r="G20" s="2">
        <v>36.0</v>
      </c>
      <c r="H20" s="1" t="s">
        <v>55</v>
      </c>
      <c r="J20" s="1" t="s">
        <v>111</v>
      </c>
      <c r="K20" s="1" t="s">
        <v>87</v>
      </c>
      <c r="M20" s="1" t="s">
        <v>58</v>
      </c>
      <c r="N20" s="1" t="s">
        <v>58</v>
      </c>
      <c r="O20" s="1" t="s">
        <v>69</v>
      </c>
      <c r="Q20" s="1" t="s">
        <v>58</v>
      </c>
      <c r="R20" s="1" t="s">
        <v>58</v>
      </c>
      <c r="S20" s="1" t="s">
        <v>69</v>
      </c>
      <c r="T20" s="1" t="s">
        <v>58</v>
      </c>
      <c r="U20" s="1" t="s">
        <v>58</v>
      </c>
      <c r="V20" s="1" t="s">
        <v>58</v>
      </c>
      <c r="W20" s="1" t="s">
        <v>69</v>
      </c>
      <c r="X20" s="1" t="s">
        <v>88</v>
      </c>
      <c r="Y20" s="1" t="s">
        <v>95</v>
      </c>
      <c r="Z20" s="1" t="s">
        <v>89</v>
      </c>
      <c r="AA20" s="2">
        <v>50.0</v>
      </c>
      <c r="AB20" s="1" t="s">
        <v>79</v>
      </c>
      <c r="AC20" s="1" t="s">
        <v>71</v>
      </c>
      <c r="AF20" s="1" t="s">
        <v>51</v>
      </c>
      <c r="AG20" s="1" t="s">
        <v>51</v>
      </c>
      <c r="AH20" s="2">
        <v>50.0</v>
      </c>
      <c r="AI20" s="2">
        <v>0.0</v>
      </c>
      <c r="AJ20" s="2">
        <v>0.0</v>
      </c>
      <c r="AK20" s="2">
        <v>0.0</v>
      </c>
      <c r="AL20" s="2">
        <v>1.0</v>
      </c>
      <c r="AP20" s="2">
        <v>4.87608107E8</v>
      </c>
      <c r="AQ20" s="1" t="s">
        <v>113</v>
      </c>
      <c r="AR20" s="2">
        <v>45805.271875</v>
      </c>
      <c r="AU20" s="1" t="s">
        <v>64</v>
      </c>
      <c r="AW20" s="1" t="s">
        <v>84</v>
      </c>
      <c r="AY20" s="2">
        <v>14.0</v>
      </c>
    </row>
    <row r="21">
      <c r="A21" s="1" t="s">
        <v>51</v>
      </c>
      <c r="C21" s="1" t="s">
        <v>52</v>
      </c>
      <c r="E21" s="1" t="s">
        <v>52</v>
      </c>
      <c r="G21" s="2">
        <v>30.0</v>
      </c>
      <c r="H21" s="1" t="s">
        <v>55</v>
      </c>
      <c r="J21" s="1" t="s">
        <v>86</v>
      </c>
      <c r="K21" s="1" t="s">
        <v>87</v>
      </c>
      <c r="M21" s="1" t="s">
        <v>58</v>
      </c>
      <c r="N21" s="1" t="s">
        <v>58</v>
      </c>
      <c r="O21" s="1" t="s">
        <v>70</v>
      </c>
      <c r="Q21" s="1" t="s">
        <v>58</v>
      </c>
      <c r="R21" s="1" t="s">
        <v>70</v>
      </c>
      <c r="S21" s="1" t="s">
        <v>69</v>
      </c>
      <c r="T21" s="1" t="s">
        <v>69</v>
      </c>
      <c r="U21" s="1" t="s">
        <v>58</v>
      </c>
      <c r="V21" s="1" t="s">
        <v>58</v>
      </c>
      <c r="W21" s="1" t="s">
        <v>69</v>
      </c>
      <c r="X21" s="1" t="s">
        <v>81</v>
      </c>
      <c r="Y21" s="1" t="s">
        <v>95</v>
      </c>
      <c r="Z21" s="1" t="s">
        <v>89</v>
      </c>
      <c r="AA21" s="2">
        <v>40.0</v>
      </c>
      <c r="AB21" s="1" t="s">
        <v>62</v>
      </c>
      <c r="AC21" s="1" t="s">
        <v>51</v>
      </c>
      <c r="AD21" s="1" t="s">
        <v>81</v>
      </c>
      <c r="AE21" s="1" t="s">
        <v>51</v>
      </c>
      <c r="AF21" s="1" t="s">
        <v>51</v>
      </c>
      <c r="AG21" s="1" t="s">
        <v>51</v>
      </c>
      <c r="AH21" s="2">
        <v>20.0</v>
      </c>
      <c r="AI21" s="2">
        <v>1.0</v>
      </c>
      <c r="AJ21" s="2">
        <v>1.0</v>
      </c>
      <c r="AK21" s="2">
        <v>1.0</v>
      </c>
      <c r="AL21" s="2">
        <v>0.0</v>
      </c>
      <c r="AP21" s="2">
        <v>4.87609783E8</v>
      </c>
      <c r="AQ21" s="1" t="s">
        <v>114</v>
      </c>
      <c r="AR21" s="2">
        <v>45805.27391203704</v>
      </c>
      <c r="AU21" s="1" t="s">
        <v>64</v>
      </c>
      <c r="AW21" s="1" t="s">
        <v>84</v>
      </c>
      <c r="AY21" s="2">
        <v>15.0</v>
      </c>
    </row>
    <row r="22">
      <c r="A22" s="1" t="s">
        <v>51</v>
      </c>
      <c r="C22" s="1" t="s">
        <v>52</v>
      </c>
      <c r="E22" s="1" t="s">
        <v>53</v>
      </c>
      <c r="F22" s="1" t="s">
        <v>115</v>
      </c>
      <c r="G22" s="2">
        <v>44.0</v>
      </c>
      <c r="H22" s="1" t="s">
        <v>55</v>
      </c>
      <c r="I22" s="1" t="s">
        <v>67</v>
      </c>
      <c r="J22" s="1" t="s">
        <v>86</v>
      </c>
      <c r="K22" s="1" t="s">
        <v>87</v>
      </c>
      <c r="M22" s="1" t="s">
        <v>58</v>
      </c>
      <c r="N22" s="1" t="s">
        <v>58</v>
      </c>
      <c r="O22" s="1" t="s">
        <v>69</v>
      </c>
      <c r="Q22" s="1" t="s">
        <v>69</v>
      </c>
      <c r="R22" s="1" t="s">
        <v>70</v>
      </c>
      <c r="S22" s="1" t="s">
        <v>69</v>
      </c>
      <c r="T22" s="1" t="s">
        <v>69</v>
      </c>
      <c r="U22" s="1" t="s">
        <v>70</v>
      </c>
      <c r="V22" s="1" t="s">
        <v>58</v>
      </c>
      <c r="W22" s="1" t="s">
        <v>70</v>
      </c>
      <c r="X22" s="1" t="s">
        <v>88</v>
      </c>
      <c r="Y22" s="1" t="s">
        <v>82</v>
      </c>
      <c r="Z22" s="1" t="s">
        <v>89</v>
      </c>
      <c r="AA22" s="2">
        <v>50.0</v>
      </c>
      <c r="AB22" s="1" t="s">
        <v>62</v>
      </c>
      <c r="AC22" s="1" t="s">
        <v>71</v>
      </c>
      <c r="AF22" s="1" t="s">
        <v>51</v>
      </c>
      <c r="AG22" s="1" t="s">
        <v>51</v>
      </c>
      <c r="AH22" s="2">
        <v>50.0</v>
      </c>
      <c r="AI22" s="2">
        <v>0.0</v>
      </c>
      <c r="AJ22" s="2">
        <v>0.0</v>
      </c>
      <c r="AK22" s="2">
        <v>0.0</v>
      </c>
      <c r="AL22" s="2">
        <v>1.0</v>
      </c>
      <c r="AM22" s="1" t="s">
        <v>51</v>
      </c>
      <c r="AN22" s="2">
        <v>8.35757654E8</v>
      </c>
      <c r="AP22" s="2">
        <v>4.87612881E8</v>
      </c>
      <c r="AQ22" s="1" t="s">
        <v>116</v>
      </c>
      <c r="AR22" s="2">
        <v>45805.27793981481</v>
      </c>
      <c r="AU22" s="1" t="s">
        <v>64</v>
      </c>
      <c r="AW22" s="1" t="s">
        <v>84</v>
      </c>
      <c r="AY22" s="2">
        <v>16.0</v>
      </c>
    </row>
    <row r="23">
      <c r="A23" s="1" t="s">
        <v>51</v>
      </c>
      <c r="Q23" s="1" t="s">
        <v>69</v>
      </c>
      <c r="R23" s="1" t="s">
        <v>70</v>
      </c>
      <c r="S23" s="1" t="s">
        <v>70</v>
      </c>
      <c r="T23" s="1" t="s">
        <v>58</v>
      </c>
      <c r="U23" s="1" t="s">
        <v>58</v>
      </c>
      <c r="V23" s="1" t="s">
        <v>58</v>
      </c>
      <c r="W23" s="1" t="s">
        <v>70</v>
      </c>
      <c r="X23" s="1" t="s">
        <v>88</v>
      </c>
      <c r="Y23" s="1" t="s">
        <v>95</v>
      </c>
      <c r="Z23" s="1" t="s">
        <v>89</v>
      </c>
      <c r="AA23" s="2">
        <v>100.0</v>
      </c>
      <c r="AB23" s="1" t="s">
        <v>79</v>
      </c>
      <c r="AC23" s="1" t="s">
        <v>71</v>
      </c>
      <c r="AF23" s="1" t="s">
        <v>51</v>
      </c>
      <c r="AG23" s="1" t="s">
        <v>72</v>
      </c>
      <c r="AI23" s="2">
        <v>0.0</v>
      </c>
      <c r="AJ23" s="2">
        <v>0.0</v>
      </c>
      <c r="AK23" s="2">
        <v>1.0</v>
      </c>
      <c r="AL23" s="2">
        <v>0.0</v>
      </c>
      <c r="AP23" s="2">
        <v>4.87617465E8</v>
      </c>
      <c r="AQ23" s="1" t="s">
        <v>117</v>
      </c>
      <c r="AR23" s="2">
        <v>45805.283900462964</v>
      </c>
      <c r="AU23" s="1" t="s">
        <v>64</v>
      </c>
      <c r="AW23" s="1" t="s">
        <v>84</v>
      </c>
      <c r="AY23" s="2">
        <v>17.0</v>
      </c>
    </row>
    <row r="24">
      <c r="A24" s="1" t="s">
        <v>51</v>
      </c>
      <c r="C24" s="1" t="s">
        <v>118</v>
      </c>
      <c r="E24" s="1" t="s">
        <v>105</v>
      </c>
      <c r="G24" s="2">
        <v>38.0</v>
      </c>
      <c r="H24" s="1" t="s">
        <v>66</v>
      </c>
      <c r="J24" s="1" t="s">
        <v>86</v>
      </c>
      <c r="K24" s="1" t="s">
        <v>92</v>
      </c>
      <c r="M24" s="1" t="s">
        <v>58</v>
      </c>
      <c r="N24" s="1" t="s">
        <v>58</v>
      </c>
      <c r="O24" s="1" t="s">
        <v>69</v>
      </c>
      <c r="Q24" s="1" t="s">
        <v>69</v>
      </c>
      <c r="R24" s="1" t="s">
        <v>58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81</v>
      </c>
      <c r="Y24" s="1" t="s">
        <v>95</v>
      </c>
      <c r="Z24" s="1" t="s">
        <v>89</v>
      </c>
      <c r="AA24" s="2">
        <v>10.0</v>
      </c>
      <c r="AB24" s="1" t="s">
        <v>28</v>
      </c>
      <c r="AC24" s="1" t="s">
        <v>51</v>
      </c>
      <c r="AD24" s="1" t="s">
        <v>81</v>
      </c>
      <c r="AE24" s="1" t="s">
        <v>51</v>
      </c>
      <c r="AF24" s="1" t="s">
        <v>51</v>
      </c>
      <c r="AG24" s="1" t="s">
        <v>51</v>
      </c>
      <c r="AH24" s="2">
        <v>300.0</v>
      </c>
      <c r="AI24" s="2">
        <v>0.0</v>
      </c>
      <c r="AJ24" s="2">
        <v>0.0</v>
      </c>
      <c r="AK24" s="2">
        <v>0.0</v>
      </c>
      <c r="AL24" s="2">
        <v>1.0</v>
      </c>
      <c r="AP24" s="2">
        <v>4.87617819E8</v>
      </c>
      <c r="AQ24" s="1" t="s">
        <v>119</v>
      </c>
      <c r="AR24" s="2">
        <v>45805.284317129626</v>
      </c>
      <c r="AU24" s="1" t="s">
        <v>64</v>
      </c>
      <c r="AW24" s="1" t="s">
        <v>84</v>
      </c>
      <c r="AY24" s="2">
        <v>18.0</v>
      </c>
    </row>
    <row r="25">
      <c r="A25" s="1" t="s">
        <v>51</v>
      </c>
      <c r="C25" s="1" t="s">
        <v>52</v>
      </c>
      <c r="E25" s="1" t="s">
        <v>52</v>
      </c>
      <c r="G25" s="2">
        <v>48.0</v>
      </c>
      <c r="H25" s="1" t="s">
        <v>66</v>
      </c>
      <c r="J25" s="1" t="s">
        <v>86</v>
      </c>
      <c r="K25" s="1" t="s">
        <v>87</v>
      </c>
      <c r="M25" s="1" t="s">
        <v>58</v>
      </c>
      <c r="N25" s="1" t="s">
        <v>58</v>
      </c>
      <c r="O25" s="1" t="s">
        <v>70</v>
      </c>
      <c r="Q25" s="1" t="s">
        <v>69</v>
      </c>
      <c r="R25" s="1" t="s">
        <v>58</v>
      </c>
      <c r="S25" s="1" t="s">
        <v>69</v>
      </c>
      <c r="T25" s="1" t="s">
        <v>69</v>
      </c>
      <c r="U25" s="1" t="s">
        <v>69</v>
      </c>
      <c r="V25" s="1" t="s">
        <v>58</v>
      </c>
      <c r="W25" s="1" t="s">
        <v>69</v>
      </c>
      <c r="X25" s="1" t="s">
        <v>59</v>
      </c>
      <c r="Y25" s="1" t="s">
        <v>95</v>
      </c>
      <c r="Z25" s="1" t="s">
        <v>89</v>
      </c>
      <c r="AA25" s="2">
        <v>40.0</v>
      </c>
      <c r="AB25" s="1" t="s">
        <v>62</v>
      </c>
      <c r="AC25" s="1" t="s">
        <v>71</v>
      </c>
      <c r="AF25" s="1" t="s">
        <v>51</v>
      </c>
      <c r="AG25" s="1" t="s">
        <v>72</v>
      </c>
      <c r="AI25" s="2">
        <v>1.0</v>
      </c>
      <c r="AJ25" s="2">
        <v>0.0</v>
      </c>
      <c r="AK25" s="2">
        <v>1.0</v>
      </c>
      <c r="AL25" s="2">
        <v>0.0</v>
      </c>
      <c r="AP25" s="2">
        <v>4.87617916E8</v>
      </c>
      <c r="AQ25" s="1" t="s">
        <v>120</v>
      </c>
      <c r="AR25" s="2">
        <v>45805.28444444444</v>
      </c>
      <c r="AU25" s="1" t="s">
        <v>64</v>
      </c>
      <c r="AW25" s="1" t="s">
        <v>84</v>
      </c>
      <c r="AY25" s="2">
        <v>19.0</v>
      </c>
    </row>
    <row r="26">
      <c r="A26" s="1" t="s">
        <v>51</v>
      </c>
      <c r="C26" s="1" t="s">
        <v>53</v>
      </c>
      <c r="E26" s="1" t="s">
        <v>53</v>
      </c>
      <c r="F26" s="1" t="s">
        <v>102</v>
      </c>
      <c r="G26" s="2">
        <v>57.0</v>
      </c>
      <c r="H26" s="1" t="s">
        <v>66</v>
      </c>
      <c r="I26" s="1" t="s">
        <v>121</v>
      </c>
      <c r="J26" s="1" t="s">
        <v>111</v>
      </c>
      <c r="K26" s="1" t="s">
        <v>87</v>
      </c>
      <c r="M26" s="1" t="s">
        <v>58</v>
      </c>
      <c r="N26" s="1" t="s">
        <v>58</v>
      </c>
      <c r="O26" s="1" t="s">
        <v>58</v>
      </c>
      <c r="Q26" s="1" t="s">
        <v>69</v>
      </c>
      <c r="R26" s="1" t="s">
        <v>58</v>
      </c>
      <c r="S26" s="1" t="s">
        <v>70</v>
      </c>
      <c r="T26" s="1" t="s">
        <v>58</v>
      </c>
      <c r="U26" s="1" t="s">
        <v>58</v>
      </c>
      <c r="V26" s="1" t="s">
        <v>58</v>
      </c>
      <c r="W26" s="1" t="s">
        <v>69</v>
      </c>
      <c r="X26" s="1" t="s">
        <v>88</v>
      </c>
      <c r="Y26" s="1" t="s">
        <v>95</v>
      </c>
      <c r="Z26" s="1" t="s">
        <v>89</v>
      </c>
      <c r="AA26" s="2">
        <v>100.0</v>
      </c>
      <c r="AB26" s="1" t="s">
        <v>79</v>
      </c>
      <c r="AC26" s="1" t="s">
        <v>71</v>
      </c>
      <c r="AF26" s="1" t="s">
        <v>51</v>
      </c>
      <c r="AG26" s="1" t="s">
        <v>72</v>
      </c>
      <c r="AI26" s="2">
        <v>0.0</v>
      </c>
      <c r="AJ26" s="2">
        <v>0.0</v>
      </c>
      <c r="AK26" s="2">
        <v>1.0</v>
      </c>
      <c r="AL26" s="2">
        <v>0.0</v>
      </c>
      <c r="AM26" s="1" t="s">
        <v>72</v>
      </c>
      <c r="AP26" s="2">
        <v>4.87618968E8</v>
      </c>
      <c r="AQ26" s="1" t="s">
        <v>122</v>
      </c>
      <c r="AR26" s="2">
        <v>45805.28563657407</v>
      </c>
      <c r="AU26" s="1" t="s">
        <v>64</v>
      </c>
      <c r="AW26" s="1" t="s">
        <v>84</v>
      </c>
      <c r="AY26" s="2">
        <v>20.0</v>
      </c>
    </row>
    <row r="27">
      <c r="A27" s="1" t="s">
        <v>51</v>
      </c>
      <c r="C27" s="1" t="s">
        <v>52</v>
      </c>
      <c r="E27" s="1" t="s">
        <v>53</v>
      </c>
      <c r="F27" s="1" t="s">
        <v>54</v>
      </c>
      <c r="G27" s="2">
        <v>50.0</v>
      </c>
      <c r="H27" s="1" t="s">
        <v>55</v>
      </c>
      <c r="I27" s="1" t="s">
        <v>100</v>
      </c>
      <c r="J27" s="1" t="s">
        <v>111</v>
      </c>
      <c r="K27" s="1" t="s">
        <v>87</v>
      </c>
      <c r="M27" s="1" t="s">
        <v>58</v>
      </c>
      <c r="N27" s="1" t="s">
        <v>58</v>
      </c>
      <c r="O27" s="1" t="s">
        <v>69</v>
      </c>
      <c r="Q27" s="1" t="s">
        <v>70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69</v>
      </c>
      <c r="X27" s="1" t="s">
        <v>59</v>
      </c>
      <c r="Y27" s="1" t="s">
        <v>95</v>
      </c>
      <c r="Z27" s="1" t="s">
        <v>89</v>
      </c>
      <c r="AA27" s="2">
        <v>100.0</v>
      </c>
      <c r="AB27" s="1" t="s">
        <v>79</v>
      </c>
      <c r="AC27" s="1" t="s">
        <v>51</v>
      </c>
      <c r="AD27" s="1" t="s">
        <v>59</v>
      </c>
      <c r="AE27" s="1" t="s">
        <v>51</v>
      </c>
      <c r="AF27" s="1" t="s">
        <v>51</v>
      </c>
      <c r="AG27" s="1" t="s">
        <v>51</v>
      </c>
      <c r="AH27" s="2">
        <v>200.0</v>
      </c>
      <c r="AI27" s="2">
        <v>0.0</v>
      </c>
      <c r="AJ27" s="2">
        <v>0.0</v>
      </c>
      <c r="AK27" s="2">
        <v>0.0</v>
      </c>
      <c r="AL27" s="2">
        <v>1.0</v>
      </c>
      <c r="AM27" s="1" t="s">
        <v>51</v>
      </c>
      <c r="AN27" s="2">
        <v>7.10864009E8</v>
      </c>
      <c r="AP27" s="2">
        <v>4.87620011E8</v>
      </c>
      <c r="AQ27" s="1" t="s">
        <v>123</v>
      </c>
      <c r="AR27" s="2">
        <v>45805.28686342593</v>
      </c>
      <c r="AU27" s="1" t="s">
        <v>64</v>
      </c>
      <c r="AW27" s="1" t="s">
        <v>84</v>
      </c>
      <c r="AY27" s="2">
        <v>21.0</v>
      </c>
    </row>
    <row r="28">
      <c r="A28" s="1" t="s">
        <v>51</v>
      </c>
      <c r="C28" s="1" t="s">
        <v>52</v>
      </c>
      <c r="E28" s="1" t="s">
        <v>53</v>
      </c>
      <c r="F28" s="1" t="s">
        <v>102</v>
      </c>
      <c r="G28" s="2">
        <v>42.0</v>
      </c>
      <c r="H28" s="1" t="s">
        <v>66</v>
      </c>
      <c r="I28" s="1" t="s">
        <v>67</v>
      </c>
      <c r="J28" s="1" t="s">
        <v>86</v>
      </c>
      <c r="K28" s="1" t="s">
        <v>87</v>
      </c>
      <c r="M28" s="1" t="s">
        <v>58</v>
      </c>
      <c r="N28" s="1" t="s">
        <v>58</v>
      </c>
      <c r="O28" s="1" t="s">
        <v>58</v>
      </c>
      <c r="Q28" s="1" t="s">
        <v>69</v>
      </c>
      <c r="R28" s="1" t="s">
        <v>58</v>
      </c>
      <c r="S28" s="1" t="s">
        <v>69</v>
      </c>
      <c r="T28" s="1" t="s">
        <v>58</v>
      </c>
      <c r="U28" s="1" t="s">
        <v>69</v>
      </c>
      <c r="V28" s="1" t="s">
        <v>58</v>
      </c>
      <c r="W28" s="1" t="s">
        <v>58</v>
      </c>
      <c r="X28" s="1" t="s">
        <v>88</v>
      </c>
      <c r="Y28" s="1" t="s">
        <v>95</v>
      </c>
      <c r="Z28" s="1" t="s">
        <v>89</v>
      </c>
      <c r="AA28" s="2">
        <v>40.0</v>
      </c>
      <c r="AB28" s="1" t="s">
        <v>62</v>
      </c>
      <c r="AC28" s="1" t="s">
        <v>71</v>
      </c>
      <c r="AF28" s="1" t="s">
        <v>51</v>
      </c>
      <c r="AG28" s="1" t="s">
        <v>51</v>
      </c>
      <c r="AH28" s="2">
        <v>20.0</v>
      </c>
      <c r="AI28" s="2">
        <v>0.0</v>
      </c>
      <c r="AJ28" s="2">
        <v>0.0</v>
      </c>
      <c r="AK28" s="2">
        <v>0.0</v>
      </c>
      <c r="AL28" s="2">
        <v>1.0</v>
      </c>
      <c r="AM28" s="1" t="s">
        <v>51</v>
      </c>
      <c r="AN28" s="2">
        <v>7.11170838E8</v>
      </c>
      <c r="AP28" s="2">
        <v>4.87629939E8</v>
      </c>
      <c r="AQ28" s="1" t="s">
        <v>124</v>
      </c>
      <c r="AR28" s="2">
        <v>45805.29896990741</v>
      </c>
      <c r="AU28" s="1" t="s">
        <v>64</v>
      </c>
      <c r="AW28" s="1" t="s">
        <v>84</v>
      </c>
      <c r="AY28" s="2">
        <v>22.0</v>
      </c>
    </row>
    <row r="29">
      <c r="A29" s="1" t="s">
        <v>51</v>
      </c>
      <c r="C29" s="1" t="s">
        <v>52</v>
      </c>
      <c r="E29" s="1" t="s">
        <v>53</v>
      </c>
      <c r="F29" s="1" t="s">
        <v>102</v>
      </c>
      <c r="G29" s="2">
        <v>45.0</v>
      </c>
      <c r="H29" s="1" t="s">
        <v>55</v>
      </c>
      <c r="I29" s="1" t="s">
        <v>67</v>
      </c>
      <c r="J29" s="1" t="s">
        <v>86</v>
      </c>
      <c r="K29" s="1" t="s">
        <v>87</v>
      </c>
      <c r="M29" s="1" t="s">
        <v>58</v>
      </c>
      <c r="N29" s="1" t="s">
        <v>58</v>
      </c>
      <c r="O29" s="1" t="s">
        <v>69</v>
      </c>
      <c r="Q29" s="1" t="s">
        <v>69</v>
      </c>
      <c r="R29" s="1" t="s">
        <v>58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88</v>
      </c>
      <c r="Y29" s="1" t="s">
        <v>95</v>
      </c>
      <c r="Z29" s="1" t="s">
        <v>89</v>
      </c>
      <c r="AA29" s="2">
        <v>100.0</v>
      </c>
      <c r="AB29" s="1" t="s">
        <v>62</v>
      </c>
      <c r="AC29" s="1" t="s">
        <v>71</v>
      </c>
      <c r="AF29" s="1" t="s">
        <v>51</v>
      </c>
      <c r="AG29" s="1" t="s">
        <v>72</v>
      </c>
      <c r="AI29" s="2">
        <v>1.0</v>
      </c>
      <c r="AJ29" s="2">
        <v>1.0</v>
      </c>
      <c r="AK29" s="2">
        <v>1.0</v>
      </c>
      <c r="AL29" s="2">
        <v>0.0</v>
      </c>
      <c r="AM29" s="1" t="s">
        <v>72</v>
      </c>
      <c r="AP29" s="2">
        <v>4.87630267E8</v>
      </c>
      <c r="AQ29" s="1" t="s">
        <v>125</v>
      </c>
      <c r="AR29" s="2">
        <v>45805.29935185185</v>
      </c>
      <c r="AU29" s="1" t="s">
        <v>64</v>
      </c>
      <c r="AW29" s="1" t="s">
        <v>84</v>
      </c>
      <c r="AY29" s="2">
        <v>23.0</v>
      </c>
    </row>
    <row r="30">
      <c r="A30" s="1" t="s">
        <v>51</v>
      </c>
      <c r="C30" s="1" t="s">
        <v>118</v>
      </c>
      <c r="E30" s="1" t="s">
        <v>53</v>
      </c>
      <c r="F30" s="1" t="s">
        <v>102</v>
      </c>
      <c r="G30" s="2">
        <v>44.0</v>
      </c>
      <c r="H30" s="1" t="s">
        <v>55</v>
      </c>
      <c r="I30" s="1" t="s">
        <v>67</v>
      </c>
      <c r="J30" s="1" t="s">
        <v>86</v>
      </c>
      <c r="K30" s="1" t="s">
        <v>87</v>
      </c>
      <c r="M30" s="1" t="s">
        <v>58</v>
      </c>
      <c r="N30" s="1" t="s">
        <v>58</v>
      </c>
      <c r="O30" s="1" t="s">
        <v>58</v>
      </c>
      <c r="Q30" s="1" t="s">
        <v>69</v>
      </c>
      <c r="R30" s="1" t="s">
        <v>58</v>
      </c>
      <c r="S30" s="1" t="s">
        <v>69</v>
      </c>
      <c r="T30" s="1" t="s">
        <v>58</v>
      </c>
      <c r="U30" s="1" t="s">
        <v>58</v>
      </c>
      <c r="V30" s="1" t="s">
        <v>58</v>
      </c>
      <c r="W30" s="1" t="s">
        <v>69</v>
      </c>
      <c r="X30" s="1" t="s">
        <v>103</v>
      </c>
      <c r="Y30" s="1" t="s">
        <v>95</v>
      </c>
      <c r="Z30" s="1" t="s">
        <v>89</v>
      </c>
      <c r="AA30" s="2">
        <v>100.0</v>
      </c>
      <c r="AB30" s="1" t="s">
        <v>62</v>
      </c>
      <c r="AC30" s="1" t="s">
        <v>71</v>
      </c>
      <c r="AF30" s="1" t="s">
        <v>51</v>
      </c>
      <c r="AG30" s="1" t="s">
        <v>72</v>
      </c>
      <c r="AI30" s="2">
        <v>0.0</v>
      </c>
      <c r="AJ30" s="2">
        <v>0.0</v>
      </c>
      <c r="AK30" s="2">
        <v>1.0</v>
      </c>
      <c r="AL30" s="2">
        <v>0.0</v>
      </c>
      <c r="AM30" s="1" t="s">
        <v>72</v>
      </c>
      <c r="AP30" s="2">
        <v>4.87631676E8</v>
      </c>
      <c r="AQ30" s="1" t="s">
        <v>126</v>
      </c>
      <c r="AR30" s="2">
        <v>45805.3009375</v>
      </c>
      <c r="AU30" s="1" t="s">
        <v>64</v>
      </c>
      <c r="AW30" s="1" t="s">
        <v>84</v>
      </c>
      <c r="AY30" s="2">
        <v>24.0</v>
      </c>
    </row>
    <row r="31">
      <c r="A31" s="1" t="s">
        <v>51</v>
      </c>
      <c r="C31" s="1" t="s">
        <v>52</v>
      </c>
      <c r="E31" s="1" t="s">
        <v>107</v>
      </c>
      <c r="G31" s="2">
        <v>40.0</v>
      </c>
      <c r="H31" s="1" t="s">
        <v>66</v>
      </c>
      <c r="J31" s="1" t="s">
        <v>86</v>
      </c>
      <c r="K31" s="1" t="s">
        <v>87</v>
      </c>
      <c r="M31" s="1" t="s">
        <v>58</v>
      </c>
      <c r="N31" s="1" t="s">
        <v>58</v>
      </c>
      <c r="O31" s="1" t="s">
        <v>58</v>
      </c>
      <c r="Q31" s="1" t="s">
        <v>70</v>
      </c>
      <c r="R31" s="1" t="s">
        <v>58</v>
      </c>
      <c r="S31" s="1" t="s">
        <v>69</v>
      </c>
      <c r="T31" s="1" t="s">
        <v>69</v>
      </c>
      <c r="U31" s="1" t="s">
        <v>58</v>
      </c>
      <c r="V31" s="1" t="s">
        <v>58</v>
      </c>
      <c r="W31" s="1" t="s">
        <v>69</v>
      </c>
      <c r="X31" s="1" t="s">
        <v>59</v>
      </c>
      <c r="Y31" s="1" t="s">
        <v>60</v>
      </c>
      <c r="Z31" s="1" t="s">
        <v>127</v>
      </c>
      <c r="AA31" s="2">
        <v>40.0</v>
      </c>
      <c r="AB31" s="1" t="s">
        <v>62</v>
      </c>
      <c r="AC31" s="1" t="s">
        <v>71</v>
      </c>
      <c r="AF31" s="1" t="s">
        <v>51</v>
      </c>
      <c r="AG31" s="1" t="s">
        <v>72</v>
      </c>
      <c r="AI31" s="2">
        <v>0.0</v>
      </c>
      <c r="AJ31" s="2">
        <v>0.0</v>
      </c>
      <c r="AK31" s="2">
        <v>0.0</v>
      </c>
      <c r="AL31" s="2">
        <v>1.0</v>
      </c>
      <c r="AP31" s="2">
        <v>4.87633386E8</v>
      </c>
      <c r="AQ31" s="1" t="s">
        <v>128</v>
      </c>
      <c r="AR31" s="2">
        <v>45805.30300925926</v>
      </c>
      <c r="AU31" s="1" t="s">
        <v>64</v>
      </c>
      <c r="AW31" s="1" t="s">
        <v>84</v>
      </c>
      <c r="AY31" s="2">
        <v>25.0</v>
      </c>
    </row>
    <row r="32">
      <c r="A32" s="1" t="s">
        <v>51</v>
      </c>
      <c r="C32" s="1" t="s">
        <v>53</v>
      </c>
      <c r="E32" s="1" t="s">
        <v>53</v>
      </c>
      <c r="F32" s="1" t="s">
        <v>94</v>
      </c>
      <c r="G32" s="2">
        <v>48.0</v>
      </c>
      <c r="H32" s="1" t="s">
        <v>55</v>
      </c>
      <c r="I32" s="1" t="s">
        <v>121</v>
      </c>
      <c r="J32" s="1" t="s">
        <v>86</v>
      </c>
      <c r="K32" s="1" t="s">
        <v>87</v>
      </c>
      <c r="M32" s="1" t="s">
        <v>58</v>
      </c>
      <c r="N32" s="1" t="s">
        <v>58</v>
      </c>
      <c r="O32" s="1" t="s">
        <v>58</v>
      </c>
      <c r="Q32" s="1" t="s">
        <v>69</v>
      </c>
      <c r="R32" s="1" t="s">
        <v>58</v>
      </c>
      <c r="S32" s="1" t="s">
        <v>69</v>
      </c>
      <c r="T32" s="1" t="s">
        <v>58</v>
      </c>
      <c r="U32" s="1" t="s">
        <v>58</v>
      </c>
      <c r="V32" s="1" t="s">
        <v>58</v>
      </c>
      <c r="W32" s="1" t="s">
        <v>69</v>
      </c>
      <c r="X32" s="1" t="s">
        <v>103</v>
      </c>
      <c r="Y32" s="1" t="s">
        <v>60</v>
      </c>
      <c r="Z32" s="1" t="s">
        <v>61</v>
      </c>
      <c r="AA32" s="2">
        <v>100.0</v>
      </c>
      <c r="AB32" s="1" t="s">
        <v>79</v>
      </c>
      <c r="AC32" s="1" t="s">
        <v>71</v>
      </c>
      <c r="AF32" s="1" t="s">
        <v>51</v>
      </c>
      <c r="AG32" s="1" t="s">
        <v>51</v>
      </c>
      <c r="AH32" s="2">
        <v>500.0</v>
      </c>
      <c r="AI32" s="2">
        <v>0.0</v>
      </c>
      <c r="AJ32" s="2">
        <v>0.0</v>
      </c>
      <c r="AK32" s="2">
        <v>0.0</v>
      </c>
      <c r="AL32" s="2">
        <v>1.0</v>
      </c>
      <c r="AM32" s="1" t="s">
        <v>51</v>
      </c>
      <c r="AN32" s="2">
        <v>7.11468867E8</v>
      </c>
      <c r="AP32" s="2">
        <v>4.87636484E8</v>
      </c>
      <c r="AQ32" s="1" t="s">
        <v>129</v>
      </c>
      <c r="AR32" s="2">
        <v>45805.306284722225</v>
      </c>
      <c r="AU32" s="1" t="s">
        <v>64</v>
      </c>
      <c r="AW32" s="1" t="s">
        <v>84</v>
      </c>
      <c r="AY32" s="2">
        <v>26.0</v>
      </c>
    </row>
    <row r="33">
      <c r="A33" s="1" t="s">
        <v>51</v>
      </c>
      <c r="C33" s="1" t="s">
        <v>52</v>
      </c>
      <c r="E33" s="1" t="s">
        <v>107</v>
      </c>
      <c r="G33" s="2">
        <v>44.0</v>
      </c>
      <c r="H33" s="1" t="s">
        <v>55</v>
      </c>
      <c r="J33" s="1" t="s">
        <v>86</v>
      </c>
      <c r="K33" s="1" t="s">
        <v>87</v>
      </c>
      <c r="M33" s="1" t="s">
        <v>58</v>
      </c>
      <c r="N33" s="1" t="s">
        <v>58</v>
      </c>
      <c r="O33" s="1" t="s">
        <v>69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103</v>
      </c>
      <c r="Y33" s="1" t="s">
        <v>95</v>
      </c>
      <c r="Z33" s="1" t="s">
        <v>89</v>
      </c>
      <c r="AA33" s="2">
        <v>100.0</v>
      </c>
      <c r="AB33" s="1" t="s">
        <v>28</v>
      </c>
      <c r="AC33" s="1" t="s">
        <v>51</v>
      </c>
      <c r="AD33" s="1" t="s">
        <v>103</v>
      </c>
      <c r="AE33" s="1" t="s">
        <v>51</v>
      </c>
      <c r="AF33" s="1" t="s">
        <v>51</v>
      </c>
      <c r="AG33" s="1" t="s">
        <v>51</v>
      </c>
      <c r="AH33" s="2">
        <v>50.0</v>
      </c>
      <c r="AI33" s="2">
        <v>1.0</v>
      </c>
      <c r="AJ33" s="2">
        <v>0.0</v>
      </c>
      <c r="AK33" s="2">
        <v>1.0</v>
      </c>
      <c r="AL33" s="2">
        <v>0.0</v>
      </c>
      <c r="AP33" s="2">
        <v>4.87637677E8</v>
      </c>
      <c r="AQ33" s="1" t="s">
        <v>130</v>
      </c>
      <c r="AR33" s="2">
        <v>45805.30783564815</v>
      </c>
      <c r="AU33" s="1" t="s">
        <v>64</v>
      </c>
      <c r="AW33" s="1" t="s">
        <v>84</v>
      </c>
      <c r="AY33" s="2">
        <v>27.0</v>
      </c>
    </row>
    <row r="34">
      <c r="A34" s="1" t="s">
        <v>51</v>
      </c>
      <c r="C34" s="1" t="s">
        <v>131</v>
      </c>
      <c r="E34" s="1" t="s">
        <v>131</v>
      </c>
      <c r="G34" s="2">
        <v>42.0</v>
      </c>
      <c r="H34" s="1" t="s">
        <v>66</v>
      </c>
      <c r="J34" s="1" t="s">
        <v>56</v>
      </c>
      <c r="K34" s="1" t="s">
        <v>87</v>
      </c>
      <c r="M34" s="1" t="s">
        <v>58</v>
      </c>
      <c r="N34" s="1" t="s">
        <v>58</v>
      </c>
      <c r="O34" s="1" t="s">
        <v>69</v>
      </c>
      <c r="Q34" s="1" t="s">
        <v>69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69</v>
      </c>
      <c r="X34" s="1" t="s">
        <v>59</v>
      </c>
      <c r="Y34" s="1" t="s">
        <v>95</v>
      </c>
      <c r="Z34" s="1" t="s">
        <v>96</v>
      </c>
      <c r="AA34" s="2">
        <v>30.0</v>
      </c>
      <c r="AB34" s="1" t="s">
        <v>79</v>
      </c>
      <c r="AC34" s="1" t="s">
        <v>71</v>
      </c>
      <c r="AF34" s="1" t="s">
        <v>51</v>
      </c>
      <c r="AG34" s="1" t="s">
        <v>72</v>
      </c>
      <c r="AI34" s="2">
        <v>1.0</v>
      </c>
      <c r="AJ34" s="2">
        <v>0.0</v>
      </c>
      <c r="AK34" s="2">
        <v>0.0</v>
      </c>
      <c r="AL34" s="2">
        <v>0.0</v>
      </c>
      <c r="AP34" s="2">
        <v>4.87637735E8</v>
      </c>
      <c r="AQ34" s="1" t="s">
        <v>132</v>
      </c>
      <c r="AR34" s="2">
        <v>45805.30792824074</v>
      </c>
      <c r="AU34" s="1" t="s">
        <v>64</v>
      </c>
      <c r="AW34" s="1" t="s">
        <v>84</v>
      </c>
      <c r="AY34" s="2">
        <v>28.0</v>
      </c>
    </row>
    <row r="35">
      <c r="A35" s="1" t="s">
        <v>51</v>
      </c>
      <c r="C35" s="1" t="s">
        <v>52</v>
      </c>
      <c r="E35" s="1" t="s">
        <v>53</v>
      </c>
      <c r="F35" s="1" t="s">
        <v>54</v>
      </c>
      <c r="G35" s="2">
        <v>28.0</v>
      </c>
      <c r="H35" s="1" t="s">
        <v>66</v>
      </c>
      <c r="I35" s="1" t="s">
        <v>67</v>
      </c>
      <c r="J35" s="1" t="s">
        <v>68</v>
      </c>
      <c r="K35" s="1" t="s">
        <v>74</v>
      </c>
      <c r="M35" s="1" t="s">
        <v>58</v>
      </c>
      <c r="N35" s="1" t="s">
        <v>58</v>
      </c>
      <c r="O35" s="1" t="s">
        <v>69</v>
      </c>
      <c r="Q35" s="1" t="s">
        <v>58</v>
      </c>
      <c r="R35" s="1" t="s">
        <v>58</v>
      </c>
      <c r="S35" s="1" t="s">
        <v>69</v>
      </c>
      <c r="T35" s="1" t="s">
        <v>69</v>
      </c>
      <c r="U35" s="1" t="s">
        <v>58</v>
      </c>
      <c r="V35" s="1" t="s">
        <v>58</v>
      </c>
      <c r="W35" s="1" t="s">
        <v>58</v>
      </c>
      <c r="X35" s="1" t="s">
        <v>88</v>
      </c>
      <c r="Y35" s="1" t="s">
        <v>82</v>
      </c>
      <c r="Z35" s="1" t="s">
        <v>61</v>
      </c>
      <c r="AA35" s="2">
        <v>100.0</v>
      </c>
      <c r="AB35" s="1" t="s">
        <v>79</v>
      </c>
      <c r="AC35" s="1" t="s">
        <v>71</v>
      </c>
      <c r="AF35" s="1" t="s">
        <v>51</v>
      </c>
      <c r="AG35" s="1" t="s">
        <v>51</v>
      </c>
      <c r="AH35" s="2">
        <v>500.0</v>
      </c>
      <c r="AI35" s="2">
        <v>0.0</v>
      </c>
      <c r="AJ35" s="2">
        <v>0.0</v>
      </c>
      <c r="AK35" s="2">
        <v>0.0</v>
      </c>
      <c r="AL35" s="2">
        <v>1.0</v>
      </c>
      <c r="AM35" s="1" t="s">
        <v>51</v>
      </c>
      <c r="AP35" s="2">
        <v>4.87640213E8</v>
      </c>
      <c r="AQ35" s="1" t="s">
        <v>133</v>
      </c>
      <c r="AR35" s="2">
        <v>45805.31077546296</v>
      </c>
      <c r="AU35" s="1" t="s">
        <v>64</v>
      </c>
      <c r="AW35" s="1" t="s">
        <v>84</v>
      </c>
      <c r="AY35" s="2">
        <v>29.0</v>
      </c>
    </row>
    <row r="36">
      <c r="A36" s="1" t="s">
        <v>51</v>
      </c>
      <c r="C36" s="1" t="s">
        <v>52</v>
      </c>
      <c r="E36" s="1" t="s">
        <v>107</v>
      </c>
      <c r="G36" s="2">
        <v>37.0</v>
      </c>
      <c r="H36" s="1" t="s">
        <v>66</v>
      </c>
      <c r="J36" s="1" t="s">
        <v>86</v>
      </c>
      <c r="K36" s="1" t="s">
        <v>87</v>
      </c>
      <c r="M36" s="1" t="s">
        <v>58</v>
      </c>
      <c r="N36" s="1" t="s">
        <v>58</v>
      </c>
      <c r="O36" s="1" t="s">
        <v>70</v>
      </c>
      <c r="Q36" s="1" t="s">
        <v>69</v>
      </c>
      <c r="R36" s="1" t="s">
        <v>70</v>
      </c>
      <c r="S36" s="1" t="s">
        <v>69</v>
      </c>
      <c r="T36" s="1" t="s">
        <v>69</v>
      </c>
      <c r="U36" s="1" t="s">
        <v>70</v>
      </c>
      <c r="V36" s="1" t="s">
        <v>58</v>
      </c>
      <c r="W36" s="1" t="s">
        <v>69</v>
      </c>
      <c r="X36" s="1" t="s">
        <v>81</v>
      </c>
      <c r="Y36" s="1" t="s">
        <v>95</v>
      </c>
      <c r="Z36" s="1" t="s">
        <v>108</v>
      </c>
      <c r="AA36" s="2">
        <v>100.0</v>
      </c>
      <c r="AB36" s="1" t="s">
        <v>62</v>
      </c>
      <c r="AC36" s="1" t="s">
        <v>51</v>
      </c>
      <c r="AD36" s="1" t="s">
        <v>81</v>
      </c>
      <c r="AE36" s="1" t="s">
        <v>51</v>
      </c>
      <c r="AF36" s="1" t="s">
        <v>51</v>
      </c>
      <c r="AG36" s="1" t="s">
        <v>72</v>
      </c>
      <c r="AI36" s="2">
        <v>0.0</v>
      </c>
      <c r="AJ36" s="2">
        <v>0.0</v>
      </c>
      <c r="AK36" s="2">
        <v>0.0</v>
      </c>
      <c r="AL36" s="2">
        <v>1.0</v>
      </c>
      <c r="AP36" s="2">
        <v>4.87640652E8</v>
      </c>
      <c r="AQ36" s="1" t="s">
        <v>134</v>
      </c>
      <c r="AR36" s="2">
        <v>45805.3112962963</v>
      </c>
      <c r="AU36" s="1" t="s">
        <v>64</v>
      </c>
      <c r="AW36" s="1" t="s">
        <v>84</v>
      </c>
      <c r="AY36" s="2">
        <v>30.0</v>
      </c>
    </row>
    <row r="37">
      <c r="A37" s="1" t="s">
        <v>51</v>
      </c>
      <c r="C37" s="1" t="s">
        <v>52</v>
      </c>
      <c r="E37" s="1" t="s">
        <v>53</v>
      </c>
      <c r="F37" s="1" t="s">
        <v>102</v>
      </c>
      <c r="G37" s="2">
        <v>21.0</v>
      </c>
      <c r="H37" s="1" t="s">
        <v>55</v>
      </c>
      <c r="I37" s="1" t="s">
        <v>100</v>
      </c>
      <c r="J37" s="1" t="s">
        <v>86</v>
      </c>
      <c r="K37" s="1" t="s">
        <v>87</v>
      </c>
      <c r="M37" s="1" t="s">
        <v>58</v>
      </c>
      <c r="N37" s="1" t="s">
        <v>58</v>
      </c>
      <c r="O37" s="1" t="s">
        <v>69</v>
      </c>
      <c r="Q37" s="1" t="s">
        <v>58</v>
      </c>
      <c r="R37" s="1" t="s">
        <v>58</v>
      </c>
      <c r="S37" s="1" t="s">
        <v>58</v>
      </c>
      <c r="T37" s="1" t="s">
        <v>69</v>
      </c>
      <c r="U37" s="1" t="s">
        <v>70</v>
      </c>
      <c r="V37" s="1" t="s">
        <v>58</v>
      </c>
      <c r="W37" s="1" t="s">
        <v>69</v>
      </c>
      <c r="X37" s="1" t="s">
        <v>81</v>
      </c>
      <c r="Y37" s="1" t="s">
        <v>60</v>
      </c>
      <c r="Z37" s="1" t="s">
        <v>89</v>
      </c>
      <c r="AA37" s="2">
        <v>50.0</v>
      </c>
      <c r="AB37" s="1" t="s">
        <v>79</v>
      </c>
      <c r="AC37" s="1" t="s">
        <v>71</v>
      </c>
      <c r="AF37" s="1" t="s">
        <v>51</v>
      </c>
      <c r="AG37" s="1" t="s">
        <v>51</v>
      </c>
      <c r="AH37" s="2">
        <v>50.0</v>
      </c>
      <c r="AI37" s="2">
        <v>1.0</v>
      </c>
      <c r="AJ37" s="2">
        <v>0.0</v>
      </c>
      <c r="AK37" s="2">
        <v>0.0</v>
      </c>
      <c r="AL37" s="2">
        <v>0.0</v>
      </c>
      <c r="AM37" s="1" t="s">
        <v>51</v>
      </c>
      <c r="AN37" s="2">
        <v>6.01072833E8</v>
      </c>
      <c r="AP37" s="2">
        <v>4.87644284E8</v>
      </c>
      <c r="AQ37" s="1" t="s">
        <v>135</v>
      </c>
      <c r="AR37" s="2">
        <v>45805.31496527778</v>
      </c>
      <c r="AU37" s="1" t="s">
        <v>64</v>
      </c>
      <c r="AW37" s="1" t="s">
        <v>84</v>
      </c>
      <c r="AY37" s="2">
        <v>31.0</v>
      </c>
    </row>
    <row r="38">
      <c r="A38" s="1" t="s">
        <v>51</v>
      </c>
      <c r="C38" s="1" t="s">
        <v>52</v>
      </c>
      <c r="E38" s="1" t="s">
        <v>53</v>
      </c>
      <c r="F38" s="1" t="s">
        <v>136</v>
      </c>
      <c r="G38" s="2">
        <v>28.0</v>
      </c>
      <c r="H38" s="1" t="s">
        <v>66</v>
      </c>
      <c r="I38" s="1" t="s">
        <v>67</v>
      </c>
      <c r="J38" s="1" t="s">
        <v>56</v>
      </c>
      <c r="K38" s="1" t="s">
        <v>74</v>
      </c>
      <c r="M38" s="1" t="s">
        <v>58</v>
      </c>
      <c r="N38" s="1" t="s">
        <v>58</v>
      </c>
      <c r="O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59</v>
      </c>
      <c r="Y38" s="1" t="s">
        <v>82</v>
      </c>
      <c r="Z38" s="1" t="s">
        <v>61</v>
      </c>
      <c r="AA38" s="2">
        <v>100.0</v>
      </c>
      <c r="AB38" s="1" t="s">
        <v>28</v>
      </c>
      <c r="AC38" s="1" t="s">
        <v>71</v>
      </c>
      <c r="AF38" s="1" t="s">
        <v>51</v>
      </c>
      <c r="AG38" s="1" t="s">
        <v>51</v>
      </c>
      <c r="AH38" s="2">
        <v>3000.0</v>
      </c>
      <c r="AI38" s="2">
        <v>0.0</v>
      </c>
      <c r="AJ38" s="2">
        <v>1.0</v>
      </c>
      <c r="AK38" s="2">
        <v>0.0</v>
      </c>
      <c r="AL38" s="2">
        <v>0.0</v>
      </c>
      <c r="AM38" s="1" t="s">
        <v>51</v>
      </c>
      <c r="AN38" s="2">
        <v>7.32575737E8</v>
      </c>
      <c r="AP38" s="2">
        <v>4.87651294E8</v>
      </c>
      <c r="AQ38" s="1" t="s">
        <v>137</v>
      </c>
      <c r="AR38" s="2">
        <v>45805.32439814815</v>
      </c>
      <c r="AU38" s="1" t="s">
        <v>64</v>
      </c>
      <c r="AW38" s="1" t="s">
        <v>84</v>
      </c>
      <c r="AY38" s="2">
        <v>32.0</v>
      </c>
    </row>
    <row r="39">
      <c r="A39" s="1" t="s">
        <v>51</v>
      </c>
      <c r="C39" s="1" t="s">
        <v>52</v>
      </c>
      <c r="E39" s="1" t="s">
        <v>52</v>
      </c>
      <c r="G39" s="2">
        <v>59.0</v>
      </c>
      <c r="H39" s="1" t="s">
        <v>55</v>
      </c>
      <c r="J39" s="1" t="s">
        <v>111</v>
      </c>
      <c r="K39" s="1" t="s">
        <v>87</v>
      </c>
      <c r="M39" s="1" t="s">
        <v>58</v>
      </c>
      <c r="N39" s="1" t="s">
        <v>58</v>
      </c>
      <c r="O39" s="1" t="s">
        <v>58</v>
      </c>
      <c r="Q39" s="1" t="s">
        <v>69</v>
      </c>
      <c r="R39" s="1" t="s">
        <v>58</v>
      </c>
      <c r="S39" s="1" t="s">
        <v>69</v>
      </c>
      <c r="T39" s="1" t="s">
        <v>70</v>
      </c>
      <c r="U39" s="1" t="s">
        <v>58</v>
      </c>
      <c r="V39" s="1" t="s">
        <v>58</v>
      </c>
      <c r="W39" s="1" t="s">
        <v>58</v>
      </c>
      <c r="X39" s="1" t="s">
        <v>103</v>
      </c>
      <c r="Y39" s="1" t="s">
        <v>95</v>
      </c>
      <c r="Z39" s="1" t="s">
        <v>89</v>
      </c>
      <c r="AA39" s="2">
        <v>100.0</v>
      </c>
      <c r="AB39" s="1" t="s">
        <v>62</v>
      </c>
      <c r="AC39" s="1" t="s">
        <v>71</v>
      </c>
      <c r="AF39" s="1" t="s">
        <v>51</v>
      </c>
      <c r="AI39" s="2">
        <v>0.0</v>
      </c>
      <c r="AJ39" s="2">
        <v>0.0</v>
      </c>
      <c r="AK39" s="2">
        <v>1.0</v>
      </c>
      <c r="AL39" s="2">
        <v>0.0</v>
      </c>
      <c r="AP39" s="2">
        <v>4.87664993E8</v>
      </c>
      <c r="AQ39" s="1" t="s">
        <v>138</v>
      </c>
      <c r="AR39" s="2">
        <v>45805.33640046296</v>
      </c>
      <c r="AU39" s="1" t="s">
        <v>64</v>
      </c>
      <c r="AW39" s="1" t="s">
        <v>84</v>
      </c>
      <c r="AY39" s="2">
        <v>33.0</v>
      </c>
    </row>
    <row r="40">
      <c r="A40" s="1" t="s">
        <v>51</v>
      </c>
      <c r="C40" s="1" t="s">
        <v>52</v>
      </c>
      <c r="E40" s="1" t="s">
        <v>53</v>
      </c>
      <c r="F40" s="1" t="s">
        <v>54</v>
      </c>
      <c r="G40" s="2">
        <v>44.0</v>
      </c>
      <c r="H40" s="1" t="s">
        <v>55</v>
      </c>
      <c r="I40" s="1" t="s">
        <v>100</v>
      </c>
      <c r="J40" s="1" t="s">
        <v>86</v>
      </c>
      <c r="K40" s="1" t="s">
        <v>87</v>
      </c>
      <c r="M40" s="1" t="s">
        <v>58</v>
      </c>
      <c r="N40" s="1" t="s">
        <v>58</v>
      </c>
      <c r="O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59</v>
      </c>
      <c r="Y40" s="1" t="s">
        <v>60</v>
      </c>
      <c r="Z40" s="1" t="s">
        <v>89</v>
      </c>
      <c r="AA40" s="2">
        <v>100.0</v>
      </c>
      <c r="AB40" s="1" t="s">
        <v>79</v>
      </c>
      <c r="AC40" s="1" t="s">
        <v>71</v>
      </c>
      <c r="AF40" s="1" t="s">
        <v>51</v>
      </c>
      <c r="AG40" s="1" t="s">
        <v>72</v>
      </c>
      <c r="AI40" s="2">
        <v>1.0</v>
      </c>
      <c r="AJ40" s="2">
        <v>1.0</v>
      </c>
      <c r="AK40" s="2">
        <v>1.0</v>
      </c>
      <c r="AL40" s="2">
        <v>0.0</v>
      </c>
      <c r="AM40" s="1" t="s">
        <v>51</v>
      </c>
      <c r="AN40" s="2">
        <v>7.19465454E8</v>
      </c>
      <c r="AP40" s="2">
        <v>4.87674106E8</v>
      </c>
      <c r="AQ40" s="1" t="s">
        <v>139</v>
      </c>
      <c r="AR40" s="2">
        <v>45805.34543981482</v>
      </c>
      <c r="AU40" s="1" t="s">
        <v>64</v>
      </c>
      <c r="AW40" s="1" t="s">
        <v>84</v>
      </c>
      <c r="AY40" s="2">
        <v>34.0</v>
      </c>
    </row>
    <row r="41">
      <c r="A41" s="1" t="s">
        <v>51</v>
      </c>
      <c r="C41" s="1" t="s">
        <v>52</v>
      </c>
      <c r="E41" s="1" t="s">
        <v>53</v>
      </c>
      <c r="F41" s="1" t="s">
        <v>54</v>
      </c>
      <c r="G41" s="2">
        <v>42.0</v>
      </c>
      <c r="H41" s="1" t="s">
        <v>66</v>
      </c>
      <c r="I41" s="1" t="s">
        <v>67</v>
      </c>
      <c r="J41" s="1" t="s">
        <v>86</v>
      </c>
      <c r="K41" s="1" t="s">
        <v>87</v>
      </c>
      <c r="M41" s="1" t="s">
        <v>58</v>
      </c>
      <c r="N41" s="1" t="s">
        <v>58</v>
      </c>
      <c r="O41" s="1" t="s">
        <v>58</v>
      </c>
      <c r="Q41" s="1" t="s">
        <v>69</v>
      </c>
      <c r="R41" s="1" t="s">
        <v>58</v>
      </c>
      <c r="S41" s="1" t="s">
        <v>69</v>
      </c>
      <c r="T41" s="1" t="s">
        <v>69</v>
      </c>
      <c r="U41" s="1" t="s">
        <v>58</v>
      </c>
      <c r="V41" s="1" t="s">
        <v>58</v>
      </c>
      <c r="W41" s="1" t="s">
        <v>69</v>
      </c>
      <c r="X41" s="1" t="s">
        <v>59</v>
      </c>
      <c r="Y41" s="1" t="s">
        <v>95</v>
      </c>
      <c r="Z41" s="1" t="s">
        <v>89</v>
      </c>
      <c r="AA41" s="2">
        <v>50.0</v>
      </c>
      <c r="AB41" s="1" t="s">
        <v>62</v>
      </c>
      <c r="AC41" s="1" t="s">
        <v>51</v>
      </c>
      <c r="AD41" s="1" t="s">
        <v>81</v>
      </c>
      <c r="AE41" s="1" t="s">
        <v>51</v>
      </c>
      <c r="AF41" s="1" t="s">
        <v>51</v>
      </c>
      <c r="AG41" s="1" t="s">
        <v>51</v>
      </c>
      <c r="AH41" s="2">
        <v>4000.0</v>
      </c>
      <c r="AI41" s="2">
        <v>0.0</v>
      </c>
      <c r="AJ41" s="2">
        <v>0.0</v>
      </c>
      <c r="AK41" s="2">
        <v>0.0</v>
      </c>
      <c r="AL41" s="2">
        <v>1.0</v>
      </c>
      <c r="AM41" s="1" t="s">
        <v>51</v>
      </c>
      <c r="AN41" s="2">
        <v>7.18013824E8</v>
      </c>
      <c r="AP41" s="2">
        <v>4.87690832E8</v>
      </c>
      <c r="AQ41" s="1" t="s">
        <v>140</v>
      </c>
      <c r="AR41" s="2">
        <v>45805.363032407404</v>
      </c>
      <c r="AU41" s="1" t="s">
        <v>64</v>
      </c>
      <c r="AW41" s="1" t="s">
        <v>84</v>
      </c>
      <c r="AY41" s="2">
        <v>35.0</v>
      </c>
    </row>
    <row r="42">
      <c r="A42" s="1" t="s">
        <v>51</v>
      </c>
      <c r="C42" s="1" t="s">
        <v>52</v>
      </c>
      <c r="E42" s="1" t="s">
        <v>52</v>
      </c>
      <c r="G42" s="2">
        <v>55.0</v>
      </c>
      <c r="H42" s="1" t="s">
        <v>55</v>
      </c>
      <c r="J42" s="1" t="s">
        <v>86</v>
      </c>
      <c r="K42" s="1" t="s">
        <v>87</v>
      </c>
      <c r="M42" s="1" t="s">
        <v>58</v>
      </c>
      <c r="N42" s="1" t="s">
        <v>58</v>
      </c>
      <c r="O42" s="1" t="s">
        <v>58</v>
      </c>
      <c r="Q42" s="1" t="s">
        <v>69</v>
      </c>
      <c r="R42" s="1" t="s">
        <v>58</v>
      </c>
      <c r="S42" s="1" t="s">
        <v>69</v>
      </c>
      <c r="T42" s="1" t="s">
        <v>69</v>
      </c>
      <c r="U42" s="1" t="s">
        <v>69</v>
      </c>
      <c r="V42" s="1" t="s">
        <v>58</v>
      </c>
      <c r="W42" s="1" t="s">
        <v>69</v>
      </c>
      <c r="X42" s="1" t="s">
        <v>59</v>
      </c>
      <c r="Y42" s="1" t="s">
        <v>95</v>
      </c>
      <c r="Z42" s="1" t="s">
        <v>89</v>
      </c>
      <c r="AA42" s="2">
        <v>100.0</v>
      </c>
      <c r="AB42" s="1" t="s">
        <v>79</v>
      </c>
      <c r="AC42" s="1" t="s">
        <v>51</v>
      </c>
      <c r="AD42" s="1" t="s">
        <v>59</v>
      </c>
      <c r="AE42" s="1" t="s">
        <v>51</v>
      </c>
      <c r="AF42" s="1" t="s">
        <v>51</v>
      </c>
      <c r="AG42" s="1" t="s">
        <v>72</v>
      </c>
      <c r="AI42" s="2">
        <v>0.0</v>
      </c>
      <c r="AJ42" s="2">
        <v>0.0</v>
      </c>
      <c r="AK42" s="2">
        <v>0.0</v>
      </c>
      <c r="AL42" s="2">
        <v>1.0</v>
      </c>
      <c r="AP42" s="2">
        <v>4.8770913E8</v>
      </c>
      <c r="AQ42" s="1" t="s">
        <v>141</v>
      </c>
      <c r="AR42" s="2">
        <v>45805.381689814814</v>
      </c>
      <c r="AU42" s="1" t="s">
        <v>64</v>
      </c>
      <c r="AW42" s="1" t="s">
        <v>84</v>
      </c>
      <c r="AY42" s="2">
        <v>36.0</v>
      </c>
    </row>
    <row r="43">
      <c r="A43" s="1" t="s">
        <v>51</v>
      </c>
      <c r="C43" s="1" t="s">
        <v>53</v>
      </c>
      <c r="E43" s="1" t="s">
        <v>53</v>
      </c>
      <c r="F43" s="1" t="s">
        <v>54</v>
      </c>
      <c r="G43" s="2">
        <v>51.0</v>
      </c>
      <c r="H43" s="1" t="s">
        <v>66</v>
      </c>
      <c r="I43" s="1" t="s">
        <v>121</v>
      </c>
      <c r="J43" s="1" t="s">
        <v>111</v>
      </c>
      <c r="K43" s="1" t="s">
        <v>87</v>
      </c>
      <c r="M43" s="1" t="s">
        <v>58</v>
      </c>
      <c r="N43" s="1" t="s">
        <v>58</v>
      </c>
      <c r="O43" s="1" t="s">
        <v>58</v>
      </c>
      <c r="Q43" s="1" t="s">
        <v>58</v>
      </c>
      <c r="R43" s="1" t="s">
        <v>58</v>
      </c>
      <c r="S43" s="1" t="s">
        <v>58</v>
      </c>
      <c r="T43" s="1" t="s">
        <v>70</v>
      </c>
      <c r="U43" s="1" t="s">
        <v>69</v>
      </c>
      <c r="V43" s="1" t="s">
        <v>69</v>
      </c>
      <c r="W43" s="1" t="s">
        <v>69</v>
      </c>
      <c r="X43" s="1" t="s">
        <v>59</v>
      </c>
      <c r="Y43" s="1" t="s">
        <v>60</v>
      </c>
      <c r="AC43" s="1" t="s">
        <v>51</v>
      </c>
      <c r="AD43" s="1" t="s">
        <v>59</v>
      </c>
      <c r="AE43" s="1" t="s">
        <v>72</v>
      </c>
      <c r="AF43" s="1" t="s">
        <v>72</v>
      </c>
      <c r="AG43" s="1" t="s">
        <v>72</v>
      </c>
      <c r="AI43" s="2">
        <v>0.0</v>
      </c>
      <c r="AJ43" s="2">
        <v>0.0</v>
      </c>
      <c r="AK43" s="2">
        <v>0.0</v>
      </c>
      <c r="AL43" s="2">
        <v>1.0</v>
      </c>
      <c r="AM43" s="1" t="s">
        <v>72</v>
      </c>
      <c r="AP43" s="2">
        <v>4.87711757E8</v>
      </c>
      <c r="AQ43" s="1" t="s">
        <v>142</v>
      </c>
      <c r="AR43" s="2">
        <v>45805.383993055555</v>
      </c>
      <c r="AU43" s="1" t="s">
        <v>64</v>
      </c>
      <c r="AW43" s="1" t="s">
        <v>84</v>
      </c>
      <c r="AY43" s="2">
        <v>37.0</v>
      </c>
    </row>
    <row r="44">
      <c r="A44" s="1" t="s">
        <v>51</v>
      </c>
      <c r="C44" s="1" t="s">
        <v>107</v>
      </c>
      <c r="E44" s="1" t="s">
        <v>53</v>
      </c>
      <c r="F44" s="1" t="s">
        <v>102</v>
      </c>
      <c r="G44" s="2">
        <v>44.0</v>
      </c>
      <c r="H44" s="1" t="s">
        <v>55</v>
      </c>
      <c r="I44" s="1" t="s">
        <v>67</v>
      </c>
      <c r="J44" s="1" t="s">
        <v>111</v>
      </c>
      <c r="K44" s="1" t="s">
        <v>87</v>
      </c>
      <c r="M44" s="1" t="s">
        <v>58</v>
      </c>
      <c r="N44" s="1" t="s">
        <v>58</v>
      </c>
      <c r="O44" s="1" t="s">
        <v>69</v>
      </c>
      <c r="Q44" s="1" t="s">
        <v>58</v>
      </c>
      <c r="R44" s="1" t="s">
        <v>70</v>
      </c>
      <c r="S44" s="1" t="s">
        <v>69</v>
      </c>
      <c r="T44" s="1" t="s">
        <v>69</v>
      </c>
      <c r="U44" s="1" t="s">
        <v>69</v>
      </c>
      <c r="V44" s="1" t="s">
        <v>58</v>
      </c>
      <c r="W44" s="1" t="s">
        <v>69</v>
      </c>
      <c r="X44" s="1" t="s">
        <v>88</v>
      </c>
      <c r="Y44" s="1" t="s">
        <v>82</v>
      </c>
      <c r="Z44" s="1" t="s">
        <v>61</v>
      </c>
      <c r="AA44" s="2">
        <v>100.0</v>
      </c>
      <c r="AB44" s="1" t="s">
        <v>79</v>
      </c>
      <c r="AC44" s="1" t="s">
        <v>51</v>
      </c>
      <c r="AD44" s="1" t="s">
        <v>59</v>
      </c>
      <c r="AE44" s="1" t="s">
        <v>51</v>
      </c>
      <c r="AF44" s="1" t="s">
        <v>51</v>
      </c>
      <c r="AG44" s="1" t="s">
        <v>72</v>
      </c>
      <c r="AI44" s="2">
        <v>0.0</v>
      </c>
      <c r="AJ44" s="2">
        <v>0.0</v>
      </c>
      <c r="AK44" s="2">
        <v>1.0</v>
      </c>
      <c r="AL44" s="2">
        <v>0.0</v>
      </c>
      <c r="AM44" s="1" t="s">
        <v>51</v>
      </c>
      <c r="AN44" s="2">
        <v>7.24087235E8</v>
      </c>
      <c r="AP44" s="2">
        <v>4.87711791E8</v>
      </c>
      <c r="AQ44" s="1" t="s">
        <v>143</v>
      </c>
      <c r="AR44" s="2">
        <v>45805.3840162037</v>
      </c>
      <c r="AU44" s="1" t="s">
        <v>64</v>
      </c>
      <c r="AW44" s="1" t="s">
        <v>84</v>
      </c>
      <c r="AY44" s="2">
        <v>38.0</v>
      </c>
    </row>
    <row r="45">
      <c r="A45" s="1" t="s">
        <v>51</v>
      </c>
      <c r="C45" s="1" t="s">
        <v>52</v>
      </c>
      <c r="E45" s="1" t="s">
        <v>53</v>
      </c>
      <c r="F45" s="1" t="s">
        <v>85</v>
      </c>
      <c r="G45" s="2">
        <v>43.0</v>
      </c>
      <c r="H45" s="1" t="s">
        <v>55</v>
      </c>
      <c r="I45" s="1" t="s">
        <v>67</v>
      </c>
      <c r="J45" s="1" t="s">
        <v>86</v>
      </c>
      <c r="K45" s="1" t="s">
        <v>87</v>
      </c>
      <c r="M45" s="1" t="s">
        <v>58</v>
      </c>
      <c r="N45" s="1" t="s">
        <v>58</v>
      </c>
      <c r="O45" s="1" t="s">
        <v>69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69</v>
      </c>
      <c r="X45" s="1" t="s">
        <v>59</v>
      </c>
      <c r="Y45" s="1" t="s">
        <v>95</v>
      </c>
      <c r="Z45" s="1" t="s">
        <v>89</v>
      </c>
      <c r="AA45" s="2">
        <v>30.0</v>
      </c>
      <c r="AB45" s="1" t="s">
        <v>62</v>
      </c>
      <c r="AC45" s="1" t="s">
        <v>71</v>
      </c>
      <c r="AF45" s="1" t="s">
        <v>51</v>
      </c>
      <c r="AG45" s="1" t="s">
        <v>72</v>
      </c>
      <c r="AI45" s="2">
        <v>0.0</v>
      </c>
      <c r="AJ45" s="2">
        <v>0.0</v>
      </c>
      <c r="AK45" s="2">
        <v>0.0</v>
      </c>
      <c r="AL45" s="2">
        <v>1.0</v>
      </c>
      <c r="AM45" s="1" t="s">
        <v>72</v>
      </c>
      <c r="AP45" s="2">
        <v>4.8771705E8</v>
      </c>
      <c r="AQ45" s="1" t="s">
        <v>144</v>
      </c>
      <c r="AR45" s="2">
        <v>45805.3884837963</v>
      </c>
      <c r="AU45" s="1" t="s">
        <v>64</v>
      </c>
      <c r="AW45" s="1" t="s">
        <v>84</v>
      </c>
      <c r="AY45" s="2">
        <v>39.0</v>
      </c>
    </row>
    <row r="46">
      <c r="A46" s="1" t="s">
        <v>51</v>
      </c>
      <c r="C46" s="1" t="s">
        <v>53</v>
      </c>
      <c r="E46" s="1" t="s">
        <v>53</v>
      </c>
      <c r="F46" s="1" t="s">
        <v>102</v>
      </c>
      <c r="G46" s="2">
        <v>39.0</v>
      </c>
      <c r="H46" s="1" t="s">
        <v>55</v>
      </c>
      <c r="I46" s="1" t="s">
        <v>121</v>
      </c>
      <c r="J46" s="1" t="s">
        <v>56</v>
      </c>
      <c r="K46" s="1" t="s">
        <v>87</v>
      </c>
      <c r="M46" s="1" t="s">
        <v>58</v>
      </c>
      <c r="N46" s="1" t="s">
        <v>58</v>
      </c>
      <c r="O46" s="1" t="s">
        <v>58</v>
      </c>
      <c r="Q46" s="1" t="s">
        <v>58</v>
      </c>
      <c r="R46" s="1" t="s">
        <v>58</v>
      </c>
      <c r="S46" s="1" t="s">
        <v>69</v>
      </c>
      <c r="T46" s="1" t="s">
        <v>69</v>
      </c>
      <c r="U46" s="1" t="s">
        <v>58</v>
      </c>
      <c r="V46" s="1" t="s">
        <v>69</v>
      </c>
      <c r="W46" s="1" t="s">
        <v>69</v>
      </c>
      <c r="X46" s="1" t="s">
        <v>81</v>
      </c>
      <c r="Y46" s="1" t="s">
        <v>60</v>
      </c>
      <c r="Z46" s="1" t="s">
        <v>61</v>
      </c>
      <c r="AA46" s="2">
        <v>100.0</v>
      </c>
      <c r="AB46" s="1" t="s">
        <v>79</v>
      </c>
      <c r="AC46" s="1" t="s">
        <v>72</v>
      </c>
      <c r="AF46" s="1" t="s">
        <v>51</v>
      </c>
      <c r="AG46" s="1" t="s">
        <v>72</v>
      </c>
      <c r="AI46" s="2">
        <v>0.0</v>
      </c>
      <c r="AJ46" s="2">
        <v>1.0</v>
      </c>
      <c r="AK46" s="2">
        <v>0.0</v>
      </c>
      <c r="AL46" s="2">
        <v>0.0</v>
      </c>
      <c r="AM46" s="1" t="s">
        <v>51</v>
      </c>
      <c r="AP46" s="2">
        <v>4.87749469E8</v>
      </c>
      <c r="AQ46" s="1" t="s">
        <v>145</v>
      </c>
      <c r="AR46" s="2">
        <v>45805.421898148146</v>
      </c>
      <c r="AU46" s="1" t="s">
        <v>64</v>
      </c>
      <c r="AW46" s="1" t="s">
        <v>84</v>
      </c>
      <c r="AY46" s="2">
        <v>40.0</v>
      </c>
    </row>
    <row r="47">
      <c r="A47" s="1" t="s">
        <v>51</v>
      </c>
      <c r="C47" s="1" t="s">
        <v>52</v>
      </c>
      <c r="E47" s="1" t="s">
        <v>53</v>
      </c>
      <c r="F47" s="1" t="s">
        <v>94</v>
      </c>
      <c r="G47" s="2">
        <v>42.0</v>
      </c>
      <c r="H47" s="1" t="s">
        <v>66</v>
      </c>
      <c r="I47" s="1" t="s">
        <v>67</v>
      </c>
      <c r="J47" s="1" t="s">
        <v>56</v>
      </c>
      <c r="K47" s="1" t="s">
        <v>87</v>
      </c>
      <c r="M47" s="1" t="s">
        <v>58</v>
      </c>
      <c r="N47" s="1" t="s">
        <v>58</v>
      </c>
      <c r="O47" s="1" t="s">
        <v>69</v>
      </c>
      <c r="Q47" s="1" t="s">
        <v>69</v>
      </c>
      <c r="R47" s="1" t="s">
        <v>69</v>
      </c>
      <c r="S47" s="1" t="s">
        <v>70</v>
      </c>
      <c r="T47" s="1" t="s">
        <v>69</v>
      </c>
      <c r="U47" s="1" t="s">
        <v>58</v>
      </c>
      <c r="V47" s="1" t="s">
        <v>58</v>
      </c>
      <c r="W47" s="1" t="s">
        <v>69</v>
      </c>
      <c r="X47" s="1" t="s">
        <v>59</v>
      </c>
      <c r="Y47" s="1" t="s">
        <v>60</v>
      </c>
      <c r="Z47" s="1" t="s">
        <v>89</v>
      </c>
      <c r="AA47" s="2">
        <v>100.0</v>
      </c>
      <c r="AB47" s="1" t="s">
        <v>62</v>
      </c>
      <c r="AC47" s="1" t="s">
        <v>71</v>
      </c>
      <c r="AF47" s="1" t="s">
        <v>51</v>
      </c>
      <c r="AG47" s="1" t="s">
        <v>51</v>
      </c>
      <c r="AH47" s="2">
        <v>50.0</v>
      </c>
      <c r="AI47" s="2">
        <v>1.0</v>
      </c>
      <c r="AJ47" s="2">
        <v>0.0</v>
      </c>
      <c r="AK47" s="2">
        <v>1.0</v>
      </c>
      <c r="AL47" s="2">
        <v>0.0</v>
      </c>
      <c r="AM47" s="1" t="s">
        <v>72</v>
      </c>
      <c r="AP47" s="2">
        <v>4.87750454E8</v>
      </c>
      <c r="AQ47" s="1" t="s">
        <v>146</v>
      </c>
      <c r="AR47" s="2">
        <v>45805.42289351852</v>
      </c>
      <c r="AU47" s="1" t="s">
        <v>64</v>
      </c>
      <c r="AW47" s="1" t="s">
        <v>84</v>
      </c>
      <c r="AY47" s="2">
        <v>41.0</v>
      </c>
    </row>
    <row r="48">
      <c r="A48" s="1" t="s">
        <v>51</v>
      </c>
      <c r="C48" s="1" t="s">
        <v>53</v>
      </c>
      <c r="E48" s="1" t="s">
        <v>53</v>
      </c>
      <c r="F48" s="1" t="s">
        <v>54</v>
      </c>
      <c r="G48" s="2">
        <v>55.0</v>
      </c>
      <c r="H48" s="1" t="s">
        <v>66</v>
      </c>
      <c r="I48" s="1" t="s">
        <v>121</v>
      </c>
      <c r="J48" s="1" t="s">
        <v>56</v>
      </c>
      <c r="K48" s="1" t="s">
        <v>87</v>
      </c>
      <c r="M48" s="1" t="s">
        <v>58</v>
      </c>
      <c r="N48" s="1" t="s">
        <v>58</v>
      </c>
      <c r="O48" s="1" t="s">
        <v>58</v>
      </c>
      <c r="Q48" s="1" t="s">
        <v>70</v>
      </c>
      <c r="R48" s="1" t="s">
        <v>58</v>
      </c>
      <c r="S48" s="1" t="s">
        <v>58</v>
      </c>
      <c r="T48" s="1" t="s">
        <v>69</v>
      </c>
      <c r="U48" s="1" t="s">
        <v>70</v>
      </c>
      <c r="V48" s="1" t="s">
        <v>58</v>
      </c>
      <c r="W48" s="1" t="s">
        <v>69</v>
      </c>
      <c r="X48" s="1" t="s">
        <v>59</v>
      </c>
      <c r="Y48" s="1" t="s">
        <v>60</v>
      </c>
      <c r="Z48" s="1" t="s">
        <v>89</v>
      </c>
      <c r="AA48" s="2">
        <v>40.0</v>
      </c>
      <c r="AB48" s="1" t="s">
        <v>79</v>
      </c>
      <c r="AC48" s="1" t="s">
        <v>71</v>
      </c>
      <c r="AF48" s="1" t="s">
        <v>51</v>
      </c>
      <c r="AG48" s="1" t="s">
        <v>72</v>
      </c>
      <c r="AI48" s="2">
        <v>0.0</v>
      </c>
      <c r="AJ48" s="2">
        <v>0.0</v>
      </c>
      <c r="AK48" s="2">
        <v>0.0</v>
      </c>
      <c r="AL48" s="2">
        <v>1.0</v>
      </c>
      <c r="AM48" s="1" t="s">
        <v>51</v>
      </c>
      <c r="AN48" s="2">
        <v>8.27701274E8</v>
      </c>
      <c r="AP48" s="2">
        <v>4.87757298E8</v>
      </c>
      <c r="AQ48" s="1" t="s">
        <v>147</v>
      </c>
      <c r="AR48" s="2">
        <v>45805.43035879629</v>
      </c>
      <c r="AU48" s="1" t="s">
        <v>64</v>
      </c>
      <c r="AW48" s="1" t="s">
        <v>84</v>
      </c>
      <c r="AY48" s="2">
        <v>42.0</v>
      </c>
    </row>
    <row r="49">
      <c r="A49" s="1" t="s">
        <v>51</v>
      </c>
      <c r="C49" s="1" t="s">
        <v>52</v>
      </c>
      <c r="E49" s="1" t="s">
        <v>53</v>
      </c>
      <c r="F49" s="1" t="s">
        <v>85</v>
      </c>
      <c r="G49" s="2">
        <v>42.0</v>
      </c>
      <c r="H49" s="1" t="s">
        <v>55</v>
      </c>
      <c r="I49" s="1" t="s">
        <v>67</v>
      </c>
      <c r="J49" s="1" t="s">
        <v>86</v>
      </c>
      <c r="K49" s="1" t="s">
        <v>87</v>
      </c>
      <c r="M49" s="1" t="s">
        <v>69</v>
      </c>
      <c r="N49" s="1" t="s">
        <v>69</v>
      </c>
      <c r="O49" s="1" t="s">
        <v>69</v>
      </c>
      <c r="Q49" s="1" t="s">
        <v>69</v>
      </c>
      <c r="R49" s="1" t="s">
        <v>58</v>
      </c>
      <c r="S49" s="1" t="s">
        <v>58</v>
      </c>
      <c r="T49" s="1" t="s">
        <v>69</v>
      </c>
      <c r="U49" s="1" t="s">
        <v>58</v>
      </c>
      <c r="V49" s="1" t="s">
        <v>58</v>
      </c>
      <c r="W49" s="1" t="s">
        <v>69</v>
      </c>
      <c r="X49" s="1" t="s">
        <v>81</v>
      </c>
      <c r="Y49" s="1" t="s">
        <v>60</v>
      </c>
      <c r="Z49" s="1" t="s">
        <v>61</v>
      </c>
      <c r="AA49" s="2">
        <v>50.0</v>
      </c>
      <c r="AB49" s="1" t="s">
        <v>62</v>
      </c>
      <c r="AC49" s="1" t="s">
        <v>71</v>
      </c>
      <c r="AF49" s="1" t="s">
        <v>51</v>
      </c>
      <c r="AG49" s="1" t="s">
        <v>72</v>
      </c>
      <c r="AI49" s="2">
        <v>1.0</v>
      </c>
      <c r="AJ49" s="2">
        <v>0.0</v>
      </c>
      <c r="AK49" s="2">
        <v>0.0</v>
      </c>
      <c r="AL49" s="2">
        <v>0.0</v>
      </c>
      <c r="AM49" s="1" t="s">
        <v>72</v>
      </c>
      <c r="AP49" s="2">
        <v>4.87766407E8</v>
      </c>
      <c r="AQ49" s="1" t="s">
        <v>148</v>
      </c>
      <c r="AR49" s="2">
        <v>45805.43989583333</v>
      </c>
      <c r="AU49" s="1" t="s">
        <v>64</v>
      </c>
      <c r="AW49" s="1" t="s">
        <v>84</v>
      </c>
      <c r="AY49" s="2">
        <v>43.0</v>
      </c>
    </row>
    <row r="50">
      <c r="A50" s="1" t="s">
        <v>51</v>
      </c>
      <c r="C50" s="1" t="s">
        <v>52</v>
      </c>
      <c r="E50" s="1" t="s">
        <v>53</v>
      </c>
      <c r="F50" s="1" t="s">
        <v>149</v>
      </c>
      <c r="G50" s="2">
        <v>46.0</v>
      </c>
      <c r="H50" s="1" t="s">
        <v>55</v>
      </c>
      <c r="I50" s="1" t="s">
        <v>67</v>
      </c>
      <c r="J50" s="1" t="s">
        <v>86</v>
      </c>
      <c r="K50" s="1" t="s">
        <v>87</v>
      </c>
      <c r="M50" s="1" t="s">
        <v>58</v>
      </c>
      <c r="N50" s="1" t="s">
        <v>58</v>
      </c>
      <c r="O50" s="1" t="s">
        <v>58</v>
      </c>
      <c r="Q50" s="1" t="s">
        <v>69</v>
      </c>
      <c r="R50" s="1" t="s">
        <v>58</v>
      </c>
      <c r="S50" s="1" t="s">
        <v>69</v>
      </c>
      <c r="T50" s="1" t="s">
        <v>69</v>
      </c>
      <c r="U50" s="1" t="s">
        <v>58</v>
      </c>
      <c r="V50" s="1" t="s">
        <v>58</v>
      </c>
      <c r="W50" s="1" t="s">
        <v>69</v>
      </c>
      <c r="X50" s="1" t="s">
        <v>88</v>
      </c>
      <c r="Y50" s="1" t="s">
        <v>95</v>
      </c>
      <c r="Z50" s="1" t="s">
        <v>89</v>
      </c>
      <c r="AA50" s="2">
        <v>100.0</v>
      </c>
      <c r="AB50" s="1" t="s">
        <v>28</v>
      </c>
      <c r="AC50" s="1" t="s">
        <v>71</v>
      </c>
      <c r="AF50" s="1" t="s">
        <v>51</v>
      </c>
      <c r="AG50" s="1" t="s">
        <v>72</v>
      </c>
      <c r="AI50" s="2">
        <v>0.0</v>
      </c>
      <c r="AJ50" s="2">
        <v>0.0</v>
      </c>
      <c r="AK50" s="2">
        <v>1.0</v>
      </c>
      <c r="AL50" s="2">
        <v>0.0</v>
      </c>
      <c r="AM50" s="1" t="s">
        <v>72</v>
      </c>
      <c r="AP50" s="2">
        <v>4.87788797E8</v>
      </c>
      <c r="AQ50" s="1" t="s">
        <v>150</v>
      </c>
      <c r="AR50" s="2">
        <v>45805.46019675926</v>
      </c>
      <c r="AU50" s="1" t="s">
        <v>64</v>
      </c>
      <c r="AW50" s="1" t="s">
        <v>84</v>
      </c>
      <c r="AY50" s="2">
        <v>44.0</v>
      </c>
    </row>
    <row r="51">
      <c r="A51" s="1" t="s">
        <v>51</v>
      </c>
      <c r="C51" s="1" t="s">
        <v>151</v>
      </c>
      <c r="E51" s="1" t="s">
        <v>53</v>
      </c>
      <c r="F51" s="1" t="s">
        <v>54</v>
      </c>
      <c r="G51" s="2">
        <v>43.0</v>
      </c>
      <c r="H51" s="1" t="s">
        <v>55</v>
      </c>
      <c r="I51" s="1" t="s">
        <v>67</v>
      </c>
      <c r="J51" s="1" t="s">
        <v>56</v>
      </c>
      <c r="K51" s="1" t="s">
        <v>78</v>
      </c>
      <c r="M51" s="1" t="s">
        <v>58</v>
      </c>
      <c r="N51" s="1" t="s">
        <v>58</v>
      </c>
      <c r="O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81</v>
      </c>
      <c r="Y51" s="1" t="s">
        <v>82</v>
      </c>
      <c r="Z51" s="1" t="s">
        <v>89</v>
      </c>
      <c r="AA51" s="2">
        <v>50.0</v>
      </c>
      <c r="AB51" s="1" t="s">
        <v>79</v>
      </c>
      <c r="AC51" s="1" t="s">
        <v>71</v>
      </c>
      <c r="AF51" s="1" t="s">
        <v>51</v>
      </c>
      <c r="AG51" s="1" t="s">
        <v>51</v>
      </c>
      <c r="AH51" s="2">
        <v>40.0</v>
      </c>
      <c r="AI51" s="2">
        <v>0.0</v>
      </c>
      <c r="AJ51" s="2">
        <v>0.0</v>
      </c>
      <c r="AK51" s="2">
        <v>0.0</v>
      </c>
      <c r="AL51" s="2">
        <v>1.0</v>
      </c>
      <c r="AM51" s="1" t="s">
        <v>51</v>
      </c>
      <c r="AN51" s="2">
        <v>8.39756269E8</v>
      </c>
      <c r="AP51" s="2">
        <v>4.87797842E8</v>
      </c>
      <c r="AQ51" s="1" t="s">
        <v>152</v>
      </c>
      <c r="AR51" s="2">
        <v>45805.46944444445</v>
      </c>
      <c r="AU51" s="1" t="s">
        <v>64</v>
      </c>
      <c r="AW51" s="1" t="s">
        <v>84</v>
      </c>
      <c r="AY51" s="2">
        <v>45.0</v>
      </c>
    </row>
    <row r="52">
      <c r="A52" s="1" t="s">
        <v>51</v>
      </c>
      <c r="C52" s="1" t="s">
        <v>118</v>
      </c>
      <c r="E52" s="1" t="s">
        <v>53</v>
      </c>
      <c r="F52" s="1" t="s">
        <v>85</v>
      </c>
      <c r="G52" s="2">
        <v>39.0</v>
      </c>
      <c r="H52" s="1" t="s">
        <v>55</v>
      </c>
      <c r="I52" s="1" t="s">
        <v>67</v>
      </c>
      <c r="J52" s="1" t="s">
        <v>86</v>
      </c>
      <c r="K52" s="1" t="s">
        <v>87</v>
      </c>
      <c r="M52" s="1" t="s">
        <v>58</v>
      </c>
      <c r="N52" s="1" t="s">
        <v>58</v>
      </c>
      <c r="O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58</v>
      </c>
      <c r="W52" s="1" t="s">
        <v>69</v>
      </c>
      <c r="X52" s="1" t="s">
        <v>88</v>
      </c>
      <c r="Y52" s="1" t="s">
        <v>95</v>
      </c>
      <c r="Z52" s="1" t="s">
        <v>89</v>
      </c>
      <c r="AA52" s="2">
        <v>100.0</v>
      </c>
      <c r="AB52" s="1" t="s">
        <v>62</v>
      </c>
      <c r="AC52" s="1" t="s">
        <v>71</v>
      </c>
      <c r="AF52" s="1" t="s">
        <v>51</v>
      </c>
      <c r="AG52" s="1" t="s">
        <v>72</v>
      </c>
      <c r="AI52" s="2">
        <v>0.0</v>
      </c>
      <c r="AJ52" s="2">
        <v>0.0</v>
      </c>
      <c r="AK52" s="2">
        <v>0.0</v>
      </c>
      <c r="AL52" s="2">
        <v>1.0</v>
      </c>
      <c r="AM52" s="1" t="s">
        <v>72</v>
      </c>
      <c r="AP52" s="2">
        <v>4.87805968E8</v>
      </c>
      <c r="AQ52" s="1" t="s">
        <v>153</v>
      </c>
      <c r="AR52" s="2">
        <v>45805.47703703704</v>
      </c>
      <c r="AU52" s="1" t="s">
        <v>64</v>
      </c>
      <c r="AW52" s="1" t="s">
        <v>84</v>
      </c>
      <c r="AY52" s="2">
        <v>46.0</v>
      </c>
    </row>
    <row r="53">
      <c r="A53" s="1" t="s">
        <v>51</v>
      </c>
      <c r="C53" s="1" t="s">
        <v>52</v>
      </c>
      <c r="E53" s="1" t="s">
        <v>154</v>
      </c>
      <c r="G53" s="2">
        <v>45.0</v>
      </c>
      <c r="H53" s="1" t="s">
        <v>66</v>
      </c>
      <c r="J53" s="1" t="s">
        <v>86</v>
      </c>
      <c r="K53" s="1" t="s">
        <v>87</v>
      </c>
      <c r="M53" s="1" t="s">
        <v>69</v>
      </c>
      <c r="N53" s="1" t="s">
        <v>58</v>
      </c>
      <c r="O53" s="1" t="s">
        <v>69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69</v>
      </c>
      <c r="X53" s="1" t="s">
        <v>59</v>
      </c>
      <c r="Y53" s="1" t="s">
        <v>60</v>
      </c>
      <c r="Z53" s="1" t="s">
        <v>127</v>
      </c>
      <c r="AA53" s="2">
        <v>100.0</v>
      </c>
      <c r="AB53" s="1" t="s">
        <v>28</v>
      </c>
      <c r="AC53" s="1" t="s">
        <v>51</v>
      </c>
      <c r="AD53" s="1" t="s">
        <v>59</v>
      </c>
      <c r="AE53" s="1" t="s">
        <v>51</v>
      </c>
      <c r="AF53" s="1" t="s">
        <v>51</v>
      </c>
      <c r="AG53" s="1" t="s">
        <v>51</v>
      </c>
      <c r="AH53" s="2">
        <v>200.0</v>
      </c>
      <c r="AI53" s="2">
        <v>0.0</v>
      </c>
      <c r="AJ53" s="2">
        <v>0.0</v>
      </c>
      <c r="AK53" s="2">
        <v>0.0</v>
      </c>
      <c r="AL53" s="2">
        <v>1.0</v>
      </c>
      <c r="AP53" s="2">
        <v>4.87813566E8</v>
      </c>
      <c r="AQ53" s="1" t="s">
        <v>155</v>
      </c>
      <c r="AR53" s="2">
        <v>45805.48422453704</v>
      </c>
      <c r="AU53" s="1" t="s">
        <v>64</v>
      </c>
      <c r="AW53" s="1" t="s">
        <v>84</v>
      </c>
      <c r="AY53" s="2">
        <v>47.0</v>
      </c>
    </row>
    <row r="54">
      <c r="A54" s="1" t="s">
        <v>51</v>
      </c>
      <c r="C54" s="1" t="s">
        <v>52</v>
      </c>
      <c r="E54" s="1" t="s">
        <v>154</v>
      </c>
      <c r="G54" s="2">
        <v>55.0</v>
      </c>
      <c r="H54" s="1" t="s">
        <v>66</v>
      </c>
      <c r="J54" s="1" t="s">
        <v>86</v>
      </c>
      <c r="K54" s="1" t="s">
        <v>87</v>
      </c>
      <c r="M54" s="1" t="s">
        <v>58</v>
      </c>
      <c r="N54" s="1" t="s">
        <v>58</v>
      </c>
      <c r="O54" s="1" t="s">
        <v>58</v>
      </c>
      <c r="Q54" s="1" t="s">
        <v>58</v>
      </c>
      <c r="R54" s="1" t="s">
        <v>58</v>
      </c>
      <c r="S54" s="1" t="s">
        <v>69</v>
      </c>
      <c r="T54" s="1" t="s">
        <v>70</v>
      </c>
      <c r="U54" s="1" t="s">
        <v>70</v>
      </c>
      <c r="V54" s="1" t="s">
        <v>58</v>
      </c>
      <c r="W54" s="1" t="s">
        <v>70</v>
      </c>
      <c r="X54" s="1" t="s">
        <v>81</v>
      </c>
      <c r="Y54" s="1" t="s">
        <v>95</v>
      </c>
      <c r="Z54" s="1" t="s">
        <v>96</v>
      </c>
      <c r="AA54" s="2">
        <v>100.0</v>
      </c>
      <c r="AB54" s="1" t="s">
        <v>62</v>
      </c>
      <c r="AC54" s="1" t="s">
        <v>71</v>
      </c>
      <c r="AF54" s="1" t="s">
        <v>51</v>
      </c>
      <c r="AG54" s="1" t="s">
        <v>51</v>
      </c>
      <c r="AP54" s="2">
        <v>4.878188E8</v>
      </c>
      <c r="AQ54" s="1" t="s">
        <v>156</v>
      </c>
      <c r="AR54" s="2">
        <v>45805.48887731481</v>
      </c>
      <c r="AU54" s="1" t="s">
        <v>64</v>
      </c>
      <c r="AW54" s="1" t="s">
        <v>84</v>
      </c>
      <c r="AY54" s="2">
        <v>48.0</v>
      </c>
    </row>
    <row r="55">
      <c r="A55" s="1" t="s">
        <v>51</v>
      </c>
      <c r="C55" s="1" t="s">
        <v>52</v>
      </c>
      <c r="E55" s="1" t="s">
        <v>154</v>
      </c>
      <c r="G55" s="2">
        <v>47.0</v>
      </c>
      <c r="H55" s="1" t="s">
        <v>55</v>
      </c>
      <c r="J55" s="1" t="s">
        <v>86</v>
      </c>
      <c r="K55" s="1" t="s">
        <v>87</v>
      </c>
      <c r="M55" s="1" t="s">
        <v>58</v>
      </c>
      <c r="N55" s="1" t="s">
        <v>58</v>
      </c>
      <c r="O55" s="1" t="s">
        <v>58</v>
      </c>
      <c r="Q55" s="1" t="s">
        <v>69</v>
      </c>
      <c r="R55" s="1" t="s">
        <v>58</v>
      </c>
      <c r="S55" s="1" t="s">
        <v>69</v>
      </c>
      <c r="T55" s="1" t="s">
        <v>69</v>
      </c>
      <c r="U55" s="1" t="s">
        <v>58</v>
      </c>
      <c r="V55" s="1" t="s">
        <v>58</v>
      </c>
      <c r="W55" s="1" t="s">
        <v>69</v>
      </c>
      <c r="X55" s="1" t="s">
        <v>88</v>
      </c>
      <c r="Y55" s="1" t="s">
        <v>95</v>
      </c>
      <c r="Z55" s="1" t="s">
        <v>89</v>
      </c>
      <c r="AA55" s="2">
        <v>100.0</v>
      </c>
      <c r="AB55" s="1" t="s">
        <v>62</v>
      </c>
      <c r="AC55" s="1" t="s">
        <v>51</v>
      </c>
      <c r="AD55" s="1" t="s">
        <v>88</v>
      </c>
      <c r="AE55" s="1" t="s">
        <v>51</v>
      </c>
      <c r="AF55" s="1" t="s">
        <v>51</v>
      </c>
      <c r="AG55" s="1" t="s">
        <v>51</v>
      </c>
      <c r="AH55" s="2">
        <v>30.0</v>
      </c>
      <c r="AI55" s="2">
        <v>0.0</v>
      </c>
      <c r="AJ55" s="2">
        <v>0.0</v>
      </c>
      <c r="AK55" s="2">
        <v>0.0</v>
      </c>
      <c r="AL55" s="2">
        <v>1.0</v>
      </c>
      <c r="AP55" s="2">
        <v>4.87826428E8</v>
      </c>
      <c r="AQ55" s="1" t="s">
        <v>157</v>
      </c>
      <c r="AR55" s="2">
        <v>45805.496099537035</v>
      </c>
      <c r="AU55" s="1" t="s">
        <v>64</v>
      </c>
      <c r="AW55" s="1" t="s">
        <v>84</v>
      </c>
      <c r="AY55" s="2">
        <v>49.0</v>
      </c>
    </row>
    <row r="56">
      <c r="A56" s="1" t="s">
        <v>51</v>
      </c>
      <c r="C56" s="1" t="s">
        <v>53</v>
      </c>
      <c r="E56" s="1" t="s">
        <v>53</v>
      </c>
      <c r="F56" s="1" t="s">
        <v>158</v>
      </c>
      <c r="G56" s="2">
        <v>45.0</v>
      </c>
      <c r="H56" s="1" t="s">
        <v>66</v>
      </c>
      <c r="I56" s="1" t="s">
        <v>121</v>
      </c>
      <c r="J56" s="1" t="s">
        <v>86</v>
      </c>
      <c r="K56" s="1" t="s">
        <v>87</v>
      </c>
      <c r="M56" s="1" t="s">
        <v>58</v>
      </c>
      <c r="N56" s="1" t="s">
        <v>58</v>
      </c>
      <c r="O56" s="1" t="s">
        <v>70</v>
      </c>
      <c r="Q56" s="1" t="s">
        <v>58</v>
      </c>
      <c r="R56" s="1" t="s">
        <v>58</v>
      </c>
      <c r="S56" s="1" t="s">
        <v>58</v>
      </c>
      <c r="T56" s="1" t="s">
        <v>69</v>
      </c>
      <c r="U56" s="1" t="s">
        <v>70</v>
      </c>
      <c r="V56" s="1" t="s">
        <v>69</v>
      </c>
      <c r="W56" s="1" t="s">
        <v>69</v>
      </c>
      <c r="X56" s="1" t="s">
        <v>59</v>
      </c>
      <c r="Y56" s="1" t="s">
        <v>82</v>
      </c>
      <c r="Z56" s="1" t="s">
        <v>89</v>
      </c>
      <c r="AA56" s="2">
        <v>10.0</v>
      </c>
      <c r="AB56" s="1" t="s">
        <v>79</v>
      </c>
      <c r="AC56" s="1" t="s">
        <v>71</v>
      </c>
      <c r="AF56" s="1" t="s">
        <v>51</v>
      </c>
      <c r="AG56" s="1" t="s">
        <v>51</v>
      </c>
      <c r="AH56" s="2">
        <v>250.0</v>
      </c>
      <c r="AI56" s="2">
        <v>0.0</v>
      </c>
      <c r="AJ56" s="2">
        <v>0.0</v>
      </c>
      <c r="AK56" s="2">
        <v>0.0</v>
      </c>
      <c r="AL56" s="2">
        <v>1.0</v>
      </c>
      <c r="AM56" s="1" t="s">
        <v>72</v>
      </c>
      <c r="AP56" s="2">
        <v>4.87873583E8</v>
      </c>
      <c r="AQ56" s="1" t="s">
        <v>159</v>
      </c>
      <c r="AR56" s="2">
        <v>45805.533530092594</v>
      </c>
      <c r="AU56" s="1" t="s">
        <v>64</v>
      </c>
      <c r="AW56" s="1" t="s">
        <v>84</v>
      </c>
      <c r="AY56" s="2">
        <v>50.0</v>
      </c>
    </row>
    <row r="57">
      <c r="A57" s="1" t="s">
        <v>51</v>
      </c>
      <c r="C57" s="1" t="s">
        <v>52</v>
      </c>
      <c r="E57" s="1" t="s">
        <v>105</v>
      </c>
      <c r="G57" s="2">
        <v>44.0</v>
      </c>
      <c r="H57" s="1" t="s">
        <v>66</v>
      </c>
      <c r="J57" s="1" t="s">
        <v>86</v>
      </c>
      <c r="K57" s="1" t="s">
        <v>87</v>
      </c>
      <c r="M57" s="1" t="s">
        <v>58</v>
      </c>
      <c r="N57" s="1" t="s">
        <v>58</v>
      </c>
      <c r="O57" s="1" t="s">
        <v>69</v>
      </c>
      <c r="Q57" s="1" t="s">
        <v>58</v>
      </c>
      <c r="R57" s="1" t="s">
        <v>58</v>
      </c>
      <c r="S57" s="1" t="s">
        <v>69</v>
      </c>
      <c r="T57" s="1" t="s">
        <v>70</v>
      </c>
      <c r="U57" s="1" t="s">
        <v>70</v>
      </c>
      <c r="V57" s="1" t="s">
        <v>70</v>
      </c>
      <c r="W57" s="1" t="s">
        <v>69</v>
      </c>
      <c r="X57" s="1" t="s">
        <v>81</v>
      </c>
      <c r="Y57" s="1" t="s">
        <v>95</v>
      </c>
      <c r="Z57" s="1" t="s">
        <v>89</v>
      </c>
      <c r="AA57" s="2">
        <v>100.0</v>
      </c>
      <c r="AB57" s="1" t="s">
        <v>62</v>
      </c>
      <c r="AC57" s="1" t="s">
        <v>71</v>
      </c>
      <c r="AF57" s="1" t="s">
        <v>51</v>
      </c>
      <c r="AG57" s="1" t="s">
        <v>72</v>
      </c>
      <c r="AI57" s="2">
        <v>0.0</v>
      </c>
      <c r="AJ57" s="2">
        <v>0.0</v>
      </c>
      <c r="AK57" s="2">
        <v>0.0</v>
      </c>
      <c r="AL57" s="2">
        <v>1.0</v>
      </c>
      <c r="AP57" s="2">
        <v>4.87902328E8</v>
      </c>
      <c r="AQ57" s="1" t="s">
        <v>160</v>
      </c>
      <c r="AR57" s="2">
        <v>45805.5534375</v>
      </c>
      <c r="AU57" s="1" t="s">
        <v>64</v>
      </c>
      <c r="AW57" s="1" t="s">
        <v>84</v>
      </c>
      <c r="AY57" s="2">
        <v>51.0</v>
      </c>
    </row>
    <row r="58">
      <c r="A58" s="1" t="s">
        <v>51</v>
      </c>
      <c r="C58" s="1" t="s">
        <v>53</v>
      </c>
      <c r="E58" s="1" t="s">
        <v>53</v>
      </c>
      <c r="F58" s="1" t="s">
        <v>161</v>
      </c>
      <c r="G58" s="2">
        <v>41.0</v>
      </c>
      <c r="H58" s="1" t="s">
        <v>66</v>
      </c>
      <c r="I58" s="1" t="s">
        <v>121</v>
      </c>
      <c r="J58" s="1" t="s">
        <v>111</v>
      </c>
      <c r="K58" s="1" t="s">
        <v>87</v>
      </c>
      <c r="M58" s="1" t="s">
        <v>58</v>
      </c>
      <c r="N58" s="1" t="s">
        <v>58</v>
      </c>
      <c r="O58" s="1" t="s">
        <v>69</v>
      </c>
      <c r="Q58" s="1" t="s">
        <v>58</v>
      </c>
      <c r="R58" s="1" t="s">
        <v>58</v>
      </c>
      <c r="S58" s="1" t="s">
        <v>58</v>
      </c>
      <c r="T58" s="1" t="s">
        <v>69</v>
      </c>
      <c r="U58" s="1" t="s">
        <v>69</v>
      </c>
      <c r="V58" s="1" t="s">
        <v>58</v>
      </c>
      <c r="W58" s="1" t="s">
        <v>69</v>
      </c>
      <c r="X58" s="1" t="s">
        <v>88</v>
      </c>
      <c r="Y58" s="1" t="s">
        <v>95</v>
      </c>
      <c r="Z58" s="1" t="s">
        <v>61</v>
      </c>
      <c r="AA58" s="2">
        <v>100.0</v>
      </c>
      <c r="AB58" s="1" t="s">
        <v>62</v>
      </c>
      <c r="AC58" s="1" t="s">
        <v>72</v>
      </c>
      <c r="AF58" s="1" t="s">
        <v>51</v>
      </c>
      <c r="AG58" s="1" t="s">
        <v>51</v>
      </c>
      <c r="AH58" s="2">
        <v>50.0</v>
      </c>
      <c r="AI58" s="2">
        <v>0.0</v>
      </c>
      <c r="AJ58" s="2">
        <v>0.0</v>
      </c>
      <c r="AK58" s="2">
        <v>0.0</v>
      </c>
      <c r="AL58" s="2">
        <v>1.0</v>
      </c>
      <c r="AM58" s="1" t="s">
        <v>51</v>
      </c>
      <c r="AN58" s="2">
        <v>7.16262093E8</v>
      </c>
      <c r="AP58" s="2">
        <v>4.87913501E8</v>
      </c>
      <c r="AQ58" s="1" t="s">
        <v>162</v>
      </c>
      <c r="AR58" s="2">
        <v>45805.56046296296</v>
      </c>
      <c r="AU58" s="1" t="s">
        <v>64</v>
      </c>
      <c r="AW58" s="1" t="s">
        <v>84</v>
      </c>
      <c r="AY58" s="2">
        <v>52.0</v>
      </c>
    </row>
    <row r="59">
      <c r="A59" s="1" t="s">
        <v>51</v>
      </c>
      <c r="C59" s="1" t="s">
        <v>52</v>
      </c>
      <c r="E59" s="1" t="s">
        <v>53</v>
      </c>
      <c r="F59" s="1" t="s">
        <v>102</v>
      </c>
      <c r="G59" s="2">
        <v>45.0</v>
      </c>
      <c r="H59" s="1" t="s">
        <v>55</v>
      </c>
      <c r="I59" s="1" t="s">
        <v>67</v>
      </c>
      <c r="J59" s="1" t="s">
        <v>86</v>
      </c>
      <c r="K59" s="1" t="s">
        <v>87</v>
      </c>
      <c r="M59" s="1" t="s">
        <v>58</v>
      </c>
      <c r="N59" s="1" t="s">
        <v>58</v>
      </c>
      <c r="O59" s="1" t="s">
        <v>58</v>
      </c>
      <c r="Q59" s="1" t="s">
        <v>70</v>
      </c>
      <c r="R59" s="1" t="s">
        <v>58</v>
      </c>
      <c r="S59" s="1" t="s">
        <v>69</v>
      </c>
      <c r="T59" s="1" t="s">
        <v>58</v>
      </c>
      <c r="U59" s="1" t="s">
        <v>70</v>
      </c>
      <c r="V59" s="1" t="s">
        <v>58</v>
      </c>
      <c r="W59" s="1" t="s">
        <v>69</v>
      </c>
      <c r="X59" s="1" t="s">
        <v>81</v>
      </c>
      <c r="Y59" s="1" t="s">
        <v>95</v>
      </c>
      <c r="Z59" s="1" t="s">
        <v>89</v>
      </c>
      <c r="AA59" s="2">
        <v>50.0</v>
      </c>
      <c r="AB59" s="1" t="s">
        <v>62</v>
      </c>
      <c r="AC59" s="1" t="s">
        <v>71</v>
      </c>
      <c r="AF59" s="1" t="s">
        <v>51</v>
      </c>
      <c r="AG59" s="1" t="s">
        <v>72</v>
      </c>
      <c r="AI59" s="2">
        <v>0.0</v>
      </c>
      <c r="AJ59" s="2">
        <v>0.0</v>
      </c>
      <c r="AK59" s="2">
        <v>0.0</v>
      </c>
      <c r="AL59" s="2">
        <v>1.0</v>
      </c>
      <c r="AM59" s="1" t="s">
        <v>72</v>
      </c>
      <c r="AP59" s="2">
        <v>4.87937854E8</v>
      </c>
      <c r="AQ59" s="1" t="s">
        <v>163</v>
      </c>
      <c r="AR59" s="2">
        <v>45805.575833333336</v>
      </c>
      <c r="AU59" s="1" t="s">
        <v>64</v>
      </c>
      <c r="AW59" s="1" t="s">
        <v>84</v>
      </c>
      <c r="AY59" s="2">
        <v>53.0</v>
      </c>
    </row>
    <row r="60">
      <c r="A60" s="1" t="s">
        <v>51</v>
      </c>
      <c r="C60" s="1" t="s">
        <v>52</v>
      </c>
      <c r="E60" s="1" t="s">
        <v>53</v>
      </c>
      <c r="F60" s="1" t="s">
        <v>102</v>
      </c>
      <c r="G60" s="2">
        <v>37.0</v>
      </c>
      <c r="H60" s="1" t="s">
        <v>55</v>
      </c>
      <c r="I60" s="1" t="s">
        <v>67</v>
      </c>
      <c r="J60" s="1" t="s">
        <v>86</v>
      </c>
      <c r="K60" s="1" t="s">
        <v>87</v>
      </c>
      <c r="M60" s="1" t="s">
        <v>58</v>
      </c>
      <c r="N60" s="1" t="s">
        <v>58</v>
      </c>
      <c r="O60" s="1" t="s">
        <v>58</v>
      </c>
      <c r="Q60" s="1" t="s">
        <v>69</v>
      </c>
      <c r="R60" s="1" t="s">
        <v>58</v>
      </c>
      <c r="S60" s="1" t="s">
        <v>69</v>
      </c>
      <c r="T60" s="1" t="s">
        <v>69</v>
      </c>
      <c r="U60" s="1" t="s">
        <v>69</v>
      </c>
      <c r="V60" s="1" t="s">
        <v>70</v>
      </c>
      <c r="W60" s="1" t="s">
        <v>69</v>
      </c>
      <c r="X60" s="1" t="s">
        <v>88</v>
      </c>
      <c r="Y60" s="1" t="s">
        <v>95</v>
      </c>
      <c r="Z60" s="1" t="s">
        <v>89</v>
      </c>
      <c r="AA60" s="2">
        <v>50.0</v>
      </c>
      <c r="AB60" s="1" t="s">
        <v>62</v>
      </c>
      <c r="AC60" s="1" t="s">
        <v>71</v>
      </c>
      <c r="AF60" s="1" t="s">
        <v>51</v>
      </c>
      <c r="AG60" s="1" t="s">
        <v>72</v>
      </c>
      <c r="AI60" s="2">
        <v>0.0</v>
      </c>
      <c r="AJ60" s="2">
        <v>0.0</v>
      </c>
      <c r="AK60" s="2">
        <v>1.0</v>
      </c>
      <c r="AL60" s="2">
        <v>0.0</v>
      </c>
      <c r="AM60" s="1" t="s">
        <v>72</v>
      </c>
      <c r="AP60" s="2">
        <v>4.87977877E8</v>
      </c>
      <c r="AQ60" s="1" t="s">
        <v>164</v>
      </c>
      <c r="AR60" s="2">
        <v>45805.59931712963</v>
      </c>
      <c r="AU60" s="1" t="s">
        <v>64</v>
      </c>
      <c r="AW60" s="1" t="s">
        <v>165</v>
      </c>
      <c r="AY60" s="2">
        <v>54.0</v>
      </c>
    </row>
    <row r="61">
      <c r="A61" s="1" t="s">
        <v>51</v>
      </c>
      <c r="C61" s="1" t="s">
        <v>52</v>
      </c>
      <c r="E61" s="1" t="s">
        <v>53</v>
      </c>
      <c r="F61" s="1" t="s">
        <v>102</v>
      </c>
      <c r="G61" s="2">
        <v>44.0</v>
      </c>
      <c r="H61" s="1" t="s">
        <v>66</v>
      </c>
      <c r="I61" s="1" t="s">
        <v>67</v>
      </c>
      <c r="J61" s="1" t="s">
        <v>111</v>
      </c>
      <c r="K61" s="1" t="s">
        <v>87</v>
      </c>
      <c r="M61" s="1" t="s">
        <v>58</v>
      </c>
      <c r="N61" s="1" t="s">
        <v>58</v>
      </c>
      <c r="O61" s="1" t="s">
        <v>58</v>
      </c>
      <c r="Q61" s="1" t="s">
        <v>69</v>
      </c>
      <c r="R61" s="1" t="s">
        <v>58</v>
      </c>
      <c r="S61" s="1" t="s">
        <v>69</v>
      </c>
      <c r="T61" s="1" t="s">
        <v>69</v>
      </c>
      <c r="U61" s="1" t="s">
        <v>58</v>
      </c>
      <c r="V61" s="1" t="s">
        <v>58</v>
      </c>
      <c r="W61" s="1" t="s">
        <v>69</v>
      </c>
      <c r="X61" s="1" t="s">
        <v>88</v>
      </c>
      <c r="Y61" s="1" t="s">
        <v>95</v>
      </c>
      <c r="Z61" s="1" t="s">
        <v>89</v>
      </c>
      <c r="AA61" s="2">
        <v>100.0</v>
      </c>
      <c r="AB61" s="1" t="s">
        <v>79</v>
      </c>
      <c r="AC61" s="1" t="s">
        <v>71</v>
      </c>
      <c r="AF61" s="1" t="s">
        <v>51</v>
      </c>
      <c r="AG61" s="1" t="s">
        <v>72</v>
      </c>
      <c r="AI61" s="2">
        <v>0.0</v>
      </c>
      <c r="AJ61" s="2">
        <v>1.0</v>
      </c>
      <c r="AK61" s="2">
        <v>1.0</v>
      </c>
      <c r="AL61" s="2">
        <v>0.0</v>
      </c>
      <c r="AM61" s="1" t="s">
        <v>72</v>
      </c>
      <c r="AP61" s="2">
        <v>4.88028391E8</v>
      </c>
      <c r="AQ61" s="1" t="s">
        <v>166</v>
      </c>
      <c r="AR61" s="2">
        <v>45805.62755787037</v>
      </c>
      <c r="AU61" s="1" t="s">
        <v>64</v>
      </c>
      <c r="AW61" s="1" t="s">
        <v>165</v>
      </c>
      <c r="AY61" s="2">
        <v>55.0</v>
      </c>
    </row>
    <row r="62">
      <c r="A62" s="1" t="s">
        <v>51</v>
      </c>
      <c r="C62" s="1" t="s">
        <v>52</v>
      </c>
      <c r="E62" s="1" t="s">
        <v>53</v>
      </c>
      <c r="F62" s="1" t="s">
        <v>54</v>
      </c>
      <c r="G62" s="2">
        <v>45.0</v>
      </c>
      <c r="H62" s="1" t="s">
        <v>66</v>
      </c>
      <c r="I62" s="1" t="s">
        <v>67</v>
      </c>
      <c r="J62" s="1" t="s">
        <v>111</v>
      </c>
      <c r="K62" s="1" t="s">
        <v>87</v>
      </c>
      <c r="M62" s="1" t="s">
        <v>58</v>
      </c>
      <c r="N62" s="1" t="s">
        <v>58</v>
      </c>
      <c r="O62" s="1" t="s">
        <v>69</v>
      </c>
      <c r="Q62" s="1" t="s">
        <v>58</v>
      </c>
      <c r="R62" s="1" t="s">
        <v>58</v>
      </c>
      <c r="S62" s="1" t="s">
        <v>69</v>
      </c>
      <c r="T62" s="1" t="s">
        <v>58</v>
      </c>
      <c r="U62" s="1" t="s">
        <v>58</v>
      </c>
      <c r="V62" s="1" t="s">
        <v>58</v>
      </c>
      <c r="W62" s="1" t="s">
        <v>69</v>
      </c>
      <c r="X62" s="1" t="s">
        <v>81</v>
      </c>
      <c r="Y62" s="1" t="s">
        <v>82</v>
      </c>
      <c r="Z62" s="1" t="s">
        <v>61</v>
      </c>
      <c r="AA62" s="2">
        <v>100.0</v>
      </c>
      <c r="AB62" s="1" t="s">
        <v>79</v>
      </c>
      <c r="AC62" s="1" t="s">
        <v>71</v>
      </c>
      <c r="AF62" s="1" t="s">
        <v>51</v>
      </c>
      <c r="AG62" s="1" t="s">
        <v>51</v>
      </c>
      <c r="AI62" s="2">
        <v>0.0</v>
      </c>
      <c r="AJ62" s="2">
        <v>0.0</v>
      </c>
      <c r="AK62" s="2">
        <v>0.0</v>
      </c>
      <c r="AL62" s="2">
        <v>1.0</v>
      </c>
      <c r="AM62" s="1" t="s">
        <v>51</v>
      </c>
      <c r="AN62" s="2">
        <v>7.39553284E8</v>
      </c>
      <c r="AP62" s="2">
        <v>4.8804228E8</v>
      </c>
      <c r="AQ62" s="1" t="s">
        <v>167</v>
      </c>
      <c r="AR62" s="2">
        <v>45805.635358796295</v>
      </c>
      <c r="AU62" s="1" t="s">
        <v>64</v>
      </c>
      <c r="AW62" s="1" t="s">
        <v>165</v>
      </c>
      <c r="AY62" s="2">
        <v>56.0</v>
      </c>
    </row>
    <row r="63">
      <c r="A63" s="1" t="s">
        <v>51</v>
      </c>
      <c r="C63" s="1" t="s">
        <v>131</v>
      </c>
      <c r="E63" s="1" t="s">
        <v>131</v>
      </c>
      <c r="G63" s="2">
        <v>53.0</v>
      </c>
      <c r="H63" s="1" t="s">
        <v>55</v>
      </c>
      <c r="J63" s="1" t="s">
        <v>86</v>
      </c>
      <c r="K63" s="1" t="s">
        <v>87</v>
      </c>
      <c r="M63" s="1" t="s">
        <v>58</v>
      </c>
      <c r="N63" s="1" t="s">
        <v>58</v>
      </c>
      <c r="O63" s="1" t="s">
        <v>70</v>
      </c>
      <c r="Q63" s="1" t="s">
        <v>69</v>
      </c>
      <c r="R63" s="1" t="s">
        <v>58</v>
      </c>
      <c r="S63" s="1" t="s">
        <v>69</v>
      </c>
      <c r="T63" s="1" t="s">
        <v>69</v>
      </c>
      <c r="U63" s="1" t="s">
        <v>70</v>
      </c>
      <c r="V63" s="1" t="s">
        <v>58</v>
      </c>
      <c r="W63" s="1" t="s">
        <v>69</v>
      </c>
      <c r="X63" s="1" t="s">
        <v>59</v>
      </c>
      <c r="Z63" s="1" t="s">
        <v>108</v>
      </c>
      <c r="AA63" s="2">
        <v>10.0</v>
      </c>
      <c r="AB63" s="1" t="s">
        <v>62</v>
      </c>
      <c r="AF63" s="1" t="s">
        <v>51</v>
      </c>
      <c r="AG63" s="1" t="s">
        <v>72</v>
      </c>
      <c r="AI63" s="2">
        <v>0.0</v>
      </c>
      <c r="AJ63" s="2">
        <v>0.0</v>
      </c>
      <c r="AK63" s="2">
        <v>0.0</v>
      </c>
      <c r="AL63" s="2">
        <v>1.0</v>
      </c>
      <c r="AP63" s="2">
        <v>4.88064602E8</v>
      </c>
      <c r="AQ63" s="1" t="s">
        <v>168</v>
      </c>
      <c r="AR63" s="2">
        <v>45805.64787037037</v>
      </c>
      <c r="AU63" s="1" t="s">
        <v>64</v>
      </c>
      <c r="AW63" s="1" t="s">
        <v>165</v>
      </c>
      <c r="AY63" s="2">
        <v>57.0</v>
      </c>
    </row>
    <row r="64">
      <c r="A64" s="1" t="s">
        <v>51</v>
      </c>
      <c r="C64" s="1" t="s">
        <v>52</v>
      </c>
      <c r="E64" s="1" t="s">
        <v>53</v>
      </c>
      <c r="F64" s="1" t="s">
        <v>161</v>
      </c>
      <c r="G64" s="2">
        <v>45.0</v>
      </c>
      <c r="H64" s="1" t="s">
        <v>55</v>
      </c>
      <c r="I64" s="1" t="s">
        <v>67</v>
      </c>
      <c r="J64" s="1" t="s">
        <v>86</v>
      </c>
      <c r="K64" s="1" t="s">
        <v>87</v>
      </c>
      <c r="M64" s="1" t="s">
        <v>58</v>
      </c>
      <c r="N64" s="1" t="s">
        <v>58</v>
      </c>
      <c r="O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103</v>
      </c>
      <c r="Y64" s="1" t="s">
        <v>95</v>
      </c>
      <c r="Z64" s="1" t="s">
        <v>96</v>
      </c>
      <c r="AA64" s="2">
        <v>100.0</v>
      </c>
      <c r="AB64" s="1" t="s">
        <v>28</v>
      </c>
      <c r="AC64" s="1" t="s">
        <v>51</v>
      </c>
      <c r="AD64" s="1" t="s">
        <v>88</v>
      </c>
      <c r="AE64" s="1" t="s">
        <v>51</v>
      </c>
      <c r="AF64" s="1" t="s">
        <v>51</v>
      </c>
      <c r="AG64" s="1" t="s">
        <v>72</v>
      </c>
      <c r="AI64" s="2">
        <v>0.0</v>
      </c>
      <c r="AJ64" s="2">
        <v>0.0</v>
      </c>
      <c r="AK64" s="2">
        <v>1.0</v>
      </c>
      <c r="AL64" s="2">
        <v>0.0</v>
      </c>
      <c r="AM64" s="1" t="s">
        <v>72</v>
      </c>
      <c r="AP64" s="2">
        <v>4.88106386E8</v>
      </c>
      <c r="AQ64" s="1" t="s">
        <v>169</v>
      </c>
      <c r="AR64" s="2">
        <v>45805.670960648145</v>
      </c>
      <c r="AU64" s="1" t="s">
        <v>64</v>
      </c>
      <c r="AW64" s="1" t="s">
        <v>165</v>
      </c>
      <c r="AY64" s="2">
        <v>58.0</v>
      </c>
    </row>
    <row r="65">
      <c r="A65" s="1" t="s">
        <v>51</v>
      </c>
      <c r="C65" s="1" t="s">
        <v>170</v>
      </c>
      <c r="E65" s="1" t="s">
        <v>53</v>
      </c>
      <c r="F65" s="1" t="s">
        <v>54</v>
      </c>
      <c r="G65" s="2">
        <v>51.0</v>
      </c>
      <c r="H65" s="1" t="s">
        <v>55</v>
      </c>
      <c r="I65" s="1" t="s">
        <v>67</v>
      </c>
      <c r="J65" s="1" t="s">
        <v>68</v>
      </c>
      <c r="K65" s="1" t="s">
        <v>74</v>
      </c>
      <c r="M65" s="1" t="s">
        <v>58</v>
      </c>
      <c r="N65" s="1" t="s">
        <v>58</v>
      </c>
      <c r="O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81</v>
      </c>
      <c r="Y65" s="1" t="s">
        <v>82</v>
      </c>
      <c r="Z65" s="1" t="s">
        <v>89</v>
      </c>
      <c r="AA65" s="2">
        <v>20.0</v>
      </c>
      <c r="AB65" s="1" t="s">
        <v>79</v>
      </c>
      <c r="AC65" s="1" t="s">
        <v>51</v>
      </c>
      <c r="AM65" s="1" t="s">
        <v>51</v>
      </c>
      <c r="AN65" s="2">
        <v>6.4483844E8</v>
      </c>
      <c r="AP65" s="2">
        <v>4.88131078E8</v>
      </c>
      <c r="AQ65" s="1" t="s">
        <v>171</v>
      </c>
      <c r="AR65" s="2">
        <v>45805.68454861111</v>
      </c>
      <c r="AU65" s="1" t="s">
        <v>64</v>
      </c>
      <c r="AW65" s="1" t="s">
        <v>165</v>
      </c>
      <c r="AY65" s="2">
        <v>59.0</v>
      </c>
    </row>
    <row r="66">
      <c r="A66" s="1" t="s">
        <v>51</v>
      </c>
      <c r="C66" s="1" t="s">
        <v>170</v>
      </c>
      <c r="E66" s="1" t="s">
        <v>53</v>
      </c>
      <c r="F66" s="1" t="s">
        <v>54</v>
      </c>
      <c r="H66" s="1" t="s">
        <v>66</v>
      </c>
      <c r="I66" s="1" t="s">
        <v>100</v>
      </c>
      <c r="J66" s="1" t="s">
        <v>56</v>
      </c>
      <c r="K66" s="1" t="s">
        <v>74</v>
      </c>
      <c r="M66" s="1" t="s">
        <v>58</v>
      </c>
      <c r="N66" s="1" t="s">
        <v>58</v>
      </c>
      <c r="O66" s="1" t="s">
        <v>69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103</v>
      </c>
      <c r="Y66" s="1" t="s">
        <v>172</v>
      </c>
      <c r="Z66" s="1" t="s">
        <v>89</v>
      </c>
      <c r="AA66" s="2">
        <v>30.0</v>
      </c>
      <c r="AB66" s="1" t="s">
        <v>28</v>
      </c>
      <c r="AC66" s="1" t="s">
        <v>72</v>
      </c>
      <c r="AF66" s="1" t="s">
        <v>51</v>
      </c>
      <c r="AG66" s="1" t="s">
        <v>51</v>
      </c>
      <c r="AI66" s="2">
        <v>1.0</v>
      </c>
      <c r="AJ66" s="2">
        <v>1.0</v>
      </c>
      <c r="AK66" s="2">
        <v>1.0</v>
      </c>
      <c r="AL66" s="2">
        <v>0.0</v>
      </c>
      <c r="AM66" s="1" t="s">
        <v>72</v>
      </c>
      <c r="AP66" s="2">
        <v>4.88133757E8</v>
      </c>
      <c r="AQ66" s="1" t="s">
        <v>173</v>
      </c>
      <c r="AR66" s="2">
        <v>45805.68608796296</v>
      </c>
      <c r="AU66" s="1" t="s">
        <v>64</v>
      </c>
      <c r="AW66" s="1" t="s">
        <v>165</v>
      </c>
      <c r="AY66" s="2">
        <v>60.0</v>
      </c>
    </row>
    <row r="67">
      <c r="A67" s="1" t="s">
        <v>51</v>
      </c>
      <c r="C67" s="1" t="s">
        <v>52</v>
      </c>
      <c r="E67" s="1" t="s">
        <v>52</v>
      </c>
      <c r="G67" s="2">
        <v>45.0</v>
      </c>
      <c r="H67" s="1" t="s">
        <v>55</v>
      </c>
      <c r="J67" s="1" t="s">
        <v>86</v>
      </c>
      <c r="K67" s="1" t="s">
        <v>87</v>
      </c>
      <c r="M67" s="1" t="s">
        <v>58</v>
      </c>
      <c r="N67" s="1" t="s">
        <v>58</v>
      </c>
      <c r="O67" s="1" t="s">
        <v>58</v>
      </c>
      <c r="Q67" s="1" t="s">
        <v>58</v>
      </c>
      <c r="R67" s="1" t="s">
        <v>58</v>
      </c>
      <c r="S67" s="1" t="s">
        <v>58</v>
      </c>
      <c r="T67" s="1" t="s">
        <v>69</v>
      </c>
      <c r="U67" s="1" t="s">
        <v>58</v>
      </c>
      <c r="V67" s="1" t="s">
        <v>58</v>
      </c>
      <c r="W67" s="1" t="s">
        <v>58</v>
      </c>
      <c r="X67" s="1" t="s">
        <v>88</v>
      </c>
      <c r="Y67" s="1" t="s">
        <v>60</v>
      </c>
      <c r="Z67" s="1" t="s">
        <v>89</v>
      </c>
      <c r="AA67" s="2">
        <v>100.0</v>
      </c>
      <c r="AB67" s="1" t="s">
        <v>62</v>
      </c>
      <c r="AC67" s="1" t="s">
        <v>71</v>
      </c>
      <c r="AF67" s="1" t="s">
        <v>51</v>
      </c>
      <c r="AG67" s="1" t="s">
        <v>72</v>
      </c>
      <c r="AI67" s="2">
        <v>0.0</v>
      </c>
      <c r="AJ67" s="2">
        <v>0.0</v>
      </c>
      <c r="AK67" s="2">
        <v>0.0</v>
      </c>
      <c r="AL67" s="2">
        <v>1.0</v>
      </c>
      <c r="AP67" s="2">
        <v>4.88135385E8</v>
      </c>
      <c r="AQ67" s="1" t="s">
        <v>174</v>
      </c>
      <c r="AR67" s="2">
        <v>45805.68711805555</v>
      </c>
      <c r="AU67" s="1" t="s">
        <v>64</v>
      </c>
      <c r="AW67" s="1" t="s">
        <v>165</v>
      </c>
      <c r="AY67" s="2">
        <v>61.0</v>
      </c>
    </row>
    <row r="68">
      <c r="A68" s="1" t="s">
        <v>51</v>
      </c>
      <c r="C68" s="1" t="s">
        <v>52</v>
      </c>
      <c r="E68" s="1" t="s">
        <v>53</v>
      </c>
      <c r="F68" s="1" t="s">
        <v>54</v>
      </c>
      <c r="G68" s="2">
        <v>47.0</v>
      </c>
      <c r="H68" s="1" t="s">
        <v>66</v>
      </c>
      <c r="I68" s="1" t="s">
        <v>67</v>
      </c>
      <c r="J68" s="1" t="s">
        <v>86</v>
      </c>
      <c r="K68" s="1" t="s">
        <v>74</v>
      </c>
      <c r="M68" s="1" t="s">
        <v>58</v>
      </c>
      <c r="N68" s="1" t="s">
        <v>58</v>
      </c>
      <c r="O68" s="1" t="s">
        <v>69</v>
      </c>
      <c r="Q68" s="1" t="s">
        <v>69</v>
      </c>
      <c r="R68" s="1" t="s">
        <v>58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81</v>
      </c>
      <c r="Y68" s="1" t="s">
        <v>82</v>
      </c>
      <c r="Z68" s="1" t="s">
        <v>89</v>
      </c>
      <c r="AA68" s="2">
        <v>10.0</v>
      </c>
      <c r="AB68" s="1" t="s">
        <v>79</v>
      </c>
      <c r="AC68" s="1" t="s">
        <v>71</v>
      </c>
      <c r="AF68" s="1" t="s">
        <v>51</v>
      </c>
      <c r="AG68" s="1" t="s">
        <v>51</v>
      </c>
      <c r="AH68" s="2">
        <v>100.0</v>
      </c>
      <c r="AI68" s="2">
        <v>0.0</v>
      </c>
      <c r="AJ68" s="2">
        <v>0.0</v>
      </c>
      <c r="AK68" s="2">
        <v>0.0</v>
      </c>
      <c r="AL68" s="2">
        <v>1.0</v>
      </c>
      <c r="AM68" s="1" t="s">
        <v>51</v>
      </c>
      <c r="AN68" s="2">
        <v>6.10832654E8</v>
      </c>
      <c r="AP68" s="2">
        <v>4.88197952E8</v>
      </c>
      <c r="AQ68" s="1" t="s">
        <v>175</v>
      </c>
      <c r="AR68" s="2">
        <v>45805.72736111111</v>
      </c>
      <c r="AU68" s="1" t="s">
        <v>64</v>
      </c>
      <c r="AW68" s="1" t="s">
        <v>165</v>
      </c>
      <c r="AY68" s="2">
        <v>62.0</v>
      </c>
    </row>
    <row r="69">
      <c r="A69" s="1" t="s">
        <v>51</v>
      </c>
      <c r="C69" s="1" t="s">
        <v>53</v>
      </c>
      <c r="E69" s="1" t="s">
        <v>53</v>
      </c>
      <c r="F69" s="1" t="s">
        <v>102</v>
      </c>
      <c r="G69" s="2">
        <v>32.0</v>
      </c>
      <c r="H69" s="1" t="s">
        <v>55</v>
      </c>
      <c r="I69" s="1" t="s">
        <v>121</v>
      </c>
      <c r="J69" s="1" t="s">
        <v>86</v>
      </c>
      <c r="K69" s="1" t="s">
        <v>87</v>
      </c>
      <c r="M69" s="1" t="s">
        <v>58</v>
      </c>
      <c r="N69" s="1" t="s">
        <v>58</v>
      </c>
      <c r="O69" s="1" t="s">
        <v>69</v>
      </c>
      <c r="Q69" s="1" t="s">
        <v>58</v>
      </c>
      <c r="R69" s="1" t="s">
        <v>58</v>
      </c>
      <c r="S69" s="1" t="s">
        <v>69</v>
      </c>
      <c r="T69" s="1" t="s">
        <v>69</v>
      </c>
      <c r="U69" s="1" t="s">
        <v>58</v>
      </c>
      <c r="V69" s="1" t="s">
        <v>58</v>
      </c>
      <c r="W69" s="1" t="s">
        <v>69</v>
      </c>
      <c r="X69" s="1" t="s">
        <v>81</v>
      </c>
      <c r="Y69" s="1" t="s">
        <v>82</v>
      </c>
      <c r="Z69" s="1" t="s">
        <v>89</v>
      </c>
      <c r="AA69" s="2">
        <v>10.0</v>
      </c>
      <c r="AB69" s="1" t="s">
        <v>79</v>
      </c>
      <c r="AC69" s="1" t="s">
        <v>71</v>
      </c>
      <c r="AF69" s="1" t="s">
        <v>51</v>
      </c>
      <c r="AG69" s="1" t="s">
        <v>72</v>
      </c>
      <c r="AI69" s="2">
        <v>1.0</v>
      </c>
      <c r="AJ69" s="2">
        <v>1.0</v>
      </c>
      <c r="AK69" s="2">
        <v>1.0</v>
      </c>
      <c r="AL69" s="2">
        <v>0.0</v>
      </c>
      <c r="AM69" s="1" t="s">
        <v>72</v>
      </c>
      <c r="AP69" s="2">
        <v>4.88202438E8</v>
      </c>
      <c r="AQ69" s="1" t="s">
        <v>176</v>
      </c>
      <c r="AR69" s="2">
        <v>45805.731203703705</v>
      </c>
      <c r="AU69" s="1" t="s">
        <v>64</v>
      </c>
      <c r="AW69" s="1" t="s">
        <v>165</v>
      </c>
      <c r="AY69" s="2">
        <v>63.0</v>
      </c>
    </row>
    <row r="70">
      <c r="A70" s="1" t="s">
        <v>51</v>
      </c>
      <c r="C70" s="1" t="s">
        <v>170</v>
      </c>
      <c r="E70" s="1" t="s">
        <v>53</v>
      </c>
      <c r="F70" s="1" t="s">
        <v>54</v>
      </c>
      <c r="G70" s="2">
        <v>27.0</v>
      </c>
      <c r="H70" s="1" t="s">
        <v>66</v>
      </c>
      <c r="I70" s="1" t="s">
        <v>67</v>
      </c>
      <c r="J70" s="1" t="s">
        <v>68</v>
      </c>
      <c r="K70" s="1" t="s">
        <v>74</v>
      </c>
      <c r="M70" s="1" t="s">
        <v>58</v>
      </c>
      <c r="N70" s="1" t="s">
        <v>58</v>
      </c>
      <c r="O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59</v>
      </c>
      <c r="Y70" s="1" t="s">
        <v>82</v>
      </c>
      <c r="Z70" s="1" t="s">
        <v>89</v>
      </c>
      <c r="AA70" s="2">
        <v>10.0</v>
      </c>
      <c r="AB70" s="1" t="s">
        <v>79</v>
      </c>
      <c r="AC70" s="1" t="s">
        <v>51</v>
      </c>
      <c r="AD70" s="1" t="s">
        <v>81</v>
      </c>
      <c r="AE70" s="1" t="s">
        <v>51</v>
      </c>
      <c r="AF70" s="1" t="s">
        <v>51</v>
      </c>
      <c r="AG70" s="1" t="s">
        <v>51</v>
      </c>
      <c r="AH70" s="2">
        <v>350.0</v>
      </c>
      <c r="AI70" s="2">
        <v>0.0</v>
      </c>
      <c r="AJ70" s="2">
        <v>1.0</v>
      </c>
      <c r="AK70" s="2">
        <v>0.0</v>
      </c>
      <c r="AL70" s="2">
        <v>0.0</v>
      </c>
      <c r="AM70" s="1" t="s">
        <v>51</v>
      </c>
      <c r="AN70" s="2">
        <v>6.59857007E8</v>
      </c>
      <c r="AP70" s="2">
        <v>4.88227278E8</v>
      </c>
      <c r="AQ70" s="1" t="s">
        <v>177</v>
      </c>
      <c r="AR70" s="2">
        <v>45805.75212962963</v>
      </c>
      <c r="AU70" s="1" t="s">
        <v>64</v>
      </c>
      <c r="AW70" s="1" t="s">
        <v>165</v>
      </c>
      <c r="AY70" s="2">
        <v>64.0</v>
      </c>
    </row>
    <row r="71">
      <c r="A71" s="1" t="s">
        <v>51</v>
      </c>
      <c r="C71" s="1" t="s">
        <v>151</v>
      </c>
      <c r="E71" s="1" t="s">
        <v>151</v>
      </c>
      <c r="G71" s="2">
        <v>52.0</v>
      </c>
      <c r="H71" s="1" t="s">
        <v>66</v>
      </c>
      <c r="J71" s="1" t="s">
        <v>86</v>
      </c>
      <c r="K71" s="1" t="s">
        <v>87</v>
      </c>
      <c r="M71" s="1" t="s">
        <v>58</v>
      </c>
      <c r="N71" s="1" t="s">
        <v>58</v>
      </c>
      <c r="O71" s="1" t="s">
        <v>58</v>
      </c>
      <c r="Q71" s="1" t="s">
        <v>69</v>
      </c>
      <c r="R71" s="1" t="s">
        <v>58</v>
      </c>
      <c r="S71" s="1" t="s">
        <v>69</v>
      </c>
      <c r="T71" s="1" t="s">
        <v>69</v>
      </c>
      <c r="U71" s="1" t="s">
        <v>58</v>
      </c>
      <c r="V71" s="1" t="s">
        <v>58</v>
      </c>
      <c r="W71" s="1" t="s">
        <v>69</v>
      </c>
      <c r="X71" s="1" t="s">
        <v>88</v>
      </c>
      <c r="Y71" s="1" t="s">
        <v>95</v>
      </c>
      <c r="Z71" s="1" t="s">
        <v>89</v>
      </c>
      <c r="AA71" s="2">
        <v>100.0</v>
      </c>
      <c r="AB71" s="1" t="s">
        <v>28</v>
      </c>
      <c r="AC71" s="1" t="s">
        <v>51</v>
      </c>
      <c r="AD71" s="1" t="s">
        <v>88</v>
      </c>
      <c r="AE71" s="1" t="s">
        <v>51</v>
      </c>
      <c r="AF71" s="1" t="s">
        <v>51</v>
      </c>
      <c r="AG71" s="1" t="s">
        <v>51</v>
      </c>
      <c r="AI71" s="2">
        <v>1.0</v>
      </c>
      <c r="AJ71" s="2">
        <v>1.0</v>
      </c>
      <c r="AK71" s="2">
        <v>1.0</v>
      </c>
      <c r="AL71" s="2">
        <v>0.0</v>
      </c>
      <c r="AP71" s="2">
        <v>4.8823866E8</v>
      </c>
      <c r="AQ71" s="1" t="s">
        <v>178</v>
      </c>
      <c r="AR71" s="2">
        <v>45805.76369212963</v>
      </c>
      <c r="AU71" s="1" t="s">
        <v>64</v>
      </c>
      <c r="AW71" s="1" t="s">
        <v>165</v>
      </c>
      <c r="AY71" s="2">
        <v>65.0</v>
      </c>
    </row>
    <row r="72">
      <c r="A72" s="1" t="s">
        <v>51</v>
      </c>
      <c r="C72" s="1" t="s">
        <v>151</v>
      </c>
      <c r="E72" s="1" t="s">
        <v>151</v>
      </c>
      <c r="G72" s="2">
        <v>44.0</v>
      </c>
      <c r="H72" s="1" t="s">
        <v>66</v>
      </c>
      <c r="J72" s="1" t="s">
        <v>86</v>
      </c>
      <c r="K72" s="1" t="s">
        <v>87</v>
      </c>
      <c r="M72" s="1" t="s">
        <v>58</v>
      </c>
      <c r="N72" s="1" t="s">
        <v>58</v>
      </c>
      <c r="O72" s="1" t="s">
        <v>58</v>
      </c>
      <c r="Q72" s="1" t="s">
        <v>69</v>
      </c>
      <c r="R72" s="1" t="s">
        <v>58</v>
      </c>
      <c r="S72" s="1" t="s">
        <v>58</v>
      </c>
      <c r="T72" s="1" t="s">
        <v>70</v>
      </c>
      <c r="U72" s="1" t="s">
        <v>69</v>
      </c>
      <c r="V72" s="1" t="s">
        <v>58</v>
      </c>
      <c r="W72" s="1" t="s">
        <v>70</v>
      </c>
      <c r="X72" s="1" t="s">
        <v>59</v>
      </c>
      <c r="Y72" s="1" t="s">
        <v>60</v>
      </c>
      <c r="Z72" s="1" t="s">
        <v>89</v>
      </c>
      <c r="AA72" s="2">
        <v>100.0</v>
      </c>
      <c r="AB72" s="1" t="s">
        <v>62</v>
      </c>
      <c r="AC72" s="1" t="s">
        <v>71</v>
      </c>
      <c r="AF72" s="1" t="s">
        <v>51</v>
      </c>
      <c r="AG72" s="1" t="s">
        <v>51</v>
      </c>
      <c r="AI72" s="2">
        <v>0.0</v>
      </c>
      <c r="AJ72" s="2">
        <v>0.0</v>
      </c>
      <c r="AK72" s="2">
        <v>1.0</v>
      </c>
      <c r="AL72" s="2">
        <v>0.0</v>
      </c>
      <c r="AP72" s="2">
        <v>4.88239373E8</v>
      </c>
      <c r="AQ72" s="1" t="s">
        <v>179</v>
      </c>
      <c r="AR72" s="2">
        <v>45805.76443287037</v>
      </c>
      <c r="AU72" s="1" t="s">
        <v>64</v>
      </c>
      <c r="AW72" s="1" t="s">
        <v>165</v>
      </c>
      <c r="AY72" s="2">
        <v>66.0</v>
      </c>
    </row>
    <row r="73">
      <c r="A73" s="1" t="s">
        <v>51</v>
      </c>
      <c r="C73" s="1" t="s">
        <v>151</v>
      </c>
      <c r="E73" s="1" t="s">
        <v>151</v>
      </c>
      <c r="G73" s="2">
        <v>41.0</v>
      </c>
      <c r="H73" s="1" t="s">
        <v>55</v>
      </c>
      <c r="J73" s="1" t="s">
        <v>86</v>
      </c>
      <c r="K73" s="1" t="s">
        <v>87</v>
      </c>
      <c r="M73" s="1" t="s">
        <v>58</v>
      </c>
      <c r="N73" s="1" t="s">
        <v>58</v>
      </c>
      <c r="O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81</v>
      </c>
      <c r="Y73" s="1" t="s">
        <v>95</v>
      </c>
      <c r="Z73" s="1" t="s">
        <v>96</v>
      </c>
      <c r="AA73" s="2">
        <v>100.0</v>
      </c>
      <c r="AB73" s="1" t="s">
        <v>62</v>
      </c>
      <c r="AC73" s="1" t="s">
        <v>51</v>
      </c>
      <c r="AD73" s="1" t="s">
        <v>81</v>
      </c>
      <c r="AE73" s="1" t="s">
        <v>51</v>
      </c>
      <c r="AF73" s="1" t="s">
        <v>51</v>
      </c>
      <c r="AG73" s="1" t="s">
        <v>51</v>
      </c>
      <c r="AH73" s="2">
        <v>200.0</v>
      </c>
      <c r="AI73" s="2">
        <v>1.0</v>
      </c>
      <c r="AJ73" s="2">
        <v>0.0</v>
      </c>
      <c r="AK73" s="2">
        <v>0.0</v>
      </c>
      <c r="AL73" s="2">
        <v>0.0</v>
      </c>
      <c r="AP73" s="2">
        <v>4.88239828E8</v>
      </c>
      <c r="AQ73" s="1" t="s">
        <v>180</v>
      </c>
      <c r="AR73" s="2">
        <v>45805.76497685185</v>
      </c>
      <c r="AU73" s="1" t="s">
        <v>64</v>
      </c>
      <c r="AW73" s="1" t="s">
        <v>165</v>
      </c>
      <c r="AY73" s="2">
        <v>67.0</v>
      </c>
    </row>
    <row r="74">
      <c r="A74" s="1" t="s">
        <v>51</v>
      </c>
      <c r="C74" s="1" t="s">
        <v>52</v>
      </c>
      <c r="E74" s="1" t="s">
        <v>151</v>
      </c>
      <c r="G74" s="2">
        <v>47.0</v>
      </c>
      <c r="H74" s="1" t="s">
        <v>55</v>
      </c>
      <c r="J74" s="1" t="s">
        <v>86</v>
      </c>
      <c r="K74" s="1" t="s">
        <v>87</v>
      </c>
      <c r="M74" s="1" t="s">
        <v>58</v>
      </c>
      <c r="N74" s="1" t="s">
        <v>58</v>
      </c>
      <c r="O74" s="1" t="s">
        <v>69</v>
      </c>
      <c r="Q74" s="1" t="s">
        <v>69</v>
      </c>
      <c r="R74" s="1" t="s">
        <v>58</v>
      </c>
      <c r="S74" s="1" t="s">
        <v>69</v>
      </c>
      <c r="T74" s="1" t="s">
        <v>69</v>
      </c>
      <c r="U74" s="1" t="s">
        <v>58</v>
      </c>
      <c r="V74" s="1" t="s">
        <v>58</v>
      </c>
      <c r="W74" s="1" t="s">
        <v>69</v>
      </c>
      <c r="X74" s="1" t="s">
        <v>103</v>
      </c>
      <c r="Y74" s="1" t="s">
        <v>60</v>
      </c>
      <c r="Z74" s="1" t="s">
        <v>89</v>
      </c>
      <c r="AA74" s="2">
        <v>100.0</v>
      </c>
      <c r="AB74" s="1" t="s">
        <v>62</v>
      </c>
      <c r="AC74" s="1" t="s">
        <v>71</v>
      </c>
      <c r="AF74" s="1" t="s">
        <v>51</v>
      </c>
      <c r="AG74" s="1" t="s">
        <v>72</v>
      </c>
      <c r="AI74" s="2">
        <v>0.0</v>
      </c>
      <c r="AJ74" s="2">
        <v>0.0</v>
      </c>
      <c r="AK74" s="2">
        <v>0.0</v>
      </c>
      <c r="AL74" s="2">
        <v>1.0</v>
      </c>
      <c r="AP74" s="2">
        <v>4.8824426E8</v>
      </c>
      <c r="AQ74" s="1" t="s">
        <v>181</v>
      </c>
      <c r="AR74" s="2">
        <v>45805.76894675926</v>
      </c>
      <c r="AU74" s="1" t="s">
        <v>64</v>
      </c>
      <c r="AW74" s="1" t="s">
        <v>165</v>
      </c>
      <c r="AY74" s="2">
        <v>68.0</v>
      </c>
    </row>
    <row r="75">
      <c r="A75" s="1" t="s">
        <v>51</v>
      </c>
      <c r="C75" s="1" t="s">
        <v>151</v>
      </c>
      <c r="E75" s="1" t="s">
        <v>151</v>
      </c>
      <c r="G75" s="2">
        <v>39.0</v>
      </c>
      <c r="H75" s="1" t="s">
        <v>66</v>
      </c>
      <c r="J75" s="1" t="s">
        <v>86</v>
      </c>
      <c r="K75" s="1" t="s">
        <v>87</v>
      </c>
      <c r="M75" s="1" t="s">
        <v>58</v>
      </c>
      <c r="N75" s="1" t="s">
        <v>58</v>
      </c>
      <c r="O75" s="1" t="s">
        <v>69</v>
      </c>
      <c r="Q75" s="1" t="s">
        <v>58</v>
      </c>
      <c r="R75" s="1" t="s">
        <v>58</v>
      </c>
      <c r="S75" s="1" t="s">
        <v>69</v>
      </c>
      <c r="T75" s="1" t="s">
        <v>69</v>
      </c>
      <c r="U75" s="1" t="s">
        <v>69</v>
      </c>
      <c r="V75" s="1" t="s">
        <v>58</v>
      </c>
      <c r="W75" s="1" t="s">
        <v>69</v>
      </c>
      <c r="X75" s="1" t="s">
        <v>88</v>
      </c>
      <c r="Y75" s="1" t="s">
        <v>95</v>
      </c>
      <c r="Z75" s="1" t="s">
        <v>89</v>
      </c>
      <c r="AA75" s="2">
        <v>100.0</v>
      </c>
      <c r="AB75" s="1" t="s">
        <v>62</v>
      </c>
      <c r="AC75" s="1" t="s">
        <v>71</v>
      </c>
      <c r="AF75" s="1" t="s">
        <v>51</v>
      </c>
      <c r="AG75" s="1" t="s">
        <v>72</v>
      </c>
      <c r="AI75" s="2">
        <v>1.0</v>
      </c>
      <c r="AJ75" s="2">
        <v>0.0</v>
      </c>
      <c r="AK75" s="2">
        <v>0.0</v>
      </c>
      <c r="AL75" s="2">
        <v>0.0</v>
      </c>
      <c r="AP75" s="2">
        <v>4.88245531E8</v>
      </c>
      <c r="AQ75" s="1" t="s">
        <v>182</v>
      </c>
      <c r="AR75" s="2">
        <v>45805.770474537036</v>
      </c>
      <c r="AU75" s="1" t="s">
        <v>64</v>
      </c>
      <c r="AW75" s="1" t="s">
        <v>165</v>
      </c>
      <c r="AY75" s="2">
        <v>69.0</v>
      </c>
    </row>
    <row r="76">
      <c r="A76" s="1" t="s">
        <v>51</v>
      </c>
      <c r="C76" s="1" t="s">
        <v>52</v>
      </c>
      <c r="E76" s="1" t="s">
        <v>53</v>
      </c>
      <c r="F76" s="1" t="s">
        <v>183</v>
      </c>
      <c r="H76" s="1" t="s">
        <v>55</v>
      </c>
      <c r="I76" s="1" t="s">
        <v>67</v>
      </c>
      <c r="J76" s="1" t="s">
        <v>86</v>
      </c>
      <c r="K76" s="1" t="s">
        <v>87</v>
      </c>
      <c r="M76" s="1" t="s">
        <v>58</v>
      </c>
      <c r="N76" s="1" t="s">
        <v>58</v>
      </c>
      <c r="O76" s="1" t="s">
        <v>58</v>
      </c>
      <c r="Q76" s="1" t="s">
        <v>69</v>
      </c>
      <c r="R76" s="1" t="s">
        <v>58</v>
      </c>
      <c r="S76" s="1" t="s">
        <v>69</v>
      </c>
      <c r="T76" s="1" t="s">
        <v>69</v>
      </c>
      <c r="U76" s="1" t="s">
        <v>70</v>
      </c>
      <c r="V76" s="1" t="s">
        <v>69</v>
      </c>
      <c r="W76" s="1" t="s">
        <v>69</v>
      </c>
      <c r="X76" s="1" t="s">
        <v>103</v>
      </c>
      <c r="Y76" s="1" t="s">
        <v>95</v>
      </c>
      <c r="Z76" s="1" t="s">
        <v>89</v>
      </c>
      <c r="AA76" s="2">
        <v>100.0</v>
      </c>
      <c r="AB76" s="1" t="s">
        <v>62</v>
      </c>
      <c r="AC76" s="1" t="s">
        <v>51</v>
      </c>
      <c r="AD76" s="1" t="s">
        <v>103</v>
      </c>
      <c r="AE76" s="1" t="s">
        <v>51</v>
      </c>
      <c r="AF76" s="1" t="s">
        <v>51</v>
      </c>
      <c r="AG76" s="1" t="s">
        <v>51</v>
      </c>
      <c r="AH76" s="2">
        <v>20.0</v>
      </c>
      <c r="AI76" s="2">
        <v>0.0</v>
      </c>
      <c r="AJ76" s="2">
        <v>0.0</v>
      </c>
      <c r="AK76" s="2">
        <v>1.0</v>
      </c>
      <c r="AL76" s="2">
        <v>0.0</v>
      </c>
      <c r="AM76" s="1" t="s">
        <v>51</v>
      </c>
      <c r="AN76" s="2">
        <v>7.24419895E8</v>
      </c>
      <c r="AP76" s="2">
        <v>4.88246175E8</v>
      </c>
      <c r="AQ76" s="1" t="s">
        <v>184</v>
      </c>
      <c r="AR76" s="2">
        <v>45805.771319444444</v>
      </c>
      <c r="AU76" s="1" t="s">
        <v>64</v>
      </c>
      <c r="AW76" s="1" t="s">
        <v>165</v>
      </c>
      <c r="AY76" s="2">
        <v>70.0</v>
      </c>
    </row>
    <row r="77">
      <c r="A77" s="1" t="s">
        <v>51</v>
      </c>
      <c r="C77" s="1" t="s">
        <v>151</v>
      </c>
      <c r="E77" s="1" t="s">
        <v>151</v>
      </c>
      <c r="G77" s="2">
        <v>51.0</v>
      </c>
      <c r="H77" s="1" t="s">
        <v>66</v>
      </c>
      <c r="J77" s="1" t="s">
        <v>56</v>
      </c>
      <c r="K77" s="1" t="s">
        <v>87</v>
      </c>
      <c r="M77" s="1" t="s">
        <v>58</v>
      </c>
      <c r="N77" s="1" t="s">
        <v>58</v>
      </c>
      <c r="O77" s="1" t="s">
        <v>58</v>
      </c>
      <c r="Q77" s="1" t="s">
        <v>69</v>
      </c>
      <c r="R77" s="1" t="s">
        <v>58</v>
      </c>
      <c r="S77" s="1" t="s">
        <v>69</v>
      </c>
      <c r="T77" s="1" t="s">
        <v>69</v>
      </c>
      <c r="U77" s="1" t="s">
        <v>70</v>
      </c>
      <c r="V77" s="1" t="s">
        <v>58</v>
      </c>
      <c r="W77" s="1" t="s">
        <v>69</v>
      </c>
      <c r="X77" s="1" t="s">
        <v>59</v>
      </c>
      <c r="Y77" s="1" t="s">
        <v>95</v>
      </c>
      <c r="Z77" s="1" t="s">
        <v>61</v>
      </c>
      <c r="AA77" s="2">
        <v>100.0</v>
      </c>
      <c r="AB77" s="1" t="s">
        <v>79</v>
      </c>
      <c r="AC77" s="1" t="s">
        <v>71</v>
      </c>
      <c r="AF77" s="1" t="s">
        <v>51</v>
      </c>
      <c r="AG77" s="1" t="s">
        <v>72</v>
      </c>
      <c r="AI77" s="2">
        <v>1.0</v>
      </c>
      <c r="AJ77" s="2">
        <v>0.0</v>
      </c>
      <c r="AK77" s="2">
        <v>0.0</v>
      </c>
      <c r="AL77" s="2">
        <v>0.0</v>
      </c>
      <c r="AP77" s="2">
        <v>4.882564E8</v>
      </c>
      <c r="AQ77" s="1" t="s">
        <v>185</v>
      </c>
      <c r="AR77" s="2">
        <v>45805.78273148148</v>
      </c>
      <c r="AU77" s="1" t="s">
        <v>64</v>
      </c>
      <c r="AW77" s="1" t="s">
        <v>165</v>
      </c>
      <c r="AY77" s="2">
        <v>71.0</v>
      </c>
    </row>
    <row r="78">
      <c r="A78" s="1" t="s">
        <v>51</v>
      </c>
      <c r="C78" s="1" t="s">
        <v>53</v>
      </c>
      <c r="E78" s="1" t="s">
        <v>53</v>
      </c>
      <c r="F78" s="1" t="s">
        <v>102</v>
      </c>
      <c r="G78" s="2">
        <v>60.0</v>
      </c>
      <c r="H78" s="1" t="s">
        <v>66</v>
      </c>
      <c r="I78" s="1" t="s">
        <v>121</v>
      </c>
      <c r="J78" s="1" t="s">
        <v>111</v>
      </c>
      <c r="K78" s="1" t="s">
        <v>87</v>
      </c>
      <c r="M78" s="1" t="s">
        <v>58</v>
      </c>
      <c r="N78" s="1" t="s">
        <v>58</v>
      </c>
      <c r="O78" s="1" t="s">
        <v>69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 t="s">
        <v>69</v>
      </c>
      <c r="X78" s="1" t="s">
        <v>88</v>
      </c>
      <c r="Y78" s="1" t="s">
        <v>172</v>
      </c>
      <c r="Z78" s="1" t="s">
        <v>89</v>
      </c>
      <c r="AA78" s="2">
        <v>100.0</v>
      </c>
      <c r="AB78" s="1" t="s">
        <v>62</v>
      </c>
      <c r="AC78" s="1" t="s">
        <v>51</v>
      </c>
      <c r="AD78" s="1" t="s">
        <v>88</v>
      </c>
      <c r="AE78" s="1" t="s">
        <v>51</v>
      </c>
      <c r="AF78" s="1" t="s">
        <v>51</v>
      </c>
      <c r="AG78" s="1" t="s">
        <v>72</v>
      </c>
      <c r="AI78" s="2">
        <v>0.0</v>
      </c>
      <c r="AJ78" s="2">
        <v>0.0</v>
      </c>
      <c r="AK78" s="2">
        <v>0.0</v>
      </c>
      <c r="AL78" s="2">
        <v>1.0</v>
      </c>
      <c r="AM78" s="1" t="s">
        <v>72</v>
      </c>
      <c r="AP78" s="2">
        <v>4.88303256E8</v>
      </c>
      <c r="AQ78" s="1" t="s">
        <v>186</v>
      </c>
      <c r="AR78" s="2">
        <v>45805.84951388889</v>
      </c>
      <c r="AU78" s="1" t="s">
        <v>64</v>
      </c>
      <c r="AW78" s="1" t="s">
        <v>165</v>
      </c>
      <c r="AY78" s="2">
        <v>72.0</v>
      </c>
    </row>
    <row r="79">
      <c r="A79" s="1" t="s">
        <v>51</v>
      </c>
      <c r="C79" s="1" t="s">
        <v>52</v>
      </c>
      <c r="E79" s="1" t="s">
        <v>53</v>
      </c>
      <c r="F79" s="1" t="s">
        <v>54</v>
      </c>
      <c r="G79" s="2">
        <v>47.0</v>
      </c>
      <c r="H79" s="1" t="s">
        <v>55</v>
      </c>
      <c r="I79" s="1" t="s">
        <v>67</v>
      </c>
      <c r="J79" s="1" t="s">
        <v>86</v>
      </c>
      <c r="K79" s="1" t="s">
        <v>87</v>
      </c>
      <c r="M79" s="1" t="s">
        <v>58</v>
      </c>
      <c r="N79" s="1" t="s">
        <v>58</v>
      </c>
      <c r="O79" s="1" t="s">
        <v>58</v>
      </c>
      <c r="Q79" s="1" t="s">
        <v>70</v>
      </c>
      <c r="R79" s="1" t="s">
        <v>58</v>
      </c>
      <c r="S79" s="1" t="s">
        <v>69</v>
      </c>
      <c r="T79" s="1" t="s">
        <v>69</v>
      </c>
      <c r="U79" s="1" t="s">
        <v>58</v>
      </c>
      <c r="V79" s="1" t="s">
        <v>58</v>
      </c>
      <c r="W79" s="1" t="s">
        <v>69</v>
      </c>
      <c r="X79" s="1" t="s">
        <v>88</v>
      </c>
      <c r="Y79" s="1" t="s">
        <v>95</v>
      </c>
      <c r="Z79" s="1" t="s">
        <v>89</v>
      </c>
      <c r="AA79" s="2">
        <v>50.0</v>
      </c>
      <c r="AB79" s="1" t="s">
        <v>62</v>
      </c>
      <c r="AC79" s="1" t="s">
        <v>71</v>
      </c>
      <c r="AF79" s="1" t="s">
        <v>51</v>
      </c>
      <c r="AG79" s="1" t="s">
        <v>72</v>
      </c>
      <c r="AI79" s="2">
        <v>0.0</v>
      </c>
      <c r="AJ79" s="2">
        <v>0.0</v>
      </c>
      <c r="AK79" s="2">
        <v>0.0</v>
      </c>
      <c r="AL79" s="2">
        <v>1.0</v>
      </c>
      <c r="AM79" s="1" t="s">
        <v>51</v>
      </c>
      <c r="AN79" s="2">
        <v>8.10323079E8</v>
      </c>
      <c r="AP79" s="2">
        <v>4.88304149E8</v>
      </c>
      <c r="AQ79" s="1" t="s">
        <v>187</v>
      </c>
      <c r="AR79" s="2">
        <v>45805.851111111115</v>
      </c>
      <c r="AU79" s="1" t="s">
        <v>64</v>
      </c>
      <c r="AW79" s="1" t="s">
        <v>165</v>
      </c>
      <c r="AY79" s="2">
        <v>73.0</v>
      </c>
    </row>
    <row r="80">
      <c r="A80" s="1" t="s">
        <v>51</v>
      </c>
      <c r="C80" s="1" t="s">
        <v>188</v>
      </c>
      <c r="E80" s="1" t="s">
        <v>53</v>
      </c>
      <c r="F80" s="1" t="s">
        <v>102</v>
      </c>
      <c r="G80" s="2">
        <v>31.0</v>
      </c>
      <c r="H80" s="1" t="s">
        <v>55</v>
      </c>
      <c r="I80" s="1" t="s">
        <v>100</v>
      </c>
      <c r="J80" s="1" t="s">
        <v>86</v>
      </c>
      <c r="K80" s="1" t="s">
        <v>87</v>
      </c>
      <c r="M80" s="1" t="s">
        <v>58</v>
      </c>
      <c r="N80" s="1" t="s">
        <v>58</v>
      </c>
      <c r="O80" s="1" t="s">
        <v>58</v>
      </c>
      <c r="Q80" s="1" t="s">
        <v>69</v>
      </c>
      <c r="R80" s="1" t="s">
        <v>58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81</v>
      </c>
      <c r="Y80" s="1" t="s">
        <v>60</v>
      </c>
      <c r="Z80" s="1" t="s">
        <v>96</v>
      </c>
      <c r="AA80" s="2">
        <v>100.0</v>
      </c>
      <c r="AB80" s="1" t="s">
        <v>28</v>
      </c>
      <c r="AC80" s="1" t="s">
        <v>71</v>
      </c>
      <c r="AF80" s="1" t="s">
        <v>51</v>
      </c>
      <c r="AG80" s="1" t="s">
        <v>72</v>
      </c>
      <c r="AI80" s="2">
        <v>0.0</v>
      </c>
      <c r="AJ80" s="2">
        <v>0.0</v>
      </c>
      <c r="AK80" s="2">
        <v>0.0</v>
      </c>
      <c r="AL80" s="2">
        <v>1.0</v>
      </c>
      <c r="AM80" s="1" t="s">
        <v>72</v>
      </c>
      <c r="AP80" s="2">
        <v>4.88356383E8</v>
      </c>
      <c r="AQ80" s="1" t="s">
        <v>189</v>
      </c>
      <c r="AR80" s="2">
        <v>45805.996932870374</v>
      </c>
      <c r="AU80" s="1" t="s">
        <v>64</v>
      </c>
      <c r="AW80" s="1" t="s">
        <v>165</v>
      </c>
      <c r="AY80" s="2">
        <v>74.0</v>
      </c>
    </row>
    <row r="81">
      <c r="A81" s="1" t="s">
        <v>51</v>
      </c>
      <c r="C81" s="1" t="s">
        <v>131</v>
      </c>
      <c r="E81" s="1" t="s">
        <v>131</v>
      </c>
      <c r="G81" s="2">
        <v>30.0</v>
      </c>
      <c r="H81" s="1" t="s">
        <v>55</v>
      </c>
      <c r="J81" s="1" t="s">
        <v>111</v>
      </c>
      <c r="K81" s="1" t="s">
        <v>87</v>
      </c>
      <c r="M81" s="1" t="s">
        <v>58</v>
      </c>
      <c r="N81" s="1" t="s">
        <v>58</v>
      </c>
      <c r="O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69</v>
      </c>
      <c r="X81" s="1" t="s">
        <v>103</v>
      </c>
      <c r="Y81" s="1" t="s">
        <v>82</v>
      </c>
      <c r="Z81" s="1" t="s">
        <v>96</v>
      </c>
      <c r="AA81" s="2">
        <v>100.0</v>
      </c>
      <c r="AB81" s="1" t="s">
        <v>28</v>
      </c>
      <c r="AC81" s="1" t="s">
        <v>51</v>
      </c>
      <c r="AD81" s="1" t="s">
        <v>103</v>
      </c>
      <c r="AE81" s="1" t="s">
        <v>51</v>
      </c>
      <c r="AF81" s="1" t="s">
        <v>51</v>
      </c>
      <c r="AG81" s="1" t="s">
        <v>51</v>
      </c>
      <c r="AH81" s="2">
        <v>20.0</v>
      </c>
      <c r="AI81" s="2">
        <v>1.0</v>
      </c>
      <c r="AJ81" s="2">
        <v>1.0</v>
      </c>
      <c r="AK81" s="2">
        <v>1.0</v>
      </c>
      <c r="AL81" s="2">
        <v>0.0</v>
      </c>
      <c r="AP81" s="2">
        <v>4.88401783E8</v>
      </c>
      <c r="AQ81" s="1" t="s">
        <v>190</v>
      </c>
      <c r="AR81" s="2">
        <v>45806.188263888886</v>
      </c>
      <c r="AU81" s="1" t="s">
        <v>64</v>
      </c>
      <c r="AW81" s="1" t="s">
        <v>191</v>
      </c>
      <c r="AY81" s="2">
        <v>75.0</v>
      </c>
    </row>
    <row r="82">
      <c r="A82" s="1" t="s">
        <v>51</v>
      </c>
      <c r="C82" s="1" t="s">
        <v>151</v>
      </c>
      <c r="E82" s="1" t="s">
        <v>151</v>
      </c>
      <c r="G82" s="2">
        <v>42.0</v>
      </c>
      <c r="H82" s="1" t="s">
        <v>55</v>
      </c>
      <c r="J82" s="1" t="s">
        <v>86</v>
      </c>
      <c r="K82" s="1" t="s">
        <v>87</v>
      </c>
      <c r="M82" s="1" t="s">
        <v>58</v>
      </c>
      <c r="N82" s="1" t="s">
        <v>58</v>
      </c>
      <c r="O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58</v>
      </c>
      <c r="V82" s="1" t="s">
        <v>69</v>
      </c>
      <c r="W82" s="1" t="s">
        <v>69</v>
      </c>
      <c r="X82" s="1" t="s">
        <v>81</v>
      </c>
      <c r="Y82" s="1" t="s">
        <v>95</v>
      </c>
      <c r="Z82" s="1" t="s">
        <v>108</v>
      </c>
      <c r="AA82" s="2">
        <v>50.0</v>
      </c>
      <c r="AB82" s="1" t="s">
        <v>62</v>
      </c>
      <c r="AC82" s="1" t="s">
        <v>51</v>
      </c>
      <c r="AD82" s="1" t="s">
        <v>59</v>
      </c>
      <c r="AE82" s="1" t="s">
        <v>51</v>
      </c>
      <c r="AF82" s="1" t="s">
        <v>51</v>
      </c>
      <c r="AG82" s="1" t="s">
        <v>51</v>
      </c>
      <c r="AH82" s="2">
        <v>100.0</v>
      </c>
      <c r="AI82" s="2">
        <v>0.0</v>
      </c>
      <c r="AJ82" s="2">
        <v>0.0</v>
      </c>
      <c r="AK82" s="2">
        <v>0.0</v>
      </c>
      <c r="AL82" s="2">
        <v>1.0</v>
      </c>
      <c r="AP82" s="2">
        <v>4.88438457E8</v>
      </c>
      <c r="AQ82" s="1" t="s">
        <v>192</v>
      </c>
      <c r="AR82" s="2">
        <v>45806.26267361111</v>
      </c>
      <c r="AU82" s="1" t="s">
        <v>64</v>
      </c>
      <c r="AW82" s="1" t="s">
        <v>191</v>
      </c>
      <c r="AY82" s="2">
        <v>76.0</v>
      </c>
    </row>
    <row r="83">
      <c r="A83" s="1" t="s">
        <v>51</v>
      </c>
      <c r="C83" s="1" t="s">
        <v>151</v>
      </c>
      <c r="E83" s="1" t="s">
        <v>151</v>
      </c>
      <c r="G83" s="2">
        <v>40.0</v>
      </c>
      <c r="H83" s="1" t="s">
        <v>66</v>
      </c>
      <c r="J83" s="1" t="s">
        <v>86</v>
      </c>
      <c r="K83" s="1" t="s">
        <v>87</v>
      </c>
      <c r="M83" s="1" t="s">
        <v>58</v>
      </c>
      <c r="N83" s="1" t="s">
        <v>58</v>
      </c>
      <c r="O83" s="1" t="s">
        <v>58</v>
      </c>
      <c r="Q83" s="1" t="s">
        <v>70</v>
      </c>
      <c r="R83" s="1" t="s">
        <v>58</v>
      </c>
      <c r="S83" s="1" t="s">
        <v>69</v>
      </c>
      <c r="T83" s="1" t="s">
        <v>70</v>
      </c>
      <c r="U83" s="1" t="s">
        <v>58</v>
      </c>
      <c r="V83" s="1" t="s">
        <v>58</v>
      </c>
      <c r="W83" s="1" t="s">
        <v>70</v>
      </c>
      <c r="X83" s="1" t="s">
        <v>81</v>
      </c>
      <c r="Y83" s="1" t="s">
        <v>95</v>
      </c>
      <c r="Z83" s="1" t="s">
        <v>127</v>
      </c>
      <c r="AA83" s="2">
        <v>100.0</v>
      </c>
      <c r="AB83" s="1" t="s">
        <v>79</v>
      </c>
      <c r="AC83" s="1" t="s">
        <v>71</v>
      </c>
      <c r="AF83" s="1" t="s">
        <v>51</v>
      </c>
      <c r="AG83" s="1" t="s">
        <v>72</v>
      </c>
      <c r="AI83" s="2">
        <v>0.0</v>
      </c>
      <c r="AJ83" s="2">
        <v>0.0</v>
      </c>
      <c r="AK83" s="2">
        <v>0.0</v>
      </c>
      <c r="AL83" s="2">
        <v>1.0</v>
      </c>
      <c r="AP83" s="2">
        <v>4.88457611E8</v>
      </c>
      <c r="AQ83" s="1" t="s">
        <v>193</v>
      </c>
      <c r="AR83" s="2">
        <v>45806.2902662037</v>
      </c>
      <c r="AU83" s="1" t="s">
        <v>64</v>
      </c>
      <c r="AW83" s="1" t="s">
        <v>191</v>
      </c>
      <c r="AY83" s="2">
        <v>77.0</v>
      </c>
    </row>
    <row r="84">
      <c r="A84" s="1" t="s">
        <v>51</v>
      </c>
      <c r="C84" s="1" t="s">
        <v>170</v>
      </c>
      <c r="E84" s="1" t="s">
        <v>170</v>
      </c>
      <c r="G84" s="2">
        <v>20.0</v>
      </c>
      <c r="H84" s="1" t="s">
        <v>66</v>
      </c>
      <c r="J84" s="1" t="s">
        <v>56</v>
      </c>
      <c r="K84" s="1" t="s">
        <v>74</v>
      </c>
      <c r="M84" s="1" t="s">
        <v>58</v>
      </c>
      <c r="N84" s="1" t="s">
        <v>58</v>
      </c>
      <c r="O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81</v>
      </c>
      <c r="Y84" s="1" t="s">
        <v>82</v>
      </c>
      <c r="Z84" s="1" t="s">
        <v>61</v>
      </c>
      <c r="AA84" s="2">
        <v>100.0</v>
      </c>
      <c r="AB84" s="1" t="s">
        <v>28</v>
      </c>
      <c r="AC84" s="1" t="s">
        <v>51</v>
      </c>
      <c r="AD84" s="1" t="s">
        <v>81</v>
      </c>
      <c r="AE84" s="1" t="s">
        <v>51</v>
      </c>
      <c r="AF84" s="1" t="s">
        <v>51</v>
      </c>
      <c r="AG84" s="1" t="s">
        <v>51</v>
      </c>
      <c r="AH84" s="2">
        <v>100.0</v>
      </c>
      <c r="AI84" s="2">
        <v>0.0</v>
      </c>
      <c r="AJ84" s="2">
        <v>0.0</v>
      </c>
      <c r="AK84" s="2">
        <v>1.0</v>
      </c>
      <c r="AL84" s="2">
        <v>0.0</v>
      </c>
      <c r="AP84" s="2">
        <v>4.88499875E8</v>
      </c>
      <c r="AQ84" s="1" t="s">
        <v>194</v>
      </c>
      <c r="AR84" s="2">
        <v>45806.34857638889</v>
      </c>
      <c r="AU84" s="1" t="s">
        <v>64</v>
      </c>
      <c r="AW84" s="1" t="s">
        <v>191</v>
      </c>
      <c r="AY84" s="2">
        <v>78.0</v>
      </c>
    </row>
    <row r="85">
      <c r="A85" s="1" t="s">
        <v>51</v>
      </c>
      <c r="C85" s="1" t="s">
        <v>52</v>
      </c>
      <c r="E85" s="1" t="s">
        <v>53</v>
      </c>
      <c r="F85" s="1" t="s">
        <v>54</v>
      </c>
      <c r="G85" s="2">
        <v>35.0</v>
      </c>
      <c r="H85" s="1" t="s">
        <v>66</v>
      </c>
      <c r="I85" s="1" t="s">
        <v>67</v>
      </c>
      <c r="J85" s="1" t="s">
        <v>111</v>
      </c>
      <c r="K85" s="1" t="s">
        <v>87</v>
      </c>
      <c r="M85" s="1" t="s">
        <v>58</v>
      </c>
      <c r="N85" s="1" t="s">
        <v>58</v>
      </c>
      <c r="O85" s="1" t="s">
        <v>58</v>
      </c>
      <c r="Q85" s="1" t="s">
        <v>69</v>
      </c>
      <c r="R85" s="1" t="s">
        <v>58</v>
      </c>
      <c r="S85" s="1" t="s">
        <v>58</v>
      </c>
      <c r="T85" s="1" t="s">
        <v>69</v>
      </c>
      <c r="U85" s="1" t="s">
        <v>58</v>
      </c>
      <c r="V85" s="1" t="s">
        <v>58</v>
      </c>
      <c r="W85" s="1" t="s">
        <v>58</v>
      </c>
      <c r="X85" s="1" t="s">
        <v>88</v>
      </c>
      <c r="Y85" s="1" t="s">
        <v>95</v>
      </c>
      <c r="Z85" s="1" t="s">
        <v>89</v>
      </c>
      <c r="AA85" s="2">
        <v>10.0</v>
      </c>
      <c r="AB85" s="1" t="s">
        <v>62</v>
      </c>
      <c r="AC85" s="1" t="s">
        <v>51</v>
      </c>
      <c r="AD85" s="1" t="s">
        <v>59</v>
      </c>
      <c r="AE85" s="1" t="s">
        <v>72</v>
      </c>
      <c r="AF85" s="1" t="s">
        <v>51</v>
      </c>
      <c r="AG85" s="1" t="s">
        <v>72</v>
      </c>
      <c r="AI85" s="2">
        <v>0.0</v>
      </c>
      <c r="AJ85" s="2">
        <v>1.0</v>
      </c>
      <c r="AK85" s="2">
        <v>1.0</v>
      </c>
      <c r="AL85" s="2">
        <v>0.0</v>
      </c>
      <c r="AM85" s="1" t="s">
        <v>72</v>
      </c>
      <c r="AP85" s="2">
        <v>4.88506903E8</v>
      </c>
      <c r="AQ85" s="1" t="s">
        <v>195</v>
      </c>
      <c r="AR85" s="2">
        <v>45806.35741898148</v>
      </c>
      <c r="AU85" s="1" t="s">
        <v>64</v>
      </c>
      <c r="AW85" s="1" t="s">
        <v>191</v>
      </c>
      <c r="AY85" s="2">
        <v>79.0</v>
      </c>
    </row>
    <row r="86">
      <c r="A86" s="1" t="s">
        <v>51</v>
      </c>
      <c r="C86" s="1" t="s">
        <v>52</v>
      </c>
      <c r="E86" s="1" t="s">
        <v>53</v>
      </c>
      <c r="F86" s="1" t="s">
        <v>102</v>
      </c>
      <c r="G86" s="2">
        <v>40.0</v>
      </c>
      <c r="H86" s="1" t="s">
        <v>55</v>
      </c>
      <c r="I86" s="1" t="s">
        <v>67</v>
      </c>
      <c r="J86" s="1" t="s">
        <v>111</v>
      </c>
      <c r="M86" s="1" t="s">
        <v>58</v>
      </c>
      <c r="N86" s="1" t="s">
        <v>58</v>
      </c>
      <c r="O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103</v>
      </c>
      <c r="Y86" s="1" t="s">
        <v>60</v>
      </c>
      <c r="Z86" s="1" t="s">
        <v>89</v>
      </c>
      <c r="AA86" s="2">
        <v>100.0</v>
      </c>
      <c r="AB86" s="1" t="s">
        <v>62</v>
      </c>
      <c r="AC86" s="1" t="s">
        <v>72</v>
      </c>
      <c r="AF86" s="1" t="s">
        <v>51</v>
      </c>
      <c r="AG86" s="1" t="s">
        <v>72</v>
      </c>
      <c r="AI86" s="2">
        <v>1.0</v>
      </c>
      <c r="AJ86" s="2">
        <v>1.0</v>
      </c>
      <c r="AK86" s="2">
        <v>1.0</v>
      </c>
      <c r="AL86" s="2">
        <v>1.0</v>
      </c>
      <c r="AM86" s="1" t="s">
        <v>72</v>
      </c>
      <c r="AP86" s="2">
        <v>4.88569497E8</v>
      </c>
      <c r="AQ86" s="1" t="s">
        <v>196</v>
      </c>
      <c r="AR86" s="2">
        <v>45806.42548611111</v>
      </c>
      <c r="AU86" s="1" t="s">
        <v>64</v>
      </c>
      <c r="AW86" s="1" t="s">
        <v>191</v>
      </c>
      <c r="AY86" s="2">
        <v>80.0</v>
      </c>
    </row>
    <row r="87">
      <c r="A87" s="1" t="s">
        <v>51</v>
      </c>
      <c r="C87" s="1" t="s">
        <v>53</v>
      </c>
      <c r="E87" s="1" t="s">
        <v>53</v>
      </c>
      <c r="F87" s="1" t="s">
        <v>197</v>
      </c>
      <c r="G87" s="2">
        <v>39.0</v>
      </c>
      <c r="H87" s="1" t="s">
        <v>55</v>
      </c>
      <c r="I87" s="1" t="s">
        <v>121</v>
      </c>
      <c r="J87" s="1" t="s">
        <v>86</v>
      </c>
      <c r="K87" s="1" t="s">
        <v>87</v>
      </c>
      <c r="M87" s="1" t="s">
        <v>58</v>
      </c>
      <c r="N87" s="1" t="s">
        <v>58</v>
      </c>
      <c r="O87" s="1" t="s">
        <v>69</v>
      </c>
      <c r="Q87" s="1" t="s">
        <v>69</v>
      </c>
      <c r="R87" s="1" t="s">
        <v>58</v>
      </c>
      <c r="S87" s="1" t="s">
        <v>69</v>
      </c>
      <c r="T87" s="1" t="s">
        <v>69</v>
      </c>
      <c r="U87" s="1" t="s">
        <v>58</v>
      </c>
      <c r="V87" s="1" t="s">
        <v>58</v>
      </c>
      <c r="W87" s="1" t="s">
        <v>70</v>
      </c>
      <c r="X87" s="1" t="s">
        <v>59</v>
      </c>
      <c r="Y87" s="1" t="s">
        <v>95</v>
      </c>
      <c r="Z87" s="1" t="s">
        <v>108</v>
      </c>
      <c r="AA87" s="2">
        <v>100.0</v>
      </c>
      <c r="AB87" s="1" t="s">
        <v>79</v>
      </c>
      <c r="AC87" s="1" t="s">
        <v>71</v>
      </c>
      <c r="AF87" s="1" t="s">
        <v>51</v>
      </c>
      <c r="AG87" s="1" t="s">
        <v>51</v>
      </c>
      <c r="AH87" s="2">
        <v>100.0</v>
      </c>
      <c r="AI87" s="2">
        <v>1.0</v>
      </c>
      <c r="AJ87" s="2">
        <v>1.0</v>
      </c>
      <c r="AK87" s="2">
        <v>1.0</v>
      </c>
      <c r="AL87" s="2">
        <v>0.0</v>
      </c>
      <c r="AM87" s="1" t="s">
        <v>72</v>
      </c>
      <c r="AP87" s="2">
        <v>4.88676978E8</v>
      </c>
      <c r="AQ87" s="1" t="s">
        <v>198</v>
      </c>
      <c r="AR87" s="2">
        <v>45806.5278125</v>
      </c>
      <c r="AU87" s="1" t="s">
        <v>64</v>
      </c>
      <c r="AW87" s="1" t="s">
        <v>191</v>
      </c>
      <c r="AY87" s="2">
        <v>81.0</v>
      </c>
    </row>
    <row r="88">
      <c r="A88" s="1" t="s">
        <v>51</v>
      </c>
      <c r="C88" s="1" t="s">
        <v>52</v>
      </c>
      <c r="E88" s="1" t="s">
        <v>53</v>
      </c>
      <c r="F88" s="1" t="s">
        <v>102</v>
      </c>
      <c r="G88" s="2">
        <v>34.0</v>
      </c>
      <c r="H88" s="1" t="s">
        <v>66</v>
      </c>
      <c r="I88" s="1" t="s">
        <v>67</v>
      </c>
      <c r="J88" s="1" t="s">
        <v>111</v>
      </c>
      <c r="K88" s="1" t="s">
        <v>87</v>
      </c>
      <c r="M88" s="1" t="s">
        <v>58</v>
      </c>
      <c r="N88" s="1" t="s">
        <v>58</v>
      </c>
      <c r="O88" s="1" t="s">
        <v>58</v>
      </c>
      <c r="Q88" s="1" t="s">
        <v>70</v>
      </c>
      <c r="R88" s="1" t="s">
        <v>58</v>
      </c>
      <c r="S88" s="1" t="s">
        <v>69</v>
      </c>
      <c r="T88" s="1" t="s">
        <v>69</v>
      </c>
      <c r="U88" s="1" t="s">
        <v>58</v>
      </c>
      <c r="V88" s="1" t="s">
        <v>58</v>
      </c>
      <c r="W88" s="1" t="s">
        <v>58</v>
      </c>
      <c r="X88" s="1" t="s">
        <v>88</v>
      </c>
      <c r="Y88" s="1" t="s">
        <v>95</v>
      </c>
      <c r="Z88" s="1" t="s">
        <v>108</v>
      </c>
      <c r="AA88" s="2">
        <v>50.0</v>
      </c>
      <c r="AB88" s="1" t="s">
        <v>62</v>
      </c>
      <c r="AC88" s="1" t="s">
        <v>71</v>
      </c>
      <c r="AF88" s="1" t="s">
        <v>51</v>
      </c>
      <c r="AG88" s="1" t="s">
        <v>72</v>
      </c>
      <c r="AI88" s="2">
        <v>0.0</v>
      </c>
      <c r="AJ88" s="2">
        <v>0.0</v>
      </c>
      <c r="AK88" s="2">
        <v>1.0</v>
      </c>
      <c r="AL88" s="2">
        <v>0.0</v>
      </c>
      <c r="AM88" s="1" t="s">
        <v>72</v>
      </c>
      <c r="AP88" s="2">
        <v>4.88690503E8</v>
      </c>
      <c r="AQ88" s="1" t="s">
        <v>199</v>
      </c>
      <c r="AR88" s="2">
        <v>45806.5390625</v>
      </c>
      <c r="AU88" s="1" t="s">
        <v>64</v>
      </c>
      <c r="AW88" s="1" t="s">
        <v>191</v>
      </c>
      <c r="AY88" s="2">
        <v>82.0</v>
      </c>
    </row>
    <row r="89">
      <c r="A89" s="1" t="s">
        <v>51</v>
      </c>
      <c r="C89" s="1" t="s">
        <v>52</v>
      </c>
      <c r="E89" s="1" t="s">
        <v>53</v>
      </c>
      <c r="F89" s="1" t="s">
        <v>54</v>
      </c>
      <c r="G89" s="2">
        <v>22.0</v>
      </c>
      <c r="H89" s="1" t="s">
        <v>66</v>
      </c>
      <c r="I89" s="1" t="s">
        <v>67</v>
      </c>
      <c r="J89" s="1" t="s">
        <v>86</v>
      </c>
      <c r="K89" s="1" t="s">
        <v>87</v>
      </c>
      <c r="M89" s="1" t="s">
        <v>58</v>
      </c>
      <c r="N89" s="1" t="s">
        <v>58</v>
      </c>
      <c r="O89" s="1" t="s">
        <v>58</v>
      </c>
      <c r="Q89" s="1" t="s">
        <v>69</v>
      </c>
      <c r="R89" s="1" t="s">
        <v>58</v>
      </c>
      <c r="S89" s="1" t="s">
        <v>58</v>
      </c>
      <c r="T89" s="1" t="s">
        <v>69</v>
      </c>
      <c r="U89" s="1" t="s">
        <v>69</v>
      </c>
      <c r="V89" s="1" t="s">
        <v>58</v>
      </c>
      <c r="W89" s="1" t="s">
        <v>69</v>
      </c>
      <c r="X89" s="1" t="s">
        <v>59</v>
      </c>
      <c r="Y89" s="1" t="s">
        <v>60</v>
      </c>
      <c r="Z89" s="1" t="s">
        <v>89</v>
      </c>
      <c r="AA89" s="2">
        <v>100.0</v>
      </c>
      <c r="AB89" s="1" t="s">
        <v>28</v>
      </c>
      <c r="AC89" s="1" t="s">
        <v>71</v>
      </c>
      <c r="AF89" s="1" t="s">
        <v>72</v>
      </c>
      <c r="AG89" s="1" t="s">
        <v>72</v>
      </c>
      <c r="AI89" s="2">
        <v>0.0</v>
      </c>
      <c r="AJ89" s="2">
        <v>0.0</v>
      </c>
      <c r="AK89" s="2">
        <v>0.0</v>
      </c>
      <c r="AL89" s="2">
        <v>1.0</v>
      </c>
      <c r="AM89" s="1" t="s">
        <v>72</v>
      </c>
      <c r="AP89" s="2">
        <v>4.88720274E8</v>
      </c>
      <c r="AQ89" s="1" t="s">
        <v>200</v>
      </c>
      <c r="AR89" s="2">
        <v>45806.56145833333</v>
      </c>
      <c r="AU89" s="1" t="s">
        <v>64</v>
      </c>
      <c r="AW89" s="1" t="s">
        <v>191</v>
      </c>
      <c r="AY89" s="2">
        <v>83.0</v>
      </c>
    </row>
    <row r="90">
      <c r="A90" s="1" t="s">
        <v>51</v>
      </c>
      <c r="C90" s="1" t="s">
        <v>53</v>
      </c>
      <c r="E90" s="1" t="s">
        <v>53</v>
      </c>
      <c r="F90" s="1" t="s">
        <v>54</v>
      </c>
      <c r="G90" s="2">
        <v>41.0</v>
      </c>
      <c r="H90" s="1" t="s">
        <v>66</v>
      </c>
      <c r="I90" s="1" t="s">
        <v>121</v>
      </c>
      <c r="J90" s="1" t="s">
        <v>86</v>
      </c>
      <c r="K90" s="1" t="s">
        <v>87</v>
      </c>
      <c r="M90" s="1" t="s">
        <v>58</v>
      </c>
      <c r="N90" s="1" t="s">
        <v>58</v>
      </c>
      <c r="O90" s="1" t="s">
        <v>69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69</v>
      </c>
      <c r="V90" s="1" t="s">
        <v>58</v>
      </c>
      <c r="W90" s="1" t="s">
        <v>58</v>
      </c>
      <c r="X90" s="1" t="s">
        <v>88</v>
      </c>
      <c r="Y90" s="1" t="s">
        <v>60</v>
      </c>
      <c r="Z90" s="1" t="s">
        <v>89</v>
      </c>
      <c r="AA90" s="2">
        <v>100.0</v>
      </c>
      <c r="AB90" s="1" t="s">
        <v>62</v>
      </c>
      <c r="AC90" s="1" t="s">
        <v>71</v>
      </c>
      <c r="AF90" s="1" t="s">
        <v>51</v>
      </c>
      <c r="AG90" s="1" t="s">
        <v>51</v>
      </c>
      <c r="AH90" s="2">
        <v>50.0</v>
      </c>
      <c r="AI90" s="2">
        <v>0.0</v>
      </c>
      <c r="AJ90" s="2">
        <v>0.0</v>
      </c>
      <c r="AK90" s="2">
        <v>0.0</v>
      </c>
      <c r="AL90" s="2">
        <v>1.0</v>
      </c>
      <c r="AM90" s="1" t="s">
        <v>72</v>
      </c>
      <c r="AP90" s="2">
        <v>4.88730589E8</v>
      </c>
      <c r="AQ90" s="1" t="s">
        <v>201</v>
      </c>
      <c r="AR90" s="2">
        <v>45806.56793981481</v>
      </c>
      <c r="AU90" s="1" t="s">
        <v>64</v>
      </c>
      <c r="AW90" s="1" t="s">
        <v>84</v>
      </c>
      <c r="AY90" s="2">
        <v>84.0</v>
      </c>
    </row>
    <row r="91">
      <c r="A91" s="1" t="s">
        <v>51</v>
      </c>
      <c r="C91" s="1" t="s">
        <v>202</v>
      </c>
      <c r="E91" s="1" t="s">
        <v>202</v>
      </c>
      <c r="G91" s="2">
        <v>42.0</v>
      </c>
      <c r="H91" s="1" t="s">
        <v>66</v>
      </c>
      <c r="J91" s="1" t="s">
        <v>86</v>
      </c>
      <c r="K91" s="1" t="s">
        <v>87</v>
      </c>
      <c r="M91" s="1" t="s">
        <v>58</v>
      </c>
      <c r="N91" s="1" t="s">
        <v>58</v>
      </c>
      <c r="O91" s="1" t="s">
        <v>58</v>
      </c>
      <c r="Q91" s="1" t="s">
        <v>69</v>
      </c>
      <c r="R91" s="1" t="s">
        <v>58</v>
      </c>
      <c r="S91" s="1" t="s">
        <v>69</v>
      </c>
      <c r="T91" s="1" t="s">
        <v>58</v>
      </c>
      <c r="U91" s="1" t="s">
        <v>70</v>
      </c>
      <c r="V91" s="1" t="s">
        <v>58</v>
      </c>
      <c r="W91" s="1" t="s">
        <v>69</v>
      </c>
      <c r="X91" s="1" t="s">
        <v>81</v>
      </c>
      <c r="Y91" s="1" t="s">
        <v>95</v>
      </c>
      <c r="Z91" s="1" t="s">
        <v>96</v>
      </c>
      <c r="AA91" s="2">
        <v>100.0</v>
      </c>
      <c r="AB91" s="1" t="s">
        <v>62</v>
      </c>
      <c r="AC91" s="1" t="s">
        <v>71</v>
      </c>
      <c r="AF91" s="1" t="s">
        <v>51</v>
      </c>
      <c r="AG91" s="1" t="s">
        <v>72</v>
      </c>
      <c r="AI91" s="2">
        <v>0.0</v>
      </c>
      <c r="AJ91" s="2">
        <v>0.0</v>
      </c>
      <c r="AK91" s="2">
        <v>1.0</v>
      </c>
      <c r="AL91" s="2">
        <v>0.0</v>
      </c>
      <c r="AP91" s="2">
        <v>4.88786593E8</v>
      </c>
      <c r="AQ91" s="1" t="s">
        <v>203</v>
      </c>
      <c r="AR91" s="2">
        <v>45806.60795138889</v>
      </c>
      <c r="AU91" s="1" t="s">
        <v>64</v>
      </c>
      <c r="AW91" s="1" t="s">
        <v>191</v>
      </c>
      <c r="AY91" s="2">
        <v>85.0</v>
      </c>
    </row>
    <row r="92">
      <c r="A92" s="1" t="s">
        <v>51</v>
      </c>
      <c r="C92" s="1" t="s">
        <v>53</v>
      </c>
      <c r="E92" s="1" t="s">
        <v>53</v>
      </c>
      <c r="F92" s="1" t="s">
        <v>54</v>
      </c>
      <c r="G92" s="2">
        <v>46.0</v>
      </c>
      <c r="H92" s="1" t="s">
        <v>66</v>
      </c>
      <c r="I92" s="1" t="s">
        <v>121</v>
      </c>
      <c r="J92" s="1" t="s">
        <v>111</v>
      </c>
      <c r="K92" s="1" t="s">
        <v>87</v>
      </c>
      <c r="M92" s="1" t="s">
        <v>58</v>
      </c>
      <c r="N92" s="1" t="s">
        <v>58</v>
      </c>
      <c r="O92" s="1" t="s">
        <v>58</v>
      </c>
      <c r="Q92" s="1" t="s">
        <v>69</v>
      </c>
      <c r="R92" s="1" t="s">
        <v>58</v>
      </c>
      <c r="S92" s="1" t="s">
        <v>69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59</v>
      </c>
      <c r="Y92" s="1" t="s">
        <v>95</v>
      </c>
      <c r="Z92" s="1" t="s">
        <v>96</v>
      </c>
      <c r="AA92" s="2">
        <v>100.0</v>
      </c>
      <c r="AB92" s="1" t="s">
        <v>62</v>
      </c>
      <c r="AC92" s="1" t="s">
        <v>72</v>
      </c>
      <c r="AF92" s="1" t="s">
        <v>51</v>
      </c>
      <c r="AG92" s="1" t="s">
        <v>72</v>
      </c>
      <c r="AI92" s="2">
        <v>0.0</v>
      </c>
      <c r="AJ92" s="2">
        <v>0.0</v>
      </c>
      <c r="AK92" s="2">
        <v>0.0</v>
      </c>
      <c r="AL92" s="2">
        <v>1.0</v>
      </c>
      <c r="AM92" s="1" t="s">
        <v>51</v>
      </c>
      <c r="AN92" s="1" t="s">
        <v>204</v>
      </c>
      <c r="AP92" s="2">
        <v>4.8882061E8</v>
      </c>
      <c r="AQ92" s="1" t="s">
        <v>205</v>
      </c>
      <c r="AR92" s="2">
        <v>45806.62994212963</v>
      </c>
      <c r="AU92" s="1" t="s">
        <v>64</v>
      </c>
      <c r="AW92" s="1" t="s">
        <v>191</v>
      </c>
      <c r="AY92" s="2">
        <v>86.0</v>
      </c>
    </row>
    <row r="93">
      <c r="A93" s="1" t="s">
        <v>51</v>
      </c>
      <c r="C93" s="1" t="s">
        <v>53</v>
      </c>
      <c r="E93" s="1" t="s">
        <v>53</v>
      </c>
      <c r="F93" s="1" t="s">
        <v>54</v>
      </c>
      <c r="G93" s="2">
        <v>33.0</v>
      </c>
      <c r="H93" s="1" t="s">
        <v>66</v>
      </c>
      <c r="I93" s="1" t="s">
        <v>121</v>
      </c>
      <c r="J93" s="1" t="s">
        <v>86</v>
      </c>
      <c r="K93" s="1" t="s">
        <v>87</v>
      </c>
      <c r="M93" s="1" t="s">
        <v>58</v>
      </c>
      <c r="N93" s="1" t="s">
        <v>58</v>
      </c>
      <c r="O93" s="1" t="s">
        <v>69</v>
      </c>
      <c r="Q93" s="1" t="s">
        <v>69</v>
      </c>
      <c r="R93" s="1" t="s">
        <v>58</v>
      </c>
      <c r="S93" s="1" t="s">
        <v>58</v>
      </c>
      <c r="T93" s="1" t="s">
        <v>58</v>
      </c>
      <c r="U93" s="1" t="s">
        <v>70</v>
      </c>
      <c r="V93" s="1" t="s">
        <v>58</v>
      </c>
      <c r="W93" s="1" t="s">
        <v>69</v>
      </c>
      <c r="X93" s="1" t="s">
        <v>59</v>
      </c>
      <c r="Y93" s="1" t="s">
        <v>60</v>
      </c>
      <c r="Z93" s="1" t="s">
        <v>96</v>
      </c>
      <c r="AA93" s="2">
        <v>100.0</v>
      </c>
      <c r="AB93" s="1" t="s">
        <v>79</v>
      </c>
      <c r="AC93" s="1" t="s">
        <v>71</v>
      </c>
      <c r="AF93" s="1" t="s">
        <v>51</v>
      </c>
      <c r="AG93" s="1" t="s">
        <v>72</v>
      </c>
      <c r="AI93" s="2">
        <v>0.0</v>
      </c>
      <c r="AJ93" s="2">
        <v>0.0</v>
      </c>
      <c r="AK93" s="2">
        <v>1.0</v>
      </c>
      <c r="AL93" s="2">
        <v>0.0</v>
      </c>
      <c r="AM93" s="1" t="s">
        <v>51</v>
      </c>
      <c r="AN93" s="1" t="s">
        <v>206</v>
      </c>
      <c r="AP93" s="2">
        <v>4.88832371E8</v>
      </c>
      <c r="AQ93" s="1" t="s">
        <v>207</v>
      </c>
      <c r="AR93" s="2">
        <v>45806.637349537035</v>
      </c>
      <c r="AU93" s="1" t="s">
        <v>64</v>
      </c>
      <c r="AW93" s="1" t="s">
        <v>191</v>
      </c>
      <c r="AY93" s="2">
        <v>87.0</v>
      </c>
    </row>
    <row r="94">
      <c r="A94" s="1" t="s">
        <v>51</v>
      </c>
      <c r="C94" s="1" t="s">
        <v>52</v>
      </c>
      <c r="E94" s="1" t="s">
        <v>53</v>
      </c>
      <c r="F94" s="1" t="s">
        <v>94</v>
      </c>
      <c r="G94" s="2">
        <v>43.0</v>
      </c>
      <c r="H94" s="1" t="s">
        <v>66</v>
      </c>
      <c r="I94" s="1" t="s">
        <v>67</v>
      </c>
      <c r="J94" s="1" t="s">
        <v>86</v>
      </c>
      <c r="K94" s="1" t="s">
        <v>87</v>
      </c>
      <c r="M94" s="1" t="s">
        <v>58</v>
      </c>
      <c r="N94" s="1" t="s">
        <v>58</v>
      </c>
      <c r="O94" s="1" t="s">
        <v>70</v>
      </c>
      <c r="Q94" s="1" t="s">
        <v>69</v>
      </c>
      <c r="R94" s="1" t="s">
        <v>58</v>
      </c>
      <c r="S94" s="1" t="s">
        <v>69</v>
      </c>
      <c r="T94" s="1" t="s">
        <v>69</v>
      </c>
      <c r="U94" s="1" t="s">
        <v>69</v>
      </c>
      <c r="V94" s="1" t="s">
        <v>69</v>
      </c>
      <c r="W94" s="1" t="s">
        <v>58</v>
      </c>
      <c r="X94" s="1" t="s">
        <v>88</v>
      </c>
      <c r="Y94" s="1" t="s">
        <v>60</v>
      </c>
      <c r="Z94" s="1" t="s">
        <v>108</v>
      </c>
      <c r="AA94" s="2">
        <v>50.0</v>
      </c>
      <c r="AB94" s="1" t="s">
        <v>79</v>
      </c>
      <c r="AC94" s="1" t="s">
        <v>71</v>
      </c>
      <c r="AF94" s="1" t="s">
        <v>72</v>
      </c>
      <c r="AG94" s="1" t="s">
        <v>72</v>
      </c>
      <c r="AI94" s="2">
        <v>0.0</v>
      </c>
      <c r="AJ94" s="2">
        <v>0.0</v>
      </c>
      <c r="AK94" s="2">
        <v>0.0</v>
      </c>
      <c r="AL94" s="2">
        <v>1.0</v>
      </c>
      <c r="AM94" s="1" t="s">
        <v>72</v>
      </c>
      <c r="AP94" s="2">
        <v>4.88847644E8</v>
      </c>
      <c r="AQ94" s="1" t="s">
        <v>208</v>
      </c>
      <c r="AR94" s="2">
        <v>45806.64840277778</v>
      </c>
      <c r="AU94" s="1" t="s">
        <v>64</v>
      </c>
      <c r="AW94" s="1" t="s">
        <v>191</v>
      </c>
      <c r="AY94" s="2">
        <v>88.0</v>
      </c>
    </row>
    <row r="95">
      <c r="A95" s="1" t="s">
        <v>51</v>
      </c>
      <c r="C95" s="1" t="s">
        <v>52</v>
      </c>
      <c r="E95" s="1" t="s">
        <v>52</v>
      </c>
      <c r="G95" s="2">
        <v>35.0</v>
      </c>
      <c r="H95" s="1" t="s">
        <v>66</v>
      </c>
      <c r="J95" s="1" t="s">
        <v>56</v>
      </c>
      <c r="K95" s="1" t="s">
        <v>87</v>
      </c>
      <c r="M95" s="1" t="s">
        <v>58</v>
      </c>
      <c r="N95" s="1" t="s">
        <v>58</v>
      </c>
      <c r="O95" s="1" t="s">
        <v>69</v>
      </c>
      <c r="Q95" s="1" t="s">
        <v>69</v>
      </c>
      <c r="R95" s="1" t="s">
        <v>58</v>
      </c>
      <c r="S95" s="1" t="s">
        <v>69</v>
      </c>
      <c r="T95" s="1" t="s">
        <v>58</v>
      </c>
      <c r="U95" s="1" t="s">
        <v>58</v>
      </c>
      <c r="V95" s="1" t="s">
        <v>58</v>
      </c>
      <c r="W95" s="1" t="s">
        <v>69</v>
      </c>
      <c r="X95" s="1" t="s">
        <v>88</v>
      </c>
      <c r="Y95" s="1" t="s">
        <v>82</v>
      </c>
      <c r="Z95" s="1" t="s">
        <v>108</v>
      </c>
      <c r="AA95" s="2">
        <v>100.0</v>
      </c>
      <c r="AB95" s="1" t="s">
        <v>62</v>
      </c>
      <c r="AC95" s="1" t="s">
        <v>51</v>
      </c>
      <c r="AD95" s="1" t="s">
        <v>81</v>
      </c>
      <c r="AE95" s="1" t="s">
        <v>51</v>
      </c>
      <c r="AF95" s="1" t="s">
        <v>51</v>
      </c>
      <c r="AG95" s="1" t="s">
        <v>51</v>
      </c>
      <c r="AH95" s="2">
        <v>15.0</v>
      </c>
      <c r="AI95" s="2">
        <v>0.0</v>
      </c>
      <c r="AJ95" s="2">
        <v>0.0</v>
      </c>
      <c r="AK95" s="2">
        <v>0.0</v>
      </c>
      <c r="AL95" s="2">
        <v>1.0</v>
      </c>
      <c r="AP95" s="2">
        <v>4.88871967E8</v>
      </c>
      <c r="AQ95" s="1" t="s">
        <v>209</v>
      </c>
      <c r="AR95" s="2">
        <v>45806.665289351855</v>
      </c>
      <c r="AU95" s="1" t="s">
        <v>64</v>
      </c>
      <c r="AW95" s="1" t="s">
        <v>191</v>
      </c>
      <c r="AY95" s="2">
        <v>89.0</v>
      </c>
    </row>
    <row r="96">
      <c r="A96" s="1" t="s">
        <v>51</v>
      </c>
      <c r="C96" s="1" t="s">
        <v>52</v>
      </c>
      <c r="E96" s="1" t="s">
        <v>53</v>
      </c>
      <c r="F96" s="1" t="s">
        <v>54</v>
      </c>
      <c r="G96" s="2">
        <v>59.0</v>
      </c>
      <c r="H96" s="1" t="s">
        <v>55</v>
      </c>
      <c r="I96" s="1" t="s">
        <v>67</v>
      </c>
      <c r="J96" s="1" t="s">
        <v>111</v>
      </c>
      <c r="K96" s="1" t="s">
        <v>87</v>
      </c>
      <c r="M96" s="1" t="s">
        <v>58</v>
      </c>
      <c r="N96" s="1" t="s">
        <v>58</v>
      </c>
      <c r="O96" s="1" t="s">
        <v>58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58</v>
      </c>
      <c r="V96" s="1" t="s">
        <v>58</v>
      </c>
      <c r="W96" s="1" t="s">
        <v>69</v>
      </c>
      <c r="X96" s="1" t="s">
        <v>59</v>
      </c>
      <c r="Y96" s="1" t="s">
        <v>95</v>
      </c>
      <c r="Z96" s="1" t="s">
        <v>89</v>
      </c>
      <c r="AA96" s="2">
        <v>100.0</v>
      </c>
      <c r="AB96" s="1" t="s">
        <v>62</v>
      </c>
      <c r="AC96" s="1" t="s">
        <v>51</v>
      </c>
      <c r="AD96" s="1" t="s">
        <v>59</v>
      </c>
      <c r="AE96" s="1" t="s">
        <v>51</v>
      </c>
      <c r="AF96" s="1" t="s">
        <v>51</v>
      </c>
      <c r="AG96" s="1" t="s">
        <v>51</v>
      </c>
      <c r="AH96" s="2">
        <v>100.0</v>
      </c>
      <c r="AI96" s="2">
        <v>0.0</v>
      </c>
      <c r="AJ96" s="2">
        <v>0.0</v>
      </c>
      <c r="AK96" s="2">
        <v>0.0</v>
      </c>
      <c r="AL96" s="2">
        <v>1.0</v>
      </c>
      <c r="AM96" s="1" t="s">
        <v>51</v>
      </c>
      <c r="AN96" s="3">
        <v>27727644928</v>
      </c>
      <c r="AP96" s="2">
        <v>4.88885171E8</v>
      </c>
      <c r="AQ96" s="1" t="s">
        <v>210</v>
      </c>
      <c r="AR96" s="2">
        <v>45806.67402777778</v>
      </c>
      <c r="AU96" s="1" t="s">
        <v>64</v>
      </c>
      <c r="AW96" s="1" t="s">
        <v>191</v>
      </c>
      <c r="AY96" s="2">
        <v>90.0</v>
      </c>
    </row>
    <row r="97">
      <c r="A97" s="1" t="s">
        <v>51</v>
      </c>
      <c r="C97" s="1" t="s">
        <v>53</v>
      </c>
      <c r="E97" s="1" t="s">
        <v>53</v>
      </c>
      <c r="F97" s="1" t="s">
        <v>149</v>
      </c>
      <c r="G97" s="2">
        <v>34.0</v>
      </c>
      <c r="H97" s="1" t="s">
        <v>66</v>
      </c>
      <c r="I97" s="1" t="s">
        <v>121</v>
      </c>
      <c r="J97" s="1" t="s">
        <v>86</v>
      </c>
      <c r="K97" s="1" t="s">
        <v>87</v>
      </c>
      <c r="M97" s="1" t="s">
        <v>58</v>
      </c>
      <c r="O97" s="1" t="s">
        <v>58</v>
      </c>
      <c r="Q97" s="1" t="s">
        <v>58</v>
      </c>
      <c r="R97" s="1" t="s">
        <v>58</v>
      </c>
      <c r="S97" s="1" t="s">
        <v>69</v>
      </c>
      <c r="T97" s="1" t="s">
        <v>69</v>
      </c>
      <c r="U97" s="1" t="s">
        <v>58</v>
      </c>
      <c r="V97" s="1" t="s">
        <v>69</v>
      </c>
      <c r="W97" s="1" t="s">
        <v>69</v>
      </c>
      <c r="X97" s="1" t="s">
        <v>59</v>
      </c>
      <c r="Y97" s="1" t="s">
        <v>95</v>
      </c>
      <c r="Z97" s="1" t="s">
        <v>61</v>
      </c>
      <c r="AA97" s="2">
        <v>100.0</v>
      </c>
      <c r="AB97" s="1" t="s">
        <v>79</v>
      </c>
      <c r="AF97" s="1" t="s">
        <v>51</v>
      </c>
      <c r="AG97" s="1" t="s">
        <v>51</v>
      </c>
      <c r="AH97" s="2">
        <v>50.0</v>
      </c>
      <c r="AI97" s="2">
        <v>0.0</v>
      </c>
      <c r="AJ97" s="2">
        <v>0.0</v>
      </c>
      <c r="AK97" s="2">
        <v>0.0</v>
      </c>
      <c r="AL97" s="2">
        <v>1.0</v>
      </c>
      <c r="AM97" s="1" t="s">
        <v>51</v>
      </c>
      <c r="AN97" s="2">
        <v>7.31367408E8</v>
      </c>
      <c r="AP97" s="2">
        <v>4.88933913E8</v>
      </c>
      <c r="AQ97" s="1" t="s">
        <v>211</v>
      </c>
      <c r="AR97" s="2">
        <v>45806.70991898148</v>
      </c>
      <c r="AU97" s="1" t="s">
        <v>64</v>
      </c>
      <c r="AW97" s="1" t="s">
        <v>191</v>
      </c>
      <c r="AY97" s="2">
        <v>91.0</v>
      </c>
    </row>
    <row r="98">
      <c r="A98" s="1" t="s">
        <v>51</v>
      </c>
      <c r="C98" s="1" t="s">
        <v>212</v>
      </c>
      <c r="E98" s="1" t="s">
        <v>53</v>
      </c>
      <c r="F98" s="1" t="s">
        <v>102</v>
      </c>
      <c r="G98" s="2">
        <v>50.0</v>
      </c>
      <c r="H98" s="1" t="s">
        <v>55</v>
      </c>
      <c r="I98" s="1" t="s">
        <v>67</v>
      </c>
      <c r="J98" s="1" t="s">
        <v>86</v>
      </c>
      <c r="K98" s="1" t="s">
        <v>87</v>
      </c>
      <c r="M98" s="1" t="s">
        <v>58</v>
      </c>
      <c r="N98" s="1" t="s">
        <v>58</v>
      </c>
      <c r="O98" s="1" t="s">
        <v>58</v>
      </c>
      <c r="Q98" s="1" t="s">
        <v>69</v>
      </c>
      <c r="R98" s="1" t="s">
        <v>58</v>
      </c>
      <c r="S98" s="1" t="s">
        <v>69</v>
      </c>
      <c r="T98" s="1" t="s">
        <v>69</v>
      </c>
      <c r="U98" s="1" t="s">
        <v>69</v>
      </c>
      <c r="V98" s="1" t="s">
        <v>58</v>
      </c>
      <c r="W98" s="1" t="s">
        <v>69</v>
      </c>
      <c r="X98" s="1" t="s">
        <v>88</v>
      </c>
      <c r="Y98" s="1" t="s">
        <v>95</v>
      </c>
      <c r="Z98" s="1" t="s">
        <v>89</v>
      </c>
      <c r="AA98" s="2">
        <v>100.0</v>
      </c>
      <c r="AB98" s="1" t="s">
        <v>79</v>
      </c>
      <c r="AF98" s="1" t="s">
        <v>51</v>
      </c>
      <c r="AG98" s="1" t="s">
        <v>72</v>
      </c>
      <c r="AI98" s="2">
        <v>0.0</v>
      </c>
      <c r="AJ98" s="2">
        <v>0.0</v>
      </c>
      <c r="AK98" s="2">
        <v>0.0</v>
      </c>
      <c r="AL98" s="2">
        <v>1.0</v>
      </c>
      <c r="AM98" s="1" t="s">
        <v>72</v>
      </c>
      <c r="AP98" s="2">
        <v>4.88978682E8</v>
      </c>
      <c r="AQ98" s="1" t="s">
        <v>213</v>
      </c>
      <c r="AR98" s="2">
        <v>45806.750023148146</v>
      </c>
      <c r="AU98" s="1" t="s">
        <v>64</v>
      </c>
      <c r="AW98" s="1" t="s">
        <v>191</v>
      </c>
      <c r="AY98" s="2">
        <v>92.0</v>
      </c>
    </row>
    <row r="99">
      <c r="A99" s="1" t="s">
        <v>51</v>
      </c>
      <c r="C99" s="1" t="s">
        <v>53</v>
      </c>
      <c r="E99" s="1" t="s">
        <v>53</v>
      </c>
      <c r="F99" s="1" t="s">
        <v>214</v>
      </c>
      <c r="G99" s="2">
        <v>39.0</v>
      </c>
      <c r="H99" s="1" t="s">
        <v>66</v>
      </c>
      <c r="I99" s="1" t="s">
        <v>121</v>
      </c>
      <c r="J99" s="1" t="s">
        <v>86</v>
      </c>
      <c r="K99" s="1" t="s">
        <v>87</v>
      </c>
      <c r="M99" s="1" t="s">
        <v>58</v>
      </c>
      <c r="N99" s="1" t="s">
        <v>58</v>
      </c>
      <c r="O99" s="1" t="s">
        <v>58</v>
      </c>
      <c r="Q99" s="1" t="s">
        <v>69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88</v>
      </c>
      <c r="Y99" s="1" t="s">
        <v>95</v>
      </c>
      <c r="Z99" s="1" t="s">
        <v>89</v>
      </c>
      <c r="AA99" s="2">
        <v>100.0</v>
      </c>
      <c r="AB99" s="1" t="s">
        <v>62</v>
      </c>
      <c r="AC99" s="1" t="s">
        <v>51</v>
      </c>
      <c r="AD99" s="1" t="s">
        <v>81</v>
      </c>
      <c r="AE99" s="1" t="s">
        <v>51</v>
      </c>
      <c r="AG99" s="1" t="s">
        <v>51</v>
      </c>
      <c r="AH99" s="2">
        <v>100.0</v>
      </c>
      <c r="AI99" s="2">
        <v>0.0</v>
      </c>
      <c r="AJ99" s="2">
        <v>1.0</v>
      </c>
      <c r="AK99" s="2">
        <v>1.0</v>
      </c>
      <c r="AL99" s="2">
        <v>0.0</v>
      </c>
      <c r="AM99" s="1" t="s">
        <v>72</v>
      </c>
      <c r="AP99" s="2">
        <v>4.88978973E8</v>
      </c>
      <c r="AQ99" s="1" t="s">
        <v>215</v>
      </c>
      <c r="AR99" s="2">
        <v>45806.750439814816</v>
      </c>
      <c r="AU99" s="1" t="s">
        <v>64</v>
      </c>
      <c r="AW99" s="1" t="s">
        <v>191</v>
      </c>
      <c r="AY99" s="2">
        <v>93.0</v>
      </c>
    </row>
    <row r="100">
      <c r="A100" s="1" t="s">
        <v>51</v>
      </c>
      <c r="C100" s="1" t="s">
        <v>53</v>
      </c>
      <c r="E100" s="1" t="s">
        <v>53</v>
      </c>
      <c r="F100" s="1" t="s">
        <v>54</v>
      </c>
      <c r="G100" s="2">
        <v>45.0</v>
      </c>
      <c r="H100" s="1" t="s">
        <v>66</v>
      </c>
      <c r="I100" s="1" t="s">
        <v>121</v>
      </c>
      <c r="J100" s="1" t="s">
        <v>56</v>
      </c>
      <c r="K100" s="1" t="s">
        <v>87</v>
      </c>
      <c r="M100" s="1" t="s">
        <v>58</v>
      </c>
      <c r="N100" s="1" t="s">
        <v>58</v>
      </c>
      <c r="O100" s="1" t="s">
        <v>69</v>
      </c>
      <c r="Q100" s="1" t="s">
        <v>69</v>
      </c>
      <c r="R100" s="1" t="s">
        <v>58</v>
      </c>
      <c r="S100" s="1" t="s">
        <v>69</v>
      </c>
      <c r="T100" s="1" t="s">
        <v>69</v>
      </c>
      <c r="U100" s="1" t="s">
        <v>70</v>
      </c>
      <c r="V100" s="1" t="s">
        <v>58</v>
      </c>
      <c r="W100" s="1" t="s">
        <v>69</v>
      </c>
      <c r="X100" s="1" t="s">
        <v>88</v>
      </c>
      <c r="Y100" s="1" t="s">
        <v>95</v>
      </c>
      <c r="Z100" s="1" t="s">
        <v>96</v>
      </c>
      <c r="AA100" s="2">
        <v>100.0</v>
      </c>
      <c r="AB100" s="1" t="s">
        <v>62</v>
      </c>
      <c r="AC100" s="1" t="s">
        <v>51</v>
      </c>
      <c r="AD100" s="1" t="s">
        <v>59</v>
      </c>
      <c r="AF100" s="1" t="s">
        <v>51</v>
      </c>
      <c r="AG100" s="1" t="s">
        <v>51</v>
      </c>
      <c r="AH100" s="2">
        <v>50.0</v>
      </c>
      <c r="AI100" s="2">
        <v>1.0</v>
      </c>
      <c r="AJ100" s="2">
        <v>1.0</v>
      </c>
      <c r="AK100" s="2">
        <v>1.0</v>
      </c>
      <c r="AL100" s="2">
        <v>0.0</v>
      </c>
      <c r="AM100" s="1" t="s">
        <v>51</v>
      </c>
      <c r="AN100" s="2">
        <v>8.37723525E8</v>
      </c>
      <c r="AP100" s="2">
        <v>4.89006974E8</v>
      </c>
      <c r="AQ100" s="1" t="s">
        <v>216</v>
      </c>
      <c r="AR100" s="2">
        <v>45806.78528935185</v>
      </c>
      <c r="AU100" s="1" t="s">
        <v>64</v>
      </c>
      <c r="AW100" s="1" t="s">
        <v>191</v>
      </c>
      <c r="AY100" s="2">
        <v>94.0</v>
      </c>
    </row>
    <row r="101">
      <c r="A101" s="1" t="s">
        <v>51</v>
      </c>
      <c r="C101" s="1" t="s">
        <v>53</v>
      </c>
      <c r="E101" s="1" t="s">
        <v>53</v>
      </c>
      <c r="F101" s="1" t="s">
        <v>94</v>
      </c>
      <c r="G101" s="2">
        <v>43.0</v>
      </c>
      <c r="H101" s="1" t="s">
        <v>66</v>
      </c>
      <c r="I101" s="1" t="s">
        <v>121</v>
      </c>
      <c r="J101" s="1" t="s">
        <v>86</v>
      </c>
      <c r="K101" s="1" t="s">
        <v>87</v>
      </c>
      <c r="M101" s="1" t="s">
        <v>58</v>
      </c>
      <c r="N101" s="1" t="s">
        <v>58</v>
      </c>
      <c r="O101" s="1" t="s">
        <v>69</v>
      </c>
      <c r="Q101" s="1" t="s">
        <v>58</v>
      </c>
      <c r="R101" s="1" t="s">
        <v>58</v>
      </c>
      <c r="S101" s="1" t="s">
        <v>58</v>
      </c>
      <c r="T101" s="1" t="s">
        <v>69</v>
      </c>
      <c r="U101" s="1" t="s">
        <v>58</v>
      </c>
      <c r="V101" s="1" t="s">
        <v>58</v>
      </c>
      <c r="W101" s="1" t="s">
        <v>69</v>
      </c>
      <c r="X101" s="1" t="s">
        <v>59</v>
      </c>
      <c r="Y101" s="1" t="s">
        <v>95</v>
      </c>
      <c r="Z101" s="1" t="s">
        <v>89</v>
      </c>
      <c r="AA101" s="2">
        <v>30.0</v>
      </c>
      <c r="AB101" s="1" t="s">
        <v>28</v>
      </c>
      <c r="AC101" s="1" t="s">
        <v>71</v>
      </c>
      <c r="AF101" s="1" t="s">
        <v>72</v>
      </c>
      <c r="AG101" s="1" t="s">
        <v>72</v>
      </c>
      <c r="AI101" s="2">
        <v>0.0</v>
      </c>
      <c r="AJ101" s="2">
        <v>0.0</v>
      </c>
      <c r="AK101" s="2">
        <v>1.0</v>
      </c>
      <c r="AL101" s="2">
        <v>0.0</v>
      </c>
      <c r="AM101" s="1" t="s">
        <v>72</v>
      </c>
      <c r="AP101" s="2">
        <v>4.89015378E8</v>
      </c>
      <c r="AQ101" s="1" t="s">
        <v>217</v>
      </c>
      <c r="AR101" s="2">
        <v>45806.797951388886</v>
      </c>
      <c r="AU101" s="1" t="s">
        <v>64</v>
      </c>
      <c r="AW101" s="1" t="s">
        <v>191</v>
      </c>
      <c r="AY101" s="2">
        <v>95.0</v>
      </c>
    </row>
    <row r="102">
      <c r="A102" s="1" t="s">
        <v>51</v>
      </c>
      <c r="C102" s="1" t="s">
        <v>151</v>
      </c>
      <c r="E102" s="1" t="s">
        <v>53</v>
      </c>
      <c r="F102" s="1" t="s">
        <v>102</v>
      </c>
      <c r="G102" s="2">
        <v>38.0</v>
      </c>
      <c r="H102" s="1" t="s">
        <v>66</v>
      </c>
      <c r="I102" s="1" t="s">
        <v>67</v>
      </c>
      <c r="J102" s="1" t="s">
        <v>68</v>
      </c>
      <c r="K102" s="1" t="s">
        <v>74</v>
      </c>
      <c r="M102" s="1" t="s">
        <v>58</v>
      </c>
      <c r="N102" s="1" t="s">
        <v>58</v>
      </c>
      <c r="O102" s="1" t="s">
        <v>58</v>
      </c>
      <c r="Q102" s="1" t="s">
        <v>58</v>
      </c>
      <c r="R102" s="1" t="s">
        <v>58</v>
      </c>
      <c r="S102" s="1" t="s">
        <v>58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81</v>
      </c>
      <c r="Y102" s="1" t="s">
        <v>60</v>
      </c>
      <c r="Z102" s="1" t="s">
        <v>61</v>
      </c>
      <c r="AA102" s="2">
        <v>10.0</v>
      </c>
      <c r="AB102" s="1" t="s">
        <v>62</v>
      </c>
      <c r="AC102" s="1" t="s">
        <v>71</v>
      </c>
      <c r="AF102" s="1" t="s">
        <v>51</v>
      </c>
      <c r="AG102" s="1" t="s">
        <v>72</v>
      </c>
      <c r="AI102" s="2">
        <v>0.0</v>
      </c>
      <c r="AJ102" s="2">
        <v>0.0</v>
      </c>
      <c r="AK102" s="2">
        <v>0.0</v>
      </c>
      <c r="AL102" s="2">
        <v>1.0</v>
      </c>
      <c r="AM102" s="1" t="s">
        <v>72</v>
      </c>
      <c r="AP102" s="2">
        <v>4.89056347E8</v>
      </c>
      <c r="AQ102" s="1" t="s">
        <v>218</v>
      </c>
      <c r="AR102" s="2">
        <v>45806.863912037035</v>
      </c>
      <c r="AU102" s="1" t="s">
        <v>64</v>
      </c>
      <c r="AW102" s="1" t="s">
        <v>165</v>
      </c>
      <c r="AY102" s="2">
        <v>96.0</v>
      </c>
    </row>
    <row r="103">
      <c r="A103" s="1" t="s">
        <v>51</v>
      </c>
      <c r="C103" s="1" t="s">
        <v>53</v>
      </c>
      <c r="E103" s="1" t="s">
        <v>53</v>
      </c>
      <c r="F103" s="1" t="s">
        <v>102</v>
      </c>
      <c r="G103" s="2">
        <v>39.0</v>
      </c>
      <c r="H103" s="1" t="s">
        <v>55</v>
      </c>
      <c r="I103" s="1" t="s">
        <v>121</v>
      </c>
      <c r="J103" s="1" t="s">
        <v>86</v>
      </c>
      <c r="K103" s="1" t="s">
        <v>74</v>
      </c>
      <c r="M103" s="1" t="s">
        <v>58</v>
      </c>
      <c r="N103" s="1" t="s">
        <v>58</v>
      </c>
      <c r="O103" s="1" t="s">
        <v>58</v>
      </c>
      <c r="Q103" s="1" t="s">
        <v>69</v>
      </c>
      <c r="R103" s="1" t="s">
        <v>58</v>
      </c>
      <c r="S103" s="1" t="s">
        <v>69</v>
      </c>
      <c r="T103" s="1" t="s">
        <v>69</v>
      </c>
      <c r="U103" s="1" t="s">
        <v>69</v>
      </c>
      <c r="V103" s="1" t="s">
        <v>58</v>
      </c>
      <c r="W103" s="1" t="s">
        <v>69</v>
      </c>
      <c r="X103" s="1" t="s">
        <v>59</v>
      </c>
      <c r="Y103" s="1" t="s">
        <v>60</v>
      </c>
      <c r="Z103" s="1" t="s">
        <v>61</v>
      </c>
      <c r="AA103" s="2">
        <v>100.0</v>
      </c>
      <c r="AB103" s="1" t="s">
        <v>62</v>
      </c>
      <c r="AC103" s="1" t="s">
        <v>72</v>
      </c>
      <c r="AF103" s="1" t="s">
        <v>51</v>
      </c>
      <c r="AG103" s="1" t="s">
        <v>51</v>
      </c>
      <c r="AH103" s="2">
        <v>500.0</v>
      </c>
      <c r="AI103" s="2">
        <v>0.0</v>
      </c>
      <c r="AJ103" s="2">
        <v>1.0</v>
      </c>
      <c r="AK103" s="2">
        <v>0.0</v>
      </c>
      <c r="AL103" s="2">
        <v>0.0</v>
      </c>
      <c r="AM103" s="1" t="s">
        <v>51</v>
      </c>
      <c r="AN103" s="2">
        <v>6.94715148E8</v>
      </c>
      <c r="AP103" s="2">
        <v>4.89145506E8</v>
      </c>
      <c r="AQ103" s="1" t="s">
        <v>219</v>
      </c>
      <c r="AR103" s="2">
        <v>45807.1694212963</v>
      </c>
      <c r="AU103" s="1" t="s">
        <v>64</v>
      </c>
      <c r="AW103" s="1" t="s">
        <v>191</v>
      </c>
      <c r="AY103" s="2">
        <v>97.0</v>
      </c>
    </row>
    <row r="104">
      <c r="A104" s="1" t="s">
        <v>51</v>
      </c>
      <c r="C104" s="1" t="s">
        <v>53</v>
      </c>
      <c r="E104" s="1" t="s">
        <v>53</v>
      </c>
      <c r="F104" s="1" t="s">
        <v>102</v>
      </c>
      <c r="G104" s="2">
        <v>54.0</v>
      </c>
      <c r="H104" s="1" t="s">
        <v>66</v>
      </c>
      <c r="I104" s="1" t="s">
        <v>121</v>
      </c>
      <c r="J104" s="1" t="s">
        <v>86</v>
      </c>
      <c r="K104" s="1" t="s">
        <v>87</v>
      </c>
      <c r="M104" s="1" t="s">
        <v>58</v>
      </c>
      <c r="N104" s="1" t="s">
        <v>58</v>
      </c>
      <c r="O104" s="1" t="s">
        <v>58</v>
      </c>
      <c r="Q104" s="1" t="s">
        <v>69</v>
      </c>
      <c r="R104" s="1" t="s">
        <v>69</v>
      </c>
      <c r="S104" s="1" t="s">
        <v>58</v>
      </c>
      <c r="T104" s="1" t="s">
        <v>69</v>
      </c>
      <c r="U104" s="1" t="s">
        <v>58</v>
      </c>
      <c r="V104" s="1" t="s">
        <v>58</v>
      </c>
      <c r="W104" s="1" t="s">
        <v>69</v>
      </c>
      <c r="X104" s="1" t="s">
        <v>81</v>
      </c>
      <c r="Y104" s="1" t="s">
        <v>95</v>
      </c>
      <c r="Z104" s="1" t="s">
        <v>61</v>
      </c>
      <c r="AA104" s="2">
        <v>100.0</v>
      </c>
      <c r="AB104" s="1" t="s">
        <v>62</v>
      </c>
      <c r="AC104" s="1" t="s">
        <v>71</v>
      </c>
      <c r="AF104" s="1" t="s">
        <v>51</v>
      </c>
      <c r="AG104" s="1" t="s">
        <v>51</v>
      </c>
      <c r="AH104" s="2">
        <v>2000.0</v>
      </c>
      <c r="AI104" s="2">
        <v>0.0</v>
      </c>
      <c r="AJ104" s="2">
        <v>0.0</v>
      </c>
      <c r="AK104" s="2">
        <v>0.0</v>
      </c>
      <c r="AL104" s="2">
        <v>1.0</v>
      </c>
      <c r="AM104" s="1" t="s">
        <v>51</v>
      </c>
      <c r="AN104" s="2">
        <v>7.81400075E8</v>
      </c>
      <c r="AP104" s="2">
        <v>4.89150112E8</v>
      </c>
      <c r="AQ104" s="1" t="s">
        <v>220</v>
      </c>
      <c r="AR104" s="2">
        <v>45807.18351851852</v>
      </c>
      <c r="AU104" s="1" t="s">
        <v>64</v>
      </c>
      <c r="AW104" s="1" t="s">
        <v>191</v>
      </c>
      <c r="AY104" s="2">
        <v>98.0</v>
      </c>
    </row>
    <row r="105">
      <c r="A105" s="1" t="s">
        <v>51</v>
      </c>
      <c r="C105" s="1" t="s">
        <v>53</v>
      </c>
      <c r="E105" s="1" t="s">
        <v>53</v>
      </c>
      <c r="F105" s="1" t="s">
        <v>221</v>
      </c>
      <c r="G105" s="2">
        <v>41.0</v>
      </c>
      <c r="H105" s="1" t="s">
        <v>55</v>
      </c>
      <c r="I105" s="1" t="s">
        <v>121</v>
      </c>
      <c r="J105" s="1" t="s">
        <v>56</v>
      </c>
      <c r="K105" s="1" t="s">
        <v>87</v>
      </c>
      <c r="M105" s="1" t="s">
        <v>58</v>
      </c>
      <c r="N105" s="1" t="s">
        <v>58</v>
      </c>
      <c r="O105" s="1" t="s">
        <v>70</v>
      </c>
      <c r="Q105" s="1" t="s">
        <v>70</v>
      </c>
      <c r="R105" s="1" t="s">
        <v>58</v>
      </c>
      <c r="S105" s="1" t="s">
        <v>69</v>
      </c>
      <c r="T105" s="1" t="s">
        <v>69</v>
      </c>
      <c r="U105" s="1" t="s">
        <v>58</v>
      </c>
      <c r="V105" s="1" t="s">
        <v>58</v>
      </c>
      <c r="W105" s="1" t="s">
        <v>70</v>
      </c>
      <c r="X105" s="1" t="s">
        <v>59</v>
      </c>
      <c r="Z105" s="1" t="s">
        <v>89</v>
      </c>
      <c r="AA105" s="2">
        <v>50.0</v>
      </c>
      <c r="AB105" s="1" t="s">
        <v>62</v>
      </c>
      <c r="AC105" s="1" t="s">
        <v>51</v>
      </c>
      <c r="AD105" s="1" t="s">
        <v>59</v>
      </c>
      <c r="AE105" s="1" t="s">
        <v>51</v>
      </c>
      <c r="AF105" s="1" t="s">
        <v>51</v>
      </c>
      <c r="AG105" s="1" t="s">
        <v>51</v>
      </c>
      <c r="AH105" s="2">
        <v>50.0</v>
      </c>
      <c r="AI105" s="2">
        <v>0.0</v>
      </c>
      <c r="AJ105" s="2">
        <v>0.0</v>
      </c>
      <c r="AK105" s="2">
        <v>0.0</v>
      </c>
      <c r="AL105" s="2">
        <v>1.0</v>
      </c>
      <c r="AM105" s="1" t="s">
        <v>72</v>
      </c>
      <c r="AP105" s="2">
        <v>4.89158046E8</v>
      </c>
      <c r="AQ105" s="1" t="s">
        <v>222</v>
      </c>
      <c r="AR105" s="2">
        <v>45807.200844907406</v>
      </c>
      <c r="AU105" s="1" t="s">
        <v>64</v>
      </c>
      <c r="AW105" s="1" t="s">
        <v>191</v>
      </c>
      <c r="AY105" s="2">
        <v>99.0</v>
      </c>
    </row>
    <row r="106">
      <c r="A106" s="1" t="s">
        <v>51</v>
      </c>
      <c r="C106" s="1" t="s">
        <v>53</v>
      </c>
      <c r="E106" s="1" t="s">
        <v>53</v>
      </c>
      <c r="F106" s="1" t="s">
        <v>54</v>
      </c>
      <c r="G106" s="2">
        <v>30.0</v>
      </c>
      <c r="H106" s="1" t="s">
        <v>66</v>
      </c>
      <c r="I106" s="1" t="s">
        <v>121</v>
      </c>
      <c r="J106" s="1" t="s">
        <v>86</v>
      </c>
      <c r="K106" s="1" t="s">
        <v>87</v>
      </c>
      <c r="M106" s="1" t="s">
        <v>69</v>
      </c>
      <c r="N106" s="1" t="s">
        <v>58</v>
      </c>
      <c r="O106" s="1" t="s">
        <v>69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81</v>
      </c>
      <c r="Y106" s="1" t="s">
        <v>82</v>
      </c>
      <c r="Z106" s="1" t="s">
        <v>89</v>
      </c>
      <c r="AA106" s="2">
        <v>100.0</v>
      </c>
      <c r="AB106" s="1" t="s">
        <v>79</v>
      </c>
      <c r="AC106" s="1" t="s">
        <v>71</v>
      </c>
      <c r="AF106" s="1" t="s">
        <v>51</v>
      </c>
      <c r="AG106" s="1" t="s">
        <v>51</v>
      </c>
      <c r="AH106" s="2">
        <v>125.0</v>
      </c>
      <c r="AI106" s="2">
        <v>1.0</v>
      </c>
      <c r="AJ106" s="2">
        <v>1.0</v>
      </c>
      <c r="AK106" s="2">
        <v>1.0</v>
      </c>
      <c r="AL106" s="2">
        <v>0.0</v>
      </c>
      <c r="AM106" s="1" t="s">
        <v>51</v>
      </c>
      <c r="AN106" s="2">
        <v>7.22406196E8</v>
      </c>
      <c r="AP106" s="2">
        <v>4.8916466E8</v>
      </c>
      <c r="AQ106" s="1" t="s">
        <v>223</v>
      </c>
      <c r="AR106" s="2">
        <v>45807.217141203706</v>
      </c>
      <c r="AU106" s="1" t="s">
        <v>64</v>
      </c>
      <c r="AW106" s="1" t="s">
        <v>191</v>
      </c>
      <c r="AY106" s="2">
        <v>100.0</v>
      </c>
    </row>
    <row r="107">
      <c r="A107" s="1" t="s">
        <v>51</v>
      </c>
      <c r="C107" s="1" t="s">
        <v>52</v>
      </c>
      <c r="E107" s="1" t="s">
        <v>53</v>
      </c>
      <c r="F107" s="1" t="s">
        <v>54</v>
      </c>
      <c r="G107" s="2">
        <v>40.0</v>
      </c>
      <c r="H107" s="1" t="s">
        <v>55</v>
      </c>
      <c r="I107" s="1" t="s">
        <v>67</v>
      </c>
      <c r="J107" s="1" t="s">
        <v>86</v>
      </c>
      <c r="K107" s="1" t="s">
        <v>87</v>
      </c>
      <c r="M107" s="1" t="s">
        <v>58</v>
      </c>
      <c r="N107" s="1" t="s">
        <v>58</v>
      </c>
      <c r="O107" s="1" t="s">
        <v>69</v>
      </c>
      <c r="Q107" s="1" t="s">
        <v>69</v>
      </c>
      <c r="R107" s="1" t="s">
        <v>58</v>
      </c>
      <c r="S107" s="1" t="s">
        <v>69</v>
      </c>
      <c r="T107" s="1" t="s">
        <v>69</v>
      </c>
      <c r="U107" s="1" t="s">
        <v>58</v>
      </c>
      <c r="V107" s="1" t="s">
        <v>58</v>
      </c>
      <c r="W107" s="1" t="s">
        <v>69</v>
      </c>
      <c r="X107" s="1" t="s">
        <v>88</v>
      </c>
      <c r="Y107" s="1" t="s">
        <v>95</v>
      </c>
      <c r="Z107" s="1" t="s">
        <v>96</v>
      </c>
      <c r="AA107" s="2">
        <v>100.0</v>
      </c>
      <c r="AB107" s="1" t="s">
        <v>79</v>
      </c>
      <c r="AC107" s="1" t="s">
        <v>51</v>
      </c>
      <c r="AD107" s="1" t="s">
        <v>103</v>
      </c>
      <c r="AE107" s="1" t="s">
        <v>51</v>
      </c>
      <c r="AF107" s="1" t="s">
        <v>51</v>
      </c>
      <c r="AG107" s="1" t="s">
        <v>72</v>
      </c>
      <c r="AI107" s="2">
        <v>0.0</v>
      </c>
      <c r="AJ107" s="2">
        <v>1.0</v>
      </c>
      <c r="AK107" s="2">
        <v>0.0</v>
      </c>
      <c r="AL107" s="2">
        <v>0.0</v>
      </c>
      <c r="AM107" s="1" t="s">
        <v>51</v>
      </c>
      <c r="AN107" s="2">
        <v>7.49037713E8</v>
      </c>
      <c r="AP107" s="2">
        <v>4.89165434E8</v>
      </c>
      <c r="AQ107" s="1" t="s">
        <v>224</v>
      </c>
      <c r="AR107" s="2">
        <v>45807.21875</v>
      </c>
      <c r="AU107" s="1" t="s">
        <v>64</v>
      </c>
      <c r="AW107" s="1" t="s">
        <v>191</v>
      </c>
      <c r="AY107" s="2">
        <v>101.0</v>
      </c>
    </row>
    <row r="108">
      <c r="A108" s="1" t="s">
        <v>51</v>
      </c>
      <c r="C108" s="1" t="s">
        <v>53</v>
      </c>
      <c r="E108" s="1" t="s">
        <v>53</v>
      </c>
      <c r="F108" s="1" t="s">
        <v>225</v>
      </c>
      <c r="G108" s="2">
        <v>37.0</v>
      </c>
      <c r="H108" s="1" t="s">
        <v>66</v>
      </c>
      <c r="I108" s="1" t="s">
        <v>121</v>
      </c>
      <c r="J108" s="1" t="s">
        <v>56</v>
      </c>
      <c r="K108" s="1" t="s">
        <v>87</v>
      </c>
      <c r="M108" s="1" t="s">
        <v>58</v>
      </c>
      <c r="N108" s="1" t="s">
        <v>58</v>
      </c>
      <c r="O108" s="1" t="s">
        <v>58</v>
      </c>
      <c r="Q108" s="1" t="s">
        <v>69</v>
      </c>
      <c r="R108" s="1" t="s">
        <v>58</v>
      </c>
      <c r="S108" s="1" t="s">
        <v>58</v>
      </c>
      <c r="T108" s="1" t="s">
        <v>69</v>
      </c>
      <c r="U108" s="1" t="s">
        <v>58</v>
      </c>
      <c r="V108" s="1" t="s">
        <v>58</v>
      </c>
      <c r="W108" s="1" t="s">
        <v>69</v>
      </c>
      <c r="X108" s="1" t="s">
        <v>59</v>
      </c>
      <c r="Y108" s="1" t="s">
        <v>60</v>
      </c>
      <c r="Z108" s="1" t="s">
        <v>61</v>
      </c>
      <c r="AA108" s="2">
        <v>50.0</v>
      </c>
      <c r="AB108" s="1" t="s">
        <v>79</v>
      </c>
      <c r="AC108" s="1" t="s">
        <v>71</v>
      </c>
      <c r="AF108" s="1" t="s">
        <v>51</v>
      </c>
      <c r="AG108" s="1" t="s">
        <v>51</v>
      </c>
      <c r="AI108" s="2">
        <v>1.0</v>
      </c>
      <c r="AJ108" s="2">
        <v>1.0</v>
      </c>
      <c r="AK108" s="2">
        <v>1.0</v>
      </c>
      <c r="AL108" s="2">
        <v>0.0</v>
      </c>
      <c r="AM108" s="1" t="s">
        <v>51</v>
      </c>
      <c r="AN108" s="2">
        <v>7.63000151E8</v>
      </c>
      <c r="AP108" s="2">
        <v>4.89181341E8</v>
      </c>
      <c r="AQ108" s="1" t="s">
        <v>226</v>
      </c>
      <c r="AR108" s="2">
        <v>45807.250439814816</v>
      </c>
      <c r="AU108" s="1" t="s">
        <v>64</v>
      </c>
      <c r="AW108" s="1" t="s">
        <v>191</v>
      </c>
      <c r="AY108" s="2">
        <v>102.0</v>
      </c>
    </row>
    <row r="109">
      <c r="A109" s="1" t="s">
        <v>51</v>
      </c>
      <c r="C109" s="1" t="s">
        <v>151</v>
      </c>
      <c r="E109" s="1" t="s">
        <v>151</v>
      </c>
      <c r="G109" s="2">
        <v>39.0</v>
      </c>
      <c r="H109" s="1" t="s">
        <v>66</v>
      </c>
      <c r="J109" s="1" t="s">
        <v>86</v>
      </c>
      <c r="K109" s="1" t="s">
        <v>87</v>
      </c>
      <c r="M109" s="1" t="s">
        <v>58</v>
      </c>
      <c r="N109" s="1" t="s">
        <v>70</v>
      </c>
      <c r="O109" s="1" t="s">
        <v>69</v>
      </c>
      <c r="Q109" s="1" t="s">
        <v>69</v>
      </c>
      <c r="R109" s="1" t="s">
        <v>58</v>
      </c>
      <c r="S109" s="1" t="s">
        <v>69</v>
      </c>
      <c r="T109" s="1" t="s">
        <v>69</v>
      </c>
      <c r="U109" s="1" t="s">
        <v>58</v>
      </c>
      <c r="V109" s="1" t="s">
        <v>69</v>
      </c>
      <c r="W109" s="1" t="s">
        <v>69</v>
      </c>
      <c r="X109" s="1" t="s">
        <v>103</v>
      </c>
      <c r="Y109" s="1" t="s">
        <v>227</v>
      </c>
      <c r="Z109" s="1" t="s">
        <v>96</v>
      </c>
      <c r="AA109" s="2">
        <v>10.0</v>
      </c>
      <c r="AB109" s="1" t="s">
        <v>79</v>
      </c>
      <c r="AC109" s="1" t="s">
        <v>71</v>
      </c>
      <c r="AF109" s="1" t="s">
        <v>51</v>
      </c>
      <c r="AG109" s="1" t="s">
        <v>51</v>
      </c>
      <c r="AH109" s="2">
        <v>4000.0</v>
      </c>
      <c r="AI109" s="2">
        <v>1.0</v>
      </c>
      <c r="AJ109" s="2">
        <v>1.0</v>
      </c>
      <c r="AK109" s="2">
        <v>0.0</v>
      </c>
      <c r="AL109" s="2">
        <v>0.0</v>
      </c>
      <c r="AP109" s="2">
        <v>4.89189157E8</v>
      </c>
      <c r="AQ109" s="1" t="s">
        <v>228</v>
      </c>
      <c r="AR109" s="2">
        <v>45807.262337962966</v>
      </c>
      <c r="AU109" s="1" t="s">
        <v>64</v>
      </c>
      <c r="AW109" s="1" t="s">
        <v>191</v>
      </c>
      <c r="AY109" s="2">
        <v>103.0</v>
      </c>
    </row>
    <row r="110">
      <c r="A110" s="1" t="s">
        <v>51</v>
      </c>
      <c r="C110" s="1" t="s">
        <v>151</v>
      </c>
      <c r="E110" s="1" t="s">
        <v>151</v>
      </c>
      <c r="G110" s="2">
        <v>37.0</v>
      </c>
      <c r="H110" s="1" t="s">
        <v>55</v>
      </c>
      <c r="J110" s="1" t="s">
        <v>56</v>
      </c>
      <c r="K110" s="1" t="s">
        <v>92</v>
      </c>
      <c r="M110" s="1" t="s">
        <v>58</v>
      </c>
      <c r="N110" s="1" t="s">
        <v>58</v>
      </c>
      <c r="O110" s="1" t="s">
        <v>69</v>
      </c>
      <c r="Q110" s="1" t="s">
        <v>69</v>
      </c>
      <c r="R110" s="1" t="s">
        <v>58</v>
      </c>
      <c r="S110" s="1" t="s">
        <v>58</v>
      </c>
      <c r="T110" s="1" t="s">
        <v>58</v>
      </c>
      <c r="U110" s="1" t="s">
        <v>69</v>
      </c>
      <c r="V110" s="1" t="s">
        <v>58</v>
      </c>
      <c r="W110" s="1" t="s">
        <v>69</v>
      </c>
      <c r="X110" s="1" t="s">
        <v>81</v>
      </c>
      <c r="Y110" s="1" t="s">
        <v>60</v>
      </c>
      <c r="Z110" s="1" t="s">
        <v>89</v>
      </c>
      <c r="AA110" s="2">
        <v>100.0</v>
      </c>
      <c r="AB110" s="1" t="s">
        <v>62</v>
      </c>
      <c r="AC110" s="1" t="s">
        <v>71</v>
      </c>
      <c r="AF110" s="1" t="s">
        <v>51</v>
      </c>
      <c r="AG110" s="1" t="s">
        <v>72</v>
      </c>
      <c r="AI110" s="2">
        <v>0.0</v>
      </c>
      <c r="AJ110" s="2">
        <v>0.0</v>
      </c>
      <c r="AK110" s="2">
        <v>0.0</v>
      </c>
      <c r="AL110" s="2">
        <v>1.0</v>
      </c>
      <c r="AP110" s="2">
        <v>4.89193078E8</v>
      </c>
      <c r="AQ110" s="1" t="s">
        <v>229</v>
      </c>
      <c r="AR110" s="2">
        <v>45807.26929398148</v>
      </c>
      <c r="AU110" s="1" t="s">
        <v>64</v>
      </c>
      <c r="AW110" s="1" t="s">
        <v>191</v>
      </c>
      <c r="AY110" s="2">
        <v>104.0</v>
      </c>
    </row>
    <row r="111">
      <c r="A111" s="1" t="s">
        <v>51</v>
      </c>
      <c r="C111" s="1" t="s">
        <v>151</v>
      </c>
      <c r="E111" s="1" t="s">
        <v>53</v>
      </c>
      <c r="F111" s="1" t="s">
        <v>102</v>
      </c>
      <c r="G111" s="2">
        <v>39.0</v>
      </c>
      <c r="H111" s="1" t="s">
        <v>55</v>
      </c>
      <c r="I111" s="1" t="s">
        <v>67</v>
      </c>
      <c r="J111" s="1" t="s">
        <v>86</v>
      </c>
      <c r="K111" s="1" t="s">
        <v>87</v>
      </c>
      <c r="M111" s="1" t="s">
        <v>58</v>
      </c>
      <c r="N111" s="1" t="s">
        <v>58</v>
      </c>
      <c r="O111" s="1" t="s">
        <v>58</v>
      </c>
      <c r="Q111" s="1" t="s">
        <v>58</v>
      </c>
      <c r="R111" s="1" t="s">
        <v>58</v>
      </c>
      <c r="S111" s="1" t="s">
        <v>70</v>
      </c>
      <c r="T111" s="1" t="s">
        <v>70</v>
      </c>
      <c r="U111" s="1" t="s">
        <v>58</v>
      </c>
      <c r="V111" s="1" t="s">
        <v>58</v>
      </c>
      <c r="W111" s="1" t="s">
        <v>69</v>
      </c>
      <c r="X111" s="1" t="s">
        <v>59</v>
      </c>
      <c r="Y111" s="1" t="s">
        <v>95</v>
      </c>
      <c r="Z111" s="1" t="s">
        <v>89</v>
      </c>
      <c r="AA111" s="2">
        <v>100.0</v>
      </c>
      <c r="AB111" s="1" t="s">
        <v>79</v>
      </c>
      <c r="AC111" s="1" t="s">
        <v>71</v>
      </c>
      <c r="AF111" s="1" t="s">
        <v>51</v>
      </c>
      <c r="AG111" s="1" t="s">
        <v>72</v>
      </c>
      <c r="AI111" s="2">
        <v>0.0</v>
      </c>
      <c r="AJ111" s="2">
        <v>0.0</v>
      </c>
      <c r="AK111" s="2">
        <v>0.0</v>
      </c>
      <c r="AL111" s="2">
        <v>1.0</v>
      </c>
      <c r="AM111" s="1" t="s">
        <v>72</v>
      </c>
      <c r="AP111" s="2">
        <v>4.89233461E8</v>
      </c>
      <c r="AQ111" s="1" t="s">
        <v>230</v>
      </c>
      <c r="AR111" s="2">
        <v>45807.329305555555</v>
      </c>
      <c r="AU111" s="1" t="s">
        <v>64</v>
      </c>
      <c r="AW111" s="1" t="s">
        <v>191</v>
      </c>
      <c r="AY111" s="2">
        <v>105.0</v>
      </c>
    </row>
    <row r="112">
      <c r="A112" s="1" t="s">
        <v>51</v>
      </c>
      <c r="C112" s="1" t="s">
        <v>53</v>
      </c>
      <c r="E112" s="1" t="s">
        <v>53</v>
      </c>
      <c r="F112" s="1" t="s">
        <v>102</v>
      </c>
      <c r="G112" s="2">
        <v>20.0</v>
      </c>
      <c r="H112" s="1" t="s">
        <v>66</v>
      </c>
      <c r="I112" s="1" t="s">
        <v>121</v>
      </c>
      <c r="J112" s="1" t="s">
        <v>56</v>
      </c>
      <c r="K112" s="1" t="s">
        <v>74</v>
      </c>
      <c r="M112" s="1" t="s">
        <v>58</v>
      </c>
      <c r="N112" s="1" t="s">
        <v>58</v>
      </c>
      <c r="O112" s="1" t="s">
        <v>58</v>
      </c>
      <c r="Q112" s="1" t="s">
        <v>69</v>
      </c>
      <c r="R112" s="1" t="s">
        <v>70</v>
      </c>
      <c r="S112" s="1" t="s">
        <v>69</v>
      </c>
      <c r="T112" s="1" t="s">
        <v>69</v>
      </c>
      <c r="U112" s="1" t="s">
        <v>58</v>
      </c>
      <c r="V112" s="1" t="s">
        <v>58</v>
      </c>
      <c r="W112" s="1" t="s">
        <v>69</v>
      </c>
      <c r="X112" s="1" t="s">
        <v>81</v>
      </c>
      <c r="Y112" s="1" t="s">
        <v>82</v>
      </c>
      <c r="Z112" s="1" t="s">
        <v>89</v>
      </c>
      <c r="AA112" s="2">
        <v>50.0</v>
      </c>
      <c r="AB112" s="1" t="s">
        <v>79</v>
      </c>
      <c r="AC112" s="1" t="s">
        <v>51</v>
      </c>
      <c r="AD112" s="1" t="s">
        <v>81</v>
      </c>
      <c r="AE112" s="1" t="s">
        <v>72</v>
      </c>
      <c r="AF112" s="1" t="s">
        <v>51</v>
      </c>
      <c r="AG112" s="1" t="s">
        <v>51</v>
      </c>
      <c r="AH112" s="2">
        <v>15000.0</v>
      </c>
      <c r="AI112" s="2">
        <v>0.0</v>
      </c>
      <c r="AJ112" s="2">
        <v>1.0</v>
      </c>
      <c r="AK112" s="2">
        <v>0.0</v>
      </c>
      <c r="AL112" s="2">
        <v>0.0</v>
      </c>
      <c r="AM112" s="1" t="s">
        <v>51</v>
      </c>
      <c r="AN112" s="2">
        <v>7.9184213E7</v>
      </c>
      <c r="AP112" s="2">
        <v>4.89236468E8</v>
      </c>
      <c r="AQ112" s="1" t="s">
        <v>231</v>
      </c>
      <c r="AR112" s="2">
        <v>45807.3325462963</v>
      </c>
      <c r="AU112" s="1" t="s">
        <v>64</v>
      </c>
      <c r="AW112" s="1" t="s">
        <v>191</v>
      </c>
      <c r="AY112" s="2">
        <v>106.0</v>
      </c>
    </row>
    <row r="113">
      <c r="A113" s="1" t="s">
        <v>51</v>
      </c>
      <c r="C113" s="1" t="s">
        <v>151</v>
      </c>
      <c r="E113" s="1" t="s">
        <v>53</v>
      </c>
      <c r="F113" s="1" t="s">
        <v>232</v>
      </c>
      <c r="G113" s="2">
        <v>67.0</v>
      </c>
      <c r="H113" s="1" t="s">
        <v>233</v>
      </c>
      <c r="I113" s="1" t="s">
        <v>67</v>
      </c>
      <c r="J113" s="1" t="s">
        <v>68</v>
      </c>
      <c r="K113" s="1" t="s">
        <v>57</v>
      </c>
      <c r="M113" s="1" t="s">
        <v>58</v>
      </c>
      <c r="N113" s="1" t="s">
        <v>58</v>
      </c>
      <c r="O113" s="1" t="s">
        <v>69</v>
      </c>
      <c r="Q113" s="1" t="s">
        <v>70</v>
      </c>
      <c r="R113" s="1" t="s">
        <v>58</v>
      </c>
      <c r="S113" s="1" t="s">
        <v>70</v>
      </c>
      <c r="T113" s="1" t="s">
        <v>69</v>
      </c>
      <c r="U113" s="1" t="s">
        <v>70</v>
      </c>
      <c r="V113" s="1" t="s">
        <v>69</v>
      </c>
      <c r="W113" s="1" t="s">
        <v>58</v>
      </c>
      <c r="X113" s="1" t="s">
        <v>59</v>
      </c>
      <c r="Y113" s="1" t="s">
        <v>82</v>
      </c>
      <c r="Z113" s="1" t="s">
        <v>61</v>
      </c>
      <c r="AA113" s="2">
        <v>10.0</v>
      </c>
      <c r="AB113" s="1" t="s">
        <v>28</v>
      </c>
      <c r="AC113" s="1" t="s">
        <v>71</v>
      </c>
      <c r="AF113" s="1" t="s">
        <v>51</v>
      </c>
      <c r="AG113" s="1" t="s">
        <v>51</v>
      </c>
      <c r="AH113" s="2">
        <v>1000.0</v>
      </c>
      <c r="AI113" s="2">
        <v>0.0</v>
      </c>
      <c r="AJ113" s="2">
        <v>0.0</v>
      </c>
      <c r="AK113" s="2">
        <v>0.0</v>
      </c>
      <c r="AL113" s="2">
        <v>1.0</v>
      </c>
      <c r="AM113" s="1" t="s">
        <v>51</v>
      </c>
      <c r="AN113" s="2">
        <v>6.06449998E8</v>
      </c>
      <c r="AP113" s="2">
        <v>4.89241333E8</v>
      </c>
      <c r="AQ113" s="1" t="s">
        <v>234</v>
      </c>
      <c r="AR113" s="2">
        <v>45807.338796296295</v>
      </c>
      <c r="AU113" s="1" t="s">
        <v>64</v>
      </c>
      <c r="AW113" s="1" t="s">
        <v>191</v>
      </c>
      <c r="AY113" s="2">
        <v>107.0</v>
      </c>
    </row>
    <row r="114">
      <c r="A114" s="1" t="s">
        <v>51</v>
      </c>
      <c r="C114" s="1" t="s">
        <v>151</v>
      </c>
      <c r="E114" s="1" t="s">
        <v>151</v>
      </c>
      <c r="G114" s="2">
        <v>38.0</v>
      </c>
      <c r="H114" s="1" t="s">
        <v>66</v>
      </c>
      <c r="J114" s="1" t="s">
        <v>86</v>
      </c>
      <c r="K114" s="1" t="s">
        <v>87</v>
      </c>
      <c r="M114" s="1" t="s">
        <v>58</v>
      </c>
      <c r="N114" s="1" t="s">
        <v>58</v>
      </c>
      <c r="O114" s="1" t="s">
        <v>58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58</v>
      </c>
      <c r="V114" s="1" t="s">
        <v>69</v>
      </c>
      <c r="W114" s="1" t="s">
        <v>69</v>
      </c>
      <c r="X114" s="1" t="s">
        <v>81</v>
      </c>
      <c r="Y114" s="1" t="s">
        <v>82</v>
      </c>
      <c r="Z114" s="1" t="s">
        <v>89</v>
      </c>
      <c r="AA114" s="2">
        <v>100.0</v>
      </c>
      <c r="AB114" s="1" t="s">
        <v>28</v>
      </c>
      <c r="AC114" s="1" t="s">
        <v>51</v>
      </c>
      <c r="AD114" s="1" t="s">
        <v>81</v>
      </c>
      <c r="AE114" s="1" t="s">
        <v>51</v>
      </c>
      <c r="AF114" s="1" t="s">
        <v>51</v>
      </c>
      <c r="AG114" s="1" t="s">
        <v>51</v>
      </c>
      <c r="AH114" s="2">
        <v>2000.0</v>
      </c>
      <c r="AI114" s="2">
        <v>1.0</v>
      </c>
      <c r="AJ114" s="2">
        <v>1.0</v>
      </c>
      <c r="AK114" s="2">
        <v>0.0</v>
      </c>
      <c r="AL114" s="2">
        <v>0.0</v>
      </c>
      <c r="AP114" s="2">
        <v>4.89249492E8</v>
      </c>
      <c r="AQ114" s="1" t="s">
        <v>235</v>
      </c>
      <c r="AR114" s="2">
        <v>45807.348333333335</v>
      </c>
      <c r="AU114" s="1" t="s">
        <v>64</v>
      </c>
      <c r="AW114" s="1" t="s">
        <v>191</v>
      </c>
      <c r="AY114" s="2">
        <v>108.0</v>
      </c>
    </row>
    <row r="115">
      <c r="A115" s="1" t="s">
        <v>51</v>
      </c>
      <c r="C115" s="1" t="s">
        <v>170</v>
      </c>
      <c r="E115" s="1" t="s">
        <v>53</v>
      </c>
      <c r="F115" s="1" t="s">
        <v>102</v>
      </c>
      <c r="G115" s="2">
        <v>32.0</v>
      </c>
      <c r="I115" s="1" t="s">
        <v>67</v>
      </c>
      <c r="J115" s="1" t="s">
        <v>56</v>
      </c>
      <c r="K115" s="1" t="s">
        <v>74</v>
      </c>
      <c r="M115" s="1" t="s">
        <v>58</v>
      </c>
      <c r="N115" s="1" t="s">
        <v>58</v>
      </c>
      <c r="O115" s="1" t="s">
        <v>69</v>
      </c>
      <c r="Q115" s="1" t="s">
        <v>58</v>
      </c>
      <c r="R115" s="1" t="s">
        <v>58</v>
      </c>
      <c r="S115" s="1" t="s">
        <v>58</v>
      </c>
      <c r="T115" s="1" t="s">
        <v>70</v>
      </c>
      <c r="U115" s="1" t="s">
        <v>58</v>
      </c>
      <c r="V115" s="1" t="s">
        <v>70</v>
      </c>
      <c r="W115" s="1" t="s">
        <v>70</v>
      </c>
      <c r="X115" s="1" t="s">
        <v>81</v>
      </c>
      <c r="Y115" s="1" t="s">
        <v>82</v>
      </c>
      <c r="Z115" s="1" t="s">
        <v>89</v>
      </c>
      <c r="AA115" s="2">
        <v>10.0</v>
      </c>
      <c r="AB115" s="1" t="s">
        <v>79</v>
      </c>
      <c r="AC115" s="1" t="s">
        <v>51</v>
      </c>
      <c r="AD115" s="1" t="s">
        <v>81</v>
      </c>
      <c r="AE115" s="1" t="s">
        <v>51</v>
      </c>
      <c r="AF115" s="1" t="s">
        <v>51</v>
      </c>
      <c r="AG115" s="1" t="s">
        <v>51</v>
      </c>
      <c r="AH115" s="2">
        <v>500.0</v>
      </c>
      <c r="AI115" s="2">
        <v>0.0</v>
      </c>
      <c r="AJ115" s="2">
        <v>0.0</v>
      </c>
      <c r="AK115" s="2">
        <v>0.0</v>
      </c>
      <c r="AL115" s="2">
        <v>1.0</v>
      </c>
      <c r="AM115" s="1" t="s">
        <v>51</v>
      </c>
      <c r="AN115" s="2">
        <v>8.15520878E8</v>
      </c>
      <c r="AP115" s="2">
        <v>4.89250792E8</v>
      </c>
      <c r="AQ115" s="1" t="s">
        <v>236</v>
      </c>
      <c r="AR115" s="2">
        <v>45807.35</v>
      </c>
      <c r="AU115" s="1" t="s">
        <v>64</v>
      </c>
      <c r="AW115" s="1" t="s">
        <v>191</v>
      </c>
      <c r="AY115" s="2">
        <v>109.0</v>
      </c>
    </row>
    <row r="116">
      <c r="A116" s="1" t="s">
        <v>51</v>
      </c>
      <c r="C116" s="1" t="s">
        <v>53</v>
      </c>
      <c r="E116" s="1" t="s">
        <v>151</v>
      </c>
      <c r="G116" s="2">
        <v>28.0</v>
      </c>
      <c r="H116" s="1" t="s">
        <v>233</v>
      </c>
      <c r="J116" s="1" t="s">
        <v>56</v>
      </c>
      <c r="K116" s="1" t="s">
        <v>74</v>
      </c>
      <c r="M116" s="1" t="s">
        <v>58</v>
      </c>
      <c r="N116" s="1" t="s">
        <v>58</v>
      </c>
      <c r="O116" s="1" t="s">
        <v>58</v>
      </c>
      <c r="Q116" s="1" t="s">
        <v>58</v>
      </c>
      <c r="R116" s="1" t="s">
        <v>58</v>
      </c>
      <c r="S116" s="1" t="s">
        <v>70</v>
      </c>
      <c r="T116" s="1" t="s">
        <v>69</v>
      </c>
      <c r="U116" s="1" t="s">
        <v>58</v>
      </c>
      <c r="V116" s="1" t="s">
        <v>58</v>
      </c>
      <c r="W116" s="1" t="s">
        <v>69</v>
      </c>
      <c r="X116" s="1" t="s">
        <v>59</v>
      </c>
      <c r="Y116" s="1" t="s">
        <v>60</v>
      </c>
      <c r="Z116" s="1" t="s">
        <v>108</v>
      </c>
      <c r="AA116" s="2">
        <v>50.0</v>
      </c>
      <c r="AB116" s="1" t="s">
        <v>62</v>
      </c>
      <c r="AC116" s="1" t="s">
        <v>71</v>
      </c>
      <c r="AF116" s="1" t="s">
        <v>51</v>
      </c>
      <c r="AG116" s="1" t="s">
        <v>51</v>
      </c>
      <c r="AH116" s="2">
        <v>600.0</v>
      </c>
      <c r="AI116" s="2">
        <v>0.0</v>
      </c>
      <c r="AJ116" s="2">
        <v>1.0</v>
      </c>
      <c r="AK116" s="2">
        <v>1.0</v>
      </c>
      <c r="AL116" s="2">
        <v>0.0</v>
      </c>
      <c r="AP116" s="2">
        <v>4.89263708E8</v>
      </c>
      <c r="AQ116" s="1" t="s">
        <v>237</v>
      </c>
      <c r="AR116" s="2">
        <v>45807.36615740741</v>
      </c>
      <c r="AU116" s="1" t="s">
        <v>64</v>
      </c>
      <c r="AW116" s="1" t="s">
        <v>191</v>
      </c>
      <c r="AY116" s="2">
        <v>110.0</v>
      </c>
    </row>
    <row r="117">
      <c r="A117" s="1" t="s">
        <v>51</v>
      </c>
      <c r="C117" s="1" t="s">
        <v>151</v>
      </c>
      <c r="E117" s="1" t="s">
        <v>151</v>
      </c>
      <c r="G117" s="2">
        <v>25.0</v>
      </c>
      <c r="H117" s="1" t="s">
        <v>66</v>
      </c>
      <c r="J117" s="1" t="s">
        <v>111</v>
      </c>
      <c r="M117" s="1" t="s">
        <v>58</v>
      </c>
      <c r="N117" s="1" t="s">
        <v>58</v>
      </c>
      <c r="O117" s="1" t="s">
        <v>69</v>
      </c>
      <c r="Q117" s="1" t="s">
        <v>58</v>
      </c>
      <c r="R117" s="1" t="s">
        <v>58</v>
      </c>
      <c r="S117" s="1" t="s">
        <v>69</v>
      </c>
      <c r="T117" s="1" t="s">
        <v>69</v>
      </c>
      <c r="U117" s="1" t="s">
        <v>70</v>
      </c>
      <c r="V117" s="1" t="s">
        <v>58</v>
      </c>
      <c r="W117" s="1" t="s">
        <v>58</v>
      </c>
      <c r="X117" s="1" t="s">
        <v>81</v>
      </c>
      <c r="Y117" s="1" t="s">
        <v>60</v>
      </c>
      <c r="Z117" s="1" t="s">
        <v>61</v>
      </c>
      <c r="AA117" s="2">
        <v>10.0</v>
      </c>
      <c r="AB117" s="1" t="s">
        <v>62</v>
      </c>
      <c r="AC117" s="1" t="s">
        <v>51</v>
      </c>
      <c r="AD117" s="1" t="s">
        <v>81</v>
      </c>
      <c r="AE117" s="1" t="s">
        <v>51</v>
      </c>
      <c r="AF117" s="1" t="s">
        <v>51</v>
      </c>
      <c r="AG117" s="1" t="s">
        <v>51</v>
      </c>
      <c r="AH117" s="2">
        <v>200.0</v>
      </c>
      <c r="AI117" s="2">
        <v>1.0</v>
      </c>
      <c r="AJ117" s="2">
        <v>0.0</v>
      </c>
      <c r="AK117" s="2">
        <v>1.0</v>
      </c>
      <c r="AL117" s="2">
        <v>0.0</v>
      </c>
      <c r="AP117" s="2">
        <v>4.89268248E8</v>
      </c>
      <c r="AQ117" s="1" t="s">
        <v>238</v>
      </c>
      <c r="AR117" s="2">
        <v>45807.370717592596</v>
      </c>
      <c r="AU117" s="1" t="s">
        <v>64</v>
      </c>
      <c r="AW117" s="1" t="s">
        <v>191</v>
      </c>
      <c r="AY117" s="2">
        <v>111.0</v>
      </c>
    </row>
    <row r="118">
      <c r="A118" s="1" t="s">
        <v>51</v>
      </c>
      <c r="C118" s="1" t="s">
        <v>151</v>
      </c>
      <c r="E118" s="1" t="s">
        <v>53</v>
      </c>
      <c r="F118" s="1" t="s">
        <v>54</v>
      </c>
      <c r="G118" s="2">
        <v>26.0</v>
      </c>
      <c r="H118" s="1" t="s">
        <v>55</v>
      </c>
      <c r="I118" s="1" t="s">
        <v>67</v>
      </c>
      <c r="J118" s="1" t="s">
        <v>56</v>
      </c>
      <c r="K118" s="1" t="s">
        <v>87</v>
      </c>
      <c r="M118" s="1" t="s">
        <v>58</v>
      </c>
      <c r="N118" s="1" t="s">
        <v>58</v>
      </c>
      <c r="O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59</v>
      </c>
      <c r="Y118" s="1" t="s">
        <v>60</v>
      </c>
      <c r="Z118" s="1" t="s">
        <v>89</v>
      </c>
      <c r="AA118" s="2">
        <v>10.0</v>
      </c>
      <c r="AB118" s="1" t="s">
        <v>79</v>
      </c>
      <c r="AC118" s="1" t="s">
        <v>51</v>
      </c>
      <c r="AD118" s="1" t="s">
        <v>81</v>
      </c>
      <c r="AE118" s="1" t="s">
        <v>51</v>
      </c>
      <c r="AF118" s="1" t="s">
        <v>51</v>
      </c>
      <c r="AG118" s="1" t="s">
        <v>51</v>
      </c>
      <c r="AH118" s="2">
        <v>1000.0</v>
      </c>
      <c r="AI118" s="2">
        <v>0.0</v>
      </c>
      <c r="AJ118" s="2">
        <v>1.0</v>
      </c>
      <c r="AK118" s="2">
        <v>0.0</v>
      </c>
      <c r="AL118" s="2">
        <v>0.0</v>
      </c>
      <c r="AM118" s="1" t="s">
        <v>51</v>
      </c>
      <c r="AN118" s="2">
        <v>6.32773846E8</v>
      </c>
      <c r="AP118" s="2">
        <v>4.89280512E8</v>
      </c>
      <c r="AQ118" s="1" t="s">
        <v>239</v>
      </c>
      <c r="AR118" s="2">
        <v>45807.384930555556</v>
      </c>
      <c r="AU118" s="1" t="s">
        <v>64</v>
      </c>
      <c r="AW118" s="1" t="s">
        <v>191</v>
      </c>
      <c r="AY118" s="2">
        <v>112.0</v>
      </c>
    </row>
    <row r="119">
      <c r="A119" s="1" t="s">
        <v>51</v>
      </c>
      <c r="C119" s="1" t="s">
        <v>154</v>
      </c>
      <c r="E119" s="1" t="s">
        <v>154</v>
      </c>
      <c r="G119" s="2">
        <v>38.0</v>
      </c>
      <c r="H119" s="1" t="s">
        <v>66</v>
      </c>
      <c r="J119" s="1" t="s">
        <v>86</v>
      </c>
      <c r="K119" s="1" t="s">
        <v>87</v>
      </c>
      <c r="M119" s="1" t="s">
        <v>58</v>
      </c>
      <c r="N119" s="1" t="s">
        <v>58</v>
      </c>
      <c r="O119" s="1" t="s">
        <v>69</v>
      </c>
      <c r="Q119" s="1" t="s">
        <v>69</v>
      </c>
      <c r="R119" s="1" t="s">
        <v>69</v>
      </c>
      <c r="S119" s="1" t="s">
        <v>58</v>
      </c>
      <c r="T119" s="1" t="s">
        <v>58</v>
      </c>
      <c r="U119" s="1" t="s">
        <v>70</v>
      </c>
      <c r="V119" s="1" t="s">
        <v>58</v>
      </c>
      <c r="W119" s="1" t="s">
        <v>70</v>
      </c>
      <c r="X119" s="1" t="s">
        <v>81</v>
      </c>
      <c r="Y119" s="1" t="s">
        <v>60</v>
      </c>
      <c r="Z119" s="1" t="s">
        <v>96</v>
      </c>
      <c r="AA119" s="2">
        <v>50.0</v>
      </c>
      <c r="AB119" s="1" t="s">
        <v>62</v>
      </c>
      <c r="AC119" s="1" t="s">
        <v>71</v>
      </c>
      <c r="AF119" s="1" t="s">
        <v>51</v>
      </c>
      <c r="AG119" s="1" t="s">
        <v>51</v>
      </c>
      <c r="AH119" s="2">
        <v>5000.0</v>
      </c>
      <c r="AI119" s="2">
        <v>0.0</v>
      </c>
      <c r="AJ119" s="2">
        <v>0.0</v>
      </c>
      <c r="AK119" s="2">
        <v>0.0</v>
      </c>
      <c r="AL119" s="2">
        <v>1.0</v>
      </c>
      <c r="AP119" s="2">
        <v>4.89360254E8</v>
      </c>
      <c r="AQ119" s="1" t="s">
        <v>240</v>
      </c>
      <c r="AR119" s="2">
        <v>45807.47440972222</v>
      </c>
      <c r="AU119" s="1" t="s">
        <v>64</v>
      </c>
      <c r="AW119" s="1" t="s">
        <v>191</v>
      </c>
      <c r="AY119" s="2">
        <v>113.0</v>
      </c>
    </row>
    <row r="120">
      <c r="A120" s="1" t="s">
        <v>51</v>
      </c>
      <c r="C120" s="1" t="s">
        <v>154</v>
      </c>
      <c r="E120" s="1" t="s">
        <v>154</v>
      </c>
      <c r="G120" s="2">
        <v>32.0</v>
      </c>
      <c r="H120" s="1" t="s">
        <v>66</v>
      </c>
      <c r="J120" s="1" t="s">
        <v>86</v>
      </c>
      <c r="K120" s="1" t="s">
        <v>87</v>
      </c>
      <c r="M120" s="1" t="s">
        <v>58</v>
      </c>
      <c r="N120" s="1" t="s">
        <v>58</v>
      </c>
      <c r="O120" s="1" t="s">
        <v>58</v>
      </c>
      <c r="Q120" s="1" t="s">
        <v>69</v>
      </c>
      <c r="R120" s="1" t="s">
        <v>58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59</v>
      </c>
      <c r="Y120" s="1" t="s">
        <v>95</v>
      </c>
      <c r="Z120" s="1" t="s">
        <v>89</v>
      </c>
      <c r="AA120" s="2">
        <v>100.0</v>
      </c>
      <c r="AB120" s="1" t="s">
        <v>28</v>
      </c>
      <c r="AC120" s="1" t="s">
        <v>71</v>
      </c>
      <c r="AF120" s="1" t="s">
        <v>51</v>
      </c>
      <c r="AG120" s="1" t="s">
        <v>51</v>
      </c>
      <c r="AH120" s="2">
        <v>500.0</v>
      </c>
      <c r="AI120" s="2">
        <v>1.0</v>
      </c>
      <c r="AJ120" s="2">
        <v>0.0</v>
      </c>
      <c r="AK120" s="2">
        <v>0.0</v>
      </c>
      <c r="AL120" s="2">
        <v>0.0</v>
      </c>
      <c r="AP120" s="2">
        <v>4.89382361E8</v>
      </c>
      <c r="AQ120" s="1" t="s">
        <v>241</v>
      </c>
      <c r="AR120" s="2">
        <v>45807.495983796296</v>
      </c>
      <c r="AU120" s="1" t="s">
        <v>64</v>
      </c>
      <c r="AW120" s="1" t="s">
        <v>191</v>
      </c>
      <c r="AY120" s="2">
        <v>114.0</v>
      </c>
    </row>
    <row r="121">
      <c r="A121" s="1" t="s">
        <v>51</v>
      </c>
      <c r="C121" s="1" t="s">
        <v>154</v>
      </c>
      <c r="E121" s="1" t="s">
        <v>154</v>
      </c>
      <c r="G121" s="2">
        <v>51.0</v>
      </c>
      <c r="H121" s="1" t="s">
        <v>66</v>
      </c>
      <c r="J121" s="1" t="s">
        <v>86</v>
      </c>
      <c r="K121" s="1" t="s">
        <v>87</v>
      </c>
      <c r="M121" s="1" t="s">
        <v>58</v>
      </c>
      <c r="N121" s="1" t="s">
        <v>58</v>
      </c>
      <c r="O121" s="1" t="s">
        <v>58</v>
      </c>
      <c r="Q121" s="1" t="s">
        <v>58</v>
      </c>
      <c r="R121" s="1" t="s">
        <v>58</v>
      </c>
      <c r="S121" s="1" t="s">
        <v>69</v>
      </c>
      <c r="T121" s="1" t="s">
        <v>69</v>
      </c>
      <c r="U121" s="1" t="s">
        <v>58</v>
      </c>
      <c r="V121" s="1" t="s">
        <v>58</v>
      </c>
      <c r="W121" s="1" t="s">
        <v>69</v>
      </c>
      <c r="X121" s="1" t="s">
        <v>59</v>
      </c>
      <c r="Y121" s="1" t="s">
        <v>82</v>
      </c>
      <c r="Z121" s="1" t="s">
        <v>89</v>
      </c>
      <c r="AA121" s="2">
        <v>30.0</v>
      </c>
      <c r="AB121" s="1" t="s">
        <v>79</v>
      </c>
      <c r="AC121" s="1" t="s">
        <v>51</v>
      </c>
      <c r="AD121" s="1" t="s">
        <v>59</v>
      </c>
      <c r="AE121" s="1" t="s">
        <v>51</v>
      </c>
      <c r="AF121" s="1" t="s">
        <v>51</v>
      </c>
      <c r="AG121" s="1" t="s">
        <v>51</v>
      </c>
      <c r="AH121" s="2">
        <v>500.0</v>
      </c>
      <c r="AI121" s="2">
        <v>1.0</v>
      </c>
      <c r="AJ121" s="2">
        <v>0.0</v>
      </c>
      <c r="AK121" s="2">
        <v>1.0</v>
      </c>
      <c r="AL121" s="2">
        <v>0.0</v>
      </c>
      <c r="AP121" s="2">
        <v>4.89384259E8</v>
      </c>
      <c r="AQ121" s="1" t="s">
        <v>242</v>
      </c>
      <c r="AR121" s="2">
        <v>45807.49796296296</v>
      </c>
      <c r="AU121" s="1" t="s">
        <v>64</v>
      </c>
      <c r="AW121" s="1" t="s">
        <v>191</v>
      </c>
      <c r="AY121" s="2">
        <v>115.0</v>
      </c>
    </row>
    <row r="122">
      <c r="A122" s="1" t="s">
        <v>51</v>
      </c>
      <c r="C122" s="1" t="s">
        <v>52</v>
      </c>
      <c r="E122" s="1" t="s">
        <v>154</v>
      </c>
      <c r="G122" s="2">
        <v>38.0</v>
      </c>
      <c r="H122" s="1" t="s">
        <v>55</v>
      </c>
      <c r="J122" s="1" t="s">
        <v>56</v>
      </c>
      <c r="K122" s="1" t="s">
        <v>87</v>
      </c>
      <c r="M122" s="1" t="s">
        <v>58</v>
      </c>
      <c r="N122" s="1" t="s">
        <v>58</v>
      </c>
      <c r="O122" s="1" t="s">
        <v>69</v>
      </c>
      <c r="Q122" s="1" t="s">
        <v>58</v>
      </c>
      <c r="R122" s="1" t="s">
        <v>58</v>
      </c>
      <c r="S122" s="1" t="s">
        <v>69</v>
      </c>
      <c r="T122" s="1" t="s">
        <v>69</v>
      </c>
      <c r="U122" s="1" t="s">
        <v>69</v>
      </c>
      <c r="V122" s="1" t="s">
        <v>58</v>
      </c>
      <c r="W122" s="1" t="s">
        <v>70</v>
      </c>
      <c r="X122" s="1" t="s">
        <v>88</v>
      </c>
      <c r="Y122" s="1" t="s">
        <v>95</v>
      </c>
      <c r="Z122" s="1" t="s">
        <v>108</v>
      </c>
      <c r="AA122" s="2">
        <v>100.0</v>
      </c>
      <c r="AB122" s="1" t="s">
        <v>62</v>
      </c>
      <c r="AC122" s="1" t="s">
        <v>51</v>
      </c>
      <c r="AD122" s="1" t="s">
        <v>59</v>
      </c>
      <c r="AE122" s="1" t="s">
        <v>51</v>
      </c>
      <c r="AF122" s="1" t="s">
        <v>51</v>
      </c>
      <c r="AG122" s="1" t="s">
        <v>72</v>
      </c>
      <c r="AI122" s="2">
        <v>1.0</v>
      </c>
      <c r="AJ122" s="2">
        <v>0.0</v>
      </c>
      <c r="AK122" s="2">
        <v>1.0</v>
      </c>
      <c r="AL122" s="2">
        <v>0.0</v>
      </c>
      <c r="AP122" s="2">
        <v>4.89387431E8</v>
      </c>
      <c r="AQ122" s="1" t="s">
        <v>243</v>
      </c>
      <c r="AR122" s="2">
        <v>45807.501284722224</v>
      </c>
      <c r="AU122" s="1" t="s">
        <v>64</v>
      </c>
      <c r="AW122" s="1" t="s">
        <v>191</v>
      </c>
      <c r="AY122" s="2">
        <v>116.0</v>
      </c>
    </row>
    <row r="123">
      <c r="A123" s="1" t="s">
        <v>51</v>
      </c>
      <c r="C123" s="1" t="s">
        <v>52</v>
      </c>
      <c r="E123" s="1" t="s">
        <v>53</v>
      </c>
      <c r="F123" s="1" t="s">
        <v>54</v>
      </c>
      <c r="G123" s="2">
        <v>29.0</v>
      </c>
      <c r="H123" s="1" t="s">
        <v>66</v>
      </c>
      <c r="I123" s="1" t="s">
        <v>67</v>
      </c>
      <c r="J123" s="1" t="s">
        <v>111</v>
      </c>
      <c r="K123" s="1" t="s">
        <v>87</v>
      </c>
      <c r="M123" s="1" t="s">
        <v>58</v>
      </c>
      <c r="N123" s="1" t="s">
        <v>58</v>
      </c>
      <c r="O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59</v>
      </c>
      <c r="Y123" s="1" t="s">
        <v>95</v>
      </c>
      <c r="Z123" s="1" t="s">
        <v>89</v>
      </c>
      <c r="AA123" s="2">
        <v>100.0</v>
      </c>
      <c r="AB123" s="1" t="s">
        <v>79</v>
      </c>
      <c r="AC123" s="1" t="s">
        <v>51</v>
      </c>
      <c r="AD123" s="1" t="s">
        <v>59</v>
      </c>
      <c r="AE123" s="1" t="s">
        <v>51</v>
      </c>
      <c r="AF123" s="1" t="s">
        <v>51</v>
      </c>
      <c r="AG123" s="1" t="s">
        <v>51</v>
      </c>
      <c r="AH123" s="2">
        <v>1000.0</v>
      </c>
      <c r="AI123" s="2">
        <v>0.0</v>
      </c>
      <c r="AJ123" s="2">
        <v>1.0</v>
      </c>
      <c r="AK123" s="2">
        <v>0.0</v>
      </c>
      <c r="AL123" s="2">
        <v>0.0</v>
      </c>
      <c r="AM123" s="1" t="s">
        <v>51</v>
      </c>
      <c r="AP123" s="2">
        <v>4.89403673E8</v>
      </c>
      <c r="AQ123" s="1" t="s">
        <v>244</v>
      </c>
      <c r="AR123" s="2">
        <v>45807.516435185185</v>
      </c>
      <c r="AU123" s="1" t="s">
        <v>64</v>
      </c>
      <c r="AW123" s="1" t="s">
        <v>191</v>
      </c>
      <c r="AY123" s="2">
        <v>117.0</v>
      </c>
    </row>
    <row r="124">
      <c r="A124" s="1" t="s">
        <v>51</v>
      </c>
      <c r="C124" s="1" t="s">
        <v>151</v>
      </c>
      <c r="E124" s="1" t="s">
        <v>151</v>
      </c>
      <c r="G124" s="2">
        <v>53.0</v>
      </c>
      <c r="H124" s="1" t="s">
        <v>55</v>
      </c>
      <c r="J124" s="1" t="s">
        <v>56</v>
      </c>
      <c r="K124" s="1" t="s">
        <v>74</v>
      </c>
      <c r="M124" s="1" t="s">
        <v>58</v>
      </c>
      <c r="N124" s="1" t="s">
        <v>58</v>
      </c>
      <c r="O124" s="1" t="s">
        <v>58</v>
      </c>
      <c r="Q124" s="1" t="s">
        <v>69</v>
      </c>
      <c r="S124" s="1" t="s">
        <v>58</v>
      </c>
      <c r="T124" s="1" t="s">
        <v>69</v>
      </c>
      <c r="U124" s="1" t="s">
        <v>70</v>
      </c>
      <c r="V124" s="1" t="s">
        <v>58</v>
      </c>
      <c r="W124" s="1" t="s">
        <v>58</v>
      </c>
      <c r="X124" s="1" t="s">
        <v>81</v>
      </c>
      <c r="Y124" s="1" t="s">
        <v>82</v>
      </c>
      <c r="Z124" s="1" t="s">
        <v>61</v>
      </c>
      <c r="AA124" s="2">
        <v>10.0</v>
      </c>
      <c r="AB124" s="1" t="s">
        <v>79</v>
      </c>
      <c r="AC124" s="1" t="s">
        <v>71</v>
      </c>
      <c r="AF124" s="1" t="s">
        <v>51</v>
      </c>
      <c r="AG124" s="1" t="s">
        <v>72</v>
      </c>
      <c r="AI124" s="2">
        <v>0.0</v>
      </c>
      <c r="AJ124" s="2">
        <v>0.0</v>
      </c>
      <c r="AK124" s="2">
        <v>0.0</v>
      </c>
      <c r="AL124" s="2">
        <v>1.0</v>
      </c>
      <c r="AP124" s="2">
        <v>4.89426769E8</v>
      </c>
      <c r="AQ124" s="1" t="s">
        <v>245</v>
      </c>
      <c r="AR124" s="2">
        <v>45807.5375</v>
      </c>
      <c r="AU124" s="1" t="s">
        <v>64</v>
      </c>
      <c r="AW124" s="1" t="s">
        <v>191</v>
      </c>
      <c r="AY124" s="2">
        <v>118.0</v>
      </c>
    </row>
    <row r="125">
      <c r="A125" s="1" t="s">
        <v>51</v>
      </c>
      <c r="C125" s="1" t="s">
        <v>52</v>
      </c>
      <c r="G125" s="2">
        <v>56.0</v>
      </c>
      <c r="H125" s="1" t="s">
        <v>66</v>
      </c>
      <c r="J125" s="1" t="s">
        <v>86</v>
      </c>
      <c r="K125" s="1" t="s">
        <v>87</v>
      </c>
      <c r="M125" s="1" t="s">
        <v>58</v>
      </c>
      <c r="N125" s="1" t="s">
        <v>58</v>
      </c>
      <c r="O125" s="1" t="s">
        <v>58</v>
      </c>
      <c r="Q125" s="1" t="s">
        <v>69</v>
      </c>
      <c r="R125" s="1" t="s">
        <v>58</v>
      </c>
      <c r="S125" s="1" t="s">
        <v>69</v>
      </c>
      <c r="T125" s="1" t="s">
        <v>58</v>
      </c>
      <c r="U125" s="1" t="s">
        <v>58</v>
      </c>
      <c r="V125" s="1" t="s">
        <v>58</v>
      </c>
      <c r="W125" s="1" t="s">
        <v>69</v>
      </c>
      <c r="X125" s="1" t="s">
        <v>88</v>
      </c>
      <c r="Y125" s="1" t="s">
        <v>95</v>
      </c>
      <c r="Z125" s="1" t="s">
        <v>89</v>
      </c>
      <c r="AA125" s="2">
        <v>100.0</v>
      </c>
      <c r="AB125" s="1" t="s">
        <v>79</v>
      </c>
      <c r="AC125" s="1" t="s">
        <v>51</v>
      </c>
      <c r="AD125" s="1" t="s">
        <v>88</v>
      </c>
      <c r="AE125" s="1" t="s">
        <v>72</v>
      </c>
      <c r="AF125" s="1" t="s">
        <v>51</v>
      </c>
      <c r="AG125" s="1" t="s">
        <v>72</v>
      </c>
      <c r="AI125" s="2">
        <v>0.0</v>
      </c>
      <c r="AJ125" s="2">
        <v>0.0</v>
      </c>
      <c r="AK125" s="2">
        <v>1.0</v>
      </c>
      <c r="AL125" s="2">
        <v>0.0</v>
      </c>
      <c r="AP125" s="2">
        <v>4.89436305E8</v>
      </c>
      <c r="AQ125" s="1" t="s">
        <v>246</v>
      </c>
      <c r="AR125" s="2">
        <v>45807.54646990741</v>
      </c>
      <c r="AU125" s="1" t="s">
        <v>64</v>
      </c>
      <c r="AW125" s="1" t="s">
        <v>191</v>
      </c>
      <c r="AY125" s="2">
        <v>119.0</v>
      </c>
    </row>
    <row r="126">
      <c r="A126" s="1" t="s">
        <v>51</v>
      </c>
      <c r="C126" s="1" t="s">
        <v>52</v>
      </c>
      <c r="E126" s="1" t="s">
        <v>53</v>
      </c>
      <c r="F126" s="1" t="s">
        <v>54</v>
      </c>
      <c r="G126" s="2">
        <v>43.0</v>
      </c>
      <c r="H126" s="1" t="s">
        <v>66</v>
      </c>
      <c r="I126" s="1" t="s">
        <v>67</v>
      </c>
      <c r="J126" s="1" t="s">
        <v>86</v>
      </c>
      <c r="K126" s="1" t="s">
        <v>87</v>
      </c>
      <c r="M126" s="1" t="s">
        <v>58</v>
      </c>
      <c r="N126" s="1" t="s">
        <v>58</v>
      </c>
      <c r="O126" s="1" t="s">
        <v>69</v>
      </c>
      <c r="Q126" s="1" t="s">
        <v>58</v>
      </c>
      <c r="R126" s="1" t="s">
        <v>58</v>
      </c>
      <c r="S126" s="1" t="s">
        <v>58</v>
      </c>
      <c r="U126" s="1" t="s">
        <v>58</v>
      </c>
      <c r="W126" s="1" t="s">
        <v>58</v>
      </c>
      <c r="X126" s="1" t="s">
        <v>88</v>
      </c>
      <c r="Y126" s="1" t="s">
        <v>95</v>
      </c>
      <c r="Z126" s="1" t="s">
        <v>61</v>
      </c>
      <c r="AA126" s="2">
        <v>100.0</v>
      </c>
      <c r="AB126" s="1" t="s">
        <v>79</v>
      </c>
      <c r="AC126" s="1" t="s">
        <v>71</v>
      </c>
      <c r="AF126" s="1" t="s">
        <v>72</v>
      </c>
      <c r="AG126" s="1" t="s">
        <v>72</v>
      </c>
      <c r="AI126" s="2">
        <v>0.0</v>
      </c>
      <c r="AJ126" s="2">
        <v>0.0</v>
      </c>
      <c r="AK126" s="2">
        <v>0.0</v>
      </c>
      <c r="AL126" s="2">
        <v>1.0</v>
      </c>
      <c r="AM126" s="1" t="s">
        <v>72</v>
      </c>
      <c r="AP126" s="2">
        <v>4.89486245E8</v>
      </c>
      <c r="AQ126" s="1" t="s">
        <v>247</v>
      </c>
      <c r="AR126" s="2">
        <v>45807.592002314814</v>
      </c>
      <c r="AU126" s="1" t="s">
        <v>64</v>
      </c>
      <c r="AW126" s="1" t="s">
        <v>191</v>
      </c>
      <c r="AY126" s="2">
        <v>120.0</v>
      </c>
    </row>
    <row r="127">
      <c r="A127" s="1" t="s">
        <v>51</v>
      </c>
      <c r="C127" s="1" t="s">
        <v>151</v>
      </c>
      <c r="E127" s="1" t="s">
        <v>105</v>
      </c>
      <c r="G127" s="2">
        <v>23.0</v>
      </c>
      <c r="H127" s="1" t="s">
        <v>66</v>
      </c>
      <c r="J127" s="1" t="s">
        <v>56</v>
      </c>
      <c r="K127" s="1" t="s">
        <v>74</v>
      </c>
      <c r="M127" s="1" t="s">
        <v>70</v>
      </c>
      <c r="N127" s="1" t="s">
        <v>70</v>
      </c>
      <c r="O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1" t="s">
        <v>70</v>
      </c>
      <c r="W127" s="1" t="s">
        <v>70</v>
      </c>
      <c r="X127" s="1" t="s">
        <v>103</v>
      </c>
      <c r="Y127" s="1" t="s">
        <v>227</v>
      </c>
      <c r="Z127" s="1" t="s">
        <v>96</v>
      </c>
      <c r="AA127" s="2">
        <v>10.0</v>
      </c>
      <c r="AB127" s="1" t="s">
        <v>62</v>
      </c>
      <c r="AC127" s="1" t="s">
        <v>71</v>
      </c>
      <c r="AF127" s="1" t="s">
        <v>72</v>
      </c>
      <c r="AG127" s="1" t="s">
        <v>72</v>
      </c>
      <c r="AI127" s="2">
        <v>0.0</v>
      </c>
      <c r="AJ127" s="2">
        <v>0.0</v>
      </c>
      <c r="AK127" s="2">
        <v>0.0</v>
      </c>
      <c r="AL127" s="2">
        <v>1.0</v>
      </c>
      <c r="AP127" s="2">
        <v>4.89492113E8</v>
      </c>
      <c r="AQ127" s="1" t="s">
        <v>248</v>
      </c>
      <c r="AR127" s="2">
        <v>45807.59732638889</v>
      </c>
      <c r="AU127" s="1" t="s">
        <v>64</v>
      </c>
      <c r="AW127" s="1" t="s">
        <v>191</v>
      </c>
      <c r="AY127" s="2">
        <v>121.0</v>
      </c>
    </row>
    <row r="128">
      <c r="A128" s="1" t="s">
        <v>51</v>
      </c>
      <c r="C128" s="1" t="s">
        <v>53</v>
      </c>
      <c r="E128" s="1" t="s">
        <v>53</v>
      </c>
      <c r="F128" s="1" t="s">
        <v>115</v>
      </c>
      <c r="G128" s="2">
        <v>19.0</v>
      </c>
      <c r="H128" s="1" t="s">
        <v>66</v>
      </c>
      <c r="I128" s="1" t="s">
        <v>121</v>
      </c>
      <c r="J128" s="1" t="s">
        <v>56</v>
      </c>
      <c r="K128" s="1" t="s">
        <v>74</v>
      </c>
      <c r="M128" s="1" t="s">
        <v>58</v>
      </c>
      <c r="N128" s="1" t="s">
        <v>58</v>
      </c>
      <c r="O128" s="1" t="s">
        <v>69</v>
      </c>
      <c r="Q128" s="1" t="s">
        <v>70</v>
      </c>
      <c r="R128" s="1" t="s">
        <v>58</v>
      </c>
      <c r="S128" s="1" t="s">
        <v>58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81</v>
      </c>
      <c r="Y128" s="1" t="s">
        <v>60</v>
      </c>
      <c r="Z128" s="1" t="s">
        <v>96</v>
      </c>
      <c r="AA128" s="2">
        <v>10.0</v>
      </c>
      <c r="AB128" s="1" t="s">
        <v>62</v>
      </c>
      <c r="AC128" s="1" t="s">
        <v>71</v>
      </c>
      <c r="AF128" s="1" t="s">
        <v>51</v>
      </c>
      <c r="AG128" s="1" t="s">
        <v>51</v>
      </c>
      <c r="AH128" s="2">
        <v>1000.0</v>
      </c>
      <c r="AI128" s="2">
        <v>1.0</v>
      </c>
      <c r="AJ128" s="2">
        <v>1.0</v>
      </c>
      <c r="AK128" s="2">
        <v>1.0</v>
      </c>
      <c r="AL128" s="2">
        <v>1.0</v>
      </c>
      <c r="AM128" s="1" t="s">
        <v>51</v>
      </c>
      <c r="AN128" s="2">
        <v>7.69618784E8</v>
      </c>
      <c r="AP128" s="2">
        <v>4.89502223E8</v>
      </c>
      <c r="AQ128" s="1" t="s">
        <v>249</v>
      </c>
      <c r="AR128" s="2">
        <v>45807.605266203704</v>
      </c>
      <c r="AU128" s="1" t="s">
        <v>64</v>
      </c>
      <c r="AW128" s="1" t="s">
        <v>191</v>
      </c>
      <c r="AY128" s="2">
        <v>122.0</v>
      </c>
    </row>
    <row r="129">
      <c r="A129" s="1" t="s">
        <v>51</v>
      </c>
      <c r="C129" s="1" t="s">
        <v>151</v>
      </c>
      <c r="E129" s="1" t="s">
        <v>53</v>
      </c>
      <c r="F129" s="1" t="s">
        <v>183</v>
      </c>
      <c r="G129" s="2">
        <v>47.0</v>
      </c>
      <c r="H129" s="1" t="s">
        <v>66</v>
      </c>
      <c r="I129" s="1" t="s">
        <v>67</v>
      </c>
      <c r="J129" s="1" t="s">
        <v>86</v>
      </c>
      <c r="K129" s="1" t="s">
        <v>87</v>
      </c>
      <c r="M129" s="1" t="s">
        <v>58</v>
      </c>
      <c r="N129" s="1" t="s">
        <v>58</v>
      </c>
      <c r="O129" s="1" t="s">
        <v>69</v>
      </c>
      <c r="S129" s="1" t="s">
        <v>69</v>
      </c>
      <c r="U129" s="1" t="s">
        <v>70</v>
      </c>
      <c r="W129" s="1" t="s">
        <v>69</v>
      </c>
      <c r="X129" s="1" t="s">
        <v>88</v>
      </c>
      <c r="Y129" s="1" t="s">
        <v>95</v>
      </c>
      <c r="AB129" s="1" t="s">
        <v>62</v>
      </c>
      <c r="AC129" s="1" t="s">
        <v>71</v>
      </c>
      <c r="AF129" s="1" t="s">
        <v>72</v>
      </c>
      <c r="AG129" s="1" t="s">
        <v>72</v>
      </c>
      <c r="AI129" s="2">
        <v>0.0</v>
      </c>
      <c r="AJ129" s="2">
        <v>0.0</v>
      </c>
      <c r="AK129" s="2">
        <v>0.0</v>
      </c>
      <c r="AL129" s="2">
        <v>1.0</v>
      </c>
      <c r="AM129" s="1" t="s">
        <v>72</v>
      </c>
      <c r="AP129" s="2">
        <v>4.89520831E8</v>
      </c>
      <c r="AQ129" s="1" t="s">
        <v>250</v>
      </c>
      <c r="AR129" s="2">
        <v>45807.62122685185</v>
      </c>
      <c r="AU129" s="1" t="s">
        <v>64</v>
      </c>
      <c r="AW129" s="1" t="s">
        <v>191</v>
      </c>
      <c r="AY129" s="2">
        <v>123.0</v>
      </c>
    </row>
    <row r="130">
      <c r="A130" s="1" t="s">
        <v>51</v>
      </c>
      <c r="C130" s="1" t="s">
        <v>52</v>
      </c>
      <c r="E130" s="1" t="s">
        <v>52</v>
      </c>
      <c r="G130" s="2">
        <v>35.0</v>
      </c>
      <c r="H130" s="1" t="s">
        <v>66</v>
      </c>
      <c r="J130" s="1" t="s">
        <v>86</v>
      </c>
      <c r="K130" s="1" t="s">
        <v>87</v>
      </c>
      <c r="M130" s="1" t="s">
        <v>58</v>
      </c>
      <c r="N130" s="1" t="s">
        <v>58</v>
      </c>
      <c r="O130" s="1" t="s">
        <v>58</v>
      </c>
      <c r="Q130" s="1" t="s">
        <v>69</v>
      </c>
      <c r="R130" s="1" t="s">
        <v>58</v>
      </c>
      <c r="S130" s="1" t="s">
        <v>69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59</v>
      </c>
      <c r="Y130" s="1" t="s">
        <v>95</v>
      </c>
      <c r="Z130" s="1" t="s">
        <v>89</v>
      </c>
      <c r="AA130" s="2">
        <v>30.0</v>
      </c>
      <c r="AB130" s="1" t="s">
        <v>79</v>
      </c>
      <c r="AC130" s="1" t="s">
        <v>71</v>
      </c>
      <c r="AF130" s="1" t="s">
        <v>51</v>
      </c>
      <c r="AG130" s="1" t="s">
        <v>72</v>
      </c>
      <c r="AI130" s="2">
        <v>0.0</v>
      </c>
      <c r="AJ130" s="2">
        <v>0.0</v>
      </c>
      <c r="AK130" s="2">
        <v>1.0</v>
      </c>
      <c r="AL130" s="2">
        <v>0.0</v>
      </c>
      <c r="AP130" s="2">
        <v>4.89573455E8</v>
      </c>
      <c r="AQ130" s="1" t="s">
        <v>251</v>
      </c>
      <c r="AR130" s="2">
        <v>45807.666863425926</v>
      </c>
      <c r="AU130" s="1" t="s">
        <v>64</v>
      </c>
      <c r="AW130" s="1" t="s">
        <v>191</v>
      </c>
      <c r="AY130" s="2">
        <v>124.0</v>
      </c>
    </row>
    <row r="131">
      <c r="A131" s="1" t="s">
        <v>51</v>
      </c>
      <c r="G131" s="2">
        <v>35.0</v>
      </c>
      <c r="AP131" s="2">
        <v>4.89573911E8</v>
      </c>
      <c r="AQ131" s="1" t="s">
        <v>252</v>
      </c>
      <c r="AR131" s="2">
        <v>45807.66736111111</v>
      </c>
      <c r="AU131" s="1" t="s">
        <v>64</v>
      </c>
      <c r="AW131" s="1" t="s">
        <v>191</v>
      </c>
      <c r="AY131" s="2">
        <v>125.0</v>
      </c>
    </row>
    <row r="132">
      <c r="A132" s="1" t="s">
        <v>51</v>
      </c>
      <c r="C132" s="1" t="s">
        <v>151</v>
      </c>
      <c r="E132" s="1" t="s">
        <v>151</v>
      </c>
      <c r="G132" s="2">
        <v>43.0</v>
      </c>
      <c r="H132" s="1" t="s">
        <v>66</v>
      </c>
      <c r="J132" s="1" t="s">
        <v>68</v>
      </c>
      <c r="K132" s="1" t="s">
        <v>92</v>
      </c>
      <c r="M132" s="1" t="s">
        <v>58</v>
      </c>
      <c r="N132" s="1" t="s">
        <v>58</v>
      </c>
      <c r="O132" s="1" t="s">
        <v>58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70</v>
      </c>
      <c r="V132" s="1" t="s">
        <v>58</v>
      </c>
      <c r="W132" s="1" t="s">
        <v>58</v>
      </c>
      <c r="X132" s="1" t="s">
        <v>81</v>
      </c>
      <c r="Y132" s="1" t="s">
        <v>82</v>
      </c>
      <c r="Z132" s="1" t="s">
        <v>61</v>
      </c>
      <c r="AA132" s="2">
        <v>10.0</v>
      </c>
      <c r="AB132" s="1" t="s">
        <v>79</v>
      </c>
      <c r="AC132" s="1" t="s">
        <v>71</v>
      </c>
      <c r="AF132" s="1" t="s">
        <v>51</v>
      </c>
      <c r="AG132" s="1" t="s">
        <v>51</v>
      </c>
      <c r="AH132" s="2">
        <v>200.0</v>
      </c>
      <c r="AI132" s="2">
        <v>0.0</v>
      </c>
      <c r="AJ132" s="2">
        <v>0.0</v>
      </c>
      <c r="AK132" s="2">
        <v>1.0</v>
      </c>
      <c r="AL132" s="2">
        <v>0.0</v>
      </c>
      <c r="AP132" s="2">
        <v>4.89588789E8</v>
      </c>
      <c r="AQ132" s="1" t="s">
        <v>253</v>
      </c>
      <c r="AR132" s="2">
        <v>45807.679606481484</v>
      </c>
      <c r="AU132" s="1" t="s">
        <v>64</v>
      </c>
      <c r="AW132" s="1" t="s">
        <v>191</v>
      </c>
      <c r="AY132" s="2">
        <v>126.0</v>
      </c>
    </row>
    <row r="133">
      <c r="A133" s="1" t="s">
        <v>51</v>
      </c>
      <c r="C133" s="1" t="s">
        <v>151</v>
      </c>
      <c r="E133" s="1" t="s">
        <v>151</v>
      </c>
      <c r="G133" s="2">
        <v>33.0</v>
      </c>
      <c r="H133" s="1" t="s">
        <v>66</v>
      </c>
      <c r="J133" s="1" t="s">
        <v>56</v>
      </c>
      <c r="K133" s="1" t="s">
        <v>78</v>
      </c>
      <c r="M133" s="1" t="s">
        <v>58</v>
      </c>
      <c r="N133" s="1" t="s">
        <v>58</v>
      </c>
      <c r="O133" s="1" t="s">
        <v>58</v>
      </c>
      <c r="Q133" s="1" t="s">
        <v>58</v>
      </c>
      <c r="R133" s="1" t="s">
        <v>70</v>
      </c>
      <c r="S133" s="1" t="s">
        <v>58</v>
      </c>
      <c r="T133" s="1" t="s">
        <v>70</v>
      </c>
      <c r="U133" s="1" t="s">
        <v>70</v>
      </c>
      <c r="V133" s="1" t="s">
        <v>70</v>
      </c>
      <c r="W133" s="1" t="s">
        <v>58</v>
      </c>
      <c r="X133" s="1" t="s">
        <v>81</v>
      </c>
      <c r="Z133" s="1" t="s">
        <v>61</v>
      </c>
      <c r="AA133" s="2">
        <v>10.0</v>
      </c>
      <c r="AB133" s="1" t="s">
        <v>28</v>
      </c>
      <c r="AC133" s="1" t="s">
        <v>71</v>
      </c>
      <c r="AF133" s="1" t="s">
        <v>72</v>
      </c>
      <c r="AG133" s="1" t="s">
        <v>51</v>
      </c>
      <c r="AH133" s="2">
        <v>1000.0</v>
      </c>
      <c r="AI133" s="2">
        <v>0.0</v>
      </c>
      <c r="AJ133" s="2">
        <v>0.0</v>
      </c>
      <c r="AK133" s="2">
        <v>0.0</v>
      </c>
      <c r="AL133" s="2">
        <v>1.0</v>
      </c>
      <c r="AP133" s="2">
        <v>4.89629902E8</v>
      </c>
      <c r="AQ133" s="1" t="s">
        <v>254</v>
      </c>
      <c r="AR133" s="2">
        <v>45807.71865740741</v>
      </c>
      <c r="AU133" s="1" t="s">
        <v>64</v>
      </c>
      <c r="AW133" s="1" t="s">
        <v>255</v>
      </c>
      <c r="AY133" s="2">
        <v>127.0</v>
      </c>
    </row>
    <row r="134">
      <c r="A134" s="1" t="s">
        <v>51</v>
      </c>
      <c r="C134" s="1" t="s">
        <v>52</v>
      </c>
      <c r="E134" s="1" t="s">
        <v>105</v>
      </c>
      <c r="G134" s="2">
        <v>45.0</v>
      </c>
      <c r="H134" s="1" t="s">
        <v>55</v>
      </c>
      <c r="J134" s="1" t="s">
        <v>86</v>
      </c>
      <c r="M134" s="1" t="s">
        <v>58</v>
      </c>
      <c r="N134" s="1" t="s">
        <v>58</v>
      </c>
      <c r="O134" s="1" t="s">
        <v>58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1" t="s">
        <v>69</v>
      </c>
      <c r="X134" s="1" t="s">
        <v>88</v>
      </c>
      <c r="Y134" s="1" t="s">
        <v>95</v>
      </c>
      <c r="Z134" s="1" t="s">
        <v>108</v>
      </c>
      <c r="AA134" s="2">
        <v>100.0</v>
      </c>
      <c r="AB134" s="1" t="s">
        <v>79</v>
      </c>
      <c r="AC134" s="1" t="s">
        <v>51</v>
      </c>
      <c r="AD134" s="1" t="s">
        <v>88</v>
      </c>
      <c r="AE134" s="1" t="s">
        <v>51</v>
      </c>
      <c r="AF134" s="1" t="s">
        <v>51</v>
      </c>
      <c r="AG134" s="1" t="s">
        <v>51</v>
      </c>
      <c r="AH134" s="2">
        <v>10.0</v>
      </c>
      <c r="AI134" s="2">
        <v>1.0</v>
      </c>
      <c r="AJ134" s="2">
        <v>1.0</v>
      </c>
      <c r="AK134" s="2">
        <v>1.0</v>
      </c>
      <c r="AL134" s="2">
        <v>0.0</v>
      </c>
      <c r="AP134" s="2">
        <v>4.89787188E8</v>
      </c>
      <c r="AQ134" s="1" t="s">
        <v>256</v>
      </c>
      <c r="AR134" s="2">
        <v>45808.04665509259</v>
      </c>
      <c r="AU134" s="1" t="s">
        <v>64</v>
      </c>
      <c r="AW134" s="1" t="s">
        <v>255</v>
      </c>
      <c r="AY134" s="2">
        <v>128.0</v>
      </c>
    </row>
    <row r="135">
      <c r="A135" s="1" t="s">
        <v>51</v>
      </c>
      <c r="C135" s="1" t="s">
        <v>52</v>
      </c>
      <c r="E135" s="1" t="s">
        <v>105</v>
      </c>
      <c r="G135" s="2">
        <v>42.0</v>
      </c>
      <c r="H135" s="1" t="s">
        <v>66</v>
      </c>
      <c r="J135" s="1" t="s">
        <v>86</v>
      </c>
      <c r="K135" s="1" t="s">
        <v>87</v>
      </c>
      <c r="M135" s="1" t="s">
        <v>58</v>
      </c>
      <c r="N135" s="1" t="s">
        <v>58</v>
      </c>
      <c r="O135" s="1" t="s">
        <v>69</v>
      </c>
      <c r="Q135" s="1" t="s">
        <v>69</v>
      </c>
      <c r="R135" s="1" t="s">
        <v>69</v>
      </c>
      <c r="S135" s="1" t="s">
        <v>58</v>
      </c>
      <c r="T135" s="1" t="s">
        <v>69</v>
      </c>
      <c r="U135" s="1" t="s">
        <v>58</v>
      </c>
      <c r="V135" s="1" t="s">
        <v>58</v>
      </c>
      <c r="W135" s="1" t="s">
        <v>69</v>
      </c>
      <c r="X135" s="1" t="s">
        <v>81</v>
      </c>
      <c r="Y135" s="1" t="s">
        <v>95</v>
      </c>
      <c r="Z135" s="1" t="s">
        <v>89</v>
      </c>
      <c r="AA135" s="2">
        <v>100.0</v>
      </c>
      <c r="AB135" s="1" t="s">
        <v>79</v>
      </c>
      <c r="AC135" s="1" t="s">
        <v>51</v>
      </c>
      <c r="AD135" s="1" t="s">
        <v>81</v>
      </c>
      <c r="AE135" s="1" t="s">
        <v>51</v>
      </c>
      <c r="AF135" s="1" t="s">
        <v>51</v>
      </c>
      <c r="AG135" s="1" t="s">
        <v>72</v>
      </c>
      <c r="AI135" s="2">
        <v>0.0</v>
      </c>
      <c r="AJ135" s="2">
        <v>0.0</v>
      </c>
      <c r="AK135" s="2">
        <v>0.0</v>
      </c>
      <c r="AL135" s="2">
        <v>1.0</v>
      </c>
      <c r="AP135" s="2">
        <v>4.8982024E8</v>
      </c>
      <c r="AQ135" s="1" t="s">
        <v>257</v>
      </c>
      <c r="AR135" s="2">
        <v>45808.19664351852</v>
      </c>
      <c r="AU135" s="1" t="s">
        <v>64</v>
      </c>
      <c r="AW135" s="1" t="s">
        <v>255</v>
      </c>
      <c r="AY135" s="2">
        <v>129.0</v>
      </c>
    </row>
    <row r="136">
      <c r="A136" s="1" t="s">
        <v>51</v>
      </c>
      <c r="C136" s="1" t="s">
        <v>52</v>
      </c>
      <c r="E136" s="1" t="s">
        <v>53</v>
      </c>
      <c r="F136" s="1" t="s">
        <v>102</v>
      </c>
      <c r="G136" s="2">
        <v>45.0</v>
      </c>
      <c r="H136" s="1" t="s">
        <v>55</v>
      </c>
      <c r="I136" s="1" t="s">
        <v>67</v>
      </c>
      <c r="J136" s="1" t="s">
        <v>86</v>
      </c>
      <c r="K136" s="1" t="s">
        <v>87</v>
      </c>
      <c r="M136" s="1" t="s">
        <v>58</v>
      </c>
      <c r="N136" s="1" t="s">
        <v>58</v>
      </c>
      <c r="O136" s="1" t="s">
        <v>58</v>
      </c>
      <c r="Q136" s="1" t="s">
        <v>58</v>
      </c>
      <c r="R136" s="1" t="s">
        <v>58</v>
      </c>
      <c r="S136" s="1" t="s">
        <v>70</v>
      </c>
      <c r="T136" s="1" t="s">
        <v>70</v>
      </c>
      <c r="U136" s="1" t="s">
        <v>58</v>
      </c>
      <c r="V136" s="1" t="s">
        <v>58</v>
      </c>
      <c r="W136" s="1" t="s">
        <v>70</v>
      </c>
      <c r="X136" s="1" t="s">
        <v>88</v>
      </c>
      <c r="Y136" s="1" t="s">
        <v>60</v>
      </c>
      <c r="Z136" s="1" t="s">
        <v>108</v>
      </c>
      <c r="AA136" s="2">
        <v>100.0</v>
      </c>
      <c r="AB136" s="1" t="s">
        <v>62</v>
      </c>
      <c r="AC136" s="1" t="s">
        <v>71</v>
      </c>
      <c r="AF136" s="1" t="s">
        <v>51</v>
      </c>
      <c r="AG136" s="1" t="s">
        <v>72</v>
      </c>
      <c r="AI136" s="2">
        <v>0.0</v>
      </c>
      <c r="AJ136" s="2">
        <v>0.0</v>
      </c>
      <c r="AK136" s="2">
        <v>0.0</v>
      </c>
      <c r="AL136" s="2">
        <v>1.0</v>
      </c>
      <c r="AM136" s="1" t="s">
        <v>51</v>
      </c>
      <c r="AP136" s="2">
        <v>4.89842136E8</v>
      </c>
      <c r="AQ136" s="1" t="s">
        <v>258</v>
      </c>
      <c r="AR136" s="2">
        <v>45808.254583333335</v>
      </c>
      <c r="AU136" s="1" t="s">
        <v>64</v>
      </c>
      <c r="AW136" s="1" t="s">
        <v>255</v>
      </c>
      <c r="AY136" s="2">
        <v>130.0</v>
      </c>
    </row>
    <row r="137">
      <c r="A137" s="1" t="s">
        <v>51</v>
      </c>
      <c r="C137" s="1" t="s">
        <v>52</v>
      </c>
      <c r="E137" s="1" t="s">
        <v>53</v>
      </c>
      <c r="F137" s="1" t="s">
        <v>136</v>
      </c>
      <c r="G137" s="2">
        <v>46.0</v>
      </c>
      <c r="H137" s="1" t="s">
        <v>55</v>
      </c>
      <c r="I137" s="1" t="s">
        <v>67</v>
      </c>
      <c r="J137" s="1" t="s">
        <v>86</v>
      </c>
      <c r="K137" s="1" t="s">
        <v>87</v>
      </c>
      <c r="M137" s="1" t="s">
        <v>58</v>
      </c>
      <c r="N137" s="1" t="s">
        <v>58</v>
      </c>
      <c r="O137" s="1" t="s">
        <v>69</v>
      </c>
      <c r="Q137" s="1" t="s">
        <v>58</v>
      </c>
      <c r="R137" s="1" t="s">
        <v>58</v>
      </c>
      <c r="S137" s="1" t="s">
        <v>58</v>
      </c>
      <c r="T137" s="1" t="s">
        <v>69</v>
      </c>
      <c r="U137" s="1" t="s">
        <v>58</v>
      </c>
      <c r="V137" s="1" t="s">
        <v>58</v>
      </c>
      <c r="W137" s="1" t="s">
        <v>69</v>
      </c>
      <c r="X137" s="1" t="s">
        <v>88</v>
      </c>
      <c r="Y137" s="1" t="s">
        <v>95</v>
      </c>
      <c r="Z137" s="1" t="s">
        <v>89</v>
      </c>
      <c r="AA137" s="2">
        <v>50.0</v>
      </c>
      <c r="AB137" s="1" t="s">
        <v>62</v>
      </c>
      <c r="AC137" s="1" t="s">
        <v>71</v>
      </c>
      <c r="AF137" s="1" t="s">
        <v>51</v>
      </c>
      <c r="AG137" s="1" t="s">
        <v>72</v>
      </c>
      <c r="AI137" s="2">
        <v>0.0</v>
      </c>
      <c r="AJ137" s="2">
        <v>0.0</v>
      </c>
      <c r="AK137" s="2">
        <v>0.0</v>
      </c>
      <c r="AL137" s="2">
        <v>1.0</v>
      </c>
      <c r="AM137" s="1" t="s">
        <v>72</v>
      </c>
      <c r="AP137" s="2">
        <v>4.89848913E8</v>
      </c>
      <c r="AQ137" s="1" t="s">
        <v>259</v>
      </c>
      <c r="AR137" s="2">
        <v>45808.26868055556</v>
      </c>
      <c r="AU137" s="1" t="s">
        <v>64</v>
      </c>
      <c r="AW137" s="1" t="s">
        <v>255</v>
      </c>
      <c r="AY137" s="2">
        <v>131.0</v>
      </c>
    </row>
    <row r="138">
      <c r="A138" s="1" t="s">
        <v>51</v>
      </c>
      <c r="C138" s="1" t="s">
        <v>131</v>
      </c>
      <c r="E138" s="1" t="s">
        <v>53</v>
      </c>
      <c r="F138" s="1" t="s">
        <v>54</v>
      </c>
      <c r="G138" s="2">
        <v>30.0</v>
      </c>
      <c r="H138" s="1" t="s">
        <v>66</v>
      </c>
      <c r="I138" s="1" t="s">
        <v>67</v>
      </c>
      <c r="J138" s="1" t="s">
        <v>68</v>
      </c>
      <c r="K138" s="1" t="s">
        <v>74</v>
      </c>
      <c r="M138" s="1" t="s">
        <v>58</v>
      </c>
      <c r="N138" s="1" t="s">
        <v>58</v>
      </c>
      <c r="O138" s="1" t="s">
        <v>70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70</v>
      </c>
      <c r="V138" s="1" t="s">
        <v>69</v>
      </c>
      <c r="W138" s="1" t="s">
        <v>58</v>
      </c>
      <c r="X138" s="1" t="s">
        <v>81</v>
      </c>
      <c r="Y138" s="1" t="s">
        <v>82</v>
      </c>
      <c r="Z138" s="1" t="s">
        <v>96</v>
      </c>
      <c r="AA138" s="2">
        <v>10.0</v>
      </c>
      <c r="AB138" s="1" t="s">
        <v>79</v>
      </c>
      <c r="AC138" s="1" t="s">
        <v>72</v>
      </c>
      <c r="AF138" s="1" t="s">
        <v>51</v>
      </c>
      <c r="AG138" s="1" t="s">
        <v>72</v>
      </c>
      <c r="AI138" s="2">
        <v>1.0</v>
      </c>
      <c r="AJ138" s="2">
        <v>0.0</v>
      </c>
      <c r="AK138" s="2">
        <v>0.0</v>
      </c>
      <c r="AL138" s="2">
        <v>0.0</v>
      </c>
      <c r="AM138" s="1" t="s">
        <v>51</v>
      </c>
      <c r="AN138" s="2">
        <v>7.82860878E8</v>
      </c>
      <c r="AP138" s="2">
        <v>4.89854202E8</v>
      </c>
      <c r="AQ138" s="1" t="s">
        <v>260</v>
      </c>
      <c r="AR138" s="2">
        <v>45808.27946759259</v>
      </c>
      <c r="AU138" s="1" t="s">
        <v>64</v>
      </c>
      <c r="AW138" s="1" t="s">
        <v>255</v>
      </c>
      <c r="AY138" s="2">
        <v>132.0</v>
      </c>
    </row>
    <row r="139">
      <c r="A139" s="1" t="s">
        <v>51</v>
      </c>
      <c r="C139" s="1" t="s">
        <v>105</v>
      </c>
      <c r="D139" s="1" t="s">
        <v>261</v>
      </c>
      <c r="E139" s="1" t="s">
        <v>52</v>
      </c>
      <c r="G139" s="2">
        <v>45.0</v>
      </c>
      <c r="H139" s="1" t="s">
        <v>55</v>
      </c>
      <c r="J139" s="1" t="s">
        <v>111</v>
      </c>
      <c r="K139" s="1" t="s">
        <v>87</v>
      </c>
      <c r="M139" s="1" t="s">
        <v>58</v>
      </c>
      <c r="N139" s="1" t="s">
        <v>58</v>
      </c>
      <c r="O139" s="1" t="s">
        <v>58</v>
      </c>
      <c r="Q139" s="1" t="s">
        <v>58</v>
      </c>
      <c r="R139" s="1" t="s">
        <v>58</v>
      </c>
      <c r="S139" s="1" t="s">
        <v>58</v>
      </c>
      <c r="T139" s="1" t="s">
        <v>69</v>
      </c>
      <c r="U139" s="1" t="s">
        <v>58</v>
      </c>
      <c r="V139" s="1" t="s">
        <v>58</v>
      </c>
      <c r="W139" s="1" t="s">
        <v>69</v>
      </c>
      <c r="X139" s="1" t="s">
        <v>88</v>
      </c>
      <c r="Y139" s="1" t="s">
        <v>60</v>
      </c>
      <c r="Z139" s="1" t="s">
        <v>108</v>
      </c>
      <c r="AA139" s="2">
        <v>100.0</v>
      </c>
      <c r="AB139" s="1" t="s">
        <v>62</v>
      </c>
      <c r="AC139" s="1" t="s">
        <v>51</v>
      </c>
      <c r="AD139" s="1" t="s">
        <v>59</v>
      </c>
      <c r="AE139" s="1" t="s">
        <v>51</v>
      </c>
      <c r="AF139" s="1" t="s">
        <v>51</v>
      </c>
      <c r="AG139" s="1" t="s">
        <v>72</v>
      </c>
      <c r="AI139" s="2">
        <v>1.0</v>
      </c>
      <c r="AJ139" s="2">
        <v>1.0</v>
      </c>
      <c r="AK139" s="2">
        <v>1.0</v>
      </c>
      <c r="AL139" s="2">
        <v>0.0</v>
      </c>
      <c r="AP139" s="2">
        <v>4.89854452E8</v>
      </c>
      <c r="AQ139" s="1" t="s">
        <v>262</v>
      </c>
      <c r="AR139" s="2">
        <v>45808.27978009259</v>
      </c>
      <c r="AU139" s="1" t="s">
        <v>64</v>
      </c>
      <c r="AW139" s="1" t="s">
        <v>255</v>
      </c>
      <c r="AY139" s="2">
        <v>133.0</v>
      </c>
    </row>
    <row r="140">
      <c r="A140" s="1" t="s">
        <v>51</v>
      </c>
      <c r="C140" s="1" t="s">
        <v>118</v>
      </c>
      <c r="E140" s="1" t="s">
        <v>105</v>
      </c>
      <c r="G140" s="2">
        <v>25.0</v>
      </c>
      <c r="H140" s="1" t="s">
        <v>66</v>
      </c>
      <c r="J140" s="1" t="s">
        <v>68</v>
      </c>
      <c r="K140" s="1" t="s">
        <v>92</v>
      </c>
      <c r="M140" s="1" t="s">
        <v>58</v>
      </c>
      <c r="N140" s="1" t="s">
        <v>58</v>
      </c>
      <c r="O140" s="1" t="s">
        <v>58</v>
      </c>
      <c r="Q140" s="1" t="s">
        <v>58</v>
      </c>
      <c r="R140" s="1" t="s">
        <v>58</v>
      </c>
      <c r="S140" s="1" t="s">
        <v>58</v>
      </c>
      <c r="T140" s="1" t="s">
        <v>70</v>
      </c>
      <c r="U140" s="1" t="s">
        <v>58</v>
      </c>
      <c r="V140" s="1" t="s">
        <v>58</v>
      </c>
      <c r="W140" s="1" t="s">
        <v>69</v>
      </c>
      <c r="X140" s="1" t="s">
        <v>59</v>
      </c>
      <c r="Y140" s="1" t="s">
        <v>95</v>
      </c>
      <c r="Z140" s="1" t="s">
        <v>108</v>
      </c>
      <c r="AA140" s="2">
        <v>10.0</v>
      </c>
      <c r="AB140" s="1" t="s">
        <v>28</v>
      </c>
      <c r="AC140" s="1" t="s">
        <v>71</v>
      </c>
      <c r="AF140" s="1" t="s">
        <v>51</v>
      </c>
      <c r="AG140" s="1" t="s">
        <v>51</v>
      </c>
      <c r="AH140" s="2">
        <v>20.0</v>
      </c>
      <c r="AI140" s="2">
        <v>0.0</v>
      </c>
      <c r="AJ140" s="2">
        <v>0.0</v>
      </c>
      <c r="AK140" s="2">
        <v>0.0</v>
      </c>
      <c r="AL140" s="2">
        <v>1.0</v>
      </c>
      <c r="AP140" s="2">
        <v>4.89861321E8</v>
      </c>
      <c r="AQ140" s="1" t="s">
        <v>263</v>
      </c>
      <c r="AR140" s="2">
        <v>45808.29232638889</v>
      </c>
      <c r="AU140" s="1" t="s">
        <v>64</v>
      </c>
      <c r="AW140" s="1" t="s">
        <v>255</v>
      </c>
      <c r="AY140" s="2">
        <v>134.0</v>
      </c>
    </row>
    <row r="141">
      <c r="A141" s="1" t="s">
        <v>51</v>
      </c>
      <c r="C141" s="1" t="s">
        <v>53</v>
      </c>
      <c r="E141" s="1" t="s">
        <v>53</v>
      </c>
      <c r="F141" s="1" t="s">
        <v>102</v>
      </c>
      <c r="G141" s="2">
        <v>42.0</v>
      </c>
      <c r="H141" s="1" t="s">
        <v>66</v>
      </c>
      <c r="I141" s="1" t="s">
        <v>67</v>
      </c>
      <c r="J141" s="1" t="s">
        <v>86</v>
      </c>
      <c r="K141" s="1" t="s">
        <v>87</v>
      </c>
      <c r="M141" s="1" t="s">
        <v>58</v>
      </c>
      <c r="N141" s="1" t="s">
        <v>58</v>
      </c>
      <c r="O141" s="1" t="s">
        <v>58</v>
      </c>
      <c r="Q141" s="1" t="s">
        <v>69</v>
      </c>
      <c r="R141" s="1" t="s">
        <v>58</v>
      </c>
      <c r="S141" s="1" t="s">
        <v>58</v>
      </c>
      <c r="T141" s="1" t="s">
        <v>70</v>
      </c>
      <c r="U141" s="1" t="s">
        <v>58</v>
      </c>
      <c r="V141" s="1" t="s">
        <v>58</v>
      </c>
      <c r="W141" s="1" t="s">
        <v>69</v>
      </c>
      <c r="X141" s="1" t="s">
        <v>88</v>
      </c>
      <c r="Y141" s="1" t="s">
        <v>60</v>
      </c>
      <c r="Z141" s="1" t="s">
        <v>108</v>
      </c>
      <c r="AA141" s="2">
        <v>100.0</v>
      </c>
      <c r="AB141" s="1" t="s">
        <v>79</v>
      </c>
      <c r="AC141" s="1" t="s">
        <v>71</v>
      </c>
      <c r="AF141" s="1" t="s">
        <v>51</v>
      </c>
      <c r="AG141" s="1" t="s">
        <v>72</v>
      </c>
      <c r="AI141" s="2">
        <v>0.0</v>
      </c>
      <c r="AJ141" s="2">
        <v>1.0</v>
      </c>
      <c r="AK141" s="2">
        <v>1.0</v>
      </c>
      <c r="AL141" s="2">
        <v>0.0</v>
      </c>
      <c r="AM141" s="1" t="s">
        <v>72</v>
      </c>
      <c r="AP141" s="2">
        <v>4.89875662E8</v>
      </c>
      <c r="AQ141" s="1" t="s">
        <v>264</v>
      </c>
      <c r="AR141" s="2">
        <v>45808.31581018519</v>
      </c>
      <c r="AU141" s="1" t="s">
        <v>64</v>
      </c>
      <c r="AW141" s="1" t="s">
        <v>255</v>
      </c>
      <c r="AY141" s="2">
        <v>135.0</v>
      </c>
    </row>
    <row r="142">
      <c r="A142" s="1" t="s">
        <v>51</v>
      </c>
      <c r="C142" s="1" t="s">
        <v>118</v>
      </c>
      <c r="E142" s="1" t="s">
        <v>105</v>
      </c>
      <c r="G142" s="2">
        <v>43.0</v>
      </c>
      <c r="H142" s="1" t="s">
        <v>55</v>
      </c>
      <c r="K142" s="1" t="s">
        <v>87</v>
      </c>
      <c r="M142" s="1" t="s">
        <v>58</v>
      </c>
      <c r="N142" s="1" t="s">
        <v>58</v>
      </c>
      <c r="O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W142" s="1" t="s">
        <v>69</v>
      </c>
      <c r="X142" s="1" t="s">
        <v>81</v>
      </c>
      <c r="Y142" s="1" t="s">
        <v>95</v>
      </c>
      <c r="Z142" s="1" t="s">
        <v>96</v>
      </c>
      <c r="AA142" s="2">
        <v>100.0</v>
      </c>
      <c r="AB142" s="1" t="s">
        <v>28</v>
      </c>
      <c r="AC142" s="1" t="s">
        <v>71</v>
      </c>
      <c r="AF142" s="1" t="s">
        <v>51</v>
      </c>
      <c r="AI142" s="2">
        <v>1.0</v>
      </c>
      <c r="AJ142" s="2">
        <v>0.0</v>
      </c>
      <c r="AK142" s="2">
        <v>0.0</v>
      </c>
      <c r="AL142" s="2">
        <v>0.0</v>
      </c>
      <c r="AP142" s="2">
        <v>4.89879065E8</v>
      </c>
      <c r="AQ142" s="1" t="s">
        <v>265</v>
      </c>
      <c r="AR142" s="2">
        <v>45808.32135416667</v>
      </c>
      <c r="AU142" s="1" t="s">
        <v>64</v>
      </c>
      <c r="AW142" s="1" t="s">
        <v>255</v>
      </c>
      <c r="AY142" s="2">
        <v>136.0</v>
      </c>
    </row>
    <row r="143">
      <c r="A143" s="1" t="s">
        <v>51</v>
      </c>
      <c r="C143" s="1" t="s">
        <v>131</v>
      </c>
      <c r="E143" s="1" t="s">
        <v>53</v>
      </c>
      <c r="F143" s="1" t="s">
        <v>54</v>
      </c>
      <c r="G143" s="2">
        <v>23.0</v>
      </c>
      <c r="H143" s="1" t="s">
        <v>66</v>
      </c>
      <c r="I143" s="1" t="s">
        <v>100</v>
      </c>
      <c r="J143" s="1" t="s">
        <v>68</v>
      </c>
      <c r="K143" s="1" t="s">
        <v>74</v>
      </c>
      <c r="M143" s="1" t="s">
        <v>58</v>
      </c>
      <c r="N143" s="1" t="s">
        <v>58</v>
      </c>
      <c r="O143" s="1" t="s">
        <v>69</v>
      </c>
      <c r="Q143" s="1" t="s">
        <v>58</v>
      </c>
      <c r="R143" s="1" t="s">
        <v>58</v>
      </c>
      <c r="S143" s="1" t="s">
        <v>70</v>
      </c>
      <c r="T143" s="1" t="s">
        <v>58</v>
      </c>
      <c r="U143" s="1" t="s">
        <v>70</v>
      </c>
      <c r="V143" s="1" t="s">
        <v>58</v>
      </c>
      <c r="W143" s="1" t="s">
        <v>58</v>
      </c>
      <c r="X143" s="1" t="s">
        <v>81</v>
      </c>
      <c r="Y143" s="1" t="s">
        <v>172</v>
      </c>
      <c r="Z143" s="1" t="s">
        <v>96</v>
      </c>
      <c r="AA143" s="2">
        <v>50.0</v>
      </c>
      <c r="AB143" s="1" t="s">
        <v>79</v>
      </c>
      <c r="AC143" s="1" t="s">
        <v>72</v>
      </c>
      <c r="AG143" s="1" t="s">
        <v>51</v>
      </c>
      <c r="AI143" s="2">
        <v>0.0</v>
      </c>
      <c r="AJ143" s="2">
        <v>0.0</v>
      </c>
      <c r="AK143" s="2">
        <v>0.0</v>
      </c>
      <c r="AL143" s="2">
        <v>1.0</v>
      </c>
      <c r="AM143" s="1" t="s">
        <v>51</v>
      </c>
      <c r="AN143" s="2">
        <v>6.55789034E8</v>
      </c>
      <c r="AP143" s="2">
        <v>4.898922E8</v>
      </c>
      <c r="AQ143" s="1" t="s">
        <v>266</v>
      </c>
      <c r="AR143" s="2">
        <v>45808.342997685184</v>
      </c>
      <c r="AU143" s="1" t="s">
        <v>64</v>
      </c>
      <c r="AW143" s="1" t="s">
        <v>255</v>
      </c>
      <c r="AY143" s="2">
        <v>137.0</v>
      </c>
    </row>
    <row r="144">
      <c r="A144" s="1" t="s">
        <v>51</v>
      </c>
      <c r="C144" s="1" t="s">
        <v>131</v>
      </c>
      <c r="E144" s="1" t="s">
        <v>53</v>
      </c>
      <c r="F144" s="1" t="s">
        <v>54</v>
      </c>
      <c r="G144" s="2">
        <v>27.0</v>
      </c>
      <c r="H144" s="1" t="s">
        <v>55</v>
      </c>
      <c r="I144" s="1" t="s">
        <v>67</v>
      </c>
      <c r="J144" s="1" t="s">
        <v>68</v>
      </c>
      <c r="K144" s="1" t="s">
        <v>57</v>
      </c>
      <c r="M144" s="1" t="s">
        <v>58</v>
      </c>
      <c r="N144" s="1" t="s">
        <v>58</v>
      </c>
      <c r="O144" s="1" t="s">
        <v>69</v>
      </c>
      <c r="Q144" s="1" t="s">
        <v>58</v>
      </c>
      <c r="R144" s="1" t="s">
        <v>58</v>
      </c>
      <c r="S144" s="1" t="s">
        <v>58</v>
      </c>
      <c r="T144" s="1" t="s">
        <v>58</v>
      </c>
      <c r="V144" s="1" t="s">
        <v>58</v>
      </c>
      <c r="W144" s="1" t="s">
        <v>58</v>
      </c>
      <c r="X144" s="1" t="s">
        <v>81</v>
      </c>
      <c r="Y144" s="1" t="s">
        <v>172</v>
      </c>
      <c r="AA144" s="2">
        <v>100.0</v>
      </c>
      <c r="AB144" s="1" t="s">
        <v>79</v>
      </c>
      <c r="AC144" s="1" t="s">
        <v>72</v>
      </c>
      <c r="AF144" s="1" t="s">
        <v>51</v>
      </c>
      <c r="AG144" s="1" t="s">
        <v>51</v>
      </c>
      <c r="AH144" s="2">
        <v>20.0</v>
      </c>
      <c r="AI144" s="2">
        <v>0.0</v>
      </c>
      <c r="AJ144" s="2">
        <v>0.0</v>
      </c>
      <c r="AK144" s="2">
        <v>0.0</v>
      </c>
      <c r="AL144" s="2">
        <v>1.0</v>
      </c>
      <c r="AM144" s="1" t="s">
        <v>51</v>
      </c>
      <c r="AN144" s="2">
        <v>7.04538078E8</v>
      </c>
      <c r="AP144" s="2">
        <v>4.89895622E8</v>
      </c>
      <c r="AQ144" s="1" t="s">
        <v>267</v>
      </c>
      <c r="AR144" s="2">
        <v>45808.34820601852</v>
      </c>
      <c r="AU144" s="1" t="s">
        <v>64</v>
      </c>
      <c r="AW144" s="1" t="s">
        <v>255</v>
      </c>
      <c r="AY144" s="2">
        <v>138.0</v>
      </c>
    </row>
    <row r="145">
      <c r="A145" s="1" t="s">
        <v>51</v>
      </c>
      <c r="C145" s="1" t="s">
        <v>53</v>
      </c>
      <c r="E145" s="1" t="s">
        <v>105</v>
      </c>
      <c r="G145" s="2">
        <v>48.0</v>
      </c>
      <c r="H145" s="1" t="s">
        <v>66</v>
      </c>
      <c r="J145" s="1" t="s">
        <v>86</v>
      </c>
      <c r="K145" s="1" t="s">
        <v>87</v>
      </c>
      <c r="M145" s="1" t="s">
        <v>58</v>
      </c>
      <c r="N145" s="1" t="s">
        <v>69</v>
      </c>
      <c r="O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81</v>
      </c>
      <c r="Y145" s="1" t="s">
        <v>95</v>
      </c>
      <c r="Z145" s="1" t="s">
        <v>89</v>
      </c>
      <c r="AA145" s="2">
        <v>20.0</v>
      </c>
      <c r="AB145" s="1" t="s">
        <v>79</v>
      </c>
      <c r="AC145" s="1" t="s">
        <v>51</v>
      </c>
      <c r="AD145" s="1" t="s">
        <v>81</v>
      </c>
      <c r="AE145" s="1" t="s">
        <v>51</v>
      </c>
      <c r="AF145" s="1" t="s">
        <v>51</v>
      </c>
      <c r="AG145" s="1" t="s">
        <v>72</v>
      </c>
      <c r="AI145" s="2">
        <v>1.0</v>
      </c>
      <c r="AJ145" s="2">
        <v>0.0</v>
      </c>
      <c r="AK145" s="2">
        <v>0.0</v>
      </c>
      <c r="AL145" s="2">
        <v>0.0</v>
      </c>
      <c r="AP145" s="2">
        <v>4.89899236E8</v>
      </c>
      <c r="AQ145" s="1" t="s">
        <v>268</v>
      </c>
      <c r="AR145" s="2">
        <v>45808.35460648148</v>
      </c>
      <c r="AU145" s="1" t="s">
        <v>64</v>
      </c>
      <c r="AW145" s="1" t="s">
        <v>255</v>
      </c>
      <c r="AY145" s="2">
        <v>139.0</v>
      </c>
    </row>
    <row r="146">
      <c r="A146" s="1" t="s">
        <v>51</v>
      </c>
      <c r="C146" s="1" t="s">
        <v>269</v>
      </c>
      <c r="E146" s="1" t="s">
        <v>105</v>
      </c>
      <c r="G146" s="2">
        <v>37.0</v>
      </c>
      <c r="H146" s="1" t="s">
        <v>66</v>
      </c>
      <c r="J146" s="1" t="s">
        <v>86</v>
      </c>
      <c r="K146" s="1" t="s">
        <v>87</v>
      </c>
      <c r="M146" s="1" t="s">
        <v>58</v>
      </c>
      <c r="N146" s="1" t="s">
        <v>58</v>
      </c>
      <c r="O146" s="1" t="s">
        <v>58</v>
      </c>
      <c r="Q146" s="1" t="s">
        <v>69</v>
      </c>
      <c r="R146" s="1" t="s">
        <v>58</v>
      </c>
      <c r="S146" s="1" t="s">
        <v>58</v>
      </c>
      <c r="T146" s="1" t="s">
        <v>70</v>
      </c>
      <c r="U146" s="1" t="s">
        <v>70</v>
      </c>
      <c r="V146" s="1" t="s">
        <v>58</v>
      </c>
      <c r="W146" s="1" t="s">
        <v>69</v>
      </c>
      <c r="X146" s="1" t="s">
        <v>88</v>
      </c>
      <c r="Y146" s="1" t="s">
        <v>95</v>
      </c>
      <c r="Z146" s="1" t="s">
        <v>96</v>
      </c>
      <c r="AA146" s="2">
        <v>50.0</v>
      </c>
      <c r="AB146" s="1" t="s">
        <v>79</v>
      </c>
      <c r="AC146" s="1" t="s">
        <v>71</v>
      </c>
      <c r="AF146" s="1" t="s">
        <v>51</v>
      </c>
      <c r="AG146" s="1" t="s">
        <v>72</v>
      </c>
      <c r="AI146" s="2">
        <v>0.0</v>
      </c>
      <c r="AJ146" s="2">
        <v>0.0</v>
      </c>
      <c r="AK146" s="2">
        <v>0.0</v>
      </c>
      <c r="AL146" s="2">
        <v>1.0</v>
      </c>
      <c r="AP146" s="2">
        <v>4.89908744E8</v>
      </c>
      <c r="AQ146" s="1" t="s">
        <v>270</v>
      </c>
      <c r="AR146" s="2">
        <v>45808.36929398148</v>
      </c>
      <c r="AU146" s="1" t="s">
        <v>64</v>
      </c>
      <c r="AW146" s="1" t="s">
        <v>255</v>
      </c>
      <c r="AY146" s="2">
        <v>140.0</v>
      </c>
    </row>
    <row r="147">
      <c r="A147" s="1" t="s">
        <v>51</v>
      </c>
      <c r="C147" s="1" t="s">
        <v>151</v>
      </c>
      <c r="E147" s="1" t="s">
        <v>151</v>
      </c>
      <c r="G147" s="2">
        <v>19.0</v>
      </c>
      <c r="H147" s="1" t="s">
        <v>66</v>
      </c>
      <c r="J147" s="1" t="s">
        <v>56</v>
      </c>
      <c r="K147" s="1" t="s">
        <v>74</v>
      </c>
      <c r="M147" s="1" t="s">
        <v>58</v>
      </c>
      <c r="N147" s="1" t="s">
        <v>58</v>
      </c>
      <c r="O147" s="1" t="s">
        <v>58</v>
      </c>
      <c r="Q147" s="1" t="s">
        <v>70</v>
      </c>
      <c r="R147" s="1" t="s">
        <v>70</v>
      </c>
      <c r="S147" s="1" t="s">
        <v>69</v>
      </c>
      <c r="T147" s="1" t="s">
        <v>69</v>
      </c>
      <c r="U147" s="1" t="s">
        <v>58</v>
      </c>
      <c r="V147" s="1" t="s">
        <v>58</v>
      </c>
      <c r="W147" s="1" t="s">
        <v>69</v>
      </c>
      <c r="X147" s="1" t="s">
        <v>81</v>
      </c>
      <c r="Y147" s="1" t="s">
        <v>82</v>
      </c>
      <c r="Z147" s="1" t="s">
        <v>61</v>
      </c>
      <c r="AA147" s="2">
        <v>10.0</v>
      </c>
      <c r="AB147" s="1" t="s">
        <v>79</v>
      </c>
      <c r="AC147" s="1" t="s">
        <v>71</v>
      </c>
      <c r="AF147" s="1" t="s">
        <v>51</v>
      </c>
      <c r="AG147" s="1" t="s">
        <v>51</v>
      </c>
      <c r="AH147" s="2">
        <v>500.0</v>
      </c>
      <c r="AI147" s="2">
        <v>1.0</v>
      </c>
      <c r="AJ147" s="2">
        <v>1.0</v>
      </c>
      <c r="AK147" s="2">
        <v>1.0</v>
      </c>
      <c r="AL147" s="2">
        <v>1.0</v>
      </c>
      <c r="AP147" s="2">
        <v>4.89927291E8</v>
      </c>
      <c r="AQ147" s="1" t="s">
        <v>271</v>
      </c>
      <c r="AR147" s="2">
        <v>45808.39879629629</v>
      </c>
      <c r="AU147" s="1" t="s">
        <v>64</v>
      </c>
      <c r="AW147" s="1" t="s">
        <v>255</v>
      </c>
      <c r="AY147" s="2">
        <v>141.0</v>
      </c>
    </row>
    <row r="148">
      <c r="A148" s="1" t="s">
        <v>51</v>
      </c>
      <c r="C148" s="1" t="s">
        <v>131</v>
      </c>
      <c r="E148" s="1" t="s">
        <v>53</v>
      </c>
      <c r="F148" s="1" t="s">
        <v>85</v>
      </c>
      <c r="G148" s="2">
        <v>24.0</v>
      </c>
      <c r="H148" s="1" t="s">
        <v>66</v>
      </c>
      <c r="I148" s="1" t="s">
        <v>100</v>
      </c>
      <c r="J148" s="1" t="s">
        <v>56</v>
      </c>
      <c r="K148" s="1" t="s">
        <v>74</v>
      </c>
      <c r="M148" s="1" t="s">
        <v>58</v>
      </c>
      <c r="N148" s="1" t="s">
        <v>58</v>
      </c>
      <c r="O148" s="1" t="s">
        <v>58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81</v>
      </c>
      <c r="Y148" s="1" t="s">
        <v>60</v>
      </c>
      <c r="Z148" s="1" t="s">
        <v>96</v>
      </c>
      <c r="AA148" s="2">
        <v>20.0</v>
      </c>
      <c r="AB148" s="1" t="s">
        <v>79</v>
      </c>
      <c r="AC148" s="1" t="s">
        <v>51</v>
      </c>
      <c r="AD148" s="1" t="s">
        <v>81</v>
      </c>
      <c r="AE148" s="1" t="s">
        <v>51</v>
      </c>
      <c r="AF148" s="1" t="s">
        <v>51</v>
      </c>
      <c r="AG148" s="1" t="s">
        <v>51</v>
      </c>
      <c r="AH148" s="2">
        <v>200.0</v>
      </c>
      <c r="AI148" s="2">
        <v>1.0</v>
      </c>
      <c r="AJ148" s="2">
        <v>0.0</v>
      </c>
      <c r="AK148" s="2">
        <v>0.0</v>
      </c>
      <c r="AL148" s="2">
        <v>0.0</v>
      </c>
      <c r="AM148" s="1" t="s">
        <v>51</v>
      </c>
      <c r="AN148" s="2">
        <v>7.16325173E8</v>
      </c>
      <c r="AP148" s="2">
        <v>4.89931787E8</v>
      </c>
      <c r="AQ148" s="1" t="s">
        <v>272</v>
      </c>
      <c r="AR148" s="2">
        <v>45808.40630787037</v>
      </c>
      <c r="AU148" s="1" t="s">
        <v>64</v>
      </c>
      <c r="AW148" s="1" t="s">
        <v>255</v>
      </c>
      <c r="AY148" s="2">
        <v>142.0</v>
      </c>
    </row>
    <row r="149">
      <c r="A149" s="1" t="s">
        <v>51</v>
      </c>
      <c r="C149" s="1" t="s">
        <v>53</v>
      </c>
      <c r="E149" s="1" t="s">
        <v>131</v>
      </c>
      <c r="G149" s="2">
        <v>27.0</v>
      </c>
      <c r="H149" s="1" t="s">
        <v>66</v>
      </c>
      <c r="J149" s="1" t="s">
        <v>56</v>
      </c>
      <c r="K149" s="1" t="s">
        <v>57</v>
      </c>
      <c r="M149" s="1" t="s">
        <v>58</v>
      </c>
      <c r="N149" s="1" t="s">
        <v>58</v>
      </c>
      <c r="O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103</v>
      </c>
      <c r="Y149" s="1" t="s">
        <v>82</v>
      </c>
      <c r="Z149" s="1" t="s">
        <v>89</v>
      </c>
      <c r="AA149" s="2">
        <v>30.0</v>
      </c>
      <c r="AB149" s="1" t="s">
        <v>62</v>
      </c>
      <c r="AC149" s="1" t="s">
        <v>51</v>
      </c>
      <c r="AD149" s="1" t="s">
        <v>81</v>
      </c>
      <c r="AE149" s="1" t="s">
        <v>51</v>
      </c>
      <c r="AF149" s="1" t="s">
        <v>51</v>
      </c>
      <c r="AG149" s="1" t="s">
        <v>51</v>
      </c>
      <c r="AH149" s="2">
        <v>50.0</v>
      </c>
      <c r="AI149" s="2">
        <v>0.0</v>
      </c>
      <c r="AJ149" s="2">
        <v>1.0</v>
      </c>
      <c r="AK149" s="2">
        <v>0.0</v>
      </c>
      <c r="AL149" s="2">
        <v>1.0</v>
      </c>
      <c r="AP149" s="2">
        <v>4.89933658E8</v>
      </c>
      <c r="AQ149" s="1" t="s">
        <v>273</v>
      </c>
      <c r="AR149" s="2">
        <v>45808.40959490741</v>
      </c>
      <c r="AU149" s="1" t="s">
        <v>64</v>
      </c>
      <c r="AW149" s="1" t="s">
        <v>255</v>
      </c>
      <c r="AY149" s="2">
        <v>143.0</v>
      </c>
    </row>
    <row r="150">
      <c r="A150" s="1" t="s">
        <v>51</v>
      </c>
      <c r="C150" s="1" t="s">
        <v>53</v>
      </c>
      <c r="E150" s="1" t="s">
        <v>131</v>
      </c>
      <c r="G150" s="2">
        <v>27.0</v>
      </c>
      <c r="H150" s="1" t="s">
        <v>55</v>
      </c>
      <c r="J150" s="1" t="s">
        <v>86</v>
      </c>
      <c r="K150" s="1" t="s">
        <v>57</v>
      </c>
      <c r="M150" s="1" t="s">
        <v>58</v>
      </c>
      <c r="N150" s="1" t="s">
        <v>58</v>
      </c>
      <c r="O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81</v>
      </c>
      <c r="Y150" s="1" t="s">
        <v>60</v>
      </c>
      <c r="Z150" s="1" t="s">
        <v>89</v>
      </c>
      <c r="AA150" s="2">
        <v>30.0</v>
      </c>
      <c r="AB150" s="1" t="s">
        <v>62</v>
      </c>
      <c r="AC150" s="1" t="s">
        <v>51</v>
      </c>
      <c r="AD150" s="1" t="s">
        <v>81</v>
      </c>
      <c r="AE150" s="1" t="s">
        <v>51</v>
      </c>
      <c r="AF150" s="1" t="s">
        <v>51</v>
      </c>
      <c r="AG150" s="1" t="s">
        <v>51</v>
      </c>
      <c r="AH150" s="2">
        <v>50.0</v>
      </c>
      <c r="AI150" s="2">
        <v>0.0</v>
      </c>
      <c r="AJ150" s="2">
        <v>1.0</v>
      </c>
      <c r="AK150" s="2">
        <v>0.0</v>
      </c>
      <c r="AL150" s="2">
        <v>0.0</v>
      </c>
      <c r="AP150" s="2">
        <v>4.89935516E8</v>
      </c>
      <c r="AQ150" s="1" t="s">
        <v>274</v>
      </c>
      <c r="AR150" s="2">
        <v>45808.41211805555</v>
      </c>
      <c r="AU150" s="1" t="s">
        <v>64</v>
      </c>
      <c r="AW150" s="1" t="s">
        <v>255</v>
      </c>
      <c r="AY150" s="2">
        <v>144.0</v>
      </c>
    </row>
    <row r="151">
      <c r="A151" s="1" t="s">
        <v>51</v>
      </c>
      <c r="C151" s="1" t="s">
        <v>131</v>
      </c>
      <c r="E151" s="1" t="s">
        <v>131</v>
      </c>
      <c r="G151" s="2">
        <v>33.0</v>
      </c>
      <c r="H151" s="1" t="s">
        <v>55</v>
      </c>
      <c r="J151" s="1" t="s">
        <v>86</v>
      </c>
      <c r="K151" s="1" t="s">
        <v>57</v>
      </c>
      <c r="M151" s="1" t="s">
        <v>58</v>
      </c>
      <c r="N151" s="1" t="s">
        <v>58</v>
      </c>
      <c r="O151" s="1" t="s">
        <v>69</v>
      </c>
      <c r="Q151" s="1" t="s">
        <v>58</v>
      </c>
      <c r="R151" s="1" t="s">
        <v>58</v>
      </c>
      <c r="S151" s="1" t="s">
        <v>58</v>
      </c>
      <c r="T151" s="1" t="s">
        <v>70</v>
      </c>
      <c r="U151" s="1" t="s">
        <v>70</v>
      </c>
      <c r="V151" s="1" t="s">
        <v>69</v>
      </c>
      <c r="W151" s="1" t="s">
        <v>69</v>
      </c>
      <c r="X151" s="1" t="s">
        <v>59</v>
      </c>
      <c r="Y151" s="1" t="s">
        <v>172</v>
      </c>
      <c r="Z151" s="1" t="s">
        <v>108</v>
      </c>
      <c r="AA151" s="2">
        <v>100.0</v>
      </c>
      <c r="AB151" s="1" t="s">
        <v>79</v>
      </c>
      <c r="AC151" s="1" t="s">
        <v>72</v>
      </c>
      <c r="AF151" s="1" t="s">
        <v>51</v>
      </c>
      <c r="AG151" s="1" t="s">
        <v>51</v>
      </c>
      <c r="AH151" s="2">
        <v>10.0</v>
      </c>
      <c r="AI151" s="2">
        <v>0.0</v>
      </c>
      <c r="AJ151" s="2">
        <v>0.0</v>
      </c>
      <c r="AK151" s="2">
        <v>0.0</v>
      </c>
      <c r="AL151" s="2">
        <v>1.0</v>
      </c>
      <c r="AP151" s="2">
        <v>4.89936782E8</v>
      </c>
      <c r="AQ151" s="1" t="s">
        <v>275</v>
      </c>
      <c r="AR151" s="2">
        <v>45808.41376157408</v>
      </c>
      <c r="AU151" s="1" t="s">
        <v>64</v>
      </c>
      <c r="AW151" s="1" t="s">
        <v>255</v>
      </c>
      <c r="AY151" s="2">
        <v>145.0</v>
      </c>
    </row>
    <row r="152">
      <c r="A152" s="1" t="s">
        <v>51</v>
      </c>
      <c r="C152" s="1" t="s">
        <v>131</v>
      </c>
      <c r="E152" s="1" t="s">
        <v>53</v>
      </c>
      <c r="F152" s="1" t="s">
        <v>102</v>
      </c>
      <c r="G152" s="2">
        <v>31.0</v>
      </c>
      <c r="H152" s="1" t="s">
        <v>55</v>
      </c>
      <c r="I152" s="1" t="s">
        <v>67</v>
      </c>
      <c r="J152" s="1" t="s">
        <v>86</v>
      </c>
      <c r="K152" s="1" t="s">
        <v>57</v>
      </c>
      <c r="M152" s="1" t="s">
        <v>58</v>
      </c>
      <c r="N152" s="1" t="s">
        <v>58</v>
      </c>
      <c r="O152" s="1" t="s">
        <v>69</v>
      </c>
      <c r="Q152" s="1" t="s">
        <v>69</v>
      </c>
      <c r="R152" s="1" t="s">
        <v>69</v>
      </c>
      <c r="S152" s="1" t="s">
        <v>58</v>
      </c>
      <c r="T152" s="1" t="s">
        <v>69</v>
      </c>
      <c r="V152" s="1" t="s">
        <v>69</v>
      </c>
      <c r="W152" s="1" t="s">
        <v>69</v>
      </c>
      <c r="X152" s="1" t="s">
        <v>59</v>
      </c>
      <c r="Y152" s="1" t="s">
        <v>172</v>
      </c>
      <c r="Z152" s="1" t="s">
        <v>96</v>
      </c>
      <c r="AA152" s="2">
        <v>100.0</v>
      </c>
      <c r="AB152" s="1" t="s">
        <v>79</v>
      </c>
      <c r="AC152" s="1" t="s">
        <v>72</v>
      </c>
      <c r="AF152" s="1" t="s">
        <v>51</v>
      </c>
      <c r="AG152" s="1" t="s">
        <v>72</v>
      </c>
      <c r="AI152" s="2">
        <v>0.0</v>
      </c>
      <c r="AJ152" s="2">
        <v>0.0</v>
      </c>
      <c r="AK152" s="2">
        <v>0.0</v>
      </c>
      <c r="AL152" s="2">
        <v>1.0</v>
      </c>
      <c r="AM152" s="1" t="s">
        <v>51</v>
      </c>
      <c r="AN152" s="2">
        <v>6.03754007E8</v>
      </c>
      <c r="AP152" s="2">
        <v>4.89939487E8</v>
      </c>
      <c r="AQ152" s="1" t="s">
        <v>276</v>
      </c>
      <c r="AR152" s="2">
        <v>45808.41780092593</v>
      </c>
      <c r="AU152" s="1" t="s">
        <v>64</v>
      </c>
      <c r="AW152" s="1" t="s">
        <v>255</v>
      </c>
      <c r="AY152" s="2">
        <v>146.0</v>
      </c>
    </row>
    <row r="153">
      <c r="A153" s="1" t="s">
        <v>51</v>
      </c>
      <c r="C153" s="1" t="s">
        <v>52</v>
      </c>
      <c r="E153" s="1" t="s">
        <v>53</v>
      </c>
      <c r="F153" s="1" t="s">
        <v>102</v>
      </c>
      <c r="G153" s="2">
        <v>40.0</v>
      </c>
      <c r="H153" s="1" t="s">
        <v>66</v>
      </c>
      <c r="I153" s="1" t="s">
        <v>67</v>
      </c>
      <c r="J153" s="1" t="s">
        <v>86</v>
      </c>
      <c r="K153" s="1" t="s">
        <v>74</v>
      </c>
      <c r="M153" s="1" t="s">
        <v>58</v>
      </c>
      <c r="N153" s="1" t="s">
        <v>58</v>
      </c>
      <c r="O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70</v>
      </c>
      <c r="V153" s="1" t="s">
        <v>58</v>
      </c>
      <c r="W153" s="1" t="s">
        <v>69</v>
      </c>
      <c r="X153" s="1" t="s">
        <v>59</v>
      </c>
      <c r="Y153" s="1" t="s">
        <v>82</v>
      </c>
      <c r="Z153" s="1" t="s">
        <v>89</v>
      </c>
      <c r="AA153" s="2">
        <v>50.0</v>
      </c>
      <c r="AB153" s="1" t="s">
        <v>62</v>
      </c>
      <c r="AC153" s="1" t="s">
        <v>72</v>
      </c>
      <c r="AF153" s="1" t="s">
        <v>51</v>
      </c>
      <c r="AG153" s="1" t="s">
        <v>51</v>
      </c>
      <c r="AH153" s="2">
        <v>20.0</v>
      </c>
      <c r="AI153" s="2">
        <v>0.0</v>
      </c>
      <c r="AJ153" s="2">
        <v>0.0</v>
      </c>
      <c r="AK153" s="2">
        <v>0.0</v>
      </c>
      <c r="AL153" s="2">
        <v>1.0</v>
      </c>
      <c r="AM153" s="1" t="s">
        <v>51</v>
      </c>
      <c r="AN153" s="2">
        <v>8.46416597E8</v>
      </c>
      <c r="AP153" s="2">
        <v>4.89951561E8</v>
      </c>
      <c r="AQ153" s="1" t="s">
        <v>277</v>
      </c>
      <c r="AR153" s="2">
        <v>45808.433796296296</v>
      </c>
      <c r="AU153" s="1" t="s">
        <v>64</v>
      </c>
      <c r="AW153" s="1" t="s">
        <v>255</v>
      </c>
      <c r="AY153" s="2">
        <v>147.0</v>
      </c>
    </row>
    <row r="154">
      <c r="A154" s="1" t="s">
        <v>51</v>
      </c>
      <c r="C154" s="1" t="s">
        <v>52</v>
      </c>
      <c r="E154" s="1" t="s">
        <v>53</v>
      </c>
      <c r="F154" s="1" t="s">
        <v>85</v>
      </c>
      <c r="G154" s="2">
        <v>25.0</v>
      </c>
      <c r="H154" s="1" t="s">
        <v>66</v>
      </c>
      <c r="I154" s="1" t="s">
        <v>67</v>
      </c>
      <c r="J154" s="1" t="s">
        <v>56</v>
      </c>
      <c r="K154" s="1" t="s">
        <v>92</v>
      </c>
      <c r="M154" s="1" t="s">
        <v>58</v>
      </c>
      <c r="N154" s="1" t="s">
        <v>58</v>
      </c>
      <c r="O154" s="1" t="s">
        <v>58</v>
      </c>
      <c r="Q154" s="1" t="s">
        <v>70</v>
      </c>
      <c r="R154" s="1" t="s">
        <v>58</v>
      </c>
      <c r="S154" s="1" t="s">
        <v>69</v>
      </c>
      <c r="T154" s="1" t="s">
        <v>69</v>
      </c>
      <c r="U154" s="1" t="s">
        <v>58</v>
      </c>
      <c r="V154" s="1" t="s">
        <v>69</v>
      </c>
      <c r="W154" s="1" t="s">
        <v>69</v>
      </c>
      <c r="X154" s="1" t="s">
        <v>81</v>
      </c>
      <c r="Y154" s="1" t="s">
        <v>82</v>
      </c>
      <c r="Z154" s="1" t="s">
        <v>61</v>
      </c>
      <c r="AA154" s="2">
        <v>50.0</v>
      </c>
      <c r="AB154" s="1" t="s">
        <v>28</v>
      </c>
      <c r="AC154" s="1" t="s">
        <v>71</v>
      </c>
      <c r="AF154" s="1" t="s">
        <v>51</v>
      </c>
      <c r="AG154" s="1" t="s">
        <v>72</v>
      </c>
      <c r="AI154" s="2">
        <v>0.0</v>
      </c>
      <c r="AJ154" s="2">
        <v>0.0</v>
      </c>
      <c r="AK154" s="2">
        <v>0.0</v>
      </c>
      <c r="AL154" s="2">
        <v>1.0</v>
      </c>
      <c r="AM154" s="1" t="s">
        <v>72</v>
      </c>
      <c r="AP154" s="2">
        <v>4.899521E8</v>
      </c>
      <c r="AQ154" s="1" t="s">
        <v>278</v>
      </c>
      <c r="AR154" s="2">
        <v>45808.4346875</v>
      </c>
      <c r="AU154" s="1" t="s">
        <v>64</v>
      </c>
      <c r="AW154" s="1" t="s">
        <v>255</v>
      </c>
      <c r="AY154" s="2">
        <v>148.0</v>
      </c>
    </row>
    <row r="155">
      <c r="A155" s="1" t="s">
        <v>51</v>
      </c>
      <c r="C155" s="1" t="s">
        <v>151</v>
      </c>
      <c r="E155" s="1" t="s">
        <v>151</v>
      </c>
      <c r="G155" s="2">
        <v>21.0</v>
      </c>
      <c r="H155" s="1" t="s">
        <v>66</v>
      </c>
      <c r="J155" s="1" t="s">
        <v>56</v>
      </c>
      <c r="K155" s="1" t="s">
        <v>87</v>
      </c>
      <c r="M155" s="1" t="s">
        <v>58</v>
      </c>
      <c r="N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81</v>
      </c>
      <c r="Y155" s="1" t="s">
        <v>60</v>
      </c>
      <c r="Z155" s="1" t="s">
        <v>61</v>
      </c>
      <c r="AA155" s="2">
        <v>30.0</v>
      </c>
      <c r="AB155" s="1" t="s">
        <v>62</v>
      </c>
      <c r="AC155" s="1" t="s">
        <v>51</v>
      </c>
      <c r="AD155" s="1" t="s">
        <v>81</v>
      </c>
      <c r="AE155" s="1" t="s">
        <v>51</v>
      </c>
      <c r="AF155" s="1" t="s">
        <v>51</v>
      </c>
      <c r="AG155" s="1" t="s">
        <v>51</v>
      </c>
      <c r="AI155" s="2">
        <v>1.0</v>
      </c>
      <c r="AJ155" s="2">
        <v>0.0</v>
      </c>
      <c r="AK155" s="2">
        <v>0.0</v>
      </c>
      <c r="AL155" s="2">
        <v>0.0</v>
      </c>
      <c r="AP155" s="2">
        <v>4.89973054E8</v>
      </c>
      <c r="AQ155" s="1" t="s">
        <v>279</v>
      </c>
      <c r="AR155" s="2">
        <v>45808.46388888889</v>
      </c>
      <c r="AU155" s="1" t="s">
        <v>64</v>
      </c>
      <c r="AW155" s="1" t="s">
        <v>255</v>
      </c>
      <c r="AY155" s="2">
        <v>149.0</v>
      </c>
    </row>
    <row r="156">
      <c r="A156" s="1" t="s">
        <v>51</v>
      </c>
      <c r="C156" s="1" t="s">
        <v>170</v>
      </c>
      <c r="E156" s="1" t="s">
        <v>170</v>
      </c>
      <c r="G156" s="2">
        <v>42.0</v>
      </c>
      <c r="H156" s="1" t="s">
        <v>66</v>
      </c>
      <c r="J156" s="1" t="s">
        <v>68</v>
      </c>
      <c r="K156" s="1" t="s">
        <v>57</v>
      </c>
      <c r="M156" s="1" t="s">
        <v>70</v>
      </c>
      <c r="N156" s="1" t="s">
        <v>70</v>
      </c>
      <c r="O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 t="s">
        <v>58</v>
      </c>
      <c r="X156" s="1" t="s">
        <v>59</v>
      </c>
      <c r="Y156" s="1" t="s">
        <v>82</v>
      </c>
      <c r="Z156" s="1" t="s">
        <v>61</v>
      </c>
      <c r="AA156" s="2">
        <v>10.0</v>
      </c>
      <c r="AB156" s="1" t="s">
        <v>79</v>
      </c>
      <c r="AC156" s="1" t="s">
        <v>51</v>
      </c>
      <c r="AD156" s="1" t="s">
        <v>59</v>
      </c>
      <c r="AE156" s="1" t="s">
        <v>72</v>
      </c>
      <c r="AF156" s="1" t="s">
        <v>51</v>
      </c>
      <c r="AG156" s="1" t="s">
        <v>51</v>
      </c>
      <c r="AI156" s="2">
        <v>0.0</v>
      </c>
      <c r="AJ156" s="2">
        <v>0.0</v>
      </c>
      <c r="AK156" s="2">
        <v>1.0</v>
      </c>
      <c r="AL156" s="2">
        <v>0.0</v>
      </c>
      <c r="AP156" s="2">
        <v>4.8998635E8</v>
      </c>
      <c r="AQ156" s="1" t="s">
        <v>280</v>
      </c>
      <c r="AR156" s="2">
        <v>45808.481724537036</v>
      </c>
      <c r="AU156" s="1" t="s">
        <v>64</v>
      </c>
      <c r="AW156" s="1" t="s">
        <v>255</v>
      </c>
      <c r="AY156" s="2">
        <v>150.0</v>
      </c>
    </row>
    <row r="157">
      <c r="A157" s="1" t="s">
        <v>51</v>
      </c>
      <c r="C157" s="1" t="s">
        <v>151</v>
      </c>
      <c r="E157" s="1" t="s">
        <v>151</v>
      </c>
      <c r="G157" s="2">
        <v>30.0</v>
      </c>
      <c r="H157" s="1" t="s">
        <v>55</v>
      </c>
      <c r="J157" s="1" t="s">
        <v>86</v>
      </c>
      <c r="K157" s="1" t="s">
        <v>74</v>
      </c>
      <c r="M157" s="1" t="s">
        <v>58</v>
      </c>
      <c r="N157" s="1" t="s">
        <v>58</v>
      </c>
      <c r="O157" s="1" t="s">
        <v>69</v>
      </c>
      <c r="Q157" s="1" t="s">
        <v>58</v>
      </c>
      <c r="R157" s="1" t="s">
        <v>69</v>
      </c>
      <c r="S157" s="1" t="s">
        <v>69</v>
      </c>
      <c r="T157" s="1" t="s">
        <v>58</v>
      </c>
      <c r="U157" s="1" t="s">
        <v>58</v>
      </c>
      <c r="V157" s="1" t="s">
        <v>58</v>
      </c>
      <c r="W157" s="1" t="s">
        <v>69</v>
      </c>
      <c r="X157" s="1" t="s">
        <v>81</v>
      </c>
      <c r="Y157" s="1" t="s">
        <v>227</v>
      </c>
      <c r="Z157" s="1" t="s">
        <v>61</v>
      </c>
      <c r="AA157" s="2">
        <v>50.0</v>
      </c>
      <c r="AB157" s="1" t="s">
        <v>79</v>
      </c>
      <c r="AC157" s="1" t="s">
        <v>51</v>
      </c>
      <c r="AD157" s="1" t="s">
        <v>81</v>
      </c>
      <c r="AE157" s="1" t="s">
        <v>51</v>
      </c>
      <c r="AF157" s="1" t="s">
        <v>51</v>
      </c>
      <c r="AG157" s="1" t="s">
        <v>51</v>
      </c>
      <c r="AH157" s="2">
        <v>300.0</v>
      </c>
      <c r="AI157" s="2">
        <v>1.0</v>
      </c>
      <c r="AJ157" s="2">
        <v>0.0</v>
      </c>
      <c r="AK157" s="2">
        <v>0.0</v>
      </c>
      <c r="AL157" s="2">
        <v>0.0</v>
      </c>
      <c r="AP157" s="2">
        <v>4.89995757E8</v>
      </c>
      <c r="AQ157" s="1" t="s">
        <v>281</v>
      </c>
      <c r="AR157" s="2">
        <v>45808.49559027778</v>
      </c>
      <c r="AU157" s="1" t="s">
        <v>64</v>
      </c>
      <c r="AW157" s="1" t="s">
        <v>191</v>
      </c>
      <c r="AY157" s="2">
        <v>151.0</v>
      </c>
    </row>
    <row r="158">
      <c r="A158" s="1" t="s">
        <v>51</v>
      </c>
      <c r="C158" s="1" t="s">
        <v>53</v>
      </c>
      <c r="E158" s="1" t="s">
        <v>131</v>
      </c>
      <c r="G158" s="2">
        <v>27.0</v>
      </c>
      <c r="H158" s="1" t="s">
        <v>55</v>
      </c>
      <c r="J158" s="1" t="s">
        <v>86</v>
      </c>
      <c r="K158" s="1" t="s">
        <v>57</v>
      </c>
      <c r="M158" s="1" t="s">
        <v>58</v>
      </c>
      <c r="N158" s="1" t="s">
        <v>58</v>
      </c>
      <c r="O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81</v>
      </c>
      <c r="Y158" s="1" t="s">
        <v>60</v>
      </c>
      <c r="Z158" s="1" t="s">
        <v>89</v>
      </c>
      <c r="AA158" s="2">
        <v>20.0</v>
      </c>
      <c r="AB158" s="1" t="s">
        <v>62</v>
      </c>
      <c r="AC158" s="1" t="s">
        <v>51</v>
      </c>
      <c r="AD158" s="1" t="s">
        <v>81</v>
      </c>
      <c r="AE158" s="1" t="s">
        <v>51</v>
      </c>
      <c r="AF158" s="1" t="s">
        <v>51</v>
      </c>
      <c r="AG158" s="1" t="s">
        <v>51</v>
      </c>
      <c r="AH158" s="2">
        <v>50.0</v>
      </c>
      <c r="AI158" s="2">
        <v>0.0</v>
      </c>
      <c r="AJ158" s="2">
        <v>1.0</v>
      </c>
      <c r="AK158" s="2">
        <v>0.0</v>
      </c>
      <c r="AL158" s="2">
        <v>0.0</v>
      </c>
      <c r="AP158" s="2">
        <v>4.89995822E8</v>
      </c>
      <c r="AQ158" s="1" t="s">
        <v>282</v>
      </c>
      <c r="AR158" s="2">
        <v>45808.49568287037</v>
      </c>
      <c r="AU158" s="1" t="s">
        <v>64</v>
      </c>
      <c r="AW158" s="1" t="s">
        <v>255</v>
      </c>
      <c r="AY158" s="2">
        <v>152.0</v>
      </c>
    </row>
    <row r="159">
      <c r="A159" s="1" t="s">
        <v>51</v>
      </c>
      <c r="C159" s="1" t="s">
        <v>53</v>
      </c>
      <c r="E159" s="1" t="s">
        <v>131</v>
      </c>
      <c r="G159" s="2">
        <v>27.0</v>
      </c>
      <c r="H159" s="1" t="s">
        <v>55</v>
      </c>
      <c r="J159" s="1" t="s">
        <v>86</v>
      </c>
      <c r="K159" s="1" t="s">
        <v>57</v>
      </c>
      <c r="M159" s="1" t="s">
        <v>58</v>
      </c>
      <c r="N159" s="1" t="s">
        <v>58</v>
      </c>
      <c r="O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81</v>
      </c>
      <c r="Y159" s="1" t="s">
        <v>60</v>
      </c>
      <c r="Z159" s="1" t="s">
        <v>89</v>
      </c>
      <c r="AA159" s="2">
        <v>30.0</v>
      </c>
      <c r="AB159" s="1" t="s">
        <v>62</v>
      </c>
      <c r="AC159" s="1" t="s">
        <v>51</v>
      </c>
      <c r="AF159" s="1" t="s">
        <v>51</v>
      </c>
      <c r="AG159" s="1" t="s">
        <v>51</v>
      </c>
      <c r="AI159" s="2">
        <v>0.0</v>
      </c>
      <c r="AJ159" s="2">
        <v>1.0</v>
      </c>
      <c r="AK159" s="2">
        <v>0.0</v>
      </c>
      <c r="AL159" s="2">
        <v>0.0</v>
      </c>
      <c r="AP159" s="2">
        <v>4.89999395E8</v>
      </c>
      <c r="AQ159" s="1" t="s">
        <v>283</v>
      </c>
      <c r="AR159" s="2">
        <v>45808.50059027778</v>
      </c>
      <c r="AU159" s="1" t="s">
        <v>64</v>
      </c>
      <c r="AW159" s="1" t="s">
        <v>255</v>
      </c>
      <c r="AY159" s="2">
        <v>153.0</v>
      </c>
    </row>
    <row r="160">
      <c r="A160" s="1" t="s">
        <v>51</v>
      </c>
      <c r="C160" s="1" t="s">
        <v>53</v>
      </c>
      <c r="E160" s="1" t="s">
        <v>131</v>
      </c>
      <c r="G160" s="2">
        <v>28.0</v>
      </c>
      <c r="H160" s="1" t="s">
        <v>66</v>
      </c>
      <c r="J160" s="1" t="s">
        <v>86</v>
      </c>
      <c r="K160" s="1" t="s">
        <v>57</v>
      </c>
      <c r="M160" s="1" t="s">
        <v>58</v>
      </c>
      <c r="N160" s="1" t="s">
        <v>58</v>
      </c>
      <c r="O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X160" s="1" t="s">
        <v>81</v>
      </c>
      <c r="Y160" s="1" t="s">
        <v>82</v>
      </c>
      <c r="Z160" s="1" t="s">
        <v>89</v>
      </c>
      <c r="AA160" s="2">
        <v>40.0</v>
      </c>
      <c r="AB160" s="1" t="s">
        <v>79</v>
      </c>
      <c r="AC160" s="1" t="s">
        <v>51</v>
      </c>
      <c r="AD160" s="1" t="s">
        <v>81</v>
      </c>
      <c r="AE160" s="1" t="s">
        <v>51</v>
      </c>
      <c r="AF160" s="1" t="s">
        <v>51</v>
      </c>
      <c r="AG160" s="1" t="s">
        <v>51</v>
      </c>
      <c r="AH160" s="2">
        <v>50.0</v>
      </c>
      <c r="AI160" s="2">
        <v>0.0</v>
      </c>
      <c r="AJ160" s="2">
        <v>1.0</v>
      </c>
      <c r="AK160" s="2">
        <v>0.0</v>
      </c>
      <c r="AL160" s="2">
        <v>0.0</v>
      </c>
      <c r="AP160" s="2">
        <v>4.90001163E8</v>
      </c>
      <c r="AQ160" s="1" t="s">
        <v>284</v>
      </c>
      <c r="AR160" s="2">
        <v>45808.50234953704</v>
      </c>
      <c r="AU160" s="1" t="s">
        <v>64</v>
      </c>
      <c r="AW160" s="1" t="s">
        <v>255</v>
      </c>
      <c r="AY160" s="2">
        <v>154.0</v>
      </c>
    </row>
    <row r="161">
      <c r="A161" s="1" t="s">
        <v>51</v>
      </c>
      <c r="C161" s="1" t="s">
        <v>131</v>
      </c>
      <c r="E161" s="1" t="s">
        <v>53</v>
      </c>
      <c r="F161" s="1" t="s">
        <v>85</v>
      </c>
      <c r="G161" s="2">
        <v>28.0</v>
      </c>
      <c r="H161" s="1" t="s">
        <v>66</v>
      </c>
      <c r="I161" s="1" t="s">
        <v>100</v>
      </c>
      <c r="J161" s="1" t="s">
        <v>86</v>
      </c>
      <c r="K161" s="1" t="s">
        <v>57</v>
      </c>
      <c r="M161" s="1" t="s">
        <v>58</v>
      </c>
      <c r="N161" s="1" t="s">
        <v>58</v>
      </c>
      <c r="O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 t="s">
        <v>58</v>
      </c>
      <c r="X161" s="1" t="s">
        <v>81</v>
      </c>
      <c r="Y161" s="1" t="s">
        <v>60</v>
      </c>
      <c r="Z161" s="1" t="s">
        <v>89</v>
      </c>
      <c r="AA161" s="2">
        <v>30.0</v>
      </c>
      <c r="AB161" s="1" t="s">
        <v>62</v>
      </c>
      <c r="AC161" s="1" t="s">
        <v>51</v>
      </c>
      <c r="AF161" s="1" t="s">
        <v>51</v>
      </c>
      <c r="AG161" s="1" t="s">
        <v>51</v>
      </c>
      <c r="AI161" s="2">
        <v>0.0</v>
      </c>
      <c r="AJ161" s="2">
        <v>1.0</v>
      </c>
      <c r="AK161" s="2">
        <v>0.0</v>
      </c>
      <c r="AL161" s="2">
        <v>0.0</v>
      </c>
      <c r="AM161" s="1" t="s">
        <v>51</v>
      </c>
      <c r="AN161" s="2">
        <v>7.3408723E8</v>
      </c>
      <c r="AP161" s="2">
        <v>4.90002951E8</v>
      </c>
      <c r="AQ161" s="1" t="s">
        <v>285</v>
      </c>
      <c r="AR161" s="2">
        <v>45808.50498842593</v>
      </c>
      <c r="AU161" s="1" t="s">
        <v>64</v>
      </c>
      <c r="AW161" s="1" t="s">
        <v>255</v>
      </c>
      <c r="AY161" s="2">
        <v>155.0</v>
      </c>
    </row>
    <row r="162">
      <c r="A162" s="1" t="s">
        <v>51</v>
      </c>
      <c r="C162" s="1" t="s">
        <v>286</v>
      </c>
      <c r="E162" s="1" t="s">
        <v>53</v>
      </c>
      <c r="F162" s="1" t="s">
        <v>102</v>
      </c>
      <c r="G162" s="2">
        <v>35.0</v>
      </c>
      <c r="H162" s="1" t="s">
        <v>66</v>
      </c>
      <c r="I162" s="1" t="s">
        <v>76</v>
      </c>
      <c r="J162" s="1" t="s">
        <v>68</v>
      </c>
      <c r="K162" s="1" t="s">
        <v>78</v>
      </c>
      <c r="M162" s="1" t="s">
        <v>58</v>
      </c>
      <c r="N162" s="1" t="s">
        <v>70</v>
      </c>
      <c r="O162" s="1" t="s">
        <v>69</v>
      </c>
      <c r="Q162" s="1" t="s">
        <v>58</v>
      </c>
      <c r="R162" s="1" t="s">
        <v>58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81</v>
      </c>
      <c r="Y162" s="1" t="s">
        <v>172</v>
      </c>
      <c r="Z162" s="1" t="s">
        <v>89</v>
      </c>
      <c r="AA162" s="2">
        <v>10.0</v>
      </c>
      <c r="AB162" s="1" t="s">
        <v>28</v>
      </c>
      <c r="AC162" s="1" t="s">
        <v>71</v>
      </c>
      <c r="AF162" s="1" t="s">
        <v>51</v>
      </c>
      <c r="AG162" s="1" t="s">
        <v>51</v>
      </c>
      <c r="AH162" s="2">
        <v>20.0</v>
      </c>
      <c r="AI162" s="2">
        <v>0.0</v>
      </c>
      <c r="AJ162" s="2">
        <v>0.0</v>
      </c>
      <c r="AK162" s="2">
        <v>0.0</v>
      </c>
      <c r="AL162" s="2">
        <v>1.0</v>
      </c>
      <c r="AM162" s="1" t="s">
        <v>72</v>
      </c>
      <c r="AP162" s="2">
        <v>4.90003314E8</v>
      </c>
      <c r="AQ162" s="1" t="s">
        <v>287</v>
      </c>
      <c r="AR162" s="2">
        <v>45808.50548611111</v>
      </c>
      <c r="AU162" s="1" t="s">
        <v>64</v>
      </c>
      <c r="AW162" s="1" t="s">
        <v>255</v>
      </c>
      <c r="AY162" s="2">
        <v>156.0</v>
      </c>
    </row>
    <row r="163">
      <c r="A163" s="1" t="s">
        <v>51</v>
      </c>
      <c r="C163" s="1" t="s">
        <v>53</v>
      </c>
      <c r="E163" s="1" t="s">
        <v>131</v>
      </c>
      <c r="G163" s="2">
        <v>29.0</v>
      </c>
      <c r="H163" s="1" t="s">
        <v>55</v>
      </c>
      <c r="J163" s="1" t="s">
        <v>86</v>
      </c>
      <c r="K163" s="1" t="s">
        <v>78</v>
      </c>
      <c r="M163" s="1" t="s">
        <v>58</v>
      </c>
      <c r="N163" s="1" t="s">
        <v>58</v>
      </c>
      <c r="O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81</v>
      </c>
      <c r="Y163" s="1" t="s">
        <v>60</v>
      </c>
      <c r="Z163" s="1" t="s">
        <v>89</v>
      </c>
      <c r="AA163" s="2">
        <v>50.0</v>
      </c>
      <c r="AB163" s="1" t="s">
        <v>79</v>
      </c>
      <c r="AC163" s="1" t="s">
        <v>51</v>
      </c>
      <c r="AD163" s="1" t="s">
        <v>81</v>
      </c>
      <c r="AE163" s="1" t="s">
        <v>51</v>
      </c>
      <c r="AF163" s="1" t="s">
        <v>51</v>
      </c>
      <c r="AG163" s="1" t="s">
        <v>51</v>
      </c>
      <c r="AI163" s="2">
        <v>0.0</v>
      </c>
      <c r="AJ163" s="2">
        <v>1.0</v>
      </c>
      <c r="AK163" s="2">
        <v>0.0</v>
      </c>
      <c r="AL163" s="2">
        <v>0.0</v>
      </c>
      <c r="AP163" s="2">
        <v>4.90004742E8</v>
      </c>
      <c r="AQ163" s="1" t="s">
        <v>288</v>
      </c>
      <c r="AR163" s="2">
        <v>45808.50743055555</v>
      </c>
      <c r="AU163" s="1" t="s">
        <v>64</v>
      </c>
      <c r="AW163" s="1" t="s">
        <v>255</v>
      </c>
      <c r="AY163" s="2">
        <v>157.0</v>
      </c>
    </row>
    <row r="164">
      <c r="A164" s="1" t="s">
        <v>51</v>
      </c>
      <c r="C164" s="1" t="s">
        <v>131</v>
      </c>
      <c r="E164" s="1" t="s">
        <v>53</v>
      </c>
      <c r="F164" s="1" t="s">
        <v>85</v>
      </c>
      <c r="G164" s="2">
        <v>28.0</v>
      </c>
      <c r="H164" s="1" t="s">
        <v>66</v>
      </c>
      <c r="I164" s="1" t="s">
        <v>100</v>
      </c>
      <c r="J164" s="1" t="s">
        <v>86</v>
      </c>
      <c r="K164" s="1" t="s">
        <v>74</v>
      </c>
      <c r="M164" s="1" t="s">
        <v>58</v>
      </c>
      <c r="N164" s="1" t="s">
        <v>58</v>
      </c>
      <c r="O164" s="1" t="s">
        <v>58</v>
      </c>
      <c r="Q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81</v>
      </c>
      <c r="Y164" s="1" t="s">
        <v>82</v>
      </c>
      <c r="Z164" s="1" t="s">
        <v>127</v>
      </c>
      <c r="AA164" s="2">
        <v>10.0</v>
      </c>
      <c r="AB164" s="1" t="s">
        <v>79</v>
      </c>
      <c r="AC164" s="1" t="s">
        <v>51</v>
      </c>
      <c r="AF164" s="1" t="s">
        <v>51</v>
      </c>
      <c r="AG164" s="1" t="s">
        <v>51</v>
      </c>
      <c r="AI164" s="2">
        <v>1.0</v>
      </c>
      <c r="AJ164" s="2">
        <v>0.0</v>
      </c>
      <c r="AK164" s="2">
        <v>0.0</v>
      </c>
      <c r="AL164" s="2">
        <v>0.0</v>
      </c>
      <c r="AM164" s="1" t="s">
        <v>51</v>
      </c>
      <c r="AN164" s="2">
        <v>6.40004045E8</v>
      </c>
      <c r="AP164" s="2">
        <v>4.90013637E8</v>
      </c>
      <c r="AQ164" s="1" t="s">
        <v>289</v>
      </c>
      <c r="AR164" s="2">
        <v>45808.51943287037</v>
      </c>
      <c r="AU164" s="1" t="s">
        <v>64</v>
      </c>
      <c r="AW164" s="1" t="s">
        <v>255</v>
      </c>
      <c r="AY164" s="2">
        <v>158.0</v>
      </c>
    </row>
    <row r="165">
      <c r="A165" s="1" t="s">
        <v>51</v>
      </c>
      <c r="C165" s="1" t="s">
        <v>131</v>
      </c>
      <c r="E165" s="1" t="s">
        <v>53</v>
      </c>
      <c r="F165" s="1" t="s">
        <v>85</v>
      </c>
      <c r="G165" s="2">
        <v>22.0</v>
      </c>
      <c r="H165" s="1" t="s">
        <v>55</v>
      </c>
      <c r="I165" s="1" t="s">
        <v>100</v>
      </c>
      <c r="J165" s="1" t="s">
        <v>86</v>
      </c>
      <c r="K165" s="1" t="s">
        <v>57</v>
      </c>
      <c r="M165" s="1" t="s">
        <v>58</v>
      </c>
      <c r="N165" s="1" t="s">
        <v>58</v>
      </c>
      <c r="O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81</v>
      </c>
      <c r="Y165" s="1" t="s">
        <v>82</v>
      </c>
      <c r="Z165" s="1" t="s">
        <v>127</v>
      </c>
      <c r="AA165" s="2">
        <v>30.0</v>
      </c>
      <c r="AB165" s="1" t="s">
        <v>79</v>
      </c>
      <c r="AC165" s="1" t="s">
        <v>51</v>
      </c>
      <c r="AD165" s="1" t="s">
        <v>81</v>
      </c>
      <c r="AE165" s="1" t="s">
        <v>51</v>
      </c>
      <c r="AF165" s="1" t="s">
        <v>51</v>
      </c>
      <c r="AG165" s="1" t="s">
        <v>51</v>
      </c>
      <c r="AH165" s="2">
        <v>50.0</v>
      </c>
      <c r="AI165" s="2">
        <v>0.0</v>
      </c>
      <c r="AJ165" s="2">
        <v>1.0</v>
      </c>
      <c r="AK165" s="2">
        <v>0.0</v>
      </c>
      <c r="AL165" s="2">
        <v>0.0</v>
      </c>
      <c r="AM165" s="1" t="s">
        <v>51</v>
      </c>
      <c r="AN165" s="2">
        <v>6.73748437E8</v>
      </c>
      <c r="AP165" s="2">
        <v>4.90015156E8</v>
      </c>
      <c r="AQ165" s="1" t="s">
        <v>290</v>
      </c>
      <c r="AR165" s="2">
        <v>45808.52165509259</v>
      </c>
      <c r="AU165" s="1" t="s">
        <v>64</v>
      </c>
      <c r="AW165" s="1" t="s">
        <v>255</v>
      </c>
      <c r="AY165" s="2">
        <v>159.0</v>
      </c>
    </row>
    <row r="166">
      <c r="A166" s="1" t="s">
        <v>51</v>
      </c>
      <c r="C166" s="1" t="s">
        <v>131</v>
      </c>
      <c r="E166" s="1" t="s">
        <v>53</v>
      </c>
      <c r="F166" s="1" t="s">
        <v>291</v>
      </c>
      <c r="G166" s="2">
        <v>24.0</v>
      </c>
      <c r="H166" s="1" t="s">
        <v>55</v>
      </c>
      <c r="I166" s="1" t="s">
        <v>100</v>
      </c>
      <c r="J166" s="1" t="s">
        <v>86</v>
      </c>
      <c r="K166" s="1" t="s">
        <v>57</v>
      </c>
      <c r="M166" s="1" t="s">
        <v>58</v>
      </c>
      <c r="N166" s="1" t="s">
        <v>58</v>
      </c>
      <c r="O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 t="s">
        <v>58</v>
      </c>
      <c r="X166" s="1" t="s">
        <v>81</v>
      </c>
      <c r="Y166" s="1" t="s">
        <v>60</v>
      </c>
      <c r="Z166" s="1" t="s">
        <v>108</v>
      </c>
      <c r="AA166" s="2">
        <v>20.0</v>
      </c>
      <c r="AB166" s="1" t="s">
        <v>62</v>
      </c>
      <c r="AC166" s="1" t="s">
        <v>51</v>
      </c>
      <c r="AD166" s="1" t="s">
        <v>81</v>
      </c>
      <c r="AE166" s="1" t="s">
        <v>51</v>
      </c>
      <c r="AF166" s="1" t="s">
        <v>51</v>
      </c>
      <c r="AG166" s="1" t="s">
        <v>51</v>
      </c>
      <c r="AH166" s="2">
        <v>2.0</v>
      </c>
      <c r="AI166" s="2">
        <v>0.0</v>
      </c>
      <c r="AJ166" s="2">
        <v>1.0</v>
      </c>
      <c r="AK166" s="2">
        <v>0.0</v>
      </c>
      <c r="AL166" s="2">
        <v>0.0</v>
      </c>
      <c r="AM166" s="1" t="s">
        <v>51</v>
      </c>
      <c r="AN166" s="2">
        <v>6.92541294E8</v>
      </c>
      <c r="AP166" s="2">
        <v>4.90021647E8</v>
      </c>
      <c r="AQ166" s="1" t="s">
        <v>292</v>
      </c>
      <c r="AR166" s="2">
        <v>45808.52943287037</v>
      </c>
      <c r="AU166" s="1" t="s">
        <v>64</v>
      </c>
      <c r="AW166" s="1" t="s">
        <v>255</v>
      </c>
      <c r="AY166" s="2">
        <v>160.0</v>
      </c>
    </row>
    <row r="167">
      <c r="A167" s="1" t="s">
        <v>51</v>
      </c>
      <c r="C167" s="1" t="s">
        <v>131</v>
      </c>
      <c r="E167" s="1" t="s">
        <v>53</v>
      </c>
      <c r="F167" s="1" t="s">
        <v>291</v>
      </c>
      <c r="G167" s="2">
        <v>23.0</v>
      </c>
      <c r="H167" s="1" t="s">
        <v>66</v>
      </c>
      <c r="I167" s="1" t="s">
        <v>100</v>
      </c>
      <c r="J167" s="1" t="s">
        <v>86</v>
      </c>
      <c r="K167" s="1" t="s">
        <v>57</v>
      </c>
      <c r="M167" s="1" t="s">
        <v>58</v>
      </c>
      <c r="N167" s="1" t="s">
        <v>58</v>
      </c>
      <c r="O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59</v>
      </c>
      <c r="Y167" s="1" t="s">
        <v>60</v>
      </c>
      <c r="Z167" s="1" t="s">
        <v>108</v>
      </c>
      <c r="AA167" s="2">
        <v>20.0</v>
      </c>
      <c r="AB167" s="1" t="s">
        <v>79</v>
      </c>
      <c r="AC167" s="1" t="s">
        <v>51</v>
      </c>
      <c r="AD167" s="1" t="s">
        <v>59</v>
      </c>
      <c r="AE167" s="1" t="s">
        <v>51</v>
      </c>
      <c r="AF167" s="1" t="s">
        <v>51</v>
      </c>
      <c r="AG167" s="1" t="s">
        <v>51</v>
      </c>
      <c r="AH167" s="2">
        <v>3.0</v>
      </c>
      <c r="AI167" s="2">
        <v>0.0</v>
      </c>
      <c r="AJ167" s="2">
        <v>1.0</v>
      </c>
      <c r="AK167" s="2">
        <v>0.0</v>
      </c>
      <c r="AL167" s="2">
        <v>0.0</v>
      </c>
      <c r="AM167" s="1" t="s">
        <v>51</v>
      </c>
      <c r="AN167" s="2">
        <v>7.32109955E8</v>
      </c>
      <c r="AP167" s="2">
        <v>4.90023205E8</v>
      </c>
      <c r="AQ167" s="1" t="s">
        <v>293</v>
      </c>
      <c r="AR167" s="2">
        <v>45808.531331018516</v>
      </c>
      <c r="AU167" s="1" t="s">
        <v>64</v>
      </c>
      <c r="AW167" s="1" t="s">
        <v>255</v>
      </c>
      <c r="AY167" s="2">
        <v>161.0</v>
      </c>
    </row>
    <row r="168">
      <c r="A168" s="1" t="s">
        <v>51</v>
      </c>
      <c r="C168" s="1" t="s">
        <v>131</v>
      </c>
      <c r="E168" s="1" t="s">
        <v>53</v>
      </c>
      <c r="F168" s="1" t="s">
        <v>291</v>
      </c>
      <c r="G168" s="2">
        <v>20.0</v>
      </c>
      <c r="H168" s="1" t="s">
        <v>66</v>
      </c>
      <c r="I168" s="1" t="s">
        <v>76</v>
      </c>
      <c r="J168" s="1" t="s">
        <v>86</v>
      </c>
      <c r="K168" s="1" t="s">
        <v>78</v>
      </c>
      <c r="M168" s="1" t="s">
        <v>58</v>
      </c>
      <c r="N168" s="1" t="s">
        <v>58</v>
      </c>
      <c r="O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88</v>
      </c>
      <c r="Y168" s="1" t="s">
        <v>82</v>
      </c>
      <c r="Z168" s="1" t="s">
        <v>89</v>
      </c>
      <c r="AA168" s="2">
        <v>30.0</v>
      </c>
      <c r="AB168" s="1" t="s">
        <v>62</v>
      </c>
      <c r="AC168" s="1" t="s">
        <v>51</v>
      </c>
      <c r="AD168" s="1" t="s">
        <v>88</v>
      </c>
      <c r="AE168" s="1" t="s">
        <v>51</v>
      </c>
      <c r="AF168" s="1" t="s">
        <v>51</v>
      </c>
      <c r="AG168" s="1" t="s">
        <v>51</v>
      </c>
      <c r="AH168" s="2">
        <v>2.0</v>
      </c>
      <c r="AI168" s="2">
        <v>0.0</v>
      </c>
      <c r="AJ168" s="2">
        <v>1.0</v>
      </c>
      <c r="AK168" s="2">
        <v>0.0</v>
      </c>
      <c r="AL168" s="2">
        <v>0.0</v>
      </c>
      <c r="AM168" s="1" t="s">
        <v>51</v>
      </c>
      <c r="AN168" s="2">
        <v>7.3293382E7</v>
      </c>
      <c r="AP168" s="2">
        <v>4.90024645E8</v>
      </c>
      <c r="AQ168" s="1" t="s">
        <v>294</v>
      </c>
      <c r="AR168" s="2">
        <v>45808.53369212963</v>
      </c>
      <c r="AU168" s="1" t="s">
        <v>64</v>
      </c>
      <c r="AW168" s="1" t="s">
        <v>255</v>
      </c>
      <c r="AY168" s="2">
        <v>162.0</v>
      </c>
    </row>
    <row r="169">
      <c r="A169" s="1" t="s">
        <v>51</v>
      </c>
      <c r="C169" s="1" t="s">
        <v>131</v>
      </c>
      <c r="E169" s="1" t="s">
        <v>53</v>
      </c>
      <c r="F169" s="1" t="s">
        <v>291</v>
      </c>
      <c r="G169" s="2">
        <v>21.0</v>
      </c>
      <c r="H169" s="1" t="s">
        <v>55</v>
      </c>
      <c r="I169" s="1" t="s">
        <v>67</v>
      </c>
      <c r="J169" s="1" t="s">
        <v>86</v>
      </c>
      <c r="K169" s="1" t="s">
        <v>74</v>
      </c>
      <c r="M169" s="1" t="s">
        <v>58</v>
      </c>
      <c r="N169" s="1" t="s">
        <v>58</v>
      </c>
      <c r="O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59</v>
      </c>
      <c r="Y169" s="1" t="s">
        <v>82</v>
      </c>
      <c r="Z169" s="1" t="s">
        <v>108</v>
      </c>
      <c r="AA169" s="2">
        <v>30.0</v>
      </c>
      <c r="AB169" s="1" t="s">
        <v>62</v>
      </c>
      <c r="AC169" s="1" t="s">
        <v>51</v>
      </c>
      <c r="AD169" s="1" t="s">
        <v>59</v>
      </c>
      <c r="AE169" s="1" t="s">
        <v>51</v>
      </c>
      <c r="AF169" s="1" t="s">
        <v>51</v>
      </c>
      <c r="AG169" s="1" t="s">
        <v>51</v>
      </c>
      <c r="AH169" s="2">
        <v>3.0</v>
      </c>
      <c r="AI169" s="2">
        <v>0.0</v>
      </c>
      <c r="AJ169" s="2">
        <v>1.0</v>
      </c>
      <c r="AK169" s="2">
        <v>0.0</v>
      </c>
      <c r="AL169" s="2">
        <v>0.0</v>
      </c>
      <c r="AM169" s="1" t="s">
        <v>51</v>
      </c>
      <c r="AN169" s="2">
        <v>8.37472508E8</v>
      </c>
      <c r="AP169" s="2">
        <v>4.90025968E8</v>
      </c>
      <c r="AQ169" s="1" t="s">
        <v>295</v>
      </c>
      <c r="AR169" s="2">
        <v>45808.53591435185</v>
      </c>
      <c r="AU169" s="1" t="s">
        <v>64</v>
      </c>
      <c r="AW169" s="1" t="s">
        <v>255</v>
      </c>
      <c r="AY169" s="2">
        <v>163.0</v>
      </c>
    </row>
    <row r="170">
      <c r="A170" s="1" t="s">
        <v>51</v>
      </c>
      <c r="C170" s="1" t="s">
        <v>131</v>
      </c>
      <c r="E170" s="1" t="s">
        <v>53</v>
      </c>
      <c r="F170" s="1" t="s">
        <v>291</v>
      </c>
      <c r="G170" s="2">
        <v>21.0</v>
      </c>
      <c r="H170" s="1" t="s">
        <v>55</v>
      </c>
      <c r="I170" s="1" t="s">
        <v>67</v>
      </c>
      <c r="J170" s="1" t="s">
        <v>86</v>
      </c>
      <c r="K170" s="1" t="s">
        <v>74</v>
      </c>
      <c r="M170" s="1" t="s">
        <v>58</v>
      </c>
      <c r="N170" s="1" t="s">
        <v>58</v>
      </c>
      <c r="O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59</v>
      </c>
      <c r="Y170" s="1" t="s">
        <v>82</v>
      </c>
      <c r="Z170" s="1" t="s">
        <v>108</v>
      </c>
      <c r="AA170" s="2">
        <v>40.0</v>
      </c>
      <c r="AB170" s="1" t="s">
        <v>62</v>
      </c>
      <c r="AC170" s="1" t="s">
        <v>51</v>
      </c>
      <c r="AD170" s="1" t="s">
        <v>59</v>
      </c>
      <c r="AE170" s="1" t="s">
        <v>51</v>
      </c>
      <c r="AF170" s="1" t="s">
        <v>51</v>
      </c>
      <c r="AG170" s="1" t="s">
        <v>51</v>
      </c>
      <c r="AH170" s="2">
        <v>2.0</v>
      </c>
      <c r="AI170" s="2">
        <v>1.0</v>
      </c>
      <c r="AJ170" s="2">
        <v>0.0</v>
      </c>
      <c r="AK170" s="2">
        <v>0.0</v>
      </c>
      <c r="AL170" s="2">
        <v>0.0</v>
      </c>
      <c r="AM170" s="1" t="s">
        <v>51</v>
      </c>
      <c r="AN170" s="2">
        <v>6.04141344E8</v>
      </c>
      <c r="AP170" s="2">
        <v>4.90028048E8</v>
      </c>
      <c r="AQ170" s="1" t="s">
        <v>296</v>
      </c>
      <c r="AR170" s="2">
        <v>45808.53858796296</v>
      </c>
      <c r="AU170" s="1" t="s">
        <v>64</v>
      </c>
      <c r="AW170" s="1" t="s">
        <v>255</v>
      </c>
      <c r="AY170" s="2">
        <v>164.0</v>
      </c>
    </row>
    <row r="171">
      <c r="A171" s="1" t="s">
        <v>51</v>
      </c>
      <c r="C171" s="1" t="s">
        <v>131</v>
      </c>
      <c r="E171" s="1" t="s">
        <v>53</v>
      </c>
      <c r="F171" s="1" t="s">
        <v>85</v>
      </c>
      <c r="G171" s="2">
        <v>22.0</v>
      </c>
      <c r="H171" s="1" t="s">
        <v>55</v>
      </c>
      <c r="I171" s="1" t="s">
        <v>76</v>
      </c>
      <c r="J171" s="1" t="s">
        <v>111</v>
      </c>
      <c r="K171" s="1" t="s">
        <v>57</v>
      </c>
      <c r="M171" s="1" t="s">
        <v>58</v>
      </c>
      <c r="N171" s="1" t="s">
        <v>58</v>
      </c>
      <c r="O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59</v>
      </c>
      <c r="Y171" s="1" t="s">
        <v>82</v>
      </c>
      <c r="Z171" s="1" t="s">
        <v>108</v>
      </c>
      <c r="AA171" s="2">
        <v>20.0</v>
      </c>
      <c r="AB171" s="1" t="s">
        <v>62</v>
      </c>
      <c r="AC171" s="1" t="s">
        <v>51</v>
      </c>
      <c r="AD171" s="1" t="s">
        <v>59</v>
      </c>
      <c r="AE171" s="1" t="s">
        <v>51</v>
      </c>
      <c r="AF171" s="1" t="s">
        <v>51</v>
      </c>
      <c r="AG171" s="1" t="s">
        <v>51</v>
      </c>
      <c r="AH171" s="2">
        <v>2.0</v>
      </c>
      <c r="AI171" s="2">
        <v>0.0</v>
      </c>
      <c r="AJ171" s="2">
        <v>1.0</v>
      </c>
      <c r="AK171" s="2">
        <v>0.0</v>
      </c>
      <c r="AL171" s="2">
        <v>0.0</v>
      </c>
      <c r="AM171" s="1" t="s">
        <v>51</v>
      </c>
      <c r="AN171" s="2">
        <v>7.86258839E8</v>
      </c>
      <c r="AP171" s="2">
        <v>4.90029902E8</v>
      </c>
      <c r="AQ171" s="1" t="s">
        <v>297</v>
      </c>
      <c r="AR171" s="2">
        <v>45808.54121527778</v>
      </c>
      <c r="AU171" s="1" t="s">
        <v>64</v>
      </c>
      <c r="AW171" s="1" t="s">
        <v>255</v>
      </c>
      <c r="AY171" s="2">
        <v>165.0</v>
      </c>
    </row>
    <row r="172">
      <c r="A172" s="1" t="s">
        <v>51</v>
      </c>
      <c r="C172" s="1" t="s">
        <v>52</v>
      </c>
      <c r="E172" s="1" t="s">
        <v>53</v>
      </c>
      <c r="F172" s="1" t="s">
        <v>102</v>
      </c>
      <c r="G172" s="2">
        <v>40.0</v>
      </c>
      <c r="H172" s="1" t="s">
        <v>66</v>
      </c>
      <c r="I172" s="1" t="s">
        <v>100</v>
      </c>
      <c r="J172" s="1" t="s">
        <v>111</v>
      </c>
      <c r="K172" s="1" t="s">
        <v>87</v>
      </c>
      <c r="M172" s="1" t="s">
        <v>58</v>
      </c>
      <c r="N172" s="1" t="s">
        <v>58</v>
      </c>
      <c r="O172" s="1" t="s">
        <v>70</v>
      </c>
      <c r="Q172" s="1" t="s">
        <v>58</v>
      </c>
      <c r="R172" s="1" t="s">
        <v>58</v>
      </c>
      <c r="S172" s="1" t="s">
        <v>70</v>
      </c>
      <c r="T172" s="1" t="s">
        <v>70</v>
      </c>
      <c r="U172" s="1" t="s">
        <v>58</v>
      </c>
      <c r="V172" s="1" t="s">
        <v>58</v>
      </c>
      <c r="W172" s="1" t="s">
        <v>58</v>
      </c>
      <c r="Y172" s="1" t="s">
        <v>95</v>
      </c>
      <c r="Z172" s="1" t="s">
        <v>89</v>
      </c>
      <c r="AA172" s="2">
        <v>100.0</v>
      </c>
      <c r="AB172" s="1" t="s">
        <v>79</v>
      </c>
      <c r="AC172" s="1" t="s">
        <v>71</v>
      </c>
      <c r="AF172" s="1" t="s">
        <v>51</v>
      </c>
      <c r="AG172" s="1" t="s">
        <v>72</v>
      </c>
      <c r="AI172" s="2">
        <v>0.0</v>
      </c>
      <c r="AJ172" s="2">
        <v>0.0</v>
      </c>
      <c r="AK172" s="2">
        <v>0.0</v>
      </c>
      <c r="AL172" s="2">
        <v>1.0</v>
      </c>
      <c r="AM172" s="1" t="s">
        <v>51</v>
      </c>
      <c r="AN172" s="2">
        <v>6.12535762E8</v>
      </c>
      <c r="AP172" s="2">
        <v>4.90034639E8</v>
      </c>
      <c r="AQ172" s="1" t="s">
        <v>298</v>
      </c>
      <c r="AR172" s="2">
        <v>45808.5465625</v>
      </c>
      <c r="AU172" s="1" t="s">
        <v>64</v>
      </c>
      <c r="AW172" s="1" t="s">
        <v>255</v>
      </c>
      <c r="AY172" s="2">
        <v>166.0</v>
      </c>
    </row>
    <row r="173">
      <c r="A173" s="1" t="s">
        <v>51</v>
      </c>
      <c r="C173" s="1" t="s">
        <v>52</v>
      </c>
      <c r="E173" s="1" t="s">
        <v>53</v>
      </c>
      <c r="F173" s="1" t="s">
        <v>102</v>
      </c>
      <c r="G173" s="2">
        <v>43.0</v>
      </c>
      <c r="H173" s="1" t="s">
        <v>66</v>
      </c>
      <c r="I173" s="1" t="s">
        <v>67</v>
      </c>
      <c r="J173" s="1" t="s">
        <v>86</v>
      </c>
      <c r="K173" s="1" t="s">
        <v>87</v>
      </c>
      <c r="M173" s="1" t="s">
        <v>58</v>
      </c>
      <c r="N173" s="1" t="s">
        <v>70</v>
      </c>
      <c r="O173" s="1" t="s">
        <v>58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70</v>
      </c>
      <c r="V173" s="1" t="s">
        <v>58</v>
      </c>
      <c r="W173" s="1" t="s">
        <v>70</v>
      </c>
      <c r="X173" s="1" t="s">
        <v>88</v>
      </c>
      <c r="Y173" s="1" t="s">
        <v>60</v>
      </c>
      <c r="Z173" s="1" t="s">
        <v>61</v>
      </c>
      <c r="AA173" s="2">
        <v>100.0</v>
      </c>
      <c r="AB173" s="1" t="s">
        <v>62</v>
      </c>
      <c r="AC173" s="1" t="s">
        <v>71</v>
      </c>
      <c r="AF173" s="1" t="s">
        <v>51</v>
      </c>
      <c r="AG173" s="1" t="s">
        <v>51</v>
      </c>
      <c r="AH173" s="2">
        <v>3000.0</v>
      </c>
      <c r="AI173" s="2">
        <v>0.0</v>
      </c>
      <c r="AJ173" s="2">
        <v>0.0</v>
      </c>
      <c r="AK173" s="2">
        <v>0.0</v>
      </c>
      <c r="AL173" s="2">
        <v>1.0</v>
      </c>
      <c r="AM173" s="1" t="s">
        <v>51</v>
      </c>
      <c r="AN173" s="2">
        <v>7.94237527E8</v>
      </c>
      <c r="AP173" s="2">
        <v>4.90035398E8</v>
      </c>
      <c r="AQ173" s="1" t="s">
        <v>299</v>
      </c>
      <c r="AR173" s="2">
        <v>45808.54729166667</v>
      </c>
      <c r="AU173" s="1" t="s">
        <v>64</v>
      </c>
      <c r="AW173" s="1" t="s">
        <v>255</v>
      </c>
      <c r="AY173" s="2">
        <v>167.0</v>
      </c>
    </row>
    <row r="174">
      <c r="A174" s="1" t="s">
        <v>51</v>
      </c>
      <c r="C174" s="1" t="s">
        <v>52</v>
      </c>
      <c r="E174" s="1" t="s">
        <v>53</v>
      </c>
      <c r="F174" s="1" t="s">
        <v>94</v>
      </c>
      <c r="G174" s="2">
        <v>51.0</v>
      </c>
      <c r="H174" s="1" t="s">
        <v>55</v>
      </c>
      <c r="I174" s="1" t="s">
        <v>67</v>
      </c>
      <c r="J174" s="1" t="s">
        <v>68</v>
      </c>
      <c r="K174" s="1" t="s">
        <v>92</v>
      </c>
      <c r="M174" s="1" t="s">
        <v>58</v>
      </c>
      <c r="N174" s="1" t="s">
        <v>58</v>
      </c>
      <c r="O174" s="1" t="s">
        <v>69</v>
      </c>
      <c r="Q174" s="1" t="s">
        <v>58</v>
      </c>
      <c r="R174" s="1" t="s">
        <v>58</v>
      </c>
      <c r="S174" s="1" t="s">
        <v>69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88</v>
      </c>
      <c r="Y174" s="1" t="s">
        <v>60</v>
      </c>
      <c r="Z174" s="1" t="s">
        <v>89</v>
      </c>
      <c r="AA174" s="2">
        <v>100.0</v>
      </c>
      <c r="AB174" s="1" t="s">
        <v>79</v>
      </c>
      <c r="AC174" s="1" t="s">
        <v>71</v>
      </c>
      <c r="AF174" s="1" t="s">
        <v>51</v>
      </c>
      <c r="AG174" s="1" t="s">
        <v>51</v>
      </c>
      <c r="AH174" s="2">
        <v>500.0</v>
      </c>
      <c r="AI174" s="2">
        <v>0.0</v>
      </c>
      <c r="AJ174" s="2">
        <v>1.0</v>
      </c>
      <c r="AK174" s="2">
        <v>1.0</v>
      </c>
      <c r="AL174" s="2">
        <v>1.0</v>
      </c>
      <c r="AM174" s="1" t="s">
        <v>51</v>
      </c>
      <c r="AN174" s="2">
        <v>7.61652799E8</v>
      </c>
      <c r="AP174" s="2">
        <v>4.90050303E8</v>
      </c>
      <c r="AQ174" s="1" t="s">
        <v>300</v>
      </c>
      <c r="AR174" s="2">
        <v>45808.5659375</v>
      </c>
      <c r="AU174" s="1" t="s">
        <v>64</v>
      </c>
      <c r="AW174" s="1" t="s">
        <v>255</v>
      </c>
      <c r="AY174" s="2">
        <v>168.0</v>
      </c>
    </row>
    <row r="175">
      <c r="A175" s="1" t="s">
        <v>51</v>
      </c>
      <c r="C175" s="1" t="s">
        <v>52</v>
      </c>
      <c r="E175" s="1" t="s">
        <v>53</v>
      </c>
      <c r="F175" s="1" t="s">
        <v>301</v>
      </c>
      <c r="G175" s="2">
        <v>26.0</v>
      </c>
      <c r="H175" s="1" t="s">
        <v>66</v>
      </c>
      <c r="I175" s="1" t="s">
        <v>100</v>
      </c>
      <c r="J175" s="1" t="s">
        <v>56</v>
      </c>
      <c r="K175" s="1" t="s">
        <v>87</v>
      </c>
      <c r="M175" s="1" t="s">
        <v>58</v>
      </c>
      <c r="N175" s="1" t="s">
        <v>58</v>
      </c>
      <c r="O175" s="1" t="s">
        <v>58</v>
      </c>
      <c r="Q175" s="1" t="s">
        <v>69</v>
      </c>
      <c r="R175" s="1" t="s">
        <v>58</v>
      </c>
      <c r="S175" s="1" t="s">
        <v>69</v>
      </c>
      <c r="T175" s="1" t="s">
        <v>58</v>
      </c>
      <c r="U175" s="1" t="s">
        <v>58</v>
      </c>
      <c r="V175" s="1" t="s">
        <v>58</v>
      </c>
      <c r="W175" s="1" t="s">
        <v>69</v>
      </c>
      <c r="X175" s="1" t="s">
        <v>88</v>
      </c>
      <c r="Y175" s="1" t="s">
        <v>95</v>
      </c>
      <c r="Z175" s="1" t="s">
        <v>96</v>
      </c>
      <c r="AA175" s="2">
        <v>100.0</v>
      </c>
      <c r="AB175" s="1" t="s">
        <v>62</v>
      </c>
      <c r="AC175" s="1" t="s">
        <v>71</v>
      </c>
      <c r="AF175" s="1" t="s">
        <v>51</v>
      </c>
      <c r="AG175" s="1" t="s">
        <v>72</v>
      </c>
      <c r="AI175" s="2">
        <v>0.0</v>
      </c>
      <c r="AJ175" s="2">
        <v>0.0</v>
      </c>
      <c r="AK175" s="2">
        <v>1.0</v>
      </c>
      <c r="AL175" s="2">
        <v>0.0</v>
      </c>
      <c r="AM175" s="1" t="s">
        <v>51</v>
      </c>
      <c r="AP175" s="2">
        <v>4.90054197E8</v>
      </c>
      <c r="AQ175" s="1" t="s">
        <v>302</v>
      </c>
      <c r="AR175" s="2">
        <v>45808.57083333333</v>
      </c>
      <c r="AU175" s="1" t="s">
        <v>64</v>
      </c>
      <c r="AW175" s="1" t="s">
        <v>255</v>
      </c>
      <c r="AY175" s="2">
        <v>169.0</v>
      </c>
    </row>
    <row r="176">
      <c r="A176" s="1" t="s">
        <v>51</v>
      </c>
      <c r="C176" s="1" t="s">
        <v>131</v>
      </c>
      <c r="E176" s="1" t="s">
        <v>53</v>
      </c>
      <c r="F176" s="1" t="s">
        <v>54</v>
      </c>
      <c r="G176" s="2">
        <v>34.0</v>
      </c>
      <c r="H176" s="1" t="s">
        <v>55</v>
      </c>
      <c r="I176" s="1" t="s">
        <v>100</v>
      </c>
      <c r="J176" s="1" t="s">
        <v>56</v>
      </c>
      <c r="K176" s="1" t="s">
        <v>74</v>
      </c>
      <c r="M176" s="1" t="s">
        <v>58</v>
      </c>
      <c r="N176" s="1" t="s">
        <v>58</v>
      </c>
      <c r="O176" s="1" t="s">
        <v>69</v>
      </c>
      <c r="Q176" s="1" t="s">
        <v>58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1" t="s">
        <v>58</v>
      </c>
      <c r="X176" s="1" t="s">
        <v>81</v>
      </c>
      <c r="Y176" s="1" t="s">
        <v>82</v>
      </c>
      <c r="Z176" s="1" t="s">
        <v>108</v>
      </c>
      <c r="AA176" s="2">
        <v>50.0</v>
      </c>
      <c r="AB176" s="1" t="s">
        <v>28</v>
      </c>
      <c r="AC176" s="1" t="s">
        <v>71</v>
      </c>
      <c r="AF176" s="1" t="s">
        <v>51</v>
      </c>
      <c r="AG176" s="1" t="s">
        <v>72</v>
      </c>
      <c r="AI176" s="2">
        <v>0.0</v>
      </c>
      <c r="AJ176" s="2">
        <v>0.0</v>
      </c>
      <c r="AK176" s="2">
        <v>0.0</v>
      </c>
      <c r="AL176" s="2">
        <v>1.0</v>
      </c>
      <c r="AM176" s="1" t="s">
        <v>51</v>
      </c>
      <c r="AN176" s="2">
        <v>7.30603166E8</v>
      </c>
      <c r="AP176" s="2">
        <v>4.90058033E8</v>
      </c>
      <c r="AQ176" s="1" t="s">
        <v>303</v>
      </c>
      <c r="AR176" s="2">
        <v>45808.575162037036</v>
      </c>
      <c r="AU176" s="1" t="s">
        <v>64</v>
      </c>
      <c r="AW176" s="1" t="s">
        <v>255</v>
      </c>
      <c r="AY176" s="2">
        <v>170.0</v>
      </c>
    </row>
    <row r="177">
      <c r="A177" s="1" t="s">
        <v>51</v>
      </c>
      <c r="C177" s="1" t="s">
        <v>131</v>
      </c>
      <c r="E177" s="1" t="s">
        <v>53</v>
      </c>
      <c r="F177" s="1" t="s">
        <v>54</v>
      </c>
      <c r="G177" s="2">
        <v>20.0</v>
      </c>
      <c r="H177" s="1" t="s">
        <v>55</v>
      </c>
      <c r="I177" s="1" t="s">
        <v>100</v>
      </c>
      <c r="J177" s="1" t="s">
        <v>111</v>
      </c>
      <c r="K177" s="1" t="s">
        <v>78</v>
      </c>
      <c r="M177" s="1" t="s">
        <v>58</v>
      </c>
      <c r="N177" s="1" t="s">
        <v>58</v>
      </c>
      <c r="O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 t="s">
        <v>70</v>
      </c>
      <c r="W177" s="1" t="s">
        <v>58</v>
      </c>
      <c r="X177" s="1" t="s">
        <v>81</v>
      </c>
      <c r="Y177" s="1" t="s">
        <v>60</v>
      </c>
      <c r="Z177" s="1" t="s">
        <v>96</v>
      </c>
      <c r="AA177" s="2">
        <v>100.0</v>
      </c>
      <c r="AB177" s="1" t="s">
        <v>62</v>
      </c>
      <c r="AC177" s="1" t="s">
        <v>51</v>
      </c>
      <c r="AD177" s="1" t="s">
        <v>81</v>
      </c>
      <c r="AE177" s="1" t="s">
        <v>72</v>
      </c>
      <c r="AF177" s="1" t="s">
        <v>51</v>
      </c>
      <c r="AG177" s="1" t="s">
        <v>72</v>
      </c>
      <c r="AI177" s="2">
        <v>0.0</v>
      </c>
      <c r="AJ177" s="2">
        <v>1.0</v>
      </c>
      <c r="AK177" s="2">
        <v>0.0</v>
      </c>
      <c r="AL177" s="2">
        <v>0.0</v>
      </c>
      <c r="AM177" s="1" t="s">
        <v>51</v>
      </c>
      <c r="AP177" s="2">
        <v>4.90060926E8</v>
      </c>
      <c r="AQ177" s="1" t="s">
        <v>304</v>
      </c>
      <c r="AR177" s="2">
        <v>45808.57849537037</v>
      </c>
      <c r="AU177" s="1" t="s">
        <v>64</v>
      </c>
      <c r="AW177" s="1" t="s">
        <v>255</v>
      </c>
      <c r="AY177" s="2">
        <v>171.0</v>
      </c>
    </row>
    <row r="178">
      <c r="A178" s="1" t="s">
        <v>51</v>
      </c>
      <c r="C178" s="1" t="s">
        <v>131</v>
      </c>
      <c r="E178" s="1" t="s">
        <v>53</v>
      </c>
      <c r="F178" s="1" t="s">
        <v>54</v>
      </c>
      <c r="G178" s="2">
        <v>27.0</v>
      </c>
      <c r="H178" s="1" t="s">
        <v>55</v>
      </c>
      <c r="I178" s="1" t="s">
        <v>67</v>
      </c>
      <c r="J178" s="1" t="s">
        <v>68</v>
      </c>
      <c r="K178" s="1" t="s">
        <v>78</v>
      </c>
      <c r="M178" s="1" t="s">
        <v>58</v>
      </c>
      <c r="N178" s="1" t="s">
        <v>58</v>
      </c>
      <c r="O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58</v>
      </c>
      <c r="W178" s="1" t="s">
        <v>58</v>
      </c>
      <c r="X178" s="1" t="s">
        <v>81</v>
      </c>
      <c r="Y178" s="1" t="s">
        <v>82</v>
      </c>
      <c r="Z178" s="1" t="s">
        <v>89</v>
      </c>
      <c r="AA178" s="2">
        <v>50.0</v>
      </c>
      <c r="AB178" s="1" t="s">
        <v>28</v>
      </c>
      <c r="AC178" s="1" t="s">
        <v>51</v>
      </c>
      <c r="AE178" s="1" t="s">
        <v>51</v>
      </c>
      <c r="AF178" s="1" t="s">
        <v>51</v>
      </c>
      <c r="AG178" s="1" t="s">
        <v>51</v>
      </c>
      <c r="AH178" s="2">
        <v>200.0</v>
      </c>
      <c r="AI178" s="2">
        <v>0.0</v>
      </c>
      <c r="AJ178" s="2">
        <v>1.0</v>
      </c>
      <c r="AK178" s="2">
        <v>0.0</v>
      </c>
      <c r="AL178" s="2">
        <v>0.0</v>
      </c>
      <c r="AM178" s="1" t="s">
        <v>51</v>
      </c>
      <c r="AN178" s="2">
        <v>8.20589777E8</v>
      </c>
      <c r="AP178" s="2">
        <v>4.90062455E8</v>
      </c>
      <c r="AQ178" s="1" t="s">
        <v>305</v>
      </c>
      <c r="AR178" s="2">
        <v>45808.58027777778</v>
      </c>
      <c r="AU178" s="1" t="s">
        <v>64</v>
      </c>
      <c r="AW178" s="1" t="s">
        <v>255</v>
      </c>
      <c r="AY178" s="2">
        <v>172.0</v>
      </c>
    </row>
    <row r="179">
      <c r="A179" s="1" t="s">
        <v>51</v>
      </c>
      <c r="C179" s="1" t="s">
        <v>131</v>
      </c>
      <c r="E179" s="1" t="s">
        <v>53</v>
      </c>
      <c r="F179" s="1" t="s">
        <v>102</v>
      </c>
      <c r="G179" s="2">
        <v>33.0</v>
      </c>
      <c r="H179" s="1" t="s">
        <v>55</v>
      </c>
      <c r="I179" s="1" t="s">
        <v>67</v>
      </c>
      <c r="J179" s="1" t="s">
        <v>68</v>
      </c>
      <c r="K179" s="1" t="s">
        <v>78</v>
      </c>
      <c r="M179" s="1" t="s">
        <v>58</v>
      </c>
      <c r="N179" s="1" t="s">
        <v>58</v>
      </c>
      <c r="O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81</v>
      </c>
      <c r="Y179" s="1" t="s">
        <v>227</v>
      </c>
      <c r="Z179" s="1" t="s">
        <v>96</v>
      </c>
      <c r="AA179" s="2">
        <v>100.0</v>
      </c>
      <c r="AB179" s="1" t="s">
        <v>62</v>
      </c>
      <c r="AC179" s="1" t="s">
        <v>51</v>
      </c>
      <c r="AD179" s="1" t="s">
        <v>81</v>
      </c>
      <c r="AE179" s="1" t="s">
        <v>51</v>
      </c>
      <c r="AF179" s="1" t="s">
        <v>51</v>
      </c>
      <c r="AG179" s="1" t="s">
        <v>51</v>
      </c>
      <c r="AH179" s="2">
        <v>100.0</v>
      </c>
      <c r="AI179" s="2">
        <v>0.0</v>
      </c>
      <c r="AJ179" s="2">
        <v>0.0</v>
      </c>
      <c r="AK179" s="2">
        <v>0.0</v>
      </c>
      <c r="AL179" s="2">
        <v>1.0</v>
      </c>
      <c r="AM179" s="1" t="s">
        <v>51</v>
      </c>
      <c r="AN179" s="1" t="s">
        <v>306</v>
      </c>
      <c r="AP179" s="2">
        <v>4.90063325E8</v>
      </c>
      <c r="AQ179" s="1" t="s">
        <v>307</v>
      </c>
      <c r="AR179" s="2">
        <v>45808.58094907407</v>
      </c>
      <c r="AU179" s="1" t="s">
        <v>64</v>
      </c>
      <c r="AW179" s="1" t="s">
        <v>255</v>
      </c>
      <c r="AY179" s="2">
        <v>173.0</v>
      </c>
    </row>
    <row r="180">
      <c r="A180" s="1" t="s">
        <v>51</v>
      </c>
      <c r="C180" s="1" t="s">
        <v>131</v>
      </c>
      <c r="E180" s="1" t="s">
        <v>53</v>
      </c>
      <c r="F180" s="1" t="s">
        <v>54</v>
      </c>
      <c r="G180" s="2">
        <v>27.0</v>
      </c>
      <c r="H180" s="1" t="s">
        <v>55</v>
      </c>
      <c r="I180" s="1" t="s">
        <v>100</v>
      </c>
      <c r="J180" s="1" t="s">
        <v>111</v>
      </c>
      <c r="K180" s="1" t="s">
        <v>57</v>
      </c>
      <c r="M180" s="1" t="s">
        <v>58</v>
      </c>
      <c r="N180" s="1" t="s">
        <v>58</v>
      </c>
      <c r="O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1" t="s">
        <v>58</v>
      </c>
      <c r="X180" s="1" t="s">
        <v>81</v>
      </c>
      <c r="Y180" s="1" t="s">
        <v>172</v>
      </c>
      <c r="Z180" s="1" t="s">
        <v>89</v>
      </c>
      <c r="AA180" s="2">
        <v>30.0</v>
      </c>
      <c r="AB180" s="1" t="s">
        <v>28</v>
      </c>
      <c r="AC180" s="1" t="s">
        <v>71</v>
      </c>
      <c r="AF180" s="1" t="s">
        <v>51</v>
      </c>
      <c r="AG180" s="1" t="s">
        <v>51</v>
      </c>
      <c r="AI180" s="2">
        <v>0.0</v>
      </c>
      <c r="AJ180" s="2">
        <v>0.0</v>
      </c>
      <c r="AK180" s="2">
        <v>0.0</v>
      </c>
      <c r="AL180" s="2">
        <v>1.0</v>
      </c>
      <c r="AM180" s="1" t="s">
        <v>51</v>
      </c>
      <c r="AN180" s="2">
        <v>8.33947976E8</v>
      </c>
      <c r="AP180" s="2">
        <v>4.90064388E8</v>
      </c>
      <c r="AQ180" s="1" t="s">
        <v>308</v>
      </c>
      <c r="AR180" s="2">
        <v>45808.582141203704</v>
      </c>
      <c r="AU180" s="1" t="s">
        <v>64</v>
      </c>
      <c r="AW180" s="1" t="s">
        <v>255</v>
      </c>
      <c r="AY180" s="2">
        <v>174.0</v>
      </c>
    </row>
    <row r="181">
      <c r="A181" s="1" t="s">
        <v>51</v>
      </c>
      <c r="E181" s="1" t="s">
        <v>53</v>
      </c>
      <c r="F181" s="1" t="s">
        <v>54</v>
      </c>
      <c r="G181" s="2">
        <v>29.0</v>
      </c>
      <c r="H181" s="1" t="s">
        <v>66</v>
      </c>
      <c r="I181" s="1" t="s">
        <v>67</v>
      </c>
      <c r="J181" s="1" t="s">
        <v>56</v>
      </c>
      <c r="K181" s="1" t="s">
        <v>57</v>
      </c>
      <c r="M181" s="1" t="s">
        <v>58</v>
      </c>
      <c r="N181" s="1" t="s">
        <v>58</v>
      </c>
      <c r="O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 t="s">
        <v>58</v>
      </c>
      <c r="X181" s="1" t="s">
        <v>81</v>
      </c>
      <c r="Y181" s="1" t="s">
        <v>172</v>
      </c>
      <c r="Z181" s="1" t="s">
        <v>96</v>
      </c>
      <c r="AA181" s="2">
        <v>50.0</v>
      </c>
      <c r="AB181" s="1" t="s">
        <v>28</v>
      </c>
      <c r="AC181" s="1" t="s">
        <v>71</v>
      </c>
      <c r="AF181" s="1" t="s">
        <v>51</v>
      </c>
      <c r="AG181" s="1" t="s">
        <v>51</v>
      </c>
      <c r="AI181" s="2">
        <v>1.0</v>
      </c>
      <c r="AJ181" s="2">
        <v>0.0</v>
      </c>
      <c r="AK181" s="2">
        <v>0.0</v>
      </c>
      <c r="AL181" s="2">
        <v>0.0</v>
      </c>
      <c r="AM181" s="1" t="s">
        <v>51</v>
      </c>
      <c r="AN181" s="2">
        <v>7.98581807E8</v>
      </c>
      <c r="AP181" s="2">
        <v>4.90065965E8</v>
      </c>
      <c r="AQ181" s="1" t="s">
        <v>309</v>
      </c>
      <c r="AR181" s="2">
        <v>45808.58390046296</v>
      </c>
      <c r="AU181" s="1" t="s">
        <v>64</v>
      </c>
      <c r="AW181" s="1" t="s">
        <v>255</v>
      </c>
      <c r="AY181" s="2">
        <v>175.0</v>
      </c>
    </row>
    <row r="182">
      <c r="A182" s="1" t="s">
        <v>51</v>
      </c>
      <c r="C182" s="1" t="s">
        <v>131</v>
      </c>
      <c r="E182" s="1" t="s">
        <v>53</v>
      </c>
      <c r="F182" s="1" t="s">
        <v>54</v>
      </c>
      <c r="G182" s="2">
        <v>30.0</v>
      </c>
      <c r="H182" s="1" t="s">
        <v>55</v>
      </c>
      <c r="I182" s="1" t="s">
        <v>100</v>
      </c>
      <c r="J182" s="1" t="s">
        <v>56</v>
      </c>
      <c r="K182" s="1" t="s">
        <v>57</v>
      </c>
      <c r="M182" s="1" t="s">
        <v>58</v>
      </c>
      <c r="N182" s="1" t="s">
        <v>58</v>
      </c>
      <c r="O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 t="s">
        <v>58</v>
      </c>
      <c r="X182" s="1" t="s">
        <v>81</v>
      </c>
      <c r="Y182" s="1" t="s">
        <v>82</v>
      </c>
      <c r="Z182" s="1" t="s">
        <v>89</v>
      </c>
      <c r="AA182" s="2">
        <v>20.0</v>
      </c>
      <c r="AB182" s="1" t="s">
        <v>28</v>
      </c>
      <c r="AC182" s="1" t="s">
        <v>71</v>
      </c>
      <c r="AF182" s="1" t="s">
        <v>51</v>
      </c>
      <c r="AG182" s="1" t="s">
        <v>51</v>
      </c>
      <c r="AI182" s="2">
        <v>1.0</v>
      </c>
      <c r="AJ182" s="2">
        <v>0.0</v>
      </c>
      <c r="AK182" s="2">
        <v>0.0</v>
      </c>
      <c r="AL182" s="2">
        <v>0.0</v>
      </c>
      <c r="AM182" s="1" t="s">
        <v>51</v>
      </c>
      <c r="AN182" s="2">
        <v>6.81216241E8</v>
      </c>
      <c r="AP182" s="2">
        <v>4.90067473E8</v>
      </c>
      <c r="AQ182" s="1" t="s">
        <v>310</v>
      </c>
      <c r="AR182" s="2">
        <v>45808.58574074074</v>
      </c>
      <c r="AU182" s="1" t="s">
        <v>64</v>
      </c>
      <c r="AW182" s="1" t="s">
        <v>255</v>
      </c>
      <c r="AY182" s="2">
        <v>176.0</v>
      </c>
    </row>
    <row r="183">
      <c r="A183" s="1" t="s">
        <v>51</v>
      </c>
      <c r="C183" s="1" t="s">
        <v>131</v>
      </c>
      <c r="E183" s="1" t="s">
        <v>53</v>
      </c>
      <c r="F183" s="1" t="s">
        <v>54</v>
      </c>
      <c r="G183" s="2">
        <v>32.0</v>
      </c>
      <c r="H183" s="1" t="s">
        <v>55</v>
      </c>
      <c r="J183" s="1" t="s">
        <v>111</v>
      </c>
      <c r="K183" s="1" t="s">
        <v>74</v>
      </c>
      <c r="M183" s="1" t="s">
        <v>58</v>
      </c>
      <c r="N183" s="1" t="s">
        <v>58</v>
      </c>
      <c r="O183" s="1" t="s">
        <v>58</v>
      </c>
      <c r="Q183" s="1" t="s">
        <v>58</v>
      </c>
      <c r="R183" s="1" t="s">
        <v>58</v>
      </c>
      <c r="S183" s="1" t="s">
        <v>58</v>
      </c>
      <c r="T183" s="1" t="s">
        <v>58</v>
      </c>
      <c r="U183" s="1" t="s">
        <v>58</v>
      </c>
      <c r="V183" s="1" t="s">
        <v>58</v>
      </c>
      <c r="W183" s="1" t="s">
        <v>58</v>
      </c>
      <c r="X183" s="1" t="s">
        <v>81</v>
      </c>
      <c r="Y183" s="1" t="s">
        <v>82</v>
      </c>
      <c r="Z183" s="1" t="s">
        <v>108</v>
      </c>
      <c r="AA183" s="2">
        <v>20.0</v>
      </c>
      <c r="AB183" s="1" t="s">
        <v>28</v>
      </c>
      <c r="AC183" s="1" t="s">
        <v>71</v>
      </c>
      <c r="AF183" s="1" t="s">
        <v>51</v>
      </c>
      <c r="AG183" s="1" t="s">
        <v>51</v>
      </c>
      <c r="AI183" s="2">
        <v>1.0</v>
      </c>
      <c r="AJ183" s="2">
        <v>0.0</v>
      </c>
      <c r="AK183" s="2">
        <v>0.0</v>
      </c>
      <c r="AL183" s="2">
        <v>0.0</v>
      </c>
      <c r="AM183" s="1" t="s">
        <v>51</v>
      </c>
      <c r="AN183" s="2">
        <v>7.84739697E8</v>
      </c>
      <c r="AP183" s="2">
        <v>4.9006882E8</v>
      </c>
      <c r="AQ183" s="1" t="s">
        <v>311</v>
      </c>
      <c r="AR183" s="2">
        <v>45808.587164351855</v>
      </c>
      <c r="AU183" s="1" t="s">
        <v>64</v>
      </c>
      <c r="AW183" s="1" t="s">
        <v>255</v>
      </c>
      <c r="AY183" s="2">
        <v>177.0</v>
      </c>
    </row>
    <row r="184">
      <c r="A184" s="1" t="s">
        <v>51</v>
      </c>
      <c r="C184" s="1" t="s">
        <v>131</v>
      </c>
      <c r="E184" s="1" t="s">
        <v>53</v>
      </c>
      <c r="F184" s="1" t="s">
        <v>54</v>
      </c>
      <c r="G184" s="2">
        <v>29.0</v>
      </c>
      <c r="H184" s="1" t="s">
        <v>66</v>
      </c>
      <c r="I184" s="1" t="s">
        <v>67</v>
      </c>
      <c r="J184" s="1" t="s">
        <v>68</v>
      </c>
      <c r="K184" s="1" t="s">
        <v>74</v>
      </c>
      <c r="M184" s="1" t="s">
        <v>58</v>
      </c>
      <c r="N184" s="1" t="s">
        <v>58</v>
      </c>
      <c r="O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1" t="s">
        <v>81</v>
      </c>
      <c r="Y184" s="1" t="s">
        <v>172</v>
      </c>
      <c r="Z184" s="1" t="s">
        <v>96</v>
      </c>
      <c r="AA184" s="2">
        <v>50.0</v>
      </c>
      <c r="AB184" s="1" t="s">
        <v>62</v>
      </c>
      <c r="AC184" s="1" t="s">
        <v>51</v>
      </c>
      <c r="AD184" s="1" t="s">
        <v>81</v>
      </c>
      <c r="AE184" s="1" t="s">
        <v>51</v>
      </c>
      <c r="AF184" s="1" t="s">
        <v>51</v>
      </c>
      <c r="AG184" s="1" t="s">
        <v>51</v>
      </c>
      <c r="AI184" s="2">
        <v>1.0</v>
      </c>
      <c r="AJ184" s="2">
        <v>0.0</v>
      </c>
      <c r="AK184" s="2">
        <v>0.0</v>
      </c>
      <c r="AL184" s="2">
        <v>0.0</v>
      </c>
      <c r="AM184" s="1" t="s">
        <v>51</v>
      </c>
      <c r="AN184" s="2">
        <v>8.12338828E8</v>
      </c>
      <c r="AP184" s="2">
        <v>4.90071211E8</v>
      </c>
      <c r="AQ184" s="1" t="s">
        <v>312</v>
      </c>
      <c r="AR184" s="2">
        <v>45808.58969907407</v>
      </c>
      <c r="AU184" s="1" t="s">
        <v>64</v>
      </c>
      <c r="AW184" s="1" t="s">
        <v>255</v>
      </c>
      <c r="AY184" s="2">
        <v>178.0</v>
      </c>
    </row>
    <row r="185">
      <c r="A185" s="1" t="s">
        <v>51</v>
      </c>
      <c r="C185" s="1" t="s">
        <v>131</v>
      </c>
      <c r="E185" s="1" t="s">
        <v>53</v>
      </c>
      <c r="F185" s="1" t="s">
        <v>54</v>
      </c>
      <c r="G185" s="2">
        <v>31.0</v>
      </c>
      <c r="H185" s="1" t="s">
        <v>55</v>
      </c>
      <c r="I185" s="1" t="s">
        <v>100</v>
      </c>
      <c r="J185" s="1" t="s">
        <v>68</v>
      </c>
      <c r="K185" s="1" t="s">
        <v>74</v>
      </c>
      <c r="M185" s="1" t="s">
        <v>58</v>
      </c>
      <c r="N185" s="1" t="s">
        <v>58</v>
      </c>
      <c r="O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1" t="s">
        <v>81</v>
      </c>
      <c r="Y185" s="1" t="s">
        <v>82</v>
      </c>
      <c r="Z185" s="1" t="s">
        <v>96</v>
      </c>
      <c r="AA185" s="2">
        <v>100.0</v>
      </c>
      <c r="AB185" s="1" t="s">
        <v>62</v>
      </c>
      <c r="AC185" s="1" t="s">
        <v>71</v>
      </c>
      <c r="AF185" s="1" t="s">
        <v>51</v>
      </c>
      <c r="AG185" s="1" t="s">
        <v>51</v>
      </c>
      <c r="AH185" s="2">
        <v>7.26534262E8</v>
      </c>
      <c r="AI185" s="2">
        <v>1.0</v>
      </c>
      <c r="AJ185" s="2">
        <v>0.0</v>
      </c>
      <c r="AK185" s="2">
        <v>0.0</v>
      </c>
      <c r="AL185" s="2">
        <v>0.0</v>
      </c>
      <c r="AM185" s="1" t="s">
        <v>51</v>
      </c>
      <c r="AN185" s="2">
        <v>6.82234632E8</v>
      </c>
      <c r="AP185" s="2">
        <v>4.9007346E8</v>
      </c>
      <c r="AQ185" s="1" t="s">
        <v>313</v>
      </c>
      <c r="AR185" s="2">
        <v>45808.59204861111</v>
      </c>
      <c r="AU185" s="1" t="s">
        <v>64</v>
      </c>
      <c r="AW185" s="1" t="s">
        <v>255</v>
      </c>
      <c r="AY185" s="2">
        <v>179.0</v>
      </c>
    </row>
    <row r="186">
      <c r="A186" s="1" t="s">
        <v>51</v>
      </c>
      <c r="C186" s="1" t="s">
        <v>131</v>
      </c>
      <c r="E186" s="1" t="s">
        <v>53</v>
      </c>
      <c r="F186" s="1" t="s">
        <v>54</v>
      </c>
      <c r="G186" s="2">
        <v>30.0</v>
      </c>
      <c r="H186" s="1" t="s">
        <v>55</v>
      </c>
      <c r="I186" s="1" t="s">
        <v>100</v>
      </c>
      <c r="K186" s="1" t="s">
        <v>74</v>
      </c>
      <c r="M186" s="1" t="s">
        <v>58</v>
      </c>
      <c r="N186" s="1" t="s">
        <v>58</v>
      </c>
      <c r="O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81</v>
      </c>
      <c r="Y186" s="1" t="s">
        <v>172</v>
      </c>
      <c r="Z186" s="1" t="s">
        <v>96</v>
      </c>
      <c r="AA186" s="2">
        <v>100.0</v>
      </c>
      <c r="AB186" s="1" t="s">
        <v>28</v>
      </c>
      <c r="AC186" s="1" t="s">
        <v>71</v>
      </c>
      <c r="AF186" s="1" t="s">
        <v>51</v>
      </c>
      <c r="AG186" s="1" t="s">
        <v>51</v>
      </c>
      <c r="AH186" s="2">
        <v>300.0</v>
      </c>
      <c r="AI186" s="2">
        <v>1.0</v>
      </c>
      <c r="AJ186" s="2">
        <v>0.0</v>
      </c>
      <c r="AK186" s="2">
        <v>0.0</v>
      </c>
      <c r="AL186" s="2">
        <v>0.0</v>
      </c>
      <c r="AM186" s="1" t="s">
        <v>51</v>
      </c>
      <c r="AN186" s="2">
        <v>6.71652514E8</v>
      </c>
      <c r="AP186" s="2">
        <v>4.90075045E8</v>
      </c>
      <c r="AQ186" s="1" t="s">
        <v>314</v>
      </c>
      <c r="AR186" s="2">
        <v>45808.593680555554</v>
      </c>
      <c r="AU186" s="1" t="s">
        <v>64</v>
      </c>
      <c r="AW186" s="1" t="s">
        <v>255</v>
      </c>
      <c r="AY186" s="2">
        <v>180.0</v>
      </c>
    </row>
    <row r="187">
      <c r="A187" s="1" t="s">
        <v>51</v>
      </c>
      <c r="C187" s="1" t="s">
        <v>53</v>
      </c>
      <c r="E187" s="1" t="s">
        <v>53</v>
      </c>
      <c r="F187" s="1" t="s">
        <v>54</v>
      </c>
      <c r="G187" s="2">
        <v>25.0</v>
      </c>
      <c r="H187" s="1" t="s">
        <v>55</v>
      </c>
      <c r="I187" s="1" t="s">
        <v>100</v>
      </c>
      <c r="J187" s="1" t="s">
        <v>68</v>
      </c>
      <c r="K187" s="1" t="s">
        <v>57</v>
      </c>
      <c r="M187" s="1" t="s">
        <v>58</v>
      </c>
      <c r="N187" s="1" t="s">
        <v>58</v>
      </c>
      <c r="O187" s="1" t="s">
        <v>70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81</v>
      </c>
      <c r="Y187" s="1" t="s">
        <v>172</v>
      </c>
      <c r="Z187" s="1" t="s">
        <v>89</v>
      </c>
      <c r="AA187" s="2">
        <v>30.0</v>
      </c>
      <c r="AB187" s="1" t="s">
        <v>62</v>
      </c>
      <c r="AC187" s="1" t="s">
        <v>71</v>
      </c>
      <c r="AM187" s="1" t="s">
        <v>51</v>
      </c>
      <c r="AN187" s="2">
        <v>6.58674749E8</v>
      </c>
      <c r="AP187" s="2">
        <v>4.90082004E8</v>
      </c>
      <c r="AQ187" s="1" t="s">
        <v>315</v>
      </c>
      <c r="AR187" s="2">
        <v>45808.60283564815</v>
      </c>
      <c r="AU187" s="1" t="s">
        <v>64</v>
      </c>
      <c r="AW187" s="1" t="s">
        <v>255</v>
      </c>
      <c r="AY187" s="2">
        <v>181.0</v>
      </c>
    </row>
    <row r="188">
      <c r="A188" s="1" t="s">
        <v>51</v>
      </c>
      <c r="C188" s="1" t="s">
        <v>131</v>
      </c>
      <c r="E188" s="1" t="s">
        <v>53</v>
      </c>
      <c r="F188" s="1" t="s">
        <v>54</v>
      </c>
      <c r="G188" s="2">
        <v>26.0</v>
      </c>
      <c r="H188" s="1" t="s">
        <v>55</v>
      </c>
      <c r="I188" s="1" t="s">
        <v>100</v>
      </c>
      <c r="J188" s="1" t="s">
        <v>111</v>
      </c>
      <c r="K188" s="1" t="s">
        <v>57</v>
      </c>
      <c r="M188" s="1" t="s">
        <v>58</v>
      </c>
      <c r="N188" s="1" t="s">
        <v>58</v>
      </c>
      <c r="O188" s="1" t="s">
        <v>58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  <c r="W188" s="1" t="s">
        <v>58</v>
      </c>
      <c r="X188" s="1" t="s">
        <v>81</v>
      </c>
      <c r="Y188" s="1" t="s">
        <v>172</v>
      </c>
      <c r="Z188" s="1" t="s">
        <v>108</v>
      </c>
      <c r="AA188" s="2">
        <v>40.0</v>
      </c>
      <c r="AB188" s="1" t="s">
        <v>62</v>
      </c>
      <c r="AC188" s="1" t="s">
        <v>72</v>
      </c>
      <c r="AF188" s="1" t="s">
        <v>51</v>
      </c>
      <c r="AG188" s="1" t="s">
        <v>51</v>
      </c>
      <c r="AH188" s="2">
        <v>350.0</v>
      </c>
      <c r="AI188" s="2">
        <v>1.0</v>
      </c>
      <c r="AJ188" s="2">
        <v>0.0</v>
      </c>
      <c r="AK188" s="2">
        <v>0.0</v>
      </c>
      <c r="AL188" s="2">
        <v>0.0</v>
      </c>
      <c r="AM188" s="1" t="s">
        <v>51</v>
      </c>
      <c r="AN188" s="2">
        <v>7.27923016E8</v>
      </c>
      <c r="AP188" s="2">
        <v>4.90091445E8</v>
      </c>
      <c r="AQ188" s="1" t="s">
        <v>316</v>
      </c>
      <c r="AR188" s="2">
        <v>45808.61429398148</v>
      </c>
      <c r="AU188" s="1" t="s">
        <v>64</v>
      </c>
      <c r="AW188" s="1" t="s">
        <v>255</v>
      </c>
      <c r="AY188" s="2">
        <v>182.0</v>
      </c>
    </row>
    <row r="189">
      <c r="A189" s="1" t="s">
        <v>51</v>
      </c>
      <c r="C189" s="1" t="s">
        <v>131</v>
      </c>
      <c r="E189" s="1" t="s">
        <v>53</v>
      </c>
      <c r="F189" s="1" t="s">
        <v>54</v>
      </c>
      <c r="G189" s="2">
        <v>36.0</v>
      </c>
      <c r="H189" s="1" t="s">
        <v>55</v>
      </c>
      <c r="I189" s="1" t="s">
        <v>100</v>
      </c>
      <c r="J189" s="1" t="s">
        <v>111</v>
      </c>
      <c r="K189" s="1" t="s">
        <v>57</v>
      </c>
      <c r="M189" s="1" t="s">
        <v>58</v>
      </c>
      <c r="N189" s="1" t="s">
        <v>58</v>
      </c>
      <c r="O189" s="1" t="s">
        <v>70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70</v>
      </c>
      <c r="W189" s="1" t="s">
        <v>58</v>
      </c>
      <c r="X189" s="1" t="s">
        <v>81</v>
      </c>
      <c r="Y189" s="1" t="s">
        <v>82</v>
      </c>
      <c r="Z189" s="1" t="s">
        <v>96</v>
      </c>
      <c r="AA189" s="2">
        <v>100.0</v>
      </c>
      <c r="AB189" s="1" t="s">
        <v>79</v>
      </c>
      <c r="AC189" s="1" t="s">
        <v>51</v>
      </c>
      <c r="AD189" s="1" t="s">
        <v>81</v>
      </c>
      <c r="AE189" s="1" t="s">
        <v>51</v>
      </c>
      <c r="AF189" s="1" t="s">
        <v>51</v>
      </c>
      <c r="AG189" s="1" t="s">
        <v>51</v>
      </c>
      <c r="AI189" s="2">
        <v>1.0</v>
      </c>
      <c r="AJ189" s="2">
        <v>0.0</v>
      </c>
      <c r="AK189" s="2">
        <v>0.0</v>
      </c>
      <c r="AL189" s="2">
        <v>0.0</v>
      </c>
      <c r="AM189" s="1" t="s">
        <v>51</v>
      </c>
      <c r="AN189" s="2">
        <v>6.99134499E8</v>
      </c>
      <c r="AP189" s="2">
        <v>4.90093111E8</v>
      </c>
      <c r="AQ189" s="1" t="s">
        <v>317</v>
      </c>
      <c r="AR189" s="2">
        <v>45808.616261574076</v>
      </c>
      <c r="AU189" s="1" t="s">
        <v>64</v>
      </c>
      <c r="AW189" s="1" t="s">
        <v>255</v>
      </c>
      <c r="AY189" s="2">
        <v>183.0</v>
      </c>
    </row>
    <row r="190">
      <c r="A190" s="1" t="s">
        <v>51</v>
      </c>
      <c r="C190" s="1" t="s">
        <v>131</v>
      </c>
      <c r="E190" s="1" t="s">
        <v>53</v>
      </c>
      <c r="F190" s="1" t="s">
        <v>54</v>
      </c>
      <c r="G190" s="2">
        <v>24.0</v>
      </c>
      <c r="H190" s="1" t="s">
        <v>55</v>
      </c>
      <c r="I190" s="1" t="s">
        <v>100</v>
      </c>
      <c r="J190" s="1" t="s">
        <v>68</v>
      </c>
      <c r="K190" s="1" t="s">
        <v>57</v>
      </c>
      <c r="M190" s="1" t="s">
        <v>58</v>
      </c>
      <c r="N190" s="1" t="s">
        <v>58</v>
      </c>
      <c r="O190" s="1" t="s">
        <v>58</v>
      </c>
      <c r="Q190" s="1" t="s">
        <v>58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 t="s">
        <v>58</v>
      </c>
      <c r="X190" s="1" t="s">
        <v>81</v>
      </c>
      <c r="Y190" s="1" t="s">
        <v>60</v>
      </c>
      <c r="Z190" s="1" t="s">
        <v>96</v>
      </c>
      <c r="AA190" s="2">
        <v>50.0</v>
      </c>
      <c r="AB190" s="1" t="s">
        <v>62</v>
      </c>
      <c r="AC190" s="1" t="s">
        <v>71</v>
      </c>
      <c r="AF190" s="1" t="s">
        <v>51</v>
      </c>
      <c r="AG190" s="1" t="s">
        <v>51</v>
      </c>
      <c r="AH190" s="2">
        <v>400.0</v>
      </c>
      <c r="AI190" s="2">
        <v>1.0</v>
      </c>
      <c r="AJ190" s="2">
        <v>0.0</v>
      </c>
      <c r="AK190" s="2">
        <v>0.0</v>
      </c>
      <c r="AL190" s="2">
        <v>0.0</v>
      </c>
      <c r="AM190" s="1" t="s">
        <v>51</v>
      </c>
      <c r="AN190" s="2">
        <v>8.13580094E8</v>
      </c>
      <c r="AP190" s="2">
        <v>4.90094558E8</v>
      </c>
      <c r="AQ190" s="1" t="s">
        <v>318</v>
      </c>
      <c r="AR190" s="2">
        <v>45808.618101851855</v>
      </c>
      <c r="AU190" s="1" t="s">
        <v>64</v>
      </c>
      <c r="AW190" s="1" t="s">
        <v>255</v>
      </c>
      <c r="AY190" s="2">
        <v>184.0</v>
      </c>
    </row>
    <row r="191">
      <c r="A191" s="1" t="s">
        <v>51</v>
      </c>
      <c r="C191" s="1" t="s">
        <v>131</v>
      </c>
      <c r="E191" s="1" t="s">
        <v>53</v>
      </c>
      <c r="F191" s="1" t="s">
        <v>54</v>
      </c>
      <c r="G191" s="2">
        <v>23.0</v>
      </c>
      <c r="H191" s="1" t="s">
        <v>55</v>
      </c>
      <c r="I191" s="1" t="s">
        <v>100</v>
      </c>
      <c r="J191" s="1" t="s">
        <v>68</v>
      </c>
      <c r="K191" s="1" t="s">
        <v>74</v>
      </c>
      <c r="M191" s="1" t="s">
        <v>58</v>
      </c>
      <c r="N191" s="1" t="s">
        <v>58</v>
      </c>
      <c r="O191" s="1" t="s">
        <v>70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81</v>
      </c>
      <c r="Y191" s="1" t="s">
        <v>172</v>
      </c>
      <c r="Z191" s="1" t="s">
        <v>127</v>
      </c>
      <c r="AA191" s="2">
        <v>50.0</v>
      </c>
      <c r="AB191" s="1" t="s">
        <v>79</v>
      </c>
      <c r="AC191" s="1" t="s">
        <v>71</v>
      </c>
      <c r="AF191" s="1" t="s">
        <v>51</v>
      </c>
      <c r="AG191" s="1" t="s">
        <v>51</v>
      </c>
      <c r="AH191" s="2">
        <v>300.0</v>
      </c>
      <c r="AI191" s="2">
        <v>1.0</v>
      </c>
      <c r="AJ191" s="2">
        <v>0.0</v>
      </c>
      <c r="AK191" s="2">
        <v>0.0</v>
      </c>
      <c r="AL191" s="2">
        <v>0.0</v>
      </c>
      <c r="AM191" s="1" t="s">
        <v>51</v>
      </c>
      <c r="AN191" s="2">
        <v>8.10851251E8</v>
      </c>
      <c r="AP191" s="2">
        <v>4.90099662E8</v>
      </c>
      <c r="AQ191" s="1" t="s">
        <v>319</v>
      </c>
      <c r="AR191" s="2">
        <v>45808.624085648145</v>
      </c>
      <c r="AU191" s="1" t="s">
        <v>64</v>
      </c>
      <c r="AW191" s="1" t="s">
        <v>255</v>
      </c>
      <c r="AY191" s="2">
        <v>185.0</v>
      </c>
    </row>
    <row r="192">
      <c r="A192" s="1" t="s">
        <v>51</v>
      </c>
      <c r="C192" s="1" t="s">
        <v>131</v>
      </c>
      <c r="E192" s="1" t="s">
        <v>53</v>
      </c>
      <c r="F192" s="1" t="s">
        <v>54</v>
      </c>
      <c r="G192" s="2">
        <v>34.0</v>
      </c>
      <c r="H192" s="1" t="s">
        <v>55</v>
      </c>
      <c r="I192" s="1" t="s">
        <v>100</v>
      </c>
      <c r="J192" s="1" t="s">
        <v>68</v>
      </c>
      <c r="K192" s="1" t="s">
        <v>74</v>
      </c>
      <c r="M192" s="1" t="s">
        <v>58</v>
      </c>
      <c r="N192" s="1" t="s">
        <v>58</v>
      </c>
      <c r="O192" s="1" t="s">
        <v>58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58</v>
      </c>
      <c r="W192" s="1" t="s">
        <v>58</v>
      </c>
      <c r="X192" s="1" t="s">
        <v>81</v>
      </c>
      <c r="Y192" s="1" t="s">
        <v>172</v>
      </c>
      <c r="Z192" s="1" t="s">
        <v>127</v>
      </c>
      <c r="AA192" s="2">
        <v>50.0</v>
      </c>
      <c r="AB192" s="1" t="s">
        <v>79</v>
      </c>
      <c r="AC192" s="1" t="s">
        <v>71</v>
      </c>
      <c r="AF192" s="1" t="s">
        <v>51</v>
      </c>
      <c r="AG192" s="1" t="s">
        <v>51</v>
      </c>
      <c r="AH192" s="2">
        <v>200.0</v>
      </c>
      <c r="AI192" s="2">
        <v>1.0</v>
      </c>
      <c r="AJ192" s="2">
        <v>0.0</v>
      </c>
      <c r="AK192" s="2">
        <v>0.0</v>
      </c>
      <c r="AL192" s="2">
        <v>0.0</v>
      </c>
      <c r="AM192" s="1" t="s">
        <v>51</v>
      </c>
      <c r="AN192" s="2">
        <v>8.10851251E8</v>
      </c>
      <c r="AP192" s="2">
        <v>4.9010102E8</v>
      </c>
      <c r="AQ192" s="1" t="s">
        <v>320</v>
      </c>
      <c r="AR192" s="2">
        <v>45808.62568287037</v>
      </c>
      <c r="AU192" s="1" t="s">
        <v>64</v>
      </c>
      <c r="AW192" s="1" t="s">
        <v>255</v>
      </c>
      <c r="AY192" s="2">
        <v>186.0</v>
      </c>
    </row>
    <row r="193">
      <c r="A193" s="1" t="s">
        <v>51</v>
      </c>
      <c r="C193" s="1" t="s">
        <v>52</v>
      </c>
      <c r="E193" s="1" t="s">
        <v>53</v>
      </c>
      <c r="F193" s="1" t="s">
        <v>54</v>
      </c>
      <c r="G193" s="2">
        <v>43.0</v>
      </c>
      <c r="H193" s="1" t="s">
        <v>66</v>
      </c>
      <c r="I193" s="1" t="s">
        <v>67</v>
      </c>
      <c r="J193" s="1" t="s">
        <v>111</v>
      </c>
      <c r="K193" s="1" t="s">
        <v>74</v>
      </c>
      <c r="M193" s="1" t="s">
        <v>58</v>
      </c>
      <c r="N193" s="1" t="s">
        <v>58</v>
      </c>
      <c r="O193" s="1" t="s">
        <v>69</v>
      </c>
      <c r="Q193" s="1" t="s">
        <v>58</v>
      </c>
      <c r="R193" s="1" t="s">
        <v>58</v>
      </c>
      <c r="S193" s="1" t="s">
        <v>69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88</v>
      </c>
      <c r="Y193" s="1" t="s">
        <v>60</v>
      </c>
      <c r="Z193" s="1" t="s">
        <v>89</v>
      </c>
      <c r="AA193" s="2">
        <v>30.0</v>
      </c>
      <c r="AB193" s="1" t="s">
        <v>79</v>
      </c>
      <c r="AC193" s="1" t="s">
        <v>71</v>
      </c>
      <c r="AF193" s="1" t="s">
        <v>51</v>
      </c>
      <c r="AG193" s="1" t="s">
        <v>51</v>
      </c>
      <c r="AH193" s="2">
        <v>7000.0</v>
      </c>
      <c r="AI193" s="2">
        <v>1.0</v>
      </c>
      <c r="AJ193" s="2">
        <v>1.0</v>
      </c>
      <c r="AK193" s="2">
        <v>1.0</v>
      </c>
      <c r="AL193" s="2">
        <v>0.0</v>
      </c>
      <c r="AM193" s="1" t="s">
        <v>51</v>
      </c>
      <c r="AN193" s="2">
        <v>6.18065596E8</v>
      </c>
      <c r="AP193" s="2">
        <v>4.90101083E8</v>
      </c>
      <c r="AQ193" s="1" t="s">
        <v>321</v>
      </c>
      <c r="AR193" s="2">
        <v>45808.625763888886</v>
      </c>
      <c r="AU193" s="1" t="s">
        <v>64</v>
      </c>
      <c r="AW193" s="1" t="s">
        <v>255</v>
      </c>
      <c r="AY193" s="2">
        <v>187.0</v>
      </c>
    </row>
    <row r="194">
      <c r="A194" s="1" t="s">
        <v>51</v>
      </c>
      <c r="C194" s="1" t="s">
        <v>131</v>
      </c>
      <c r="E194" s="1" t="s">
        <v>53</v>
      </c>
      <c r="F194" s="1" t="s">
        <v>54</v>
      </c>
      <c r="G194" s="2">
        <v>23.0</v>
      </c>
      <c r="H194" s="1" t="s">
        <v>55</v>
      </c>
      <c r="I194" s="1" t="s">
        <v>100</v>
      </c>
      <c r="J194" s="1" t="s">
        <v>68</v>
      </c>
      <c r="K194" s="1" t="s">
        <v>57</v>
      </c>
      <c r="M194" s="1" t="s">
        <v>58</v>
      </c>
      <c r="N194" s="1" t="s">
        <v>58</v>
      </c>
      <c r="O194" s="1" t="s">
        <v>58</v>
      </c>
      <c r="Q194" s="1" t="s">
        <v>58</v>
      </c>
      <c r="R194" s="1" t="s">
        <v>58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81</v>
      </c>
      <c r="Y194" s="1" t="s">
        <v>172</v>
      </c>
      <c r="Z194" s="1" t="s">
        <v>96</v>
      </c>
      <c r="AA194" s="2">
        <v>50.0</v>
      </c>
      <c r="AB194" s="1" t="s">
        <v>62</v>
      </c>
      <c r="AC194" s="1" t="s">
        <v>71</v>
      </c>
      <c r="AF194" s="1" t="s">
        <v>51</v>
      </c>
      <c r="AG194" s="1" t="s">
        <v>72</v>
      </c>
      <c r="AI194" s="2">
        <v>0.0</v>
      </c>
      <c r="AJ194" s="2">
        <v>0.0</v>
      </c>
      <c r="AK194" s="2">
        <v>1.0</v>
      </c>
      <c r="AL194" s="2">
        <v>0.0</v>
      </c>
      <c r="AP194" s="2">
        <v>4.90102926E8</v>
      </c>
      <c r="AQ194" s="1" t="s">
        <v>322</v>
      </c>
      <c r="AR194" s="2">
        <v>45808.62768518519</v>
      </c>
      <c r="AU194" s="1" t="s">
        <v>64</v>
      </c>
      <c r="AW194" s="1" t="s">
        <v>255</v>
      </c>
      <c r="AY194" s="2">
        <v>188.0</v>
      </c>
    </row>
    <row r="195">
      <c r="A195" s="1" t="s">
        <v>51</v>
      </c>
      <c r="C195" s="1" t="s">
        <v>131</v>
      </c>
      <c r="E195" s="1" t="s">
        <v>53</v>
      </c>
      <c r="F195" s="1" t="s">
        <v>54</v>
      </c>
      <c r="G195" s="2">
        <v>34.0</v>
      </c>
      <c r="H195" s="1" t="s">
        <v>55</v>
      </c>
      <c r="I195" s="1" t="s">
        <v>100</v>
      </c>
      <c r="J195" s="1" t="s">
        <v>68</v>
      </c>
      <c r="K195" s="1" t="s">
        <v>57</v>
      </c>
      <c r="M195" s="1" t="s">
        <v>58</v>
      </c>
      <c r="N195" s="1" t="s">
        <v>58</v>
      </c>
      <c r="O195" s="1" t="s">
        <v>58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 t="s">
        <v>58</v>
      </c>
      <c r="X195" s="1" t="s">
        <v>81</v>
      </c>
      <c r="Y195" s="1" t="s">
        <v>172</v>
      </c>
      <c r="Z195" s="1" t="s">
        <v>96</v>
      </c>
      <c r="AA195" s="2">
        <v>100.0</v>
      </c>
      <c r="AB195" s="1" t="s">
        <v>62</v>
      </c>
      <c r="AC195" s="1" t="s">
        <v>71</v>
      </c>
      <c r="AF195" s="1" t="s">
        <v>51</v>
      </c>
      <c r="AG195" s="1" t="s">
        <v>51</v>
      </c>
      <c r="AH195" s="2">
        <v>300.0</v>
      </c>
      <c r="AI195" s="2">
        <v>1.0</v>
      </c>
      <c r="AJ195" s="2">
        <v>0.0</v>
      </c>
      <c r="AK195" s="2">
        <v>0.0</v>
      </c>
      <c r="AL195" s="2">
        <v>0.0</v>
      </c>
      <c r="AM195" s="1" t="s">
        <v>51</v>
      </c>
      <c r="AN195" s="2">
        <v>6.37907157E8</v>
      </c>
      <c r="AP195" s="2">
        <v>4.90106648E8</v>
      </c>
      <c r="AQ195" s="1" t="s">
        <v>323</v>
      </c>
      <c r="AR195" s="2">
        <v>45808.63197916667</v>
      </c>
      <c r="AU195" s="1" t="s">
        <v>64</v>
      </c>
      <c r="AW195" s="1" t="s">
        <v>255</v>
      </c>
      <c r="AY195" s="2">
        <v>189.0</v>
      </c>
    </row>
    <row r="196">
      <c r="A196" s="1" t="s">
        <v>51</v>
      </c>
      <c r="C196" s="1" t="s">
        <v>131</v>
      </c>
      <c r="E196" s="1" t="s">
        <v>53</v>
      </c>
      <c r="F196" s="1" t="s">
        <v>54</v>
      </c>
      <c r="G196" s="2">
        <v>34.0</v>
      </c>
      <c r="H196" s="1" t="s">
        <v>55</v>
      </c>
      <c r="I196" s="1" t="s">
        <v>67</v>
      </c>
      <c r="J196" s="1" t="s">
        <v>68</v>
      </c>
      <c r="K196" s="1" t="s">
        <v>57</v>
      </c>
      <c r="M196" s="1" t="s">
        <v>58</v>
      </c>
      <c r="N196" s="1" t="s">
        <v>58</v>
      </c>
      <c r="O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81</v>
      </c>
      <c r="Y196" s="1" t="s">
        <v>172</v>
      </c>
      <c r="Z196" s="1" t="s">
        <v>96</v>
      </c>
      <c r="AA196" s="2">
        <v>50.0</v>
      </c>
      <c r="AB196" s="1" t="s">
        <v>28</v>
      </c>
      <c r="AC196" s="1" t="s">
        <v>71</v>
      </c>
      <c r="AF196" s="1" t="s">
        <v>51</v>
      </c>
      <c r="AG196" s="1" t="s">
        <v>51</v>
      </c>
      <c r="AH196" s="2">
        <v>250.0</v>
      </c>
      <c r="AI196" s="2">
        <v>0.0</v>
      </c>
      <c r="AJ196" s="2">
        <v>0.0</v>
      </c>
      <c r="AK196" s="2">
        <v>0.0</v>
      </c>
      <c r="AL196" s="2">
        <v>1.0</v>
      </c>
      <c r="AM196" s="1" t="s">
        <v>51</v>
      </c>
      <c r="AN196" s="2">
        <v>6.83234535E8</v>
      </c>
      <c r="AP196" s="2">
        <v>4.90108381E8</v>
      </c>
      <c r="AQ196" s="1" t="s">
        <v>324</v>
      </c>
      <c r="AR196" s="2">
        <v>45808.63402777778</v>
      </c>
      <c r="AU196" s="1" t="s">
        <v>64</v>
      </c>
      <c r="AW196" s="1" t="s">
        <v>255</v>
      </c>
      <c r="AY196" s="2">
        <v>190.0</v>
      </c>
    </row>
    <row r="197">
      <c r="A197" s="1" t="s">
        <v>51</v>
      </c>
      <c r="C197" s="1" t="s">
        <v>131</v>
      </c>
      <c r="E197" s="1" t="s">
        <v>53</v>
      </c>
      <c r="F197" s="1" t="s">
        <v>54</v>
      </c>
      <c r="G197" s="2">
        <v>23.0</v>
      </c>
      <c r="H197" s="1" t="s">
        <v>66</v>
      </c>
      <c r="I197" s="1" t="s">
        <v>100</v>
      </c>
      <c r="J197" s="1" t="s">
        <v>111</v>
      </c>
      <c r="K197" s="1" t="s">
        <v>57</v>
      </c>
      <c r="M197" s="1" t="s">
        <v>58</v>
      </c>
      <c r="N197" s="1" t="s">
        <v>58</v>
      </c>
      <c r="O197" s="1" t="s">
        <v>58</v>
      </c>
      <c r="Q197" s="1" t="s">
        <v>58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81</v>
      </c>
      <c r="Y197" s="1" t="s">
        <v>60</v>
      </c>
      <c r="Z197" s="1" t="s">
        <v>96</v>
      </c>
      <c r="AA197" s="2">
        <v>100.0</v>
      </c>
      <c r="AB197" s="1" t="s">
        <v>79</v>
      </c>
      <c r="AC197" s="1" t="s">
        <v>51</v>
      </c>
      <c r="AD197" s="1" t="s">
        <v>81</v>
      </c>
      <c r="AE197" s="1" t="s">
        <v>51</v>
      </c>
      <c r="AF197" s="1" t="s">
        <v>51</v>
      </c>
      <c r="AG197" s="1" t="s">
        <v>51</v>
      </c>
      <c r="AH197" s="2">
        <v>350.0</v>
      </c>
      <c r="AI197" s="2">
        <v>1.0</v>
      </c>
      <c r="AJ197" s="2">
        <v>0.0</v>
      </c>
      <c r="AK197" s="2">
        <v>0.0</v>
      </c>
      <c r="AL197" s="2">
        <v>0.0</v>
      </c>
      <c r="AM197" s="1" t="s">
        <v>51</v>
      </c>
      <c r="AN197" s="2">
        <v>6.05896906E8</v>
      </c>
      <c r="AP197" s="2">
        <v>4.90110505E8</v>
      </c>
      <c r="AQ197" s="1" t="s">
        <v>325</v>
      </c>
      <c r="AR197" s="2">
        <v>45808.63599537037</v>
      </c>
      <c r="AU197" s="1" t="s">
        <v>64</v>
      </c>
      <c r="AW197" s="1" t="s">
        <v>255</v>
      </c>
      <c r="AY197" s="2">
        <v>191.0</v>
      </c>
    </row>
    <row r="198">
      <c r="A198" s="1" t="s">
        <v>51</v>
      </c>
      <c r="C198" s="1" t="s">
        <v>131</v>
      </c>
      <c r="E198" s="1" t="s">
        <v>53</v>
      </c>
      <c r="F198" s="1" t="s">
        <v>54</v>
      </c>
      <c r="G198" s="2">
        <v>37.0</v>
      </c>
      <c r="H198" s="1" t="s">
        <v>55</v>
      </c>
      <c r="I198" s="1" t="s">
        <v>100</v>
      </c>
      <c r="J198" s="1" t="s">
        <v>56</v>
      </c>
      <c r="K198" s="1" t="s">
        <v>74</v>
      </c>
      <c r="M198" s="1" t="s">
        <v>58</v>
      </c>
      <c r="N198" s="1" t="s">
        <v>58</v>
      </c>
      <c r="O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81</v>
      </c>
      <c r="Y198" s="1" t="s">
        <v>172</v>
      </c>
      <c r="Z198" s="1" t="s">
        <v>96</v>
      </c>
      <c r="AA198" s="2">
        <v>100.0</v>
      </c>
      <c r="AB198" s="1" t="s">
        <v>79</v>
      </c>
      <c r="AC198" s="1" t="s">
        <v>51</v>
      </c>
      <c r="AD198" s="1" t="s">
        <v>81</v>
      </c>
      <c r="AF198" s="1" t="s">
        <v>51</v>
      </c>
      <c r="AG198" s="1" t="s">
        <v>51</v>
      </c>
      <c r="AH198" s="2">
        <v>300.0</v>
      </c>
      <c r="AI198" s="2">
        <v>1.0</v>
      </c>
      <c r="AJ198" s="2">
        <v>0.0</v>
      </c>
      <c r="AK198" s="2">
        <v>0.0</v>
      </c>
      <c r="AL198" s="2">
        <v>0.0</v>
      </c>
      <c r="AM198" s="1" t="s">
        <v>51</v>
      </c>
      <c r="AN198" s="2">
        <v>7.47761012E8</v>
      </c>
      <c r="AP198" s="2">
        <v>4.90112113E8</v>
      </c>
      <c r="AQ198" s="1" t="s">
        <v>326</v>
      </c>
      <c r="AR198" s="2">
        <v>45808.63810185185</v>
      </c>
      <c r="AU198" s="1" t="s">
        <v>64</v>
      </c>
      <c r="AW198" s="1" t="s">
        <v>255</v>
      </c>
      <c r="AY198" s="2">
        <v>192.0</v>
      </c>
    </row>
    <row r="199">
      <c r="A199" s="1" t="s">
        <v>51</v>
      </c>
      <c r="C199" s="1" t="s">
        <v>131</v>
      </c>
      <c r="E199" s="1" t="s">
        <v>53</v>
      </c>
      <c r="F199" s="1" t="s">
        <v>54</v>
      </c>
      <c r="G199" s="2">
        <v>43.0</v>
      </c>
      <c r="H199" s="1" t="s">
        <v>55</v>
      </c>
      <c r="I199" s="1" t="s">
        <v>67</v>
      </c>
      <c r="J199" s="1" t="s">
        <v>68</v>
      </c>
      <c r="K199" s="1" t="s">
        <v>74</v>
      </c>
      <c r="M199" s="1" t="s">
        <v>58</v>
      </c>
      <c r="N199" s="1" t="s">
        <v>58</v>
      </c>
      <c r="O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81</v>
      </c>
      <c r="Y199" s="1" t="s">
        <v>60</v>
      </c>
      <c r="Z199" s="1" t="s">
        <v>96</v>
      </c>
      <c r="AA199" s="2">
        <v>100.0</v>
      </c>
      <c r="AB199" s="1" t="s">
        <v>28</v>
      </c>
      <c r="AC199" s="1" t="s">
        <v>51</v>
      </c>
      <c r="AD199" s="1" t="s">
        <v>81</v>
      </c>
      <c r="AE199" s="1" t="s">
        <v>51</v>
      </c>
      <c r="AF199" s="1" t="s">
        <v>51</v>
      </c>
      <c r="AG199" s="1" t="s">
        <v>51</v>
      </c>
      <c r="AI199" s="2">
        <v>0.0</v>
      </c>
      <c r="AJ199" s="2">
        <v>0.0</v>
      </c>
      <c r="AK199" s="2">
        <v>0.0</v>
      </c>
      <c r="AL199" s="2">
        <v>1.0</v>
      </c>
      <c r="AM199" s="1" t="s">
        <v>51</v>
      </c>
      <c r="AN199" s="2">
        <v>6.56652996E8</v>
      </c>
      <c r="AP199" s="2">
        <v>4.9011343E8</v>
      </c>
      <c r="AQ199" s="1" t="s">
        <v>327</v>
      </c>
      <c r="AR199" s="2">
        <v>45808.639398148145</v>
      </c>
      <c r="AU199" s="1" t="s">
        <v>64</v>
      </c>
      <c r="AW199" s="1" t="s">
        <v>255</v>
      </c>
      <c r="AY199" s="2">
        <v>193.0</v>
      </c>
    </row>
    <row r="200">
      <c r="A200" s="1" t="s">
        <v>51</v>
      </c>
      <c r="C200" s="1" t="s">
        <v>131</v>
      </c>
      <c r="E200" s="1" t="s">
        <v>53</v>
      </c>
      <c r="F200" s="1" t="s">
        <v>54</v>
      </c>
      <c r="G200" s="2">
        <v>32.0</v>
      </c>
      <c r="H200" s="1" t="s">
        <v>55</v>
      </c>
      <c r="I200" s="1" t="s">
        <v>100</v>
      </c>
      <c r="J200" s="1" t="s">
        <v>68</v>
      </c>
      <c r="K200" s="1" t="s">
        <v>57</v>
      </c>
      <c r="M200" s="1" t="s">
        <v>58</v>
      </c>
      <c r="N200" s="1" t="s">
        <v>58</v>
      </c>
      <c r="O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81</v>
      </c>
      <c r="Y200" s="1" t="s">
        <v>60</v>
      </c>
      <c r="Z200" s="1" t="s">
        <v>96</v>
      </c>
      <c r="AA200" s="2">
        <v>100.0</v>
      </c>
      <c r="AB200" s="1" t="s">
        <v>79</v>
      </c>
      <c r="AC200" s="1" t="s">
        <v>51</v>
      </c>
      <c r="AD200" s="1" t="s">
        <v>81</v>
      </c>
      <c r="AE200" s="1" t="s">
        <v>51</v>
      </c>
      <c r="AF200" s="1" t="s">
        <v>51</v>
      </c>
      <c r="AG200" s="1" t="s">
        <v>51</v>
      </c>
      <c r="AI200" s="2">
        <v>0.0</v>
      </c>
      <c r="AJ200" s="2">
        <v>1.0</v>
      </c>
      <c r="AK200" s="2">
        <v>0.0</v>
      </c>
      <c r="AL200" s="2">
        <v>0.0</v>
      </c>
      <c r="AM200" s="1" t="s">
        <v>51</v>
      </c>
      <c r="AN200" s="2">
        <v>8.37345408E8</v>
      </c>
      <c r="AP200" s="2">
        <v>4.90115535E8</v>
      </c>
      <c r="AQ200" s="1" t="s">
        <v>328</v>
      </c>
      <c r="AR200" s="2">
        <v>45808.64135416667</v>
      </c>
      <c r="AU200" s="1" t="s">
        <v>64</v>
      </c>
      <c r="AW200" s="1" t="s">
        <v>255</v>
      </c>
      <c r="AY200" s="2">
        <v>194.0</v>
      </c>
    </row>
    <row r="201">
      <c r="A201" s="1" t="s">
        <v>51</v>
      </c>
      <c r="C201" s="1" t="s">
        <v>131</v>
      </c>
      <c r="E201" s="1" t="s">
        <v>53</v>
      </c>
      <c r="F201" s="1" t="s">
        <v>54</v>
      </c>
      <c r="G201" s="2">
        <v>26.0</v>
      </c>
      <c r="H201" s="1" t="s">
        <v>66</v>
      </c>
      <c r="I201" s="1" t="s">
        <v>100</v>
      </c>
      <c r="J201" s="1" t="s">
        <v>56</v>
      </c>
      <c r="K201" s="1" t="s">
        <v>57</v>
      </c>
      <c r="M201" s="1" t="s">
        <v>58</v>
      </c>
      <c r="N201" s="1" t="s">
        <v>58</v>
      </c>
      <c r="O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81</v>
      </c>
      <c r="Y201" s="1" t="s">
        <v>82</v>
      </c>
      <c r="Z201" s="1" t="s">
        <v>127</v>
      </c>
      <c r="AA201" s="2">
        <v>50.0</v>
      </c>
      <c r="AB201" s="1" t="s">
        <v>79</v>
      </c>
      <c r="AC201" s="1" t="s">
        <v>71</v>
      </c>
      <c r="AF201" s="1" t="s">
        <v>51</v>
      </c>
      <c r="AG201" s="1" t="s">
        <v>51</v>
      </c>
      <c r="AI201" s="2">
        <v>1.0</v>
      </c>
      <c r="AJ201" s="2">
        <v>0.0</v>
      </c>
      <c r="AK201" s="2">
        <v>0.0</v>
      </c>
      <c r="AL201" s="2">
        <v>0.0</v>
      </c>
      <c r="AM201" s="1" t="s">
        <v>51</v>
      </c>
      <c r="AN201" s="2">
        <v>8.37345408E8</v>
      </c>
      <c r="AP201" s="2">
        <v>4.90116971E8</v>
      </c>
      <c r="AQ201" s="1" t="s">
        <v>329</v>
      </c>
      <c r="AR201" s="2">
        <v>45808.64273148148</v>
      </c>
      <c r="AU201" s="1" t="s">
        <v>64</v>
      </c>
      <c r="AW201" s="1" t="s">
        <v>255</v>
      </c>
      <c r="AY201" s="2">
        <v>195.0</v>
      </c>
    </row>
    <row r="202">
      <c r="A202" s="1" t="s">
        <v>51</v>
      </c>
      <c r="C202" s="1" t="s">
        <v>52</v>
      </c>
      <c r="E202" s="1" t="s">
        <v>53</v>
      </c>
      <c r="F202" s="1" t="s">
        <v>54</v>
      </c>
      <c r="G202" s="2">
        <v>31.0</v>
      </c>
      <c r="H202" s="1" t="s">
        <v>55</v>
      </c>
      <c r="I202" s="1" t="s">
        <v>67</v>
      </c>
      <c r="J202" s="1" t="s">
        <v>68</v>
      </c>
      <c r="K202" s="1" t="s">
        <v>74</v>
      </c>
      <c r="M202" s="1" t="s">
        <v>58</v>
      </c>
      <c r="N202" s="1" t="s">
        <v>58</v>
      </c>
      <c r="O202" s="1" t="s">
        <v>70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70</v>
      </c>
      <c r="W202" s="1" t="s">
        <v>70</v>
      </c>
      <c r="X202" s="1" t="s">
        <v>81</v>
      </c>
      <c r="Y202" s="1" t="s">
        <v>172</v>
      </c>
      <c r="Z202" s="1" t="s">
        <v>108</v>
      </c>
      <c r="AA202" s="2">
        <v>100.0</v>
      </c>
      <c r="AB202" s="1" t="s">
        <v>62</v>
      </c>
      <c r="AC202" s="1" t="s">
        <v>51</v>
      </c>
      <c r="AD202" s="1" t="s">
        <v>81</v>
      </c>
      <c r="AE202" s="1" t="s">
        <v>51</v>
      </c>
      <c r="AF202" s="1" t="s">
        <v>51</v>
      </c>
      <c r="AG202" s="1" t="s">
        <v>51</v>
      </c>
      <c r="AH202" s="2">
        <v>350.0</v>
      </c>
      <c r="AI202" s="2">
        <v>0.0</v>
      </c>
      <c r="AJ202" s="2">
        <v>0.0</v>
      </c>
      <c r="AK202" s="2">
        <v>0.0</v>
      </c>
      <c r="AL202" s="2">
        <v>1.0</v>
      </c>
      <c r="AM202" s="1" t="s">
        <v>51</v>
      </c>
      <c r="AN202" s="2">
        <v>6.97663225E8</v>
      </c>
      <c r="AP202" s="2">
        <v>4.90118314E8</v>
      </c>
      <c r="AQ202" s="1" t="s">
        <v>330</v>
      </c>
      <c r="AR202" s="2">
        <v>45808.644282407404</v>
      </c>
      <c r="AU202" s="1" t="s">
        <v>64</v>
      </c>
      <c r="AW202" s="1" t="s">
        <v>255</v>
      </c>
      <c r="AY202" s="2">
        <v>196.0</v>
      </c>
    </row>
    <row r="203">
      <c r="A203" s="1" t="s">
        <v>51</v>
      </c>
      <c r="C203" s="1" t="s">
        <v>53</v>
      </c>
      <c r="E203" s="1" t="s">
        <v>53</v>
      </c>
      <c r="F203" s="1" t="s">
        <v>54</v>
      </c>
      <c r="G203" s="2">
        <v>45.0</v>
      </c>
      <c r="H203" s="1" t="s">
        <v>66</v>
      </c>
      <c r="I203" s="1" t="s">
        <v>121</v>
      </c>
      <c r="J203" s="1" t="s">
        <v>86</v>
      </c>
      <c r="K203" s="1" t="s">
        <v>87</v>
      </c>
      <c r="M203" s="1" t="s">
        <v>58</v>
      </c>
      <c r="N203" s="1" t="s">
        <v>58</v>
      </c>
      <c r="O203" s="1" t="s">
        <v>58</v>
      </c>
      <c r="Q203" s="1" t="s">
        <v>69</v>
      </c>
      <c r="R203" s="1" t="s">
        <v>58</v>
      </c>
      <c r="S203" s="1" t="s">
        <v>69</v>
      </c>
      <c r="T203" s="1" t="s">
        <v>58</v>
      </c>
      <c r="U203" s="1" t="s">
        <v>58</v>
      </c>
      <c r="V203" s="1" t="s">
        <v>58</v>
      </c>
      <c r="W203" s="1" t="s">
        <v>69</v>
      </c>
      <c r="X203" s="1" t="s">
        <v>59</v>
      </c>
      <c r="Y203" s="1" t="s">
        <v>95</v>
      </c>
      <c r="Z203" s="1" t="s">
        <v>96</v>
      </c>
      <c r="AA203" s="2">
        <v>40.0</v>
      </c>
      <c r="AB203" s="1" t="s">
        <v>62</v>
      </c>
      <c r="AC203" s="1" t="s">
        <v>51</v>
      </c>
      <c r="AD203" s="1" t="s">
        <v>59</v>
      </c>
      <c r="AE203" s="1" t="s">
        <v>51</v>
      </c>
      <c r="AF203" s="1" t="s">
        <v>51</v>
      </c>
      <c r="AG203" s="1" t="s">
        <v>51</v>
      </c>
      <c r="AH203" s="2">
        <v>50.0</v>
      </c>
      <c r="AI203" s="2">
        <v>0.0</v>
      </c>
      <c r="AJ203" s="2">
        <v>0.0</v>
      </c>
      <c r="AK203" s="2">
        <v>0.0</v>
      </c>
      <c r="AL203" s="2">
        <v>1.0</v>
      </c>
      <c r="AM203" s="1" t="s">
        <v>51</v>
      </c>
      <c r="AN203" s="2">
        <v>7.63237797E8</v>
      </c>
      <c r="AP203" s="2">
        <v>4.9012673E8</v>
      </c>
      <c r="AQ203" s="1" t="s">
        <v>331</v>
      </c>
      <c r="AR203" s="2">
        <v>45808.65414351852</v>
      </c>
      <c r="AU203" s="1" t="s">
        <v>64</v>
      </c>
      <c r="AW203" s="1" t="s">
        <v>255</v>
      </c>
      <c r="AY203" s="2">
        <v>197.0</v>
      </c>
    </row>
    <row r="204">
      <c r="A204" s="1" t="s">
        <v>51</v>
      </c>
      <c r="C204" s="1" t="s">
        <v>53</v>
      </c>
      <c r="E204" s="1" t="s">
        <v>53</v>
      </c>
      <c r="F204" s="1" t="s">
        <v>54</v>
      </c>
      <c r="G204" s="2">
        <v>23.0</v>
      </c>
      <c r="H204" s="1" t="s">
        <v>66</v>
      </c>
      <c r="I204" s="1" t="s">
        <v>121</v>
      </c>
      <c r="J204" s="1" t="s">
        <v>56</v>
      </c>
      <c r="K204" s="1" t="s">
        <v>87</v>
      </c>
      <c r="M204" s="1" t="s">
        <v>58</v>
      </c>
      <c r="N204" s="1" t="s">
        <v>58</v>
      </c>
      <c r="O204" s="1" t="s">
        <v>69</v>
      </c>
      <c r="Q204" s="1" t="s">
        <v>58</v>
      </c>
      <c r="R204" s="1" t="s">
        <v>58</v>
      </c>
      <c r="S204" s="1" t="s">
        <v>58</v>
      </c>
      <c r="T204" s="1" t="s">
        <v>69</v>
      </c>
      <c r="U204" s="1" t="s">
        <v>58</v>
      </c>
      <c r="V204" s="1" t="s">
        <v>58</v>
      </c>
      <c r="W204" s="1" t="s">
        <v>58</v>
      </c>
      <c r="X204" s="1" t="s">
        <v>59</v>
      </c>
      <c r="Y204" s="1" t="s">
        <v>82</v>
      </c>
      <c r="Z204" s="1" t="s">
        <v>127</v>
      </c>
      <c r="AA204" s="2">
        <v>20.0</v>
      </c>
      <c r="AB204" s="1" t="s">
        <v>62</v>
      </c>
      <c r="AC204" s="1" t="s">
        <v>51</v>
      </c>
      <c r="AD204" s="1" t="s">
        <v>59</v>
      </c>
      <c r="AE204" s="1" t="s">
        <v>51</v>
      </c>
      <c r="AF204" s="1" t="s">
        <v>51</v>
      </c>
      <c r="AG204" s="1" t="s">
        <v>51</v>
      </c>
      <c r="AH204" s="2">
        <v>200.0</v>
      </c>
      <c r="AI204" s="2">
        <v>0.0</v>
      </c>
      <c r="AJ204" s="2">
        <v>0.0</v>
      </c>
      <c r="AK204" s="2">
        <v>0.0</v>
      </c>
      <c r="AL204" s="2">
        <v>1.0</v>
      </c>
      <c r="AM204" s="1" t="s">
        <v>51</v>
      </c>
      <c r="AN204" s="2">
        <v>7.90141579E8</v>
      </c>
      <c r="AP204" s="2">
        <v>4.9013096E8</v>
      </c>
      <c r="AQ204" s="1" t="s">
        <v>332</v>
      </c>
      <c r="AR204" s="2">
        <v>45808.65866898148</v>
      </c>
      <c r="AU204" s="1" t="s">
        <v>64</v>
      </c>
      <c r="AW204" s="1" t="s">
        <v>255</v>
      </c>
      <c r="AY204" s="2">
        <v>198.0</v>
      </c>
    </row>
    <row r="205">
      <c r="A205" s="1" t="s">
        <v>51</v>
      </c>
      <c r="C205" s="1" t="s">
        <v>52</v>
      </c>
      <c r="E205" s="1" t="s">
        <v>53</v>
      </c>
      <c r="F205" s="1" t="s">
        <v>102</v>
      </c>
      <c r="G205" s="2">
        <v>38.0</v>
      </c>
      <c r="H205" s="1" t="s">
        <v>66</v>
      </c>
      <c r="I205" s="1" t="s">
        <v>67</v>
      </c>
      <c r="J205" s="1" t="s">
        <v>111</v>
      </c>
      <c r="K205" s="1" t="s">
        <v>87</v>
      </c>
      <c r="M205" s="1" t="s">
        <v>58</v>
      </c>
      <c r="N205" s="1" t="s">
        <v>58</v>
      </c>
      <c r="O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58</v>
      </c>
      <c r="V205" s="1" t="s">
        <v>58</v>
      </c>
      <c r="W205" s="1" t="s">
        <v>58</v>
      </c>
      <c r="X205" s="1" t="s">
        <v>103</v>
      </c>
      <c r="Y205" s="1" t="s">
        <v>60</v>
      </c>
      <c r="Z205" s="1" t="s">
        <v>61</v>
      </c>
      <c r="AA205" s="2">
        <v>50.0</v>
      </c>
      <c r="AB205" s="1" t="s">
        <v>28</v>
      </c>
      <c r="AC205" s="1" t="s">
        <v>51</v>
      </c>
      <c r="AD205" s="1" t="s">
        <v>81</v>
      </c>
      <c r="AE205" s="1" t="s">
        <v>51</v>
      </c>
      <c r="AF205" s="1" t="s">
        <v>51</v>
      </c>
      <c r="AG205" s="1" t="s">
        <v>72</v>
      </c>
      <c r="AI205" s="2">
        <v>0.0</v>
      </c>
      <c r="AJ205" s="2">
        <v>1.0</v>
      </c>
      <c r="AK205" s="2">
        <v>0.0</v>
      </c>
      <c r="AL205" s="2">
        <v>0.0</v>
      </c>
      <c r="AM205" s="1" t="s">
        <v>72</v>
      </c>
      <c r="AP205" s="2">
        <v>4.90134861E8</v>
      </c>
      <c r="AQ205" s="1" t="s">
        <v>333</v>
      </c>
      <c r="AR205" s="2">
        <v>45808.66370370371</v>
      </c>
      <c r="AU205" s="1" t="s">
        <v>64</v>
      </c>
      <c r="AW205" s="1" t="s">
        <v>255</v>
      </c>
      <c r="AY205" s="2">
        <v>199.0</v>
      </c>
    </row>
    <row r="206">
      <c r="A206" s="1" t="s">
        <v>51</v>
      </c>
      <c r="C206" s="1" t="s">
        <v>52</v>
      </c>
      <c r="E206" s="1" t="s">
        <v>52</v>
      </c>
      <c r="G206" s="2">
        <v>53.0</v>
      </c>
      <c r="H206" s="1" t="s">
        <v>55</v>
      </c>
      <c r="J206" s="1" t="s">
        <v>68</v>
      </c>
      <c r="K206" s="1" t="s">
        <v>74</v>
      </c>
      <c r="M206" s="1" t="s">
        <v>58</v>
      </c>
      <c r="N206" s="1" t="s">
        <v>58</v>
      </c>
      <c r="O206" s="1" t="s">
        <v>58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88</v>
      </c>
      <c r="Y206" s="1" t="s">
        <v>82</v>
      </c>
      <c r="Z206" s="1" t="s">
        <v>89</v>
      </c>
      <c r="AA206" s="2">
        <v>40.0</v>
      </c>
      <c r="AB206" s="1" t="s">
        <v>79</v>
      </c>
      <c r="AC206" s="1" t="s">
        <v>72</v>
      </c>
      <c r="AF206" s="1" t="s">
        <v>51</v>
      </c>
      <c r="AG206" s="1" t="s">
        <v>51</v>
      </c>
      <c r="AH206" s="2">
        <v>4000.0</v>
      </c>
      <c r="AI206" s="2">
        <v>0.0</v>
      </c>
      <c r="AJ206" s="2">
        <v>0.0</v>
      </c>
      <c r="AK206" s="2">
        <v>0.0</v>
      </c>
      <c r="AL206" s="2">
        <v>1.0</v>
      </c>
      <c r="AP206" s="2">
        <v>4.90144601E8</v>
      </c>
      <c r="AQ206" s="1" t="s">
        <v>334</v>
      </c>
      <c r="AR206" s="2">
        <v>45808.67371527778</v>
      </c>
      <c r="AU206" s="1" t="s">
        <v>64</v>
      </c>
      <c r="AW206" s="1" t="s">
        <v>255</v>
      </c>
      <c r="AY206" s="2">
        <v>200.0</v>
      </c>
    </row>
    <row r="207">
      <c r="A207" s="1" t="s">
        <v>51</v>
      </c>
      <c r="C207" s="1" t="s">
        <v>53</v>
      </c>
      <c r="E207" s="1" t="s">
        <v>53</v>
      </c>
      <c r="G207" s="2">
        <v>40.0</v>
      </c>
      <c r="H207" s="1" t="s">
        <v>55</v>
      </c>
      <c r="I207" s="1" t="s">
        <v>121</v>
      </c>
      <c r="J207" s="1" t="s">
        <v>86</v>
      </c>
      <c r="K207" s="1" t="s">
        <v>87</v>
      </c>
      <c r="M207" s="1" t="s">
        <v>58</v>
      </c>
      <c r="N207" s="1" t="s">
        <v>58</v>
      </c>
      <c r="O207" s="1" t="s">
        <v>69</v>
      </c>
      <c r="Q207" s="1" t="s">
        <v>69</v>
      </c>
      <c r="R207" s="1" t="s">
        <v>58</v>
      </c>
      <c r="S207" s="1" t="s">
        <v>69</v>
      </c>
      <c r="T207" s="1" t="s">
        <v>69</v>
      </c>
      <c r="U207" s="1" t="s">
        <v>58</v>
      </c>
      <c r="V207" s="1" t="s">
        <v>70</v>
      </c>
      <c r="W207" s="1" t="s">
        <v>69</v>
      </c>
      <c r="X207" s="1" t="s">
        <v>81</v>
      </c>
      <c r="Y207" s="1" t="s">
        <v>95</v>
      </c>
      <c r="Z207" s="1" t="s">
        <v>89</v>
      </c>
      <c r="AA207" s="2">
        <v>10.0</v>
      </c>
      <c r="AB207" s="1" t="s">
        <v>28</v>
      </c>
      <c r="AC207" s="1" t="s">
        <v>71</v>
      </c>
      <c r="AF207" s="1" t="s">
        <v>72</v>
      </c>
      <c r="AG207" s="1" t="s">
        <v>72</v>
      </c>
      <c r="AI207" s="2">
        <v>0.0</v>
      </c>
      <c r="AJ207" s="2">
        <v>0.0</v>
      </c>
      <c r="AK207" s="2">
        <v>0.0</v>
      </c>
      <c r="AL207" s="2">
        <v>1.0</v>
      </c>
      <c r="AM207" s="1" t="s">
        <v>72</v>
      </c>
      <c r="AP207" s="2">
        <v>4.90148133E8</v>
      </c>
      <c r="AQ207" s="1" t="s">
        <v>335</v>
      </c>
      <c r="AR207" s="2">
        <v>45808.67863425926</v>
      </c>
      <c r="AU207" s="1" t="s">
        <v>64</v>
      </c>
      <c r="AW207" s="1" t="s">
        <v>255</v>
      </c>
      <c r="AY207" s="2">
        <v>201.0</v>
      </c>
    </row>
    <row r="208">
      <c r="A208" s="1" t="s">
        <v>51</v>
      </c>
      <c r="C208" s="1" t="s">
        <v>52</v>
      </c>
      <c r="E208" s="1" t="s">
        <v>53</v>
      </c>
      <c r="F208" s="1" t="s">
        <v>149</v>
      </c>
      <c r="G208" s="2">
        <v>47.0</v>
      </c>
      <c r="H208" s="1" t="s">
        <v>66</v>
      </c>
      <c r="I208" s="1" t="s">
        <v>67</v>
      </c>
      <c r="J208" s="1" t="s">
        <v>56</v>
      </c>
      <c r="K208" s="1" t="s">
        <v>87</v>
      </c>
      <c r="M208" s="1" t="s">
        <v>58</v>
      </c>
      <c r="N208" s="1" t="s">
        <v>58</v>
      </c>
      <c r="O208" s="1" t="s">
        <v>69</v>
      </c>
      <c r="Q208" s="1" t="s">
        <v>58</v>
      </c>
      <c r="R208" s="1" t="s">
        <v>58</v>
      </c>
      <c r="S208" s="1" t="s">
        <v>58</v>
      </c>
      <c r="T208" s="1" t="s">
        <v>69</v>
      </c>
      <c r="U208" s="1" t="s">
        <v>70</v>
      </c>
      <c r="V208" s="1" t="s">
        <v>69</v>
      </c>
      <c r="W208" s="1" t="s">
        <v>69</v>
      </c>
      <c r="X208" s="1" t="s">
        <v>81</v>
      </c>
      <c r="Y208" s="1" t="s">
        <v>60</v>
      </c>
      <c r="Z208" s="1" t="s">
        <v>127</v>
      </c>
      <c r="AA208" s="2">
        <v>100.0</v>
      </c>
      <c r="AB208" s="1" t="s">
        <v>79</v>
      </c>
      <c r="AC208" s="1" t="s">
        <v>71</v>
      </c>
      <c r="AF208" s="1" t="s">
        <v>51</v>
      </c>
      <c r="AG208" s="1" t="s">
        <v>72</v>
      </c>
      <c r="AI208" s="2">
        <v>0.0</v>
      </c>
      <c r="AJ208" s="2">
        <v>0.0</v>
      </c>
      <c r="AK208" s="2">
        <v>0.0</v>
      </c>
      <c r="AL208" s="2">
        <v>1.0</v>
      </c>
      <c r="AM208" s="1" t="s">
        <v>72</v>
      </c>
      <c r="AP208" s="2">
        <v>4.90165111E8</v>
      </c>
      <c r="AQ208" s="1" t="s">
        <v>336</v>
      </c>
      <c r="AR208" s="2">
        <v>45808.69988425926</v>
      </c>
      <c r="AU208" s="1" t="s">
        <v>64</v>
      </c>
      <c r="AW208" s="1" t="s">
        <v>255</v>
      </c>
      <c r="AY208" s="2">
        <v>202.0</v>
      </c>
    </row>
    <row r="209">
      <c r="A209" s="1" t="s">
        <v>51</v>
      </c>
      <c r="C209" s="1" t="s">
        <v>131</v>
      </c>
      <c r="E209" s="1" t="s">
        <v>53</v>
      </c>
      <c r="F209" s="1" t="s">
        <v>291</v>
      </c>
      <c r="G209" s="2">
        <v>25.0</v>
      </c>
      <c r="H209" s="1" t="s">
        <v>55</v>
      </c>
      <c r="I209" s="1" t="s">
        <v>100</v>
      </c>
      <c r="J209" s="1" t="s">
        <v>86</v>
      </c>
      <c r="K209" s="1" t="s">
        <v>57</v>
      </c>
      <c r="M209" s="1" t="s">
        <v>58</v>
      </c>
      <c r="N209" s="1" t="s">
        <v>58</v>
      </c>
      <c r="O209" s="1" t="s">
        <v>58</v>
      </c>
      <c r="Q209" s="1" t="s">
        <v>58</v>
      </c>
      <c r="R209" s="1" t="s">
        <v>58</v>
      </c>
      <c r="S209" s="1" t="s">
        <v>58</v>
      </c>
      <c r="T209" s="1" t="s">
        <v>58</v>
      </c>
      <c r="U209" s="1" t="s">
        <v>58</v>
      </c>
      <c r="V209" s="1" t="s">
        <v>58</v>
      </c>
      <c r="W209" s="1" t="s">
        <v>58</v>
      </c>
      <c r="X209" s="1" t="s">
        <v>59</v>
      </c>
      <c r="Y209" s="1" t="s">
        <v>82</v>
      </c>
      <c r="Z209" s="1" t="s">
        <v>89</v>
      </c>
      <c r="AA209" s="2">
        <v>20.0</v>
      </c>
      <c r="AB209" s="1" t="s">
        <v>62</v>
      </c>
      <c r="AC209" s="1" t="s">
        <v>51</v>
      </c>
      <c r="AD209" s="1" t="s">
        <v>81</v>
      </c>
      <c r="AE209" s="1" t="s">
        <v>51</v>
      </c>
      <c r="AF209" s="1" t="s">
        <v>51</v>
      </c>
      <c r="AG209" s="1" t="s">
        <v>51</v>
      </c>
      <c r="AH209" s="2">
        <v>3.0</v>
      </c>
      <c r="AI209" s="2">
        <v>1.0</v>
      </c>
      <c r="AJ209" s="2">
        <v>1.0</v>
      </c>
      <c r="AK209" s="2">
        <v>0.0</v>
      </c>
      <c r="AL209" s="2">
        <v>0.0</v>
      </c>
      <c r="AM209" s="1" t="s">
        <v>51</v>
      </c>
      <c r="AN209" s="2">
        <v>8.24731825E8</v>
      </c>
      <c r="AP209" s="2">
        <v>4.90188824E8</v>
      </c>
      <c r="AQ209" s="1" t="s">
        <v>337</v>
      </c>
      <c r="AR209" s="2">
        <v>45808.72751157408</v>
      </c>
      <c r="AU209" s="1" t="s">
        <v>64</v>
      </c>
      <c r="AW209" s="1" t="s">
        <v>255</v>
      </c>
      <c r="AY209" s="2">
        <v>203.0</v>
      </c>
    </row>
    <row r="210">
      <c r="A210" s="1" t="s">
        <v>51</v>
      </c>
      <c r="C210" s="1" t="s">
        <v>131</v>
      </c>
      <c r="E210" s="1" t="s">
        <v>53</v>
      </c>
      <c r="F210" s="1" t="s">
        <v>85</v>
      </c>
      <c r="G210" s="2">
        <v>20.0</v>
      </c>
      <c r="H210" s="1" t="s">
        <v>55</v>
      </c>
      <c r="I210" s="1" t="s">
        <v>67</v>
      </c>
      <c r="J210" s="1" t="s">
        <v>68</v>
      </c>
      <c r="K210" s="1" t="s">
        <v>57</v>
      </c>
      <c r="M210" s="1" t="s">
        <v>58</v>
      </c>
      <c r="N210" s="1" t="s">
        <v>58</v>
      </c>
      <c r="O210" s="1" t="s">
        <v>58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  <c r="W210" s="1" t="s">
        <v>58</v>
      </c>
      <c r="X210" s="1" t="s">
        <v>59</v>
      </c>
      <c r="Y210" s="1" t="s">
        <v>82</v>
      </c>
      <c r="Z210" s="1" t="s">
        <v>89</v>
      </c>
      <c r="AA210" s="2">
        <v>40.0</v>
      </c>
      <c r="AB210" s="1" t="s">
        <v>79</v>
      </c>
      <c r="AC210" s="1" t="s">
        <v>51</v>
      </c>
      <c r="AD210" s="1" t="s">
        <v>59</v>
      </c>
      <c r="AE210" s="1" t="s">
        <v>51</v>
      </c>
      <c r="AF210" s="1" t="s">
        <v>51</v>
      </c>
      <c r="AG210" s="1" t="s">
        <v>51</v>
      </c>
      <c r="AH210" s="2">
        <v>2.0</v>
      </c>
      <c r="AI210" s="2">
        <v>1.0</v>
      </c>
      <c r="AJ210" s="2">
        <v>0.0</v>
      </c>
      <c r="AK210" s="2">
        <v>0.0</v>
      </c>
      <c r="AL210" s="2">
        <v>0.0</v>
      </c>
      <c r="AM210" s="1" t="s">
        <v>51</v>
      </c>
      <c r="AN210" s="2">
        <v>7.82201442E8</v>
      </c>
      <c r="AP210" s="2">
        <v>4.90190123E8</v>
      </c>
      <c r="AQ210" s="1" t="s">
        <v>338</v>
      </c>
      <c r="AR210" s="2">
        <v>45808.729097222225</v>
      </c>
      <c r="AU210" s="1" t="s">
        <v>64</v>
      </c>
      <c r="AW210" s="1" t="s">
        <v>255</v>
      </c>
      <c r="AY210" s="2">
        <v>204.0</v>
      </c>
    </row>
    <row r="211">
      <c r="A211" s="1" t="s">
        <v>51</v>
      </c>
      <c r="C211" s="1" t="s">
        <v>131</v>
      </c>
      <c r="E211" s="1" t="s">
        <v>53</v>
      </c>
      <c r="F211" s="1" t="s">
        <v>85</v>
      </c>
      <c r="G211" s="2">
        <v>24.0</v>
      </c>
      <c r="H211" s="1" t="s">
        <v>66</v>
      </c>
      <c r="I211" s="1" t="s">
        <v>67</v>
      </c>
      <c r="J211" s="1" t="s">
        <v>68</v>
      </c>
      <c r="K211" s="1" t="s">
        <v>74</v>
      </c>
      <c r="M211" s="1" t="s">
        <v>58</v>
      </c>
      <c r="N211" s="1" t="s">
        <v>58</v>
      </c>
      <c r="O211" s="1" t="s">
        <v>58</v>
      </c>
      <c r="Q211" s="1" t="s">
        <v>58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  <c r="W211" s="1" t="s">
        <v>58</v>
      </c>
      <c r="X211" s="1" t="s">
        <v>59</v>
      </c>
      <c r="Y211" s="1" t="s">
        <v>82</v>
      </c>
      <c r="Z211" s="1" t="s">
        <v>89</v>
      </c>
      <c r="AA211" s="2">
        <v>50.0</v>
      </c>
      <c r="AB211" s="1" t="s">
        <v>79</v>
      </c>
      <c r="AC211" s="1" t="s">
        <v>51</v>
      </c>
      <c r="AD211" s="1" t="s">
        <v>59</v>
      </c>
      <c r="AE211" s="1" t="s">
        <v>51</v>
      </c>
      <c r="AF211" s="1" t="s">
        <v>51</v>
      </c>
      <c r="AG211" s="1" t="s">
        <v>51</v>
      </c>
      <c r="AH211" s="2">
        <v>6.0</v>
      </c>
      <c r="AI211" s="2">
        <v>0.0</v>
      </c>
      <c r="AJ211" s="2">
        <v>1.0</v>
      </c>
      <c r="AK211" s="2">
        <v>0.0</v>
      </c>
      <c r="AL211" s="2">
        <v>0.0</v>
      </c>
      <c r="AM211" s="1" t="s">
        <v>51</v>
      </c>
      <c r="AN211" s="2">
        <v>8.351742E8</v>
      </c>
      <c r="AP211" s="2">
        <v>4.90191795E8</v>
      </c>
      <c r="AQ211" s="1" t="s">
        <v>339</v>
      </c>
      <c r="AR211" s="2">
        <v>45808.73111111111</v>
      </c>
      <c r="AU211" s="1" t="s">
        <v>64</v>
      </c>
      <c r="AW211" s="1" t="s">
        <v>255</v>
      </c>
      <c r="AY211" s="2">
        <v>205.0</v>
      </c>
    </row>
    <row r="212">
      <c r="A212" s="1" t="s">
        <v>51</v>
      </c>
      <c r="C212" s="1" t="s">
        <v>131</v>
      </c>
      <c r="E212" s="1" t="s">
        <v>53</v>
      </c>
      <c r="F212" s="1" t="s">
        <v>291</v>
      </c>
      <c r="G212" s="2">
        <v>19.0</v>
      </c>
      <c r="H212" s="1" t="s">
        <v>66</v>
      </c>
      <c r="I212" s="1" t="s">
        <v>76</v>
      </c>
      <c r="J212" s="1" t="s">
        <v>111</v>
      </c>
      <c r="K212" s="1" t="s">
        <v>74</v>
      </c>
      <c r="M212" s="1" t="s">
        <v>58</v>
      </c>
      <c r="N212" s="1" t="s">
        <v>58</v>
      </c>
      <c r="O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59</v>
      </c>
      <c r="Y212" s="1" t="s">
        <v>60</v>
      </c>
      <c r="Z212" s="1" t="s">
        <v>89</v>
      </c>
      <c r="AA212" s="2">
        <v>50.0</v>
      </c>
      <c r="AB212" s="1" t="s">
        <v>62</v>
      </c>
      <c r="AC212" s="1" t="s">
        <v>51</v>
      </c>
      <c r="AD212" s="1" t="s">
        <v>59</v>
      </c>
      <c r="AE212" s="1" t="s">
        <v>51</v>
      </c>
      <c r="AF212" s="1" t="s">
        <v>51</v>
      </c>
      <c r="AG212" s="1" t="s">
        <v>51</v>
      </c>
      <c r="AH212" s="2">
        <v>2.0</v>
      </c>
      <c r="AI212" s="2">
        <v>1.0</v>
      </c>
      <c r="AJ212" s="2">
        <v>0.0</v>
      </c>
      <c r="AK212" s="2">
        <v>0.0</v>
      </c>
      <c r="AL212" s="2">
        <v>0.0</v>
      </c>
      <c r="AM212" s="1" t="s">
        <v>51</v>
      </c>
      <c r="AN212" s="2">
        <v>7.16325173E8</v>
      </c>
      <c r="AP212" s="2">
        <v>4.90193602E8</v>
      </c>
      <c r="AQ212" s="1" t="s">
        <v>340</v>
      </c>
      <c r="AR212" s="2">
        <v>45808.73310185185</v>
      </c>
      <c r="AU212" s="1" t="s">
        <v>64</v>
      </c>
      <c r="AW212" s="1" t="s">
        <v>255</v>
      </c>
      <c r="AY212" s="2">
        <v>206.0</v>
      </c>
    </row>
    <row r="213">
      <c r="A213" s="1" t="s">
        <v>51</v>
      </c>
      <c r="C213" s="1" t="s">
        <v>131</v>
      </c>
      <c r="E213" s="1" t="s">
        <v>53</v>
      </c>
      <c r="F213" s="1" t="s">
        <v>291</v>
      </c>
      <c r="G213" s="2">
        <v>24.0</v>
      </c>
      <c r="H213" s="1" t="s">
        <v>55</v>
      </c>
      <c r="I213" s="1" t="s">
        <v>100</v>
      </c>
      <c r="J213" s="1" t="s">
        <v>111</v>
      </c>
      <c r="K213" s="1" t="s">
        <v>57</v>
      </c>
      <c r="M213" s="1" t="s">
        <v>58</v>
      </c>
      <c r="N213" s="1" t="s">
        <v>58</v>
      </c>
      <c r="O213" s="1" t="s">
        <v>58</v>
      </c>
      <c r="Q213" s="1" t="s">
        <v>58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  <c r="W213" s="1" t="s">
        <v>58</v>
      </c>
      <c r="X213" s="1" t="s">
        <v>59</v>
      </c>
      <c r="Y213" s="1" t="s">
        <v>60</v>
      </c>
      <c r="Z213" s="1" t="s">
        <v>127</v>
      </c>
      <c r="AA213" s="2">
        <v>20.0</v>
      </c>
      <c r="AB213" s="1" t="s">
        <v>79</v>
      </c>
      <c r="AC213" s="1" t="s">
        <v>51</v>
      </c>
      <c r="AD213" s="1" t="s">
        <v>59</v>
      </c>
      <c r="AE213" s="1" t="s">
        <v>51</v>
      </c>
      <c r="AF213" s="1" t="s">
        <v>51</v>
      </c>
      <c r="AG213" s="1" t="s">
        <v>51</v>
      </c>
      <c r="AH213" s="2">
        <v>3.0</v>
      </c>
      <c r="AI213" s="2">
        <v>1.0</v>
      </c>
      <c r="AJ213" s="2">
        <v>0.0</v>
      </c>
      <c r="AK213" s="2">
        <v>0.0</v>
      </c>
      <c r="AL213" s="2">
        <v>0.0</v>
      </c>
      <c r="AM213" s="1" t="s">
        <v>51</v>
      </c>
      <c r="AN213" s="2">
        <v>8.44112654E8</v>
      </c>
      <c r="AP213" s="2">
        <v>4.90194764E8</v>
      </c>
      <c r="AQ213" s="1" t="s">
        <v>341</v>
      </c>
      <c r="AR213" s="2">
        <v>45808.73469907408</v>
      </c>
      <c r="AU213" s="1" t="s">
        <v>64</v>
      </c>
      <c r="AW213" s="1" t="s">
        <v>255</v>
      </c>
      <c r="AY213" s="2">
        <v>207.0</v>
      </c>
    </row>
    <row r="214">
      <c r="A214" s="1" t="s">
        <v>51</v>
      </c>
      <c r="C214" s="1" t="s">
        <v>131</v>
      </c>
      <c r="E214" s="1" t="s">
        <v>53</v>
      </c>
      <c r="F214" s="1" t="s">
        <v>85</v>
      </c>
      <c r="G214" s="2">
        <v>22.0</v>
      </c>
      <c r="H214" s="1" t="s">
        <v>55</v>
      </c>
      <c r="I214" s="1" t="s">
        <v>67</v>
      </c>
      <c r="J214" s="1" t="s">
        <v>86</v>
      </c>
      <c r="K214" s="1" t="s">
        <v>74</v>
      </c>
      <c r="M214" s="1" t="s">
        <v>58</v>
      </c>
      <c r="N214" s="1" t="s">
        <v>58</v>
      </c>
      <c r="O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59</v>
      </c>
      <c r="Y214" s="1" t="s">
        <v>82</v>
      </c>
      <c r="Z214" s="1" t="s">
        <v>108</v>
      </c>
      <c r="AA214" s="2">
        <v>20.0</v>
      </c>
      <c r="AB214" s="1" t="s">
        <v>79</v>
      </c>
      <c r="AC214" s="1" t="s">
        <v>51</v>
      </c>
      <c r="AD214" s="1" t="s">
        <v>59</v>
      </c>
      <c r="AE214" s="1" t="s">
        <v>51</v>
      </c>
      <c r="AF214" s="1" t="s">
        <v>51</v>
      </c>
      <c r="AG214" s="1" t="s">
        <v>51</v>
      </c>
      <c r="AH214" s="2">
        <v>4.0</v>
      </c>
      <c r="AI214" s="2">
        <v>1.0</v>
      </c>
      <c r="AJ214" s="2">
        <v>0.0</v>
      </c>
      <c r="AK214" s="2">
        <v>0.0</v>
      </c>
      <c r="AL214" s="2">
        <v>0.0</v>
      </c>
      <c r="AM214" s="1" t="s">
        <v>51</v>
      </c>
      <c r="AN214" s="2">
        <v>8.3324428E7</v>
      </c>
      <c r="AP214" s="2">
        <v>4.90195712E8</v>
      </c>
      <c r="AQ214" s="1" t="s">
        <v>342</v>
      </c>
      <c r="AR214" s="2">
        <v>45808.73625</v>
      </c>
      <c r="AU214" s="1" t="s">
        <v>64</v>
      </c>
      <c r="AW214" s="1" t="s">
        <v>255</v>
      </c>
      <c r="AY214" s="2">
        <v>208.0</v>
      </c>
    </row>
    <row r="215">
      <c r="A215" s="1" t="s">
        <v>51</v>
      </c>
      <c r="C215" s="1" t="s">
        <v>131</v>
      </c>
      <c r="E215" s="1" t="s">
        <v>53</v>
      </c>
      <c r="F215" s="1" t="s">
        <v>85</v>
      </c>
      <c r="G215" s="2">
        <v>23.0</v>
      </c>
      <c r="H215" s="1" t="s">
        <v>55</v>
      </c>
      <c r="I215" s="1" t="s">
        <v>76</v>
      </c>
      <c r="J215" s="1" t="s">
        <v>111</v>
      </c>
      <c r="K215" s="1" t="s">
        <v>78</v>
      </c>
      <c r="M215" s="1" t="s">
        <v>58</v>
      </c>
      <c r="N215" s="1" t="s">
        <v>58</v>
      </c>
      <c r="O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88</v>
      </c>
      <c r="Y215" s="1" t="s">
        <v>82</v>
      </c>
      <c r="Z215" s="1" t="s">
        <v>127</v>
      </c>
      <c r="AA215" s="2">
        <v>20.0</v>
      </c>
      <c r="AB215" s="1" t="s">
        <v>79</v>
      </c>
      <c r="AC215" s="1" t="s">
        <v>51</v>
      </c>
      <c r="AD215" s="1" t="s">
        <v>88</v>
      </c>
      <c r="AE215" s="1" t="s">
        <v>51</v>
      </c>
      <c r="AF215" s="1" t="s">
        <v>51</v>
      </c>
      <c r="AG215" s="1" t="s">
        <v>51</v>
      </c>
      <c r="AH215" s="2">
        <v>6.0</v>
      </c>
      <c r="AI215" s="2">
        <v>1.0</v>
      </c>
      <c r="AJ215" s="2">
        <v>0.0</v>
      </c>
      <c r="AK215" s="2">
        <v>0.0</v>
      </c>
      <c r="AL215" s="2">
        <v>0.0</v>
      </c>
      <c r="AM215" s="1" t="s">
        <v>51</v>
      </c>
      <c r="AN215" s="2">
        <v>6.39293953E8</v>
      </c>
      <c r="AP215" s="2">
        <v>4.90196718E8</v>
      </c>
      <c r="AQ215" s="1" t="s">
        <v>343</v>
      </c>
      <c r="AR215" s="2">
        <v>45808.73804398148</v>
      </c>
      <c r="AU215" s="1" t="s">
        <v>64</v>
      </c>
      <c r="AW215" s="1" t="s">
        <v>255</v>
      </c>
      <c r="AY215" s="2">
        <v>209.0</v>
      </c>
    </row>
    <row r="216">
      <c r="A216" s="1" t="s">
        <v>51</v>
      </c>
      <c r="C216" s="1" t="s">
        <v>52</v>
      </c>
      <c r="E216" s="1" t="s">
        <v>52</v>
      </c>
      <c r="G216" s="2">
        <v>44.0</v>
      </c>
      <c r="K216" s="1" t="s">
        <v>87</v>
      </c>
      <c r="N216" s="1" t="s">
        <v>58</v>
      </c>
      <c r="O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70</v>
      </c>
      <c r="V216" s="1" t="s">
        <v>58</v>
      </c>
      <c r="W216" s="1" t="s">
        <v>58</v>
      </c>
      <c r="X216" s="1" t="s">
        <v>81</v>
      </c>
      <c r="Y216" s="1" t="s">
        <v>60</v>
      </c>
      <c r="Z216" s="1" t="s">
        <v>89</v>
      </c>
      <c r="AA216" s="2">
        <v>100.0</v>
      </c>
      <c r="AB216" s="1" t="s">
        <v>62</v>
      </c>
      <c r="AC216" s="1" t="s">
        <v>71</v>
      </c>
      <c r="AF216" s="1" t="s">
        <v>51</v>
      </c>
      <c r="AG216" s="1" t="s">
        <v>72</v>
      </c>
      <c r="AI216" s="2">
        <v>1.0</v>
      </c>
      <c r="AJ216" s="2">
        <v>1.0</v>
      </c>
      <c r="AK216" s="2">
        <v>1.0</v>
      </c>
      <c r="AL216" s="2">
        <v>0.0</v>
      </c>
      <c r="AP216" s="2">
        <v>4.90197763E8</v>
      </c>
      <c r="AQ216" s="1" t="s">
        <v>344</v>
      </c>
      <c r="AR216" s="2">
        <v>45808.739583333336</v>
      </c>
      <c r="AU216" s="1" t="s">
        <v>64</v>
      </c>
      <c r="AW216" s="1" t="s">
        <v>255</v>
      </c>
      <c r="AY216" s="2">
        <v>210.0</v>
      </c>
    </row>
    <row r="217">
      <c r="A217" s="1" t="s">
        <v>51</v>
      </c>
      <c r="C217" s="1" t="s">
        <v>131</v>
      </c>
      <c r="E217" s="1" t="s">
        <v>53</v>
      </c>
      <c r="F217" s="1" t="s">
        <v>345</v>
      </c>
      <c r="G217" s="2">
        <v>25.0</v>
      </c>
      <c r="H217" s="1" t="s">
        <v>66</v>
      </c>
      <c r="I217" s="1" t="s">
        <v>100</v>
      </c>
      <c r="J217" s="1" t="s">
        <v>111</v>
      </c>
      <c r="K217" s="1" t="s">
        <v>78</v>
      </c>
      <c r="M217" s="1" t="s">
        <v>58</v>
      </c>
      <c r="N217" s="1" t="s">
        <v>58</v>
      </c>
      <c r="O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88</v>
      </c>
      <c r="Y217" s="1" t="s">
        <v>95</v>
      </c>
      <c r="Z217" s="1" t="s">
        <v>89</v>
      </c>
      <c r="AA217" s="2">
        <v>10.0</v>
      </c>
      <c r="AB217" s="1" t="s">
        <v>62</v>
      </c>
      <c r="AC217" s="1" t="s">
        <v>51</v>
      </c>
      <c r="AD217" s="1" t="s">
        <v>59</v>
      </c>
      <c r="AE217" s="1" t="s">
        <v>51</v>
      </c>
      <c r="AF217" s="1" t="s">
        <v>51</v>
      </c>
      <c r="AG217" s="1" t="s">
        <v>51</v>
      </c>
      <c r="AH217" s="2">
        <v>2.0</v>
      </c>
      <c r="AI217" s="2">
        <v>1.0</v>
      </c>
      <c r="AJ217" s="2">
        <v>0.0</v>
      </c>
      <c r="AK217" s="2">
        <v>0.0</v>
      </c>
      <c r="AL217" s="2">
        <v>0.0</v>
      </c>
      <c r="AM217" s="1" t="s">
        <v>51</v>
      </c>
      <c r="AN217" s="2">
        <v>7.35090851E8</v>
      </c>
      <c r="AP217" s="2">
        <v>4.90197869E8</v>
      </c>
      <c r="AQ217" s="1" t="s">
        <v>346</v>
      </c>
      <c r="AR217" s="2">
        <v>45808.73974537037</v>
      </c>
      <c r="AU217" s="1" t="s">
        <v>64</v>
      </c>
      <c r="AW217" s="1" t="s">
        <v>255</v>
      </c>
      <c r="AY217" s="2">
        <v>211.0</v>
      </c>
    </row>
    <row r="218">
      <c r="A218" s="1" t="s">
        <v>51</v>
      </c>
      <c r="C218" s="1" t="s">
        <v>347</v>
      </c>
      <c r="E218" s="1" t="s">
        <v>154</v>
      </c>
      <c r="G218" s="2">
        <v>38.0</v>
      </c>
      <c r="H218" s="1" t="s">
        <v>55</v>
      </c>
      <c r="J218" s="1" t="s">
        <v>86</v>
      </c>
      <c r="K218" s="1" t="s">
        <v>87</v>
      </c>
      <c r="M218" s="1" t="s">
        <v>58</v>
      </c>
      <c r="N218" s="1" t="s">
        <v>58</v>
      </c>
      <c r="O218" s="1" t="s">
        <v>58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59</v>
      </c>
      <c r="Y218" s="1" t="s">
        <v>227</v>
      </c>
      <c r="Z218" s="1" t="s">
        <v>89</v>
      </c>
      <c r="AA218" s="2">
        <v>100.0</v>
      </c>
      <c r="AB218" s="1" t="s">
        <v>62</v>
      </c>
      <c r="AC218" s="1" t="s">
        <v>51</v>
      </c>
      <c r="AD218" s="1" t="s">
        <v>81</v>
      </c>
      <c r="AE218" s="1" t="s">
        <v>51</v>
      </c>
      <c r="AF218" s="1" t="s">
        <v>51</v>
      </c>
      <c r="AG218" s="1" t="s">
        <v>51</v>
      </c>
      <c r="AH218" s="2">
        <v>100.0</v>
      </c>
      <c r="AI218" s="2">
        <v>0.0</v>
      </c>
      <c r="AJ218" s="2">
        <v>0.0</v>
      </c>
      <c r="AK218" s="2">
        <v>0.0</v>
      </c>
      <c r="AL218" s="2">
        <v>1.0</v>
      </c>
      <c r="AP218" s="2">
        <v>4.90198157E8</v>
      </c>
      <c r="AQ218" s="1" t="s">
        <v>348</v>
      </c>
      <c r="AR218" s="2">
        <v>45808.74019675926</v>
      </c>
      <c r="AU218" s="1" t="s">
        <v>64</v>
      </c>
      <c r="AW218" s="1" t="s">
        <v>255</v>
      </c>
      <c r="AY218" s="2">
        <v>212.0</v>
      </c>
    </row>
    <row r="219">
      <c r="A219" s="1" t="s">
        <v>51</v>
      </c>
      <c r="C219" s="1" t="s">
        <v>131</v>
      </c>
      <c r="E219" s="1" t="s">
        <v>53</v>
      </c>
      <c r="F219" s="1" t="s">
        <v>291</v>
      </c>
      <c r="G219" s="2">
        <v>27.0</v>
      </c>
      <c r="H219" s="1" t="s">
        <v>55</v>
      </c>
      <c r="I219" s="1" t="s">
        <v>67</v>
      </c>
      <c r="J219" s="1" t="s">
        <v>111</v>
      </c>
      <c r="K219" s="1" t="s">
        <v>78</v>
      </c>
      <c r="M219" s="1" t="s">
        <v>58</v>
      </c>
      <c r="N219" s="1" t="s">
        <v>58</v>
      </c>
      <c r="O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59</v>
      </c>
      <c r="Y219" s="1" t="s">
        <v>172</v>
      </c>
      <c r="Z219" s="1" t="s">
        <v>127</v>
      </c>
      <c r="AA219" s="2">
        <v>30.0</v>
      </c>
      <c r="AB219" s="1" t="s">
        <v>62</v>
      </c>
      <c r="AC219" s="1" t="s">
        <v>51</v>
      </c>
      <c r="AD219" s="1" t="s">
        <v>59</v>
      </c>
      <c r="AE219" s="1" t="s">
        <v>51</v>
      </c>
      <c r="AF219" s="1" t="s">
        <v>51</v>
      </c>
      <c r="AI219" s="2">
        <v>1.0</v>
      </c>
      <c r="AJ219" s="2">
        <v>0.0</v>
      </c>
      <c r="AK219" s="2">
        <v>0.0</v>
      </c>
      <c r="AL219" s="2">
        <v>0.0</v>
      </c>
      <c r="AM219" s="1" t="s">
        <v>51</v>
      </c>
      <c r="AN219" s="2">
        <v>6.9329315E8</v>
      </c>
      <c r="AP219" s="2">
        <v>4.90199022E8</v>
      </c>
      <c r="AQ219" s="1" t="s">
        <v>349</v>
      </c>
      <c r="AR219" s="2">
        <v>45808.741527777776</v>
      </c>
      <c r="AU219" s="1" t="s">
        <v>64</v>
      </c>
      <c r="AW219" s="1" t="s">
        <v>255</v>
      </c>
      <c r="AY219" s="2">
        <v>213.0</v>
      </c>
    </row>
    <row r="220">
      <c r="A220" s="1" t="s">
        <v>51</v>
      </c>
      <c r="C220" s="1" t="s">
        <v>131</v>
      </c>
      <c r="E220" s="1" t="s">
        <v>53</v>
      </c>
      <c r="F220" s="1" t="s">
        <v>350</v>
      </c>
      <c r="G220" s="2">
        <v>29.0</v>
      </c>
      <c r="H220" s="1" t="s">
        <v>66</v>
      </c>
      <c r="I220" s="1" t="s">
        <v>67</v>
      </c>
      <c r="J220" s="1" t="s">
        <v>111</v>
      </c>
      <c r="K220" s="1" t="s">
        <v>57</v>
      </c>
      <c r="M220" s="1" t="s">
        <v>58</v>
      </c>
      <c r="N220" s="1" t="s">
        <v>70</v>
      </c>
      <c r="O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88</v>
      </c>
      <c r="Y220" s="1" t="s">
        <v>82</v>
      </c>
      <c r="Z220" s="1" t="s">
        <v>89</v>
      </c>
      <c r="AA220" s="2">
        <v>10.0</v>
      </c>
      <c r="AB220" s="1" t="s">
        <v>79</v>
      </c>
      <c r="AC220" s="1" t="s">
        <v>51</v>
      </c>
      <c r="AD220" s="1" t="s">
        <v>88</v>
      </c>
      <c r="AF220" s="1" t="s">
        <v>51</v>
      </c>
      <c r="AG220" s="1" t="s">
        <v>51</v>
      </c>
      <c r="AI220" s="2">
        <v>1.0</v>
      </c>
      <c r="AJ220" s="2">
        <v>0.0</v>
      </c>
      <c r="AK220" s="2">
        <v>0.0</v>
      </c>
      <c r="AL220" s="2">
        <v>0.0</v>
      </c>
      <c r="AM220" s="1" t="s">
        <v>51</v>
      </c>
      <c r="AN220" s="2">
        <v>7.69616023E8</v>
      </c>
      <c r="AP220" s="2">
        <v>4.90201666E8</v>
      </c>
      <c r="AQ220" s="1" t="s">
        <v>351</v>
      </c>
      <c r="AR220" s="2">
        <v>45808.74564814815</v>
      </c>
      <c r="AU220" s="1" t="s">
        <v>64</v>
      </c>
      <c r="AW220" s="1" t="s">
        <v>255</v>
      </c>
      <c r="AY220" s="2">
        <v>214.0</v>
      </c>
    </row>
    <row r="221">
      <c r="A221" s="1" t="s">
        <v>51</v>
      </c>
      <c r="C221" s="1" t="s">
        <v>131</v>
      </c>
      <c r="E221" s="1" t="s">
        <v>53</v>
      </c>
      <c r="F221" s="1" t="s">
        <v>85</v>
      </c>
      <c r="G221" s="2">
        <v>21.0</v>
      </c>
      <c r="H221" s="1" t="s">
        <v>55</v>
      </c>
      <c r="I221" s="1" t="s">
        <v>100</v>
      </c>
      <c r="K221" s="1" t="s">
        <v>57</v>
      </c>
      <c r="M221" s="1" t="s">
        <v>70</v>
      </c>
      <c r="N221" s="1" t="s">
        <v>58</v>
      </c>
      <c r="O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70</v>
      </c>
      <c r="V221" s="1" t="s">
        <v>58</v>
      </c>
      <c r="X221" s="1" t="s">
        <v>88</v>
      </c>
      <c r="Y221" s="1" t="s">
        <v>82</v>
      </c>
      <c r="Z221" s="1" t="s">
        <v>89</v>
      </c>
      <c r="AA221" s="2">
        <v>20.0</v>
      </c>
      <c r="AB221" s="1" t="s">
        <v>62</v>
      </c>
      <c r="AC221" s="1" t="s">
        <v>51</v>
      </c>
      <c r="AD221" s="1" t="s">
        <v>59</v>
      </c>
      <c r="AE221" s="1" t="s">
        <v>51</v>
      </c>
      <c r="AF221" s="1" t="s">
        <v>51</v>
      </c>
      <c r="AG221" s="1" t="s">
        <v>51</v>
      </c>
      <c r="AH221" s="2">
        <v>4.0</v>
      </c>
      <c r="AI221" s="2">
        <v>1.0</v>
      </c>
      <c r="AJ221" s="2">
        <v>0.0</v>
      </c>
      <c r="AK221" s="2">
        <v>0.0</v>
      </c>
      <c r="AL221" s="2">
        <v>0.0</v>
      </c>
      <c r="AM221" s="1" t="s">
        <v>51</v>
      </c>
      <c r="AN221" s="2">
        <v>6.58208359E8</v>
      </c>
      <c r="AP221" s="2">
        <v>4.90202815E8</v>
      </c>
      <c r="AQ221" s="1" t="s">
        <v>352</v>
      </c>
      <c r="AR221" s="2">
        <v>45808.747453703705</v>
      </c>
      <c r="AU221" s="1" t="s">
        <v>64</v>
      </c>
      <c r="AW221" s="1" t="s">
        <v>255</v>
      </c>
      <c r="AY221" s="2">
        <v>215.0</v>
      </c>
    </row>
    <row r="222">
      <c r="A222" s="1" t="s">
        <v>51</v>
      </c>
      <c r="C222" s="1" t="s">
        <v>131</v>
      </c>
      <c r="E222" s="1" t="s">
        <v>53</v>
      </c>
      <c r="F222" s="1" t="s">
        <v>85</v>
      </c>
      <c r="G222" s="2">
        <v>26.0</v>
      </c>
      <c r="H222" s="1" t="s">
        <v>55</v>
      </c>
      <c r="I222" s="1" t="s">
        <v>100</v>
      </c>
      <c r="J222" s="1" t="s">
        <v>68</v>
      </c>
      <c r="K222" s="1" t="s">
        <v>57</v>
      </c>
      <c r="M222" s="1" t="s">
        <v>58</v>
      </c>
      <c r="N222" s="1" t="s">
        <v>58</v>
      </c>
      <c r="O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81</v>
      </c>
      <c r="Y222" s="1" t="s">
        <v>82</v>
      </c>
      <c r="Z222" s="1" t="s">
        <v>89</v>
      </c>
      <c r="AA222" s="2">
        <v>40.0</v>
      </c>
      <c r="AB222" s="1" t="s">
        <v>62</v>
      </c>
      <c r="AC222" s="1" t="s">
        <v>51</v>
      </c>
      <c r="AD222" s="1" t="s">
        <v>81</v>
      </c>
      <c r="AE222" s="1" t="s">
        <v>51</v>
      </c>
      <c r="AF222" s="1" t="s">
        <v>51</v>
      </c>
      <c r="AG222" s="1" t="s">
        <v>51</v>
      </c>
      <c r="AH222" s="2">
        <v>3.0</v>
      </c>
      <c r="AI222" s="2">
        <v>1.0</v>
      </c>
      <c r="AJ222" s="2">
        <v>0.0</v>
      </c>
      <c r="AK222" s="2">
        <v>0.0</v>
      </c>
      <c r="AL222" s="2">
        <v>0.0</v>
      </c>
      <c r="AM222" s="1" t="s">
        <v>51</v>
      </c>
      <c r="AN222" s="2">
        <v>7.33428072E8</v>
      </c>
      <c r="AP222" s="2">
        <v>4.9020474E8</v>
      </c>
      <c r="AQ222" s="1" t="s">
        <v>353</v>
      </c>
      <c r="AR222" s="2">
        <v>45808.75047453704</v>
      </c>
      <c r="AU222" s="1" t="s">
        <v>64</v>
      </c>
      <c r="AW222" s="1" t="s">
        <v>255</v>
      </c>
      <c r="AY222" s="2">
        <v>216.0</v>
      </c>
    </row>
    <row r="223">
      <c r="A223" s="1" t="s">
        <v>51</v>
      </c>
      <c r="C223" s="1" t="s">
        <v>131</v>
      </c>
      <c r="E223" s="1" t="s">
        <v>53</v>
      </c>
      <c r="F223" s="1" t="s">
        <v>85</v>
      </c>
      <c r="G223" s="2">
        <v>25.0</v>
      </c>
      <c r="H223" s="1" t="s">
        <v>55</v>
      </c>
      <c r="I223" s="1" t="s">
        <v>67</v>
      </c>
      <c r="J223" s="1" t="s">
        <v>111</v>
      </c>
      <c r="K223" s="1" t="s">
        <v>57</v>
      </c>
      <c r="M223" s="1" t="s">
        <v>58</v>
      </c>
      <c r="N223" s="1" t="s">
        <v>58</v>
      </c>
      <c r="O223" s="1" t="s">
        <v>58</v>
      </c>
      <c r="Q223" s="1" t="s">
        <v>58</v>
      </c>
      <c r="R223" s="1" t="s">
        <v>70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88</v>
      </c>
      <c r="Y223" s="1" t="s">
        <v>82</v>
      </c>
      <c r="Z223" s="1" t="s">
        <v>89</v>
      </c>
      <c r="AA223" s="2">
        <v>20.0</v>
      </c>
      <c r="AB223" s="1" t="s">
        <v>79</v>
      </c>
      <c r="AC223" s="1" t="s">
        <v>51</v>
      </c>
      <c r="AD223" s="1" t="s">
        <v>59</v>
      </c>
      <c r="AE223" s="1" t="s">
        <v>51</v>
      </c>
      <c r="AF223" s="1" t="s">
        <v>51</v>
      </c>
      <c r="AG223" s="1" t="s">
        <v>51</v>
      </c>
      <c r="AH223" s="2">
        <v>20.0</v>
      </c>
      <c r="AI223" s="2">
        <v>1.0</v>
      </c>
      <c r="AJ223" s="2">
        <v>0.0</v>
      </c>
      <c r="AK223" s="2">
        <v>0.0</v>
      </c>
      <c r="AL223" s="2">
        <v>0.0</v>
      </c>
      <c r="AM223" s="1" t="s">
        <v>51</v>
      </c>
      <c r="AN223" s="2">
        <v>7.10434171E8</v>
      </c>
      <c r="AP223" s="2">
        <v>4.90206995E8</v>
      </c>
      <c r="AQ223" s="1" t="s">
        <v>354</v>
      </c>
      <c r="AR223" s="2">
        <v>45808.75423611111</v>
      </c>
      <c r="AU223" s="1" t="s">
        <v>64</v>
      </c>
      <c r="AW223" s="1" t="s">
        <v>255</v>
      </c>
      <c r="AY223" s="2">
        <v>217.0</v>
      </c>
    </row>
    <row r="224">
      <c r="A224" s="1" t="s">
        <v>51</v>
      </c>
      <c r="C224" s="1" t="s">
        <v>131</v>
      </c>
      <c r="E224" s="1" t="s">
        <v>53</v>
      </c>
      <c r="F224" s="1" t="s">
        <v>85</v>
      </c>
      <c r="G224" s="2">
        <v>21.0</v>
      </c>
      <c r="H224" s="1" t="s">
        <v>66</v>
      </c>
      <c r="I224" s="1" t="s">
        <v>100</v>
      </c>
      <c r="J224" s="1" t="s">
        <v>111</v>
      </c>
      <c r="K224" s="1" t="s">
        <v>57</v>
      </c>
      <c r="M224" s="1" t="s">
        <v>58</v>
      </c>
      <c r="N224" s="1" t="s">
        <v>58</v>
      </c>
      <c r="O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59</v>
      </c>
      <c r="Y224" s="1" t="s">
        <v>60</v>
      </c>
      <c r="AA224" s="2">
        <v>20.0</v>
      </c>
      <c r="AB224" s="1" t="s">
        <v>62</v>
      </c>
      <c r="AC224" s="1" t="s">
        <v>51</v>
      </c>
      <c r="AD224" s="1" t="s">
        <v>88</v>
      </c>
      <c r="AE224" s="1" t="s">
        <v>51</v>
      </c>
      <c r="AF224" s="1" t="s">
        <v>51</v>
      </c>
      <c r="AG224" s="1" t="s">
        <v>51</v>
      </c>
      <c r="AH224" s="2">
        <v>20.0</v>
      </c>
      <c r="AI224" s="2">
        <v>1.0</v>
      </c>
      <c r="AJ224" s="2">
        <v>0.0</v>
      </c>
      <c r="AK224" s="2">
        <v>0.0</v>
      </c>
      <c r="AL224" s="2">
        <v>0.0</v>
      </c>
      <c r="AM224" s="1" t="s">
        <v>51</v>
      </c>
      <c r="AN224" s="2">
        <v>6.311026E8</v>
      </c>
      <c r="AP224" s="2">
        <v>4.90208705E8</v>
      </c>
      <c r="AQ224" s="1" t="s">
        <v>355</v>
      </c>
      <c r="AR224" s="2">
        <v>45808.75724537037</v>
      </c>
      <c r="AU224" s="1" t="s">
        <v>64</v>
      </c>
      <c r="AW224" s="1" t="s">
        <v>255</v>
      </c>
      <c r="AY224" s="2">
        <v>218.0</v>
      </c>
    </row>
    <row r="225">
      <c r="A225" s="1" t="s">
        <v>51</v>
      </c>
      <c r="C225" s="1" t="s">
        <v>52</v>
      </c>
      <c r="E225" s="1" t="s">
        <v>52</v>
      </c>
      <c r="G225" s="2">
        <v>29.0</v>
      </c>
      <c r="H225" s="1" t="s">
        <v>66</v>
      </c>
      <c r="J225" s="1" t="s">
        <v>56</v>
      </c>
      <c r="K225" s="1" t="s">
        <v>87</v>
      </c>
      <c r="M225" s="1" t="s">
        <v>58</v>
      </c>
      <c r="N225" s="1" t="s">
        <v>58</v>
      </c>
      <c r="O225" s="1" t="s">
        <v>58</v>
      </c>
      <c r="Q225" s="1" t="s">
        <v>58</v>
      </c>
      <c r="R225" s="1" t="s">
        <v>58</v>
      </c>
      <c r="S225" s="1" t="s">
        <v>69</v>
      </c>
      <c r="T225" s="1" t="s">
        <v>69</v>
      </c>
      <c r="U225" s="1" t="s">
        <v>58</v>
      </c>
      <c r="V225" s="1" t="s">
        <v>69</v>
      </c>
      <c r="W225" s="1" t="s">
        <v>69</v>
      </c>
      <c r="X225" s="1" t="s">
        <v>88</v>
      </c>
      <c r="Y225" s="1" t="s">
        <v>95</v>
      </c>
      <c r="Z225" s="1" t="s">
        <v>89</v>
      </c>
      <c r="AA225" s="2">
        <v>30.0</v>
      </c>
      <c r="AB225" s="1" t="s">
        <v>62</v>
      </c>
      <c r="AC225" s="1" t="s">
        <v>51</v>
      </c>
      <c r="AD225" s="1" t="s">
        <v>81</v>
      </c>
      <c r="AE225" s="1" t="s">
        <v>72</v>
      </c>
      <c r="AF225" s="1" t="s">
        <v>51</v>
      </c>
      <c r="AG225" s="1" t="s">
        <v>51</v>
      </c>
      <c r="AH225" s="2">
        <v>5000.0</v>
      </c>
      <c r="AI225" s="2">
        <v>0.0</v>
      </c>
      <c r="AJ225" s="2">
        <v>0.0</v>
      </c>
      <c r="AK225" s="2">
        <v>1.0</v>
      </c>
      <c r="AL225" s="2">
        <v>0.0</v>
      </c>
      <c r="AP225" s="2">
        <v>4.9022804E8</v>
      </c>
      <c r="AQ225" s="1" t="s">
        <v>356</v>
      </c>
      <c r="AR225" s="2">
        <v>45808.79471064815</v>
      </c>
      <c r="AU225" s="1" t="s">
        <v>64</v>
      </c>
      <c r="AW225" s="1" t="s">
        <v>255</v>
      </c>
      <c r="AY225" s="2">
        <v>219.0</v>
      </c>
    </row>
    <row r="226">
      <c r="A226" s="1" t="s">
        <v>51</v>
      </c>
      <c r="C226" s="1" t="s">
        <v>53</v>
      </c>
      <c r="E226" s="1" t="s">
        <v>53</v>
      </c>
      <c r="F226" s="1" t="s">
        <v>54</v>
      </c>
      <c r="G226" s="2">
        <v>29.0</v>
      </c>
      <c r="H226" s="1" t="s">
        <v>55</v>
      </c>
      <c r="I226" s="1" t="s">
        <v>121</v>
      </c>
      <c r="J226" s="1" t="s">
        <v>86</v>
      </c>
      <c r="K226" s="1" t="s">
        <v>87</v>
      </c>
      <c r="M226" s="1" t="s">
        <v>58</v>
      </c>
      <c r="N226" s="1" t="s">
        <v>58</v>
      </c>
      <c r="O226" s="1" t="s">
        <v>58</v>
      </c>
      <c r="Q226" s="1" t="s">
        <v>58</v>
      </c>
      <c r="R226" s="1" t="s">
        <v>58</v>
      </c>
      <c r="S226" s="1" t="s">
        <v>69</v>
      </c>
      <c r="T226" s="1" t="s">
        <v>58</v>
      </c>
      <c r="U226" s="1" t="s">
        <v>58</v>
      </c>
      <c r="V226" s="1" t="s">
        <v>58</v>
      </c>
      <c r="W226" s="1" t="s">
        <v>69</v>
      </c>
      <c r="X226" s="1" t="s">
        <v>81</v>
      </c>
      <c r="Y226" s="1" t="s">
        <v>227</v>
      </c>
      <c r="Z226" s="1" t="s">
        <v>89</v>
      </c>
      <c r="AA226" s="2">
        <v>100.0</v>
      </c>
      <c r="AB226" s="1" t="s">
        <v>79</v>
      </c>
      <c r="AC226" s="1" t="s">
        <v>71</v>
      </c>
      <c r="AF226" s="1" t="s">
        <v>51</v>
      </c>
      <c r="AG226" s="1" t="s">
        <v>51</v>
      </c>
      <c r="AH226" s="2">
        <v>2000.0</v>
      </c>
      <c r="AI226" s="2">
        <v>1.0</v>
      </c>
      <c r="AJ226" s="2">
        <v>1.0</v>
      </c>
      <c r="AK226" s="2">
        <v>1.0</v>
      </c>
      <c r="AL226" s="2">
        <v>1.0</v>
      </c>
      <c r="AM226" s="1" t="s">
        <v>51</v>
      </c>
      <c r="AN226" s="2">
        <v>7.11949267E8</v>
      </c>
      <c r="AP226" s="2">
        <v>4.90254059E8</v>
      </c>
      <c r="AQ226" s="1" t="s">
        <v>357</v>
      </c>
      <c r="AR226" s="2">
        <v>45808.8659375</v>
      </c>
      <c r="AU226" s="1" t="s">
        <v>64</v>
      </c>
      <c r="AW226" s="1" t="s">
        <v>255</v>
      </c>
      <c r="AY226" s="2">
        <v>220.0</v>
      </c>
    </row>
    <row r="227">
      <c r="A227" s="1" t="s">
        <v>51</v>
      </c>
      <c r="C227" s="1" t="s">
        <v>52</v>
      </c>
      <c r="E227" s="1" t="s">
        <v>53</v>
      </c>
      <c r="F227" s="1" t="s">
        <v>54</v>
      </c>
      <c r="G227" s="2">
        <v>48.0</v>
      </c>
      <c r="H227" s="1" t="s">
        <v>66</v>
      </c>
      <c r="I227" s="1" t="s">
        <v>67</v>
      </c>
      <c r="J227" s="1" t="s">
        <v>86</v>
      </c>
      <c r="K227" s="1" t="s">
        <v>87</v>
      </c>
      <c r="M227" s="1" t="s">
        <v>58</v>
      </c>
      <c r="N227" s="1" t="s">
        <v>58</v>
      </c>
      <c r="O227" s="1" t="s">
        <v>58</v>
      </c>
      <c r="Q227" s="1" t="s">
        <v>69</v>
      </c>
      <c r="R227" s="1" t="s">
        <v>58</v>
      </c>
      <c r="S227" s="1" t="s">
        <v>69</v>
      </c>
      <c r="T227" s="1" t="s">
        <v>58</v>
      </c>
      <c r="U227" s="1" t="s">
        <v>69</v>
      </c>
      <c r="V227" s="1" t="s">
        <v>58</v>
      </c>
      <c r="W227" s="1" t="s">
        <v>69</v>
      </c>
      <c r="X227" s="1" t="s">
        <v>88</v>
      </c>
      <c r="Y227" s="1" t="s">
        <v>95</v>
      </c>
      <c r="AC227" s="1" t="s">
        <v>71</v>
      </c>
      <c r="AF227" s="1" t="s">
        <v>51</v>
      </c>
      <c r="AI227" s="2">
        <v>0.0</v>
      </c>
      <c r="AJ227" s="2">
        <v>0.0</v>
      </c>
      <c r="AK227" s="2">
        <v>0.0</v>
      </c>
      <c r="AL227" s="2">
        <v>1.0</v>
      </c>
      <c r="AM227" s="1" t="s">
        <v>51</v>
      </c>
      <c r="AN227" s="2">
        <v>7.35260674E8</v>
      </c>
      <c r="AP227" s="2">
        <v>4.90347458E8</v>
      </c>
      <c r="AQ227" s="1" t="s">
        <v>358</v>
      </c>
      <c r="AR227" s="2">
        <v>45809.29672453704</v>
      </c>
      <c r="AU227" s="1" t="s">
        <v>64</v>
      </c>
      <c r="AW227" s="1" t="s">
        <v>255</v>
      </c>
      <c r="AY227" s="2">
        <v>221.0</v>
      </c>
    </row>
    <row r="228">
      <c r="A228" s="1" t="s">
        <v>51</v>
      </c>
      <c r="C228" s="1" t="s">
        <v>52</v>
      </c>
      <c r="E228" s="1" t="s">
        <v>53</v>
      </c>
      <c r="F228" s="1" t="s">
        <v>94</v>
      </c>
      <c r="G228" s="2">
        <v>32.0</v>
      </c>
      <c r="H228" s="1" t="s">
        <v>55</v>
      </c>
      <c r="I228" s="1" t="s">
        <v>67</v>
      </c>
      <c r="J228" s="1" t="s">
        <v>111</v>
      </c>
      <c r="K228" s="1" t="s">
        <v>87</v>
      </c>
      <c r="M228" s="1" t="s">
        <v>58</v>
      </c>
      <c r="N228" s="1" t="s">
        <v>58</v>
      </c>
      <c r="O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103</v>
      </c>
      <c r="Y228" s="1" t="s">
        <v>60</v>
      </c>
      <c r="Z228" s="1" t="s">
        <v>61</v>
      </c>
      <c r="AA228" s="2">
        <v>100.0</v>
      </c>
      <c r="AB228" s="1" t="s">
        <v>79</v>
      </c>
      <c r="AC228" s="1" t="s">
        <v>72</v>
      </c>
      <c r="AF228" s="1" t="s">
        <v>51</v>
      </c>
      <c r="AG228" s="1" t="s">
        <v>72</v>
      </c>
      <c r="AI228" s="2">
        <v>0.0</v>
      </c>
      <c r="AJ228" s="2">
        <v>0.0</v>
      </c>
      <c r="AK228" s="2">
        <v>0.0</v>
      </c>
      <c r="AL228" s="2">
        <v>1.0</v>
      </c>
      <c r="AM228" s="1" t="s">
        <v>51</v>
      </c>
      <c r="AN228" s="1" t="s">
        <v>359</v>
      </c>
      <c r="AP228" s="2">
        <v>4.90355534E8</v>
      </c>
      <c r="AQ228" s="1" t="s">
        <v>360</v>
      </c>
      <c r="AR228" s="2">
        <v>45809.317928240744</v>
      </c>
      <c r="AU228" s="1" t="s">
        <v>64</v>
      </c>
      <c r="AW228" s="1" t="s">
        <v>255</v>
      </c>
      <c r="AY228" s="2">
        <v>222.0</v>
      </c>
    </row>
    <row r="229">
      <c r="A229" s="1" t="s">
        <v>51</v>
      </c>
      <c r="C229" s="1" t="s">
        <v>151</v>
      </c>
      <c r="E229" s="1" t="s">
        <v>151</v>
      </c>
      <c r="G229" s="2">
        <v>36.0</v>
      </c>
      <c r="H229" s="1" t="s">
        <v>66</v>
      </c>
      <c r="J229" s="1" t="s">
        <v>86</v>
      </c>
      <c r="K229" s="1" t="s">
        <v>87</v>
      </c>
      <c r="M229" s="1" t="s">
        <v>58</v>
      </c>
      <c r="N229" s="1" t="s">
        <v>58</v>
      </c>
      <c r="O229" s="1" t="s">
        <v>58</v>
      </c>
      <c r="Q229" s="1" t="s">
        <v>58</v>
      </c>
      <c r="R229" s="1" t="s">
        <v>58</v>
      </c>
      <c r="S229" s="1" t="s">
        <v>69</v>
      </c>
      <c r="T229" s="1" t="s">
        <v>69</v>
      </c>
      <c r="U229" s="1" t="s">
        <v>58</v>
      </c>
      <c r="V229" s="1" t="s">
        <v>58</v>
      </c>
      <c r="W229" s="1" t="s">
        <v>69</v>
      </c>
      <c r="X229" s="1" t="s">
        <v>81</v>
      </c>
      <c r="Y229" s="1" t="s">
        <v>60</v>
      </c>
      <c r="Z229" s="1" t="s">
        <v>89</v>
      </c>
      <c r="AA229" s="2">
        <v>50.0</v>
      </c>
      <c r="AB229" s="1" t="s">
        <v>79</v>
      </c>
      <c r="AC229" s="1" t="s">
        <v>71</v>
      </c>
      <c r="AF229" s="1" t="s">
        <v>51</v>
      </c>
      <c r="AG229" s="1" t="s">
        <v>72</v>
      </c>
      <c r="AI229" s="2">
        <v>1.0</v>
      </c>
      <c r="AJ229" s="2">
        <v>0.0</v>
      </c>
      <c r="AK229" s="2">
        <v>0.0</v>
      </c>
      <c r="AL229" s="2">
        <v>0.0</v>
      </c>
      <c r="AP229" s="2">
        <v>4.90371203E8</v>
      </c>
      <c r="AQ229" s="1" t="s">
        <v>361</v>
      </c>
      <c r="AR229" s="2">
        <v>45809.35847222222</v>
      </c>
      <c r="AU229" s="1" t="s">
        <v>64</v>
      </c>
      <c r="AW229" s="1" t="s">
        <v>255</v>
      </c>
      <c r="AY229" s="2">
        <v>223.0</v>
      </c>
    </row>
    <row r="230">
      <c r="A230" s="1" t="s">
        <v>51</v>
      </c>
      <c r="C230" s="1" t="s">
        <v>151</v>
      </c>
      <c r="E230" s="1" t="s">
        <v>53</v>
      </c>
      <c r="F230" s="1" t="s">
        <v>232</v>
      </c>
      <c r="G230" s="2">
        <v>37.0</v>
      </c>
      <c r="H230" s="1" t="s">
        <v>55</v>
      </c>
      <c r="I230" s="1" t="s">
        <v>67</v>
      </c>
      <c r="J230" s="1" t="s">
        <v>111</v>
      </c>
      <c r="K230" s="1" t="s">
        <v>74</v>
      </c>
      <c r="M230" s="1" t="s">
        <v>58</v>
      </c>
      <c r="N230" s="1" t="s">
        <v>58</v>
      </c>
      <c r="O230" s="1" t="s">
        <v>69</v>
      </c>
      <c r="Q230" s="1" t="s">
        <v>69</v>
      </c>
      <c r="R230" s="1" t="s">
        <v>58</v>
      </c>
      <c r="S230" s="1" t="s">
        <v>58</v>
      </c>
      <c r="T230" s="1" t="s">
        <v>69</v>
      </c>
      <c r="U230" s="1" t="s">
        <v>70</v>
      </c>
      <c r="V230" s="1" t="s">
        <v>58</v>
      </c>
      <c r="W230" s="1" t="s">
        <v>69</v>
      </c>
      <c r="X230" s="1" t="s">
        <v>81</v>
      </c>
      <c r="Y230" s="1" t="s">
        <v>82</v>
      </c>
      <c r="Z230" s="1" t="s">
        <v>89</v>
      </c>
      <c r="AA230" s="2">
        <v>100.0</v>
      </c>
      <c r="AB230" s="1" t="s">
        <v>62</v>
      </c>
      <c r="AC230" s="1" t="s">
        <v>51</v>
      </c>
      <c r="AD230" s="1" t="s">
        <v>81</v>
      </c>
      <c r="AE230" s="1" t="s">
        <v>51</v>
      </c>
      <c r="AF230" s="1" t="s">
        <v>51</v>
      </c>
      <c r="AG230" s="1" t="s">
        <v>72</v>
      </c>
      <c r="AI230" s="2">
        <v>1.0</v>
      </c>
      <c r="AJ230" s="2">
        <v>1.0</v>
      </c>
      <c r="AK230" s="2">
        <v>1.0</v>
      </c>
      <c r="AL230" s="2">
        <v>0.0</v>
      </c>
      <c r="AM230" s="1" t="s">
        <v>51</v>
      </c>
      <c r="AN230" s="2">
        <v>7.83579949E8</v>
      </c>
      <c r="AP230" s="2">
        <v>4.90398613E8</v>
      </c>
      <c r="AQ230" s="1" t="s">
        <v>362</v>
      </c>
      <c r="AR230" s="2">
        <v>45809.41784722222</v>
      </c>
      <c r="AU230" s="1" t="s">
        <v>64</v>
      </c>
      <c r="AW230" s="1" t="s">
        <v>191</v>
      </c>
      <c r="AY230" s="2">
        <v>224.0</v>
      </c>
    </row>
    <row r="231">
      <c r="A231" s="1" t="s">
        <v>51</v>
      </c>
      <c r="C231" s="1" t="s">
        <v>131</v>
      </c>
      <c r="E231" s="1" t="s">
        <v>53</v>
      </c>
      <c r="F231" s="1" t="s">
        <v>54</v>
      </c>
      <c r="G231" s="2">
        <v>34.0</v>
      </c>
      <c r="H231" s="1" t="s">
        <v>66</v>
      </c>
      <c r="I231" s="1" t="s">
        <v>67</v>
      </c>
      <c r="J231" s="1" t="s">
        <v>56</v>
      </c>
      <c r="K231" s="1" t="s">
        <v>74</v>
      </c>
      <c r="M231" s="1" t="s">
        <v>58</v>
      </c>
      <c r="N231" s="1" t="s">
        <v>58</v>
      </c>
      <c r="O231" s="1" t="s">
        <v>69</v>
      </c>
      <c r="Q231" s="1" t="s">
        <v>58</v>
      </c>
      <c r="R231" s="1" t="s">
        <v>58</v>
      </c>
      <c r="S231" s="1" t="s">
        <v>70</v>
      </c>
      <c r="T231" s="1" t="s">
        <v>70</v>
      </c>
      <c r="U231" s="1" t="s">
        <v>58</v>
      </c>
      <c r="V231" s="1" t="s">
        <v>58</v>
      </c>
      <c r="W231" s="1" t="s">
        <v>69</v>
      </c>
      <c r="X231" s="1" t="s">
        <v>81</v>
      </c>
      <c r="Y231" s="1" t="s">
        <v>172</v>
      </c>
      <c r="Z231" s="1" t="s">
        <v>108</v>
      </c>
      <c r="AA231" s="2">
        <v>50.0</v>
      </c>
      <c r="AB231" s="1" t="s">
        <v>79</v>
      </c>
      <c r="AC231" s="1" t="s">
        <v>71</v>
      </c>
      <c r="AF231" s="1" t="s">
        <v>51</v>
      </c>
      <c r="AG231" s="1" t="s">
        <v>51</v>
      </c>
      <c r="AH231" s="2">
        <v>300.0</v>
      </c>
      <c r="AI231" s="2">
        <v>0.0</v>
      </c>
      <c r="AJ231" s="2">
        <v>0.0</v>
      </c>
      <c r="AK231" s="2">
        <v>1.0</v>
      </c>
      <c r="AL231" s="2">
        <v>0.0</v>
      </c>
      <c r="AM231" s="1" t="s">
        <v>51</v>
      </c>
      <c r="AN231" s="2">
        <v>7.87607612E8</v>
      </c>
      <c r="AP231" s="2">
        <v>4.90400697E8</v>
      </c>
      <c r="AQ231" s="1" t="s">
        <v>363</v>
      </c>
      <c r="AR231" s="2">
        <v>45809.421006944445</v>
      </c>
      <c r="AU231" s="1" t="s">
        <v>64</v>
      </c>
      <c r="AW231" s="1" t="s">
        <v>255</v>
      </c>
      <c r="AY231" s="2">
        <v>225.0</v>
      </c>
    </row>
    <row r="232">
      <c r="A232" s="1" t="s">
        <v>51</v>
      </c>
      <c r="C232" s="1" t="s">
        <v>151</v>
      </c>
      <c r="E232" s="1" t="s">
        <v>53</v>
      </c>
      <c r="F232" s="1" t="s">
        <v>102</v>
      </c>
      <c r="G232" s="2">
        <v>24.0</v>
      </c>
      <c r="H232" s="1" t="s">
        <v>66</v>
      </c>
      <c r="I232" s="1" t="s">
        <v>100</v>
      </c>
      <c r="J232" s="1" t="s">
        <v>68</v>
      </c>
      <c r="K232" s="1" t="s">
        <v>74</v>
      </c>
      <c r="M232" s="1" t="s">
        <v>58</v>
      </c>
      <c r="N232" s="1" t="s">
        <v>58</v>
      </c>
      <c r="O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70</v>
      </c>
      <c r="V232" s="1" t="s">
        <v>58</v>
      </c>
      <c r="W232" s="1" t="s">
        <v>69</v>
      </c>
      <c r="X232" s="1" t="s">
        <v>81</v>
      </c>
      <c r="Y232" s="1" t="s">
        <v>60</v>
      </c>
      <c r="Z232" s="1" t="s">
        <v>61</v>
      </c>
      <c r="AA232" s="2">
        <v>10.0</v>
      </c>
      <c r="AB232" s="1" t="s">
        <v>79</v>
      </c>
      <c r="AC232" s="1" t="s">
        <v>71</v>
      </c>
      <c r="AF232" s="1" t="s">
        <v>51</v>
      </c>
      <c r="AG232" s="1" t="s">
        <v>51</v>
      </c>
      <c r="AH232" s="2">
        <v>1000.0</v>
      </c>
      <c r="AI232" s="2">
        <v>0.0</v>
      </c>
      <c r="AJ232" s="2">
        <v>0.0</v>
      </c>
      <c r="AK232" s="2">
        <v>0.0</v>
      </c>
      <c r="AL232" s="2">
        <v>1.0</v>
      </c>
      <c r="AM232" s="1" t="s">
        <v>51</v>
      </c>
      <c r="AN232" s="2">
        <v>6.05632909E8</v>
      </c>
      <c r="AP232" s="2">
        <v>4.9040118E8</v>
      </c>
      <c r="AQ232" s="1" t="s">
        <v>364</v>
      </c>
      <c r="AR232" s="2">
        <v>45809.42184027778</v>
      </c>
      <c r="AU232" s="1" t="s">
        <v>64</v>
      </c>
      <c r="AW232" s="1" t="s">
        <v>255</v>
      </c>
      <c r="AY232" s="2">
        <v>226.0</v>
      </c>
    </row>
    <row r="233">
      <c r="A233" s="1" t="s">
        <v>51</v>
      </c>
      <c r="C233" s="1" t="s">
        <v>131</v>
      </c>
      <c r="E233" s="1" t="s">
        <v>53</v>
      </c>
      <c r="F233" s="1" t="s">
        <v>54</v>
      </c>
      <c r="G233" s="2">
        <v>25.0</v>
      </c>
      <c r="H233" s="1" t="s">
        <v>55</v>
      </c>
      <c r="I233" s="1" t="s">
        <v>100</v>
      </c>
      <c r="J233" s="1" t="s">
        <v>56</v>
      </c>
      <c r="K233" s="1" t="s">
        <v>74</v>
      </c>
      <c r="M233" s="1" t="s">
        <v>58</v>
      </c>
      <c r="N233" s="1" t="s">
        <v>58</v>
      </c>
      <c r="O233" s="1" t="s">
        <v>58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58</v>
      </c>
      <c r="X233" s="1" t="s">
        <v>81</v>
      </c>
      <c r="Y233" s="1" t="s">
        <v>60</v>
      </c>
      <c r="Z233" s="1" t="s">
        <v>108</v>
      </c>
      <c r="AA233" s="2">
        <v>50.0</v>
      </c>
      <c r="AB233" s="1" t="s">
        <v>28</v>
      </c>
      <c r="AC233" s="1" t="s">
        <v>71</v>
      </c>
      <c r="AF233" s="1" t="s">
        <v>51</v>
      </c>
      <c r="AG233" s="1" t="s">
        <v>51</v>
      </c>
      <c r="AH233" s="2">
        <v>250.0</v>
      </c>
      <c r="AI233" s="2">
        <v>0.0</v>
      </c>
      <c r="AJ233" s="2">
        <v>0.0</v>
      </c>
      <c r="AK233" s="2">
        <v>0.0</v>
      </c>
      <c r="AL233" s="2">
        <v>1.0</v>
      </c>
      <c r="AM233" s="1" t="s">
        <v>51</v>
      </c>
      <c r="AN233" s="2">
        <v>6.74566012E8</v>
      </c>
      <c r="AP233" s="2">
        <v>4.90402922E8</v>
      </c>
      <c r="AQ233" s="1" t="s">
        <v>365</v>
      </c>
      <c r="AR233" s="2">
        <v>45809.4252662037</v>
      </c>
      <c r="AU233" s="1" t="s">
        <v>64</v>
      </c>
      <c r="AW233" s="1" t="s">
        <v>255</v>
      </c>
      <c r="AY233" s="2">
        <v>227.0</v>
      </c>
    </row>
    <row r="234">
      <c r="A234" s="1" t="s">
        <v>51</v>
      </c>
      <c r="C234" s="1" t="s">
        <v>131</v>
      </c>
      <c r="E234" s="1" t="s">
        <v>53</v>
      </c>
      <c r="F234" s="1" t="s">
        <v>54</v>
      </c>
      <c r="G234" s="2">
        <v>39.0</v>
      </c>
      <c r="H234" s="1" t="s">
        <v>55</v>
      </c>
      <c r="I234" s="1" t="s">
        <v>67</v>
      </c>
      <c r="J234" s="1" t="s">
        <v>68</v>
      </c>
      <c r="K234" s="1" t="s">
        <v>74</v>
      </c>
      <c r="M234" s="1" t="s">
        <v>58</v>
      </c>
      <c r="N234" s="1" t="s">
        <v>58</v>
      </c>
      <c r="O234" s="1" t="s">
        <v>69</v>
      </c>
      <c r="Q234" s="1" t="s">
        <v>58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81</v>
      </c>
      <c r="Y234" s="1" t="s">
        <v>172</v>
      </c>
      <c r="Z234" s="1" t="s">
        <v>127</v>
      </c>
      <c r="AA234" s="2">
        <v>100.0</v>
      </c>
      <c r="AB234" s="1" t="s">
        <v>79</v>
      </c>
      <c r="AC234" s="1" t="s">
        <v>71</v>
      </c>
      <c r="AF234" s="1" t="s">
        <v>51</v>
      </c>
      <c r="AG234" s="1" t="s">
        <v>51</v>
      </c>
      <c r="AH234" s="2">
        <v>200.0</v>
      </c>
      <c r="AI234" s="2">
        <v>0.0</v>
      </c>
      <c r="AJ234" s="2">
        <v>0.0</v>
      </c>
      <c r="AK234" s="2">
        <v>0.0</v>
      </c>
      <c r="AL234" s="2">
        <v>1.0</v>
      </c>
      <c r="AM234" s="1" t="s">
        <v>51</v>
      </c>
      <c r="AN234" s="2">
        <v>7.86258839E8</v>
      </c>
      <c r="AP234" s="2">
        <v>4.90403501E8</v>
      </c>
      <c r="AQ234" s="1" t="s">
        <v>366</v>
      </c>
      <c r="AR234" s="2">
        <v>45809.42668981481</v>
      </c>
      <c r="AU234" s="1" t="s">
        <v>64</v>
      </c>
      <c r="AW234" s="1" t="s">
        <v>255</v>
      </c>
      <c r="AY234" s="2">
        <v>228.0</v>
      </c>
    </row>
    <row r="235">
      <c r="A235" s="1" t="s">
        <v>51</v>
      </c>
      <c r="C235" s="1" t="s">
        <v>151</v>
      </c>
      <c r="E235" s="1" t="s">
        <v>53</v>
      </c>
      <c r="F235" s="1" t="s">
        <v>102</v>
      </c>
      <c r="G235" s="2">
        <v>27.0</v>
      </c>
      <c r="H235" s="1" t="s">
        <v>55</v>
      </c>
      <c r="I235" s="1" t="s">
        <v>100</v>
      </c>
      <c r="J235" s="1" t="s">
        <v>56</v>
      </c>
      <c r="M235" s="1" t="s">
        <v>58</v>
      </c>
      <c r="N235" s="1" t="s">
        <v>58</v>
      </c>
      <c r="O235" s="1" t="s">
        <v>69</v>
      </c>
      <c r="Q235" s="1" t="s">
        <v>69</v>
      </c>
      <c r="R235" s="1" t="s">
        <v>69</v>
      </c>
      <c r="S235" s="1" t="s">
        <v>69</v>
      </c>
      <c r="T235" s="1" t="s">
        <v>69</v>
      </c>
      <c r="U235" s="1" t="s">
        <v>70</v>
      </c>
      <c r="V235" s="1" t="s">
        <v>58</v>
      </c>
      <c r="W235" s="1" t="s">
        <v>69</v>
      </c>
      <c r="X235" s="1" t="s">
        <v>81</v>
      </c>
      <c r="Y235" s="1" t="s">
        <v>82</v>
      </c>
      <c r="Z235" s="1" t="s">
        <v>61</v>
      </c>
      <c r="AA235" s="2">
        <v>50.0</v>
      </c>
      <c r="AB235" s="1" t="s">
        <v>79</v>
      </c>
      <c r="AC235" s="1" t="s">
        <v>71</v>
      </c>
      <c r="AF235" s="1" t="s">
        <v>51</v>
      </c>
      <c r="AG235" s="1" t="s">
        <v>51</v>
      </c>
      <c r="AH235" s="2">
        <v>500.0</v>
      </c>
      <c r="AI235" s="2">
        <v>1.0</v>
      </c>
      <c r="AJ235" s="2">
        <v>1.0</v>
      </c>
      <c r="AK235" s="2">
        <v>1.0</v>
      </c>
      <c r="AL235" s="2">
        <v>1.0</v>
      </c>
      <c r="AM235" s="1" t="s">
        <v>51</v>
      </c>
      <c r="AN235" s="2">
        <v>7.52289743E8</v>
      </c>
      <c r="AP235" s="2">
        <v>4.9040369E8</v>
      </c>
      <c r="AQ235" s="1" t="s">
        <v>367</v>
      </c>
      <c r="AR235" s="2">
        <v>45809.42711805556</v>
      </c>
      <c r="AU235" s="1" t="s">
        <v>64</v>
      </c>
      <c r="AW235" s="1" t="s">
        <v>255</v>
      </c>
      <c r="AY235" s="2">
        <v>229.0</v>
      </c>
    </row>
    <row r="236">
      <c r="A236" s="1" t="s">
        <v>51</v>
      </c>
      <c r="C236" s="1" t="s">
        <v>131</v>
      </c>
      <c r="E236" s="1" t="s">
        <v>53</v>
      </c>
      <c r="F236" s="1" t="s">
        <v>54</v>
      </c>
      <c r="G236" s="2">
        <v>31.0</v>
      </c>
      <c r="H236" s="1" t="s">
        <v>55</v>
      </c>
      <c r="I236" s="1" t="s">
        <v>100</v>
      </c>
      <c r="J236" s="1" t="s">
        <v>111</v>
      </c>
      <c r="K236" s="1" t="s">
        <v>74</v>
      </c>
      <c r="M236" s="1" t="s">
        <v>58</v>
      </c>
      <c r="N236" s="1" t="s">
        <v>58</v>
      </c>
      <c r="O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81</v>
      </c>
      <c r="Y236" s="1" t="s">
        <v>172</v>
      </c>
      <c r="Z236" s="1" t="s">
        <v>89</v>
      </c>
      <c r="AA236" s="2">
        <v>30.0</v>
      </c>
      <c r="AB236" s="1" t="s">
        <v>79</v>
      </c>
      <c r="AC236" s="1" t="s">
        <v>71</v>
      </c>
      <c r="AF236" s="1" t="s">
        <v>51</v>
      </c>
      <c r="AG236" s="1" t="s">
        <v>51</v>
      </c>
      <c r="AH236" s="2">
        <v>300.0</v>
      </c>
      <c r="AI236" s="2">
        <v>0.0</v>
      </c>
      <c r="AJ236" s="2">
        <v>0.0</v>
      </c>
      <c r="AK236" s="2">
        <v>0.0</v>
      </c>
      <c r="AL236" s="2">
        <v>1.0</v>
      </c>
      <c r="AM236" s="1" t="s">
        <v>51</v>
      </c>
      <c r="AN236" s="2">
        <v>6.99109406E8</v>
      </c>
      <c r="AP236" s="2">
        <v>4.90404323E8</v>
      </c>
      <c r="AQ236" s="1" t="s">
        <v>368</v>
      </c>
      <c r="AR236" s="2">
        <v>45809.42836805555</v>
      </c>
      <c r="AU236" s="1" t="s">
        <v>64</v>
      </c>
      <c r="AW236" s="1" t="s">
        <v>255</v>
      </c>
      <c r="AY236" s="2">
        <v>230.0</v>
      </c>
    </row>
    <row r="237">
      <c r="A237" s="1" t="s">
        <v>51</v>
      </c>
      <c r="C237" s="1" t="s">
        <v>131</v>
      </c>
      <c r="E237" s="1" t="s">
        <v>53</v>
      </c>
      <c r="F237" s="1" t="s">
        <v>54</v>
      </c>
      <c r="G237" s="2">
        <v>29.0</v>
      </c>
      <c r="H237" s="1" t="s">
        <v>66</v>
      </c>
      <c r="I237" s="1" t="s">
        <v>100</v>
      </c>
      <c r="J237" s="1" t="s">
        <v>111</v>
      </c>
      <c r="K237" s="1" t="s">
        <v>74</v>
      </c>
      <c r="M237" s="1" t="s">
        <v>58</v>
      </c>
      <c r="N237" s="1" t="s">
        <v>58</v>
      </c>
      <c r="O237" s="1" t="s">
        <v>58</v>
      </c>
      <c r="Q237" s="1" t="s">
        <v>58</v>
      </c>
      <c r="R237" s="1" t="s">
        <v>58</v>
      </c>
      <c r="S237" s="1" t="s">
        <v>58</v>
      </c>
      <c r="T237" s="1" t="s">
        <v>58</v>
      </c>
      <c r="U237" s="1" t="s">
        <v>58</v>
      </c>
      <c r="V237" s="1" t="s">
        <v>58</v>
      </c>
      <c r="W237" s="1" t="s">
        <v>58</v>
      </c>
      <c r="X237" s="1" t="s">
        <v>81</v>
      </c>
      <c r="Y237" s="1" t="s">
        <v>172</v>
      </c>
      <c r="Z237" s="1" t="s">
        <v>108</v>
      </c>
      <c r="AA237" s="2">
        <v>50.0</v>
      </c>
      <c r="AB237" s="1" t="s">
        <v>79</v>
      </c>
      <c r="AC237" s="1" t="s">
        <v>71</v>
      </c>
      <c r="AF237" s="1" t="s">
        <v>51</v>
      </c>
      <c r="AG237" s="1" t="s">
        <v>51</v>
      </c>
      <c r="AH237" s="2">
        <v>400.0</v>
      </c>
      <c r="AI237" s="2">
        <v>0.0</v>
      </c>
      <c r="AJ237" s="2">
        <v>1.0</v>
      </c>
      <c r="AK237" s="2">
        <v>0.0</v>
      </c>
      <c r="AL237" s="2">
        <v>0.0</v>
      </c>
      <c r="AM237" s="1" t="s">
        <v>51</v>
      </c>
      <c r="AN237" s="2">
        <v>7.16268779E8</v>
      </c>
      <c r="AP237" s="2">
        <v>4.90404925E8</v>
      </c>
      <c r="AQ237" s="1" t="s">
        <v>369</v>
      </c>
      <c r="AR237" s="2">
        <v>45809.429618055554</v>
      </c>
      <c r="AU237" s="1" t="s">
        <v>64</v>
      </c>
      <c r="AW237" s="1" t="s">
        <v>255</v>
      </c>
      <c r="AY237" s="2">
        <v>231.0</v>
      </c>
    </row>
    <row r="238">
      <c r="A238" s="1" t="s">
        <v>51</v>
      </c>
      <c r="C238" s="1" t="s">
        <v>131</v>
      </c>
      <c r="E238" s="1" t="s">
        <v>53</v>
      </c>
      <c r="F238" s="1" t="s">
        <v>54</v>
      </c>
      <c r="G238" s="2">
        <v>36.0</v>
      </c>
      <c r="H238" s="1" t="s">
        <v>55</v>
      </c>
      <c r="I238" s="1" t="s">
        <v>100</v>
      </c>
      <c r="J238" s="1" t="s">
        <v>111</v>
      </c>
      <c r="K238" s="1" t="s">
        <v>74</v>
      </c>
      <c r="M238" s="1" t="s">
        <v>58</v>
      </c>
      <c r="N238" s="1" t="s">
        <v>58</v>
      </c>
      <c r="O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 t="s">
        <v>58</v>
      </c>
      <c r="X238" s="1" t="s">
        <v>81</v>
      </c>
      <c r="Y238" s="1" t="s">
        <v>60</v>
      </c>
      <c r="Z238" s="1" t="s">
        <v>89</v>
      </c>
      <c r="AA238" s="2">
        <v>50.0</v>
      </c>
      <c r="AB238" s="1" t="s">
        <v>79</v>
      </c>
      <c r="AC238" s="1" t="s">
        <v>51</v>
      </c>
      <c r="AD238" s="1" t="s">
        <v>81</v>
      </c>
      <c r="AE238" s="1" t="s">
        <v>51</v>
      </c>
      <c r="AF238" s="1" t="s">
        <v>51</v>
      </c>
      <c r="AG238" s="1" t="s">
        <v>51</v>
      </c>
      <c r="AH238" s="2">
        <v>500.0</v>
      </c>
      <c r="AI238" s="2">
        <v>1.0</v>
      </c>
      <c r="AJ238" s="2">
        <v>0.0</v>
      </c>
      <c r="AK238" s="2">
        <v>0.0</v>
      </c>
      <c r="AL238" s="2">
        <v>0.0</v>
      </c>
      <c r="AM238" s="1" t="s">
        <v>51</v>
      </c>
      <c r="AN238" s="2">
        <v>6.93327725E8</v>
      </c>
      <c r="AP238" s="2">
        <v>4.90405777E8</v>
      </c>
      <c r="AQ238" s="1" t="s">
        <v>370</v>
      </c>
      <c r="AR238" s="2">
        <v>45809.43125</v>
      </c>
      <c r="AU238" s="1" t="s">
        <v>64</v>
      </c>
      <c r="AW238" s="1" t="s">
        <v>255</v>
      </c>
      <c r="AY238" s="2">
        <v>232.0</v>
      </c>
    </row>
    <row r="239">
      <c r="A239" s="1" t="s">
        <v>51</v>
      </c>
      <c r="C239" s="1" t="s">
        <v>131</v>
      </c>
      <c r="E239" s="1" t="s">
        <v>53</v>
      </c>
      <c r="F239" s="1" t="s">
        <v>54</v>
      </c>
      <c r="G239" s="2">
        <v>23.0</v>
      </c>
      <c r="H239" s="1" t="s">
        <v>55</v>
      </c>
      <c r="I239" s="1" t="s">
        <v>100</v>
      </c>
      <c r="J239" s="1" t="s">
        <v>68</v>
      </c>
      <c r="K239" s="1" t="s">
        <v>57</v>
      </c>
      <c r="M239" s="1" t="s">
        <v>58</v>
      </c>
      <c r="N239" s="1" t="s">
        <v>58</v>
      </c>
      <c r="O239" s="1" t="s">
        <v>70</v>
      </c>
      <c r="Q239" s="1" t="s">
        <v>58</v>
      </c>
      <c r="R239" s="1" t="s">
        <v>58</v>
      </c>
      <c r="S239" s="1" t="s">
        <v>70</v>
      </c>
      <c r="T239" s="1" t="s">
        <v>70</v>
      </c>
      <c r="U239" s="1" t="s">
        <v>58</v>
      </c>
      <c r="V239" s="1" t="s">
        <v>58</v>
      </c>
      <c r="W239" s="1" t="s">
        <v>58</v>
      </c>
      <c r="X239" s="1" t="s">
        <v>81</v>
      </c>
      <c r="Y239" s="1" t="s">
        <v>60</v>
      </c>
      <c r="Z239" s="1" t="s">
        <v>96</v>
      </c>
      <c r="AA239" s="2">
        <v>100.0</v>
      </c>
      <c r="AB239" s="1" t="s">
        <v>79</v>
      </c>
      <c r="AC239" s="1" t="s">
        <v>71</v>
      </c>
      <c r="AF239" s="1" t="s">
        <v>51</v>
      </c>
      <c r="AG239" s="1" t="s">
        <v>51</v>
      </c>
      <c r="AH239" s="2">
        <v>400.0</v>
      </c>
      <c r="AI239" s="2">
        <v>0.0</v>
      </c>
      <c r="AJ239" s="2">
        <v>0.0</v>
      </c>
      <c r="AK239" s="2">
        <v>0.0</v>
      </c>
      <c r="AL239" s="2">
        <v>1.0</v>
      </c>
      <c r="AM239" s="1" t="s">
        <v>51</v>
      </c>
      <c r="AN239" s="2">
        <v>8.33399373E8</v>
      </c>
      <c r="AP239" s="2">
        <v>4.90406456E8</v>
      </c>
      <c r="AQ239" s="1" t="s">
        <v>371</v>
      </c>
      <c r="AR239" s="2">
        <v>45809.432604166665</v>
      </c>
      <c r="AU239" s="1" t="s">
        <v>64</v>
      </c>
      <c r="AW239" s="1" t="s">
        <v>255</v>
      </c>
      <c r="AY239" s="2">
        <v>233.0</v>
      </c>
    </row>
    <row r="240">
      <c r="A240" s="1" t="s">
        <v>51</v>
      </c>
      <c r="C240" s="1" t="s">
        <v>131</v>
      </c>
      <c r="E240" s="1" t="s">
        <v>53</v>
      </c>
      <c r="F240" s="1" t="s">
        <v>54</v>
      </c>
      <c r="G240" s="2">
        <v>32.0</v>
      </c>
      <c r="H240" s="1" t="s">
        <v>55</v>
      </c>
      <c r="I240" s="1" t="s">
        <v>100</v>
      </c>
      <c r="J240" s="1" t="s">
        <v>68</v>
      </c>
      <c r="K240" s="1" t="s">
        <v>74</v>
      </c>
      <c r="M240" s="1" t="s">
        <v>58</v>
      </c>
      <c r="N240" s="1" t="s">
        <v>58</v>
      </c>
      <c r="O240" s="1" t="s">
        <v>69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  <c r="W240" s="1" t="s">
        <v>58</v>
      </c>
      <c r="X240" s="1" t="s">
        <v>81</v>
      </c>
      <c r="Y240" s="1" t="s">
        <v>172</v>
      </c>
      <c r="Z240" s="1" t="s">
        <v>96</v>
      </c>
      <c r="AA240" s="2">
        <v>50.0</v>
      </c>
      <c r="AB240" s="1" t="s">
        <v>79</v>
      </c>
      <c r="AC240" s="1" t="s">
        <v>71</v>
      </c>
      <c r="AF240" s="1" t="s">
        <v>51</v>
      </c>
      <c r="AG240" s="1" t="s">
        <v>51</v>
      </c>
      <c r="AH240" s="2">
        <v>300.0</v>
      </c>
      <c r="AI240" s="2">
        <v>1.0</v>
      </c>
      <c r="AJ240" s="2">
        <v>0.0</v>
      </c>
      <c r="AK240" s="2">
        <v>0.0</v>
      </c>
      <c r="AL240" s="2">
        <v>0.0</v>
      </c>
      <c r="AM240" s="1" t="s">
        <v>51</v>
      </c>
      <c r="AN240" s="2">
        <v>6.65478753E8</v>
      </c>
      <c r="AP240" s="2">
        <v>4.90407148E8</v>
      </c>
      <c r="AQ240" s="1" t="s">
        <v>372</v>
      </c>
      <c r="AR240" s="2">
        <v>45809.43402777778</v>
      </c>
      <c r="AU240" s="1" t="s">
        <v>64</v>
      </c>
      <c r="AW240" s="1" t="s">
        <v>255</v>
      </c>
      <c r="AY240" s="2">
        <v>234.0</v>
      </c>
    </row>
    <row r="241">
      <c r="A241" s="1" t="s">
        <v>51</v>
      </c>
      <c r="C241" s="1" t="s">
        <v>131</v>
      </c>
      <c r="E241" s="1" t="s">
        <v>53</v>
      </c>
      <c r="F241" s="1" t="s">
        <v>54</v>
      </c>
      <c r="G241" s="2">
        <v>33.0</v>
      </c>
      <c r="H241" s="1" t="s">
        <v>66</v>
      </c>
      <c r="I241" s="1" t="s">
        <v>100</v>
      </c>
      <c r="J241" s="1" t="s">
        <v>111</v>
      </c>
      <c r="K241" s="1" t="s">
        <v>74</v>
      </c>
      <c r="M241" s="1" t="s">
        <v>58</v>
      </c>
      <c r="N241" s="1" t="s">
        <v>58</v>
      </c>
      <c r="O241" s="1" t="s">
        <v>70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 t="s">
        <v>58</v>
      </c>
      <c r="X241" s="1" t="s">
        <v>81</v>
      </c>
      <c r="Y241" s="1" t="s">
        <v>172</v>
      </c>
      <c r="Z241" s="1" t="s">
        <v>108</v>
      </c>
      <c r="AA241" s="2">
        <v>50.0</v>
      </c>
      <c r="AB241" s="1" t="s">
        <v>28</v>
      </c>
      <c r="AC241" s="1" t="s">
        <v>71</v>
      </c>
      <c r="AF241" s="1" t="s">
        <v>51</v>
      </c>
      <c r="AG241" s="1" t="s">
        <v>72</v>
      </c>
      <c r="AI241" s="2">
        <v>0.0</v>
      </c>
      <c r="AJ241" s="2">
        <v>0.0</v>
      </c>
      <c r="AK241" s="2">
        <v>0.0</v>
      </c>
      <c r="AL241" s="2">
        <v>1.0</v>
      </c>
      <c r="AM241" s="1" t="s">
        <v>51</v>
      </c>
      <c r="AN241" s="2">
        <v>7.96732437E8</v>
      </c>
      <c r="AP241" s="2">
        <v>4.90407718E8</v>
      </c>
      <c r="AQ241" s="1" t="s">
        <v>373</v>
      </c>
      <c r="AR241" s="2">
        <v>45809.435219907406</v>
      </c>
      <c r="AU241" s="1" t="s">
        <v>64</v>
      </c>
      <c r="AW241" s="1" t="s">
        <v>255</v>
      </c>
      <c r="AY241" s="2">
        <v>235.0</v>
      </c>
    </row>
    <row r="242">
      <c r="A242" s="1" t="s">
        <v>51</v>
      </c>
      <c r="C242" s="1" t="s">
        <v>131</v>
      </c>
      <c r="E242" s="1" t="s">
        <v>53</v>
      </c>
      <c r="F242" s="1" t="s">
        <v>54</v>
      </c>
      <c r="G242" s="2">
        <v>32.0</v>
      </c>
      <c r="H242" s="1" t="s">
        <v>55</v>
      </c>
      <c r="I242" s="1" t="s">
        <v>100</v>
      </c>
      <c r="J242" s="1" t="s">
        <v>68</v>
      </c>
      <c r="K242" s="1" t="s">
        <v>57</v>
      </c>
      <c r="M242" s="1" t="s">
        <v>58</v>
      </c>
      <c r="N242" s="1" t="s">
        <v>58</v>
      </c>
      <c r="O242" s="1" t="s">
        <v>70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81</v>
      </c>
      <c r="Y242" s="1" t="s">
        <v>172</v>
      </c>
      <c r="Z242" s="1" t="s">
        <v>108</v>
      </c>
      <c r="AA242" s="2">
        <v>30.0</v>
      </c>
      <c r="AB242" s="1" t="s">
        <v>28</v>
      </c>
      <c r="AC242" s="1" t="s">
        <v>71</v>
      </c>
      <c r="AF242" s="1" t="s">
        <v>51</v>
      </c>
      <c r="AG242" s="1" t="s">
        <v>72</v>
      </c>
      <c r="AI242" s="2">
        <v>0.0</v>
      </c>
      <c r="AJ242" s="2">
        <v>0.0</v>
      </c>
      <c r="AK242" s="2">
        <v>0.0</v>
      </c>
      <c r="AL242" s="2">
        <v>1.0</v>
      </c>
      <c r="AM242" s="1" t="s">
        <v>51</v>
      </c>
      <c r="AN242" s="2">
        <v>7.12023238E8</v>
      </c>
      <c r="AP242" s="2">
        <v>4.90409053E8</v>
      </c>
      <c r="AQ242" s="1" t="s">
        <v>374</v>
      </c>
      <c r="AR242" s="2">
        <v>45809.43813657408</v>
      </c>
      <c r="AU242" s="1" t="s">
        <v>64</v>
      </c>
      <c r="AW242" s="1" t="s">
        <v>255</v>
      </c>
      <c r="AY242" s="2">
        <v>236.0</v>
      </c>
    </row>
    <row r="243">
      <c r="A243" s="1" t="s">
        <v>51</v>
      </c>
      <c r="C243" s="1" t="s">
        <v>131</v>
      </c>
      <c r="E243" s="1" t="s">
        <v>53</v>
      </c>
      <c r="F243" s="1" t="s">
        <v>54</v>
      </c>
      <c r="G243" s="2">
        <v>29.0</v>
      </c>
      <c r="H243" s="1" t="s">
        <v>55</v>
      </c>
      <c r="I243" s="1" t="s">
        <v>100</v>
      </c>
      <c r="J243" s="1" t="s">
        <v>68</v>
      </c>
      <c r="K243" s="1" t="s">
        <v>74</v>
      </c>
      <c r="M243" s="1" t="s">
        <v>58</v>
      </c>
      <c r="N243" s="1" t="s">
        <v>58</v>
      </c>
      <c r="O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81</v>
      </c>
      <c r="Y243" s="1" t="s">
        <v>172</v>
      </c>
      <c r="Z243" s="1" t="s">
        <v>108</v>
      </c>
      <c r="AA243" s="2">
        <v>100.0</v>
      </c>
      <c r="AB243" s="1" t="s">
        <v>28</v>
      </c>
      <c r="AC243" s="1" t="s">
        <v>71</v>
      </c>
      <c r="AF243" s="1" t="s">
        <v>51</v>
      </c>
      <c r="AG243" s="1" t="s">
        <v>51</v>
      </c>
      <c r="AI243" s="2">
        <v>0.0</v>
      </c>
      <c r="AJ243" s="2">
        <v>0.0</v>
      </c>
      <c r="AK243" s="2">
        <v>0.0</v>
      </c>
      <c r="AL243" s="2">
        <v>1.0</v>
      </c>
      <c r="AM243" s="1" t="s">
        <v>51</v>
      </c>
      <c r="AN243" s="2">
        <v>6.55254617E8</v>
      </c>
      <c r="AP243" s="2">
        <v>4.90409857E8</v>
      </c>
      <c r="AQ243" s="1" t="s">
        <v>375</v>
      </c>
      <c r="AR243" s="2">
        <v>45809.43989583333</v>
      </c>
      <c r="AU243" s="1" t="s">
        <v>64</v>
      </c>
      <c r="AW243" s="1" t="s">
        <v>255</v>
      </c>
      <c r="AY243" s="2">
        <v>237.0</v>
      </c>
    </row>
    <row r="244">
      <c r="A244" s="1" t="s">
        <v>51</v>
      </c>
      <c r="C244" s="1" t="s">
        <v>131</v>
      </c>
      <c r="E244" s="1" t="s">
        <v>53</v>
      </c>
      <c r="F244" s="1" t="s">
        <v>54</v>
      </c>
      <c r="G244" s="2">
        <v>32.0</v>
      </c>
      <c r="H244" s="1" t="s">
        <v>55</v>
      </c>
      <c r="I244" s="1" t="s">
        <v>67</v>
      </c>
      <c r="J244" s="1" t="s">
        <v>68</v>
      </c>
      <c r="K244" s="1" t="s">
        <v>74</v>
      </c>
      <c r="M244" s="1" t="s">
        <v>58</v>
      </c>
      <c r="N244" s="1" t="s">
        <v>58</v>
      </c>
      <c r="O244" s="1" t="s">
        <v>58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58</v>
      </c>
      <c r="V244" s="1" t="s">
        <v>58</v>
      </c>
      <c r="W244" s="1" t="s">
        <v>58</v>
      </c>
      <c r="X244" s="1" t="s">
        <v>81</v>
      </c>
      <c r="Y244" s="1" t="s">
        <v>60</v>
      </c>
      <c r="Z244" s="1" t="s">
        <v>89</v>
      </c>
      <c r="AA244" s="2">
        <v>50.0</v>
      </c>
      <c r="AB244" s="1" t="s">
        <v>28</v>
      </c>
      <c r="AC244" s="1" t="s">
        <v>71</v>
      </c>
      <c r="AF244" s="1" t="s">
        <v>51</v>
      </c>
      <c r="AG244" s="1" t="s">
        <v>51</v>
      </c>
      <c r="AI244" s="2">
        <v>0.0</v>
      </c>
      <c r="AJ244" s="2">
        <v>0.0</v>
      </c>
      <c r="AK244" s="2">
        <v>0.0</v>
      </c>
      <c r="AL244" s="2">
        <v>1.0</v>
      </c>
      <c r="AM244" s="1" t="s">
        <v>51</v>
      </c>
      <c r="AN244" s="2">
        <v>6.01406742E8</v>
      </c>
      <c r="AP244" s="2">
        <v>4.90410637E8</v>
      </c>
      <c r="AQ244" s="1" t="s">
        <v>376</v>
      </c>
      <c r="AR244" s="2">
        <v>45809.441666666666</v>
      </c>
      <c r="AU244" s="1" t="s">
        <v>64</v>
      </c>
      <c r="AW244" s="1" t="s">
        <v>255</v>
      </c>
      <c r="AY244" s="2">
        <v>238.0</v>
      </c>
    </row>
    <row r="245">
      <c r="A245" s="1" t="s">
        <v>51</v>
      </c>
      <c r="C245" s="1" t="s">
        <v>131</v>
      </c>
      <c r="E245" s="1" t="s">
        <v>53</v>
      </c>
      <c r="F245" s="1" t="s">
        <v>54</v>
      </c>
      <c r="G245" s="2">
        <v>43.0</v>
      </c>
      <c r="H245" s="1" t="s">
        <v>55</v>
      </c>
      <c r="J245" s="1" t="s">
        <v>111</v>
      </c>
      <c r="K245" s="1" t="s">
        <v>57</v>
      </c>
      <c r="M245" s="1" t="s">
        <v>58</v>
      </c>
      <c r="N245" s="1" t="s">
        <v>58</v>
      </c>
      <c r="O245" s="1" t="s">
        <v>70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81</v>
      </c>
      <c r="Y245" s="1" t="s">
        <v>172</v>
      </c>
      <c r="Z245" s="1" t="s">
        <v>96</v>
      </c>
      <c r="AA245" s="2">
        <v>50.0</v>
      </c>
      <c r="AB245" s="1" t="s">
        <v>28</v>
      </c>
      <c r="AC245" s="1" t="s">
        <v>71</v>
      </c>
      <c r="AF245" s="1" t="s">
        <v>51</v>
      </c>
      <c r="AG245" s="1" t="s">
        <v>51</v>
      </c>
      <c r="AH245" s="2">
        <v>400.0</v>
      </c>
      <c r="AI245" s="2">
        <v>0.0</v>
      </c>
      <c r="AJ245" s="2">
        <v>0.0</v>
      </c>
      <c r="AK245" s="2">
        <v>0.0</v>
      </c>
      <c r="AL245" s="2">
        <v>1.0</v>
      </c>
      <c r="AP245" s="2">
        <v>4.9041142E8</v>
      </c>
      <c r="AQ245" s="1" t="s">
        <v>377</v>
      </c>
      <c r="AR245" s="2">
        <v>45809.443032407406</v>
      </c>
      <c r="AU245" s="1" t="s">
        <v>64</v>
      </c>
      <c r="AW245" s="1" t="s">
        <v>255</v>
      </c>
      <c r="AY245" s="2">
        <v>239.0</v>
      </c>
    </row>
    <row r="246">
      <c r="A246" s="1" t="s">
        <v>51</v>
      </c>
      <c r="C246" s="1" t="s">
        <v>131</v>
      </c>
      <c r="E246" s="1" t="s">
        <v>53</v>
      </c>
      <c r="F246" s="1" t="s">
        <v>54</v>
      </c>
      <c r="G246" s="2">
        <v>26.0</v>
      </c>
      <c r="H246" s="1" t="s">
        <v>55</v>
      </c>
      <c r="I246" s="1" t="s">
        <v>100</v>
      </c>
      <c r="J246" s="1" t="s">
        <v>111</v>
      </c>
      <c r="K246" s="1" t="s">
        <v>74</v>
      </c>
      <c r="M246" s="1" t="s">
        <v>58</v>
      </c>
      <c r="N246" s="1" t="s">
        <v>58</v>
      </c>
      <c r="O246" s="1" t="s">
        <v>69</v>
      </c>
      <c r="Q246" s="1" t="s">
        <v>58</v>
      </c>
      <c r="R246" s="1" t="s">
        <v>58</v>
      </c>
      <c r="S246" s="1" t="s">
        <v>58</v>
      </c>
      <c r="T246" s="1" t="s">
        <v>58</v>
      </c>
      <c r="U246" s="1" t="s">
        <v>58</v>
      </c>
      <c r="V246" s="1" t="s">
        <v>58</v>
      </c>
      <c r="W246" s="1" t="s">
        <v>58</v>
      </c>
      <c r="X246" s="1" t="s">
        <v>81</v>
      </c>
      <c r="Y246" s="1" t="s">
        <v>60</v>
      </c>
      <c r="Z246" s="1" t="s">
        <v>108</v>
      </c>
      <c r="AA246" s="2">
        <v>100.0</v>
      </c>
      <c r="AB246" s="1" t="s">
        <v>28</v>
      </c>
      <c r="AC246" s="1" t="s">
        <v>71</v>
      </c>
      <c r="AG246" s="1" t="s">
        <v>51</v>
      </c>
      <c r="AH246" s="2">
        <v>500.0</v>
      </c>
      <c r="AI246" s="2">
        <v>0.0</v>
      </c>
      <c r="AJ246" s="2">
        <v>0.0</v>
      </c>
      <c r="AK246" s="2">
        <v>0.0</v>
      </c>
      <c r="AL246" s="2">
        <v>1.0</v>
      </c>
      <c r="AM246" s="1" t="s">
        <v>51</v>
      </c>
      <c r="AN246" s="2">
        <v>6.99134499E8</v>
      </c>
      <c r="AP246" s="2">
        <v>4.90412359E8</v>
      </c>
      <c r="AQ246" s="1" t="s">
        <v>378</v>
      </c>
      <c r="AR246" s="2">
        <v>45809.445335648146</v>
      </c>
      <c r="AU246" s="1" t="s">
        <v>64</v>
      </c>
      <c r="AW246" s="1" t="s">
        <v>255</v>
      </c>
      <c r="AY246" s="2">
        <v>240.0</v>
      </c>
    </row>
    <row r="247">
      <c r="A247" s="1" t="s">
        <v>51</v>
      </c>
      <c r="C247" s="1" t="s">
        <v>53</v>
      </c>
      <c r="E247" s="1" t="s">
        <v>53</v>
      </c>
      <c r="F247" s="1" t="s">
        <v>54</v>
      </c>
      <c r="G247" s="2">
        <v>41.0</v>
      </c>
      <c r="H247" s="1" t="s">
        <v>55</v>
      </c>
      <c r="I247" s="1" t="s">
        <v>121</v>
      </c>
      <c r="J247" s="1" t="s">
        <v>56</v>
      </c>
      <c r="K247" s="1" t="s">
        <v>87</v>
      </c>
      <c r="M247" s="1" t="s">
        <v>58</v>
      </c>
      <c r="N247" s="1" t="s">
        <v>58</v>
      </c>
      <c r="O247" s="1" t="s">
        <v>58</v>
      </c>
      <c r="Q247" s="1" t="s">
        <v>69</v>
      </c>
      <c r="R247" s="1" t="s">
        <v>69</v>
      </c>
      <c r="S247" s="1" t="s">
        <v>69</v>
      </c>
      <c r="T247" s="1" t="s">
        <v>69</v>
      </c>
      <c r="U247" s="1" t="s">
        <v>58</v>
      </c>
      <c r="V247" s="1" t="s">
        <v>58</v>
      </c>
      <c r="W247" s="1" t="s">
        <v>69</v>
      </c>
      <c r="X247" s="1" t="s">
        <v>81</v>
      </c>
      <c r="Y247" s="1" t="s">
        <v>227</v>
      </c>
      <c r="Z247" s="1" t="s">
        <v>89</v>
      </c>
      <c r="AA247" s="2">
        <v>100.0</v>
      </c>
      <c r="AB247" s="1" t="s">
        <v>62</v>
      </c>
      <c r="AC247" s="1" t="s">
        <v>71</v>
      </c>
      <c r="AF247" s="1" t="s">
        <v>51</v>
      </c>
      <c r="AG247" s="1" t="s">
        <v>51</v>
      </c>
      <c r="AH247" s="2">
        <v>50.0</v>
      </c>
      <c r="AI247" s="2">
        <v>0.0</v>
      </c>
      <c r="AJ247" s="2">
        <v>0.0</v>
      </c>
      <c r="AK247" s="2">
        <v>0.0</v>
      </c>
      <c r="AL247" s="2">
        <v>1.0</v>
      </c>
      <c r="AM247" s="1" t="s">
        <v>51</v>
      </c>
      <c r="AP247" s="2">
        <v>4.90413733E8</v>
      </c>
      <c r="AQ247" s="1" t="s">
        <v>379</v>
      </c>
      <c r="AR247" s="2">
        <v>45809.44829861111</v>
      </c>
      <c r="AU247" s="1" t="s">
        <v>64</v>
      </c>
      <c r="AW247" s="1" t="s">
        <v>255</v>
      </c>
      <c r="AY247" s="2">
        <v>241.0</v>
      </c>
    </row>
    <row r="248">
      <c r="A248" s="1" t="s">
        <v>51</v>
      </c>
      <c r="C248" s="1" t="s">
        <v>151</v>
      </c>
      <c r="E248" s="1" t="s">
        <v>53</v>
      </c>
      <c r="F248" s="1" t="s">
        <v>232</v>
      </c>
      <c r="G248" s="2">
        <v>31.0</v>
      </c>
      <c r="H248" s="1" t="s">
        <v>66</v>
      </c>
      <c r="I248" s="1" t="s">
        <v>100</v>
      </c>
      <c r="J248" s="1" t="s">
        <v>68</v>
      </c>
      <c r="K248" s="1" t="s">
        <v>74</v>
      </c>
      <c r="M248" s="1" t="s">
        <v>58</v>
      </c>
      <c r="N248" s="1" t="s">
        <v>58</v>
      </c>
      <c r="O248" s="1" t="s">
        <v>69</v>
      </c>
      <c r="Q248" s="1" t="s">
        <v>69</v>
      </c>
      <c r="R248" s="1" t="s">
        <v>69</v>
      </c>
      <c r="S248" s="1" t="s">
        <v>58</v>
      </c>
      <c r="T248" s="1" t="s">
        <v>58</v>
      </c>
      <c r="U248" s="1" t="s">
        <v>70</v>
      </c>
      <c r="V248" s="1" t="s">
        <v>58</v>
      </c>
      <c r="W248" s="1" t="s">
        <v>69</v>
      </c>
      <c r="X248" s="1" t="s">
        <v>81</v>
      </c>
      <c r="Y248" s="1" t="s">
        <v>82</v>
      </c>
      <c r="Z248" s="1" t="s">
        <v>61</v>
      </c>
      <c r="AA248" s="2">
        <v>10.0</v>
      </c>
      <c r="AB248" s="1" t="s">
        <v>79</v>
      </c>
      <c r="AC248" s="1" t="s">
        <v>71</v>
      </c>
      <c r="AF248" s="1" t="s">
        <v>51</v>
      </c>
      <c r="AG248" s="1" t="s">
        <v>72</v>
      </c>
      <c r="AI248" s="2">
        <v>1.0</v>
      </c>
      <c r="AJ248" s="2">
        <v>1.0</v>
      </c>
      <c r="AK248" s="2">
        <v>1.0</v>
      </c>
      <c r="AL248" s="2">
        <v>1.0</v>
      </c>
      <c r="AM248" s="1" t="s">
        <v>72</v>
      </c>
      <c r="AP248" s="2">
        <v>4.90413758E8</v>
      </c>
      <c r="AQ248" s="1" t="s">
        <v>380</v>
      </c>
      <c r="AR248" s="2">
        <v>45809.448379629626</v>
      </c>
      <c r="AU248" s="1" t="s">
        <v>64</v>
      </c>
      <c r="AW248" s="1" t="s">
        <v>255</v>
      </c>
      <c r="AY248" s="2">
        <v>242.0</v>
      </c>
    </row>
    <row r="249">
      <c r="A249" s="1" t="s">
        <v>51</v>
      </c>
      <c r="C249" s="1" t="s">
        <v>131</v>
      </c>
      <c r="E249" s="1" t="s">
        <v>53</v>
      </c>
      <c r="F249" s="1" t="s">
        <v>54</v>
      </c>
      <c r="G249" s="2">
        <v>33.0</v>
      </c>
      <c r="H249" s="1" t="s">
        <v>66</v>
      </c>
      <c r="I249" s="1" t="s">
        <v>67</v>
      </c>
      <c r="J249" s="1" t="s">
        <v>111</v>
      </c>
      <c r="K249" s="1" t="s">
        <v>74</v>
      </c>
      <c r="M249" s="1" t="s">
        <v>58</v>
      </c>
      <c r="N249" s="1" t="s">
        <v>58</v>
      </c>
      <c r="O249" s="1" t="s">
        <v>69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81</v>
      </c>
      <c r="Y249" s="1" t="s">
        <v>172</v>
      </c>
      <c r="Z249" s="1" t="s">
        <v>96</v>
      </c>
      <c r="AA249" s="2">
        <v>100.0</v>
      </c>
      <c r="AB249" s="1" t="s">
        <v>79</v>
      </c>
      <c r="AC249" s="1" t="s">
        <v>71</v>
      </c>
      <c r="AF249" s="1" t="s">
        <v>51</v>
      </c>
      <c r="AG249" s="1" t="s">
        <v>51</v>
      </c>
      <c r="AH249" s="2">
        <v>500.0</v>
      </c>
      <c r="AI249" s="2">
        <v>0.0</v>
      </c>
      <c r="AJ249" s="2">
        <v>0.0</v>
      </c>
      <c r="AK249" s="2">
        <v>0.0</v>
      </c>
      <c r="AL249" s="2">
        <v>1.0</v>
      </c>
      <c r="AM249" s="1" t="s">
        <v>51</v>
      </c>
      <c r="AN249" s="2">
        <v>7.27923016E8</v>
      </c>
      <c r="AP249" s="2">
        <v>4.90414212E8</v>
      </c>
      <c r="AQ249" s="1" t="s">
        <v>381</v>
      </c>
      <c r="AR249" s="2">
        <v>45809.44950231481</v>
      </c>
      <c r="AU249" s="1" t="s">
        <v>64</v>
      </c>
      <c r="AW249" s="1" t="s">
        <v>255</v>
      </c>
      <c r="AY249" s="2">
        <v>243.0</v>
      </c>
    </row>
    <row r="250">
      <c r="A250" s="1" t="s">
        <v>51</v>
      </c>
      <c r="C250" s="1" t="s">
        <v>131</v>
      </c>
      <c r="E250" s="1" t="s">
        <v>53</v>
      </c>
      <c r="F250" s="1" t="s">
        <v>54</v>
      </c>
      <c r="G250" s="2">
        <v>29.0</v>
      </c>
      <c r="H250" s="1" t="s">
        <v>55</v>
      </c>
      <c r="I250" s="1" t="s">
        <v>100</v>
      </c>
      <c r="J250" s="1" t="s">
        <v>68</v>
      </c>
      <c r="K250" s="1" t="s">
        <v>57</v>
      </c>
      <c r="M250" s="1" t="s">
        <v>58</v>
      </c>
      <c r="N250" s="1" t="s">
        <v>58</v>
      </c>
      <c r="O250" s="1" t="s">
        <v>70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81</v>
      </c>
      <c r="Y250" s="1" t="s">
        <v>172</v>
      </c>
      <c r="Z250" s="1" t="s">
        <v>127</v>
      </c>
      <c r="AA250" s="2">
        <v>50.0</v>
      </c>
      <c r="AB250" s="1" t="s">
        <v>28</v>
      </c>
      <c r="AF250" s="1" t="s">
        <v>51</v>
      </c>
      <c r="AG250" s="1" t="s">
        <v>72</v>
      </c>
      <c r="AI250" s="2">
        <v>0.0</v>
      </c>
      <c r="AJ250" s="2">
        <v>0.0</v>
      </c>
      <c r="AK250" s="2">
        <v>0.0</v>
      </c>
      <c r="AL250" s="2">
        <v>1.0</v>
      </c>
      <c r="AM250" s="1" t="s">
        <v>51</v>
      </c>
      <c r="AN250" s="2">
        <v>7.38978684E8</v>
      </c>
      <c r="AP250" s="2">
        <v>4.9041502E8</v>
      </c>
      <c r="AQ250" s="1" t="s">
        <v>382</v>
      </c>
      <c r="AR250" s="2">
        <v>45809.45144675926</v>
      </c>
      <c r="AU250" s="1" t="s">
        <v>64</v>
      </c>
      <c r="AW250" s="1" t="s">
        <v>255</v>
      </c>
      <c r="AY250" s="2">
        <v>244.0</v>
      </c>
    </row>
    <row r="251">
      <c r="A251" s="1" t="s">
        <v>51</v>
      </c>
      <c r="C251" s="1" t="s">
        <v>131</v>
      </c>
      <c r="E251" s="1" t="s">
        <v>53</v>
      </c>
      <c r="F251" s="1" t="s">
        <v>54</v>
      </c>
      <c r="G251" s="2">
        <v>38.0</v>
      </c>
      <c r="H251" s="1" t="s">
        <v>55</v>
      </c>
      <c r="I251" s="1" t="s">
        <v>67</v>
      </c>
      <c r="J251" s="1" t="s">
        <v>111</v>
      </c>
      <c r="K251" s="1" t="s">
        <v>74</v>
      </c>
      <c r="M251" s="1" t="s">
        <v>58</v>
      </c>
      <c r="N251" s="1" t="s">
        <v>58</v>
      </c>
      <c r="O251" s="1" t="s">
        <v>69</v>
      </c>
      <c r="Q251" s="1" t="s">
        <v>69</v>
      </c>
      <c r="R251" s="1" t="s">
        <v>69</v>
      </c>
      <c r="S251" s="1" t="s">
        <v>58</v>
      </c>
      <c r="T251" s="1" t="s">
        <v>69</v>
      </c>
      <c r="U251" s="1" t="s">
        <v>69</v>
      </c>
      <c r="V251" s="1" t="s">
        <v>69</v>
      </c>
      <c r="W251" s="1" t="s">
        <v>69</v>
      </c>
      <c r="X251" s="1" t="s">
        <v>59</v>
      </c>
      <c r="Y251" s="1" t="s">
        <v>82</v>
      </c>
      <c r="Z251" s="1" t="s">
        <v>96</v>
      </c>
      <c r="AA251" s="2">
        <v>100.0</v>
      </c>
      <c r="AB251" s="1" t="s">
        <v>62</v>
      </c>
      <c r="AC251" s="1" t="s">
        <v>51</v>
      </c>
      <c r="AD251" s="1" t="s">
        <v>81</v>
      </c>
      <c r="AE251" s="1" t="s">
        <v>51</v>
      </c>
      <c r="AF251" s="1" t="s">
        <v>51</v>
      </c>
      <c r="AG251" s="1" t="s">
        <v>51</v>
      </c>
      <c r="AH251" s="2">
        <v>10.0</v>
      </c>
      <c r="AI251" s="2">
        <v>1.0</v>
      </c>
      <c r="AJ251" s="2">
        <v>0.0</v>
      </c>
      <c r="AK251" s="2">
        <v>0.0</v>
      </c>
      <c r="AL251" s="2">
        <v>0.0</v>
      </c>
      <c r="AM251" s="1" t="s">
        <v>51</v>
      </c>
      <c r="AN251" s="2">
        <v>6.04436785E8</v>
      </c>
      <c r="AP251" s="2">
        <v>4.90415423E8</v>
      </c>
      <c r="AQ251" s="1" t="s">
        <v>383</v>
      </c>
      <c r="AR251" s="2">
        <v>45809.452048611114</v>
      </c>
      <c r="AU251" s="1" t="s">
        <v>64</v>
      </c>
      <c r="AW251" s="1" t="s">
        <v>255</v>
      </c>
      <c r="AY251" s="2">
        <v>245.0</v>
      </c>
    </row>
    <row r="252">
      <c r="A252" s="1" t="s">
        <v>51</v>
      </c>
      <c r="C252" s="1" t="s">
        <v>52</v>
      </c>
      <c r="E252" s="1" t="s">
        <v>53</v>
      </c>
      <c r="F252" s="1" t="s">
        <v>54</v>
      </c>
      <c r="G252" s="2">
        <v>43.0</v>
      </c>
      <c r="H252" s="1" t="s">
        <v>55</v>
      </c>
      <c r="I252" s="1" t="s">
        <v>67</v>
      </c>
      <c r="J252" s="1" t="s">
        <v>56</v>
      </c>
      <c r="K252" s="1" t="s">
        <v>57</v>
      </c>
      <c r="M252" s="1" t="s">
        <v>58</v>
      </c>
      <c r="N252" s="1" t="s">
        <v>58</v>
      </c>
      <c r="O252" s="1" t="s">
        <v>69</v>
      </c>
      <c r="Q252" s="1" t="s">
        <v>58</v>
      </c>
      <c r="R252" s="1" t="s">
        <v>58</v>
      </c>
      <c r="S252" s="1" t="s">
        <v>70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81</v>
      </c>
      <c r="Y252" s="1" t="s">
        <v>172</v>
      </c>
      <c r="Z252" s="1" t="s">
        <v>96</v>
      </c>
      <c r="AA252" s="2">
        <v>50.0</v>
      </c>
      <c r="AB252" s="1" t="s">
        <v>28</v>
      </c>
      <c r="AC252" s="1" t="s">
        <v>71</v>
      </c>
      <c r="AF252" s="1" t="s">
        <v>51</v>
      </c>
      <c r="AG252" s="1" t="s">
        <v>51</v>
      </c>
      <c r="AH252" s="2">
        <v>500.0</v>
      </c>
      <c r="AI252" s="2">
        <v>0.0</v>
      </c>
      <c r="AJ252" s="2">
        <v>0.0</v>
      </c>
      <c r="AK252" s="2">
        <v>0.0</v>
      </c>
      <c r="AL252" s="2">
        <v>1.0</v>
      </c>
      <c r="AM252" s="1" t="s">
        <v>51</v>
      </c>
      <c r="AN252" s="2">
        <v>7.12667257E8</v>
      </c>
      <c r="AP252" s="2">
        <v>4.90415882E8</v>
      </c>
      <c r="AQ252" s="1" t="s">
        <v>384</v>
      </c>
      <c r="AR252" s="2">
        <v>45809.45297453704</v>
      </c>
      <c r="AU252" s="1" t="s">
        <v>64</v>
      </c>
      <c r="AW252" s="1" t="s">
        <v>255</v>
      </c>
      <c r="AY252" s="2">
        <v>246.0</v>
      </c>
    </row>
    <row r="253">
      <c r="A253" s="1" t="s">
        <v>51</v>
      </c>
      <c r="C253" s="1" t="s">
        <v>52</v>
      </c>
      <c r="E253" s="1" t="s">
        <v>53</v>
      </c>
      <c r="F253" s="1" t="s">
        <v>54</v>
      </c>
      <c r="G253" s="2">
        <v>36.0</v>
      </c>
      <c r="H253" s="1" t="s">
        <v>66</v>
      </c>
      <c r="I253" s="1" t="s">
        <v>67</v>
      </c>
      <c r="J253" s="1" t="s">
        <v>111</v>
      </c>
      <c r="K253" s="1" t="s">
        <v>57</v>
      </c>
      <c r="M253" s="1" t="s">
        <v>58</v>
      </c>
      <c r="N253" s="1" t="s">
        <v>58</v>
      </c>
      <c r="O253" s="1" t="s">
        <v>69</v>
      </c>
      <c r="Q253" s="1" t="s">
        <v>58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81</v>
      </c>
      <c r="Y253" s="1" t="s">
        <v>82</v>
      </c>
      <c r="Z253" s="1" t="s">
        <v>127</v>
      </c>
      <c r="AA253" s="2">
        <v>100.0</v>
      </c>
      <c r="AB253" s="1" t="s">
        <v>28</v>
      </c>
      <c r="AC253" s="1" t="s">
        <v>71</v>
      </c>
      <c r="AF253" s="1" t="s">
        <v>51</v>
      </c>
      <c r="AG253" s="1" t="s">
        <v>72</v>
      </c>
      <c r="AI253" s="2">
        <v>1.0</v>
      </c>
      <c r="AJ253" s="2">
        <v>0.0</v>
      </c>
      <c r="AK253" s="2">
        <v>0.0</v>
      </c>
      <c r="AL253" s="2">
        <v>0.0</v>
      </c>
      <c r="AM253" s="1" t="s">
        <v>51</v>
      </c>
      <c r="AN253" s="2">
        <v>8.37472508E8</v>
      </c>
      <c r="AP253" s="2">
        <v>4.90416674E8</v>
      </c>
      <c r="AQ253" s="1" t="s">
        <v>385</v>
      </c>
      <c r="AR253" s="2">
        <v>45809.45445601852</v>
      </c>
      <c r="AU253" s="1" t="s">
        <v>64</v>
      </c>
      <c r="AW253" s="1" t="s">
        <v>255</v>
      </c>
      <c r="AY253" s="2">
        <v>247.0</v>
      </c>
    </row>
    <row r="254">
      <c r="A254" s="1" t="s">
        <v>51</v>
      </c>
      <c r="C254" s="1" t="s">
        <v>52</v>
      </c>
      <c r="E254" s="1" t="s">
        <v>53</v>
      </c>
      <c r="F254" s="1" t="s">
        <v>54</v>
      </c>
      <c r="G254" s="2">
        <v>33.0</v>
      </c>
      <c r="H254" s="1" t="s">
        <v>55</v>
      </c>
      <c r="I254" s="1" t="s">
        <v>100</v>
      </c>
      <c r="J254" s="1" t="s">
        <v>111</v>
      </c>
      <c r="K254" s="1" t="s">
        <v>57</v>
      </c>
      <c r="M254" s="1" t="s">
        <v>58</v>
      </c>
      <c r="N254" s="1" t="s">
        <v>58</v>
      </c>
      <c r="O254" s="1" t="s">
        <v>70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81</v>
      </c>
      <c r="Y254" s="1" t="s">
        <v>172</v>
      </c>
      <c r="AA254" s="2">
        <v>50.0</v>
      </c>
      <c r="AB254" s="1" t="s">
        <v>28</v>
      </c>
      <c r="AC254" s="1" t="s">
        <v>71</v>
      </c>
      <c r="AF254" s="1" t="s">
        <v>51</v>
      </c>
      <c r="AG254" s="1" t="s">
        <v>72</v>
      </c>
      <c r="AI254" s="2">
        <v>0.0</v>
      </c>
      <c r="AJ254" s="2">
        <v>0.0</v>
      </c>
      <c r="AK254" s="2">
        <v>0.0</v>
      </c>
      <c r="AL254" s="2">
        <v>1.0</v>
      </c>
      <c r="AM254" s="1" t="s">
        <v>51</v>
      </c>
      <c r="AN254" s="2">
        <v>7.87472508E8</v>
      </c>
      <c r="AP254" s="2">
        <v>4.90417179E8</v>
      </c>
      <c r="AQ254" s="1" t="s">
        <v>386</v>
      </c>
      <c r="AR254" s="2">
        <v>45809.455555555556</v>
      </c>
      <c r="AU254" s="1" t="s">
        <v>64</v>
      </c>
      <c r="AW254" s="1" t="s">
        <v>255</v>
      </c>
      <c r="AY254" s="2">
        <v>248.0</v>
      </c>
    </row>
    <row r="255">
      <c r="A255" s="1" t="s">
        <v>51</v>
      </c>
      <c r="C255" s="1" t="s">
        <v>52</v>
      </c>
      <c r="E255" s="1" t="s">
        <v>53</v>
      </c>
      <c r="F255" s="1" t="s">
        <v>54</v>
      </c>
      <c r="G255" s="2">
        <v>45.0</v>
      </c>
      <c r="H255" s="1" t="s">
        <v>66</v>
      </c>
      <c r="I255" s="1" t="s">
        <v>100</v>
      </c>
      <c r="J255" s="1" t="s">
        <v>111</v>
      </c>
      <c r="K255" s="1" t="s">
        <v>74</v>
      </c>
      <c r="M255" s="1" t="s">
        <v>58</v>
      </c>
      <c r="N255" s="1" t="s">
        <v>58</v>
      </c>
      <c r="O255" s="1" t="s">
        <v>69</v>
      </c>
      <c r="Q255" s="1" t="s">
        <v>58</v>
      </c>
      <c r="R255" s="1" t="s">
        <v>58</v>
      </c>
      <c r="S255" s="1" t="s">
        <v>58</v>
      </c>
      <c r="T255" s="1" t="s">
        <v>58</v>
      </c>
      <c r="U255" s="1" t="s">
        <v>58</v>
      </c>
      <c r="V255" s="1" t="s">
        <v>58</v>
      </c>
      <c r="W255" s="1" t="s">
        <v>58</v>
      </c>
      <c r="X255" s="1" t="s">
        <v>81</v>
      </c>
      <c r="Y255" s="1" t="s">
        <v>60</v>
      </c>
      <c r="Z255" s="1" t="s">
        <v>96</v>
      </c>
      <c r="AA255" s="2">
        <v>100.0</v>
      </c>
      <c r="AB255" s="1" t="s">
        <v>79</v>
      </c>
      <c r="AC255" s="1" t="s">
        <v>71</v>
      </c>
      <c r="AF255" s="1" t="s">
        <v>51</v>
      </c>
      <c r="AG255" s="1" t="s">
        <v>72</v>
      </c>
      <c r="AI255" s="2">
        <v>0.0</v>
      </c>
      <c r="AJ255" s="2">
        <v>0.0</v>
      </c>
      <c r="AK255" s="2">
        <v>0.0</v>
      </c>
      <c r="AL255" s="2">
        <v>1.0</v>
      </c>
      <c r="AM255" s="1" t="s">
        <v>51</v>
      </c>
      <c r="AN255" s="2">
        <v>7.19438817E8</v>
      </c>
      <c r="AP255" s="2">
        <v>4.90417778E8</v>
      </c>
      <c r="AQ255" s="1" t="s">
        <v>387</v>
      </c>
      <c r="AR255" s="2">
        <v>45809.457094907404</v>
      </c>
      <c r="AU255" s="1" t="s">
        <v>64</v>
      </c>
      <c r="AW255" s="1" t="s">
        <v>255</v>
      </c>
      <c r="AY255" s="2">
        <v>249.0</v>
      </c>
    </row>
    <row r="256">
      <c r="A256" s="1" t="s">
        <v>51</v>
      </c>
      <c r="C256" s="1" t="s">
        <v>52</v>
      </c>
      <c r="E256" s="1" t="s">
        <v>53</v>
      </c>
      <c r="F256" s="1" t="s">
        <v>54</v>
      </c>
      <c r="G256" s="2">
        <v>44.0</v>
      </c>
      <c r="H256" s="1" t="s">
        <v>66</v>
      </c>
      <c r="I256" s="1" t="s">
        <v>67</v>
      </c>
      <c r="J256" s="1" t="s">
        <v>68</v>
      </c>
      <c r="K256" s="1" t="s">
        <v>74</v>
      </c>
      <c r="M256" s="1" t="s">
        <v>58</v>
      </c>
      <c r="N256" s="1" t="s">
        <v>58</v>
      </c>
      <c r="O256" s="1" t="s">
        <v>69</v>
      </c>
      <c r="Q256" s="1" t="s">
        <v>58</v>
      </c>
      <c r="R256" s="1" t="s">
        <v>58</v>
      </c>
      <c r="S256" s="1" t="s">
        <v>69</v>
      </c>
      <c r="T256" s="1" t="s">
        <v>69</v>
      </c>
      <c r="U256" s="1" t="s">
        <v>58</v>
      </c>
      <c r="V256" s="1" t="s">
        <v>58</v>
      </c>
      <c r="W256" s="1" t="s">
        <v>69</v>
      </c>
      <c r="Y256" s="1" t="s">
        <v>82</v>
      </c>
      <c r="Z256" s="1" t="s">
        <v>96</v>
      </c>
      <c r="AA256" s="2">
        <v>100.0</v>
      </c>
      <c r="AB256" s="1" t="s">
        <v>28</v>
      </c>
      <c r="AC256" s="1" t="s">
        <v>71</v>
      </c>
      <c r="AF256" s="1" t="s">
        <v>51</v>
      </c>
      <c r="AG256" s="1" t="s">
        <v>72</v>
      </c>
      <c r="AI256" s="2">
        <v>0.0</v>
      </c>
      <c r="AJ256" s="2">
        <v>0.0</v>
      </c>
      <c r="AK256" s="2">
        <v>0.0</v>
      </c>
      <c r="AL256" s="2">
        <v>1.0</v>
      </c>
      <c r="AM256" s="1" t="s">
        <v>51</v>
      </c>
      <c r="AN256" s="2">
        <v>6.56267166E8</v>
      </c>
      <c r="AP256" s="2">
        <v>4.90418598E8</v>
      </c>
      <c r="AQ256" s="1" t="s">
        <v>388</v>
      </c>
      <c r="AR256" s="2">
        <v>45809.45890046296</v>
      </c>
      <c r="AU256" s="1" t="s">
        <v>64</v>
      </c>
      <c r="AW256" s="1" t="s">
        <v>255</v>
      </c>
      <c r="AY256" s="2">
        <v>250.0</v>
      </c>
    </row>
    <row r="257">
      <c r="A257" s="1" t="s">
        <v>51</v>
      </c>
      <c r="C257" s="1" t="s">
        <v>52</v>
      </c>
      <c r="E257" s="1" t="s">
        <v>53</v>
      </c>
      <c r="F257" s="1" t="s">
        <v>54</v>
      </c>
      <c r="G257" s="2">
        <v>29.0</v>
      </c>
      <c r="H257" s="1" t="s">
        <v>66</v>
      </c>
      <c r="I257" s="1" t="s">
        <v>67</v>
      </c>
      <c r="J257" s="1" t="s">
        <v>111</v>
      </c>
      <c r="K257" s="1" t="s">
        <v>74</v>
      </c>
      <c r="M257" s="1" t="s">
        <v>58</v>
      </c>
      <c r="N257" s="1" t="s">
        <v>58</v>
      </c>
      <c r="O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81</v>
      </c>
      <c r="Y257" s="1" t="s">
        <v>172</v>
      </c>
      <c r="Z257" s="1" t="s">
        <v>127</v>
      </c>
      <c r="AA257" s="2">
        <v>100.0</v>
      </c>
      <c r="AB257" s="1" t="s">
        <v>28</v>
      </c>
      <c r="AC257" s="1" t="s">
        <v>71</v>
      </c>
      <c r="AF257" s="1" t="s">
        <v>51</v>
      </c>
      <c r="AI257" s="2">
        <v>0.0</v>
      </c>
      <c r="AJ257" s="2">
        <v>0.0</v>
      </c>
      <c r="AK257" s="2">
        <v>0.0</v>
      </c>
      <c r="AL257" s="2">
        <v>1.0</v>
      </c>
      <c r="AM257" s="1" t="s">
        <v>51</v>
      </c>
      <c r="AN257" s="2">
        <v>7.38839923E8</v>
      </c>
      <c r="AP257" s="2">
        <v>4.904193E8</v>
      </c>
      <c r="AQ257" s="1" t="s">
        <v>389</v>
      </c>
      <c r="AR257" s="2">
        <v>45809.46008101852</v>
      </c>
      <c r="AU257" s="1" t="s">
        <v>64</v>
      </c>
      <c r="AW257" s="1" t="s">
        <v>255</v>
      </c>
      <c r="AY257" s="2">
        <v>251.0</v>
      </c>
    </row>
    <row r="258">
      <c r="A258" s="1" t="s">
        <v>51</v>
      </c>
      <c r="C258" s="1" t="s">
        <v>52</v>
      </c>
      <c r="E258" s="1" t="s">
        <v>53</v>
      </c>
      <c r="F258" s="1" t="s">
        <v>54</v>
      </c>
      <c r="G258" s="2">
        <v>40.0</v>
      </c>
      <c r="H258" s="1" t="s">
        <v>55</v>
      </c>
      <c r="I258" s="1" t="s">
        <v>67</v>
      </c>
      <c r="J258" s="1" t="s">
        <v>111</v>
      </c>
      <c r="K258" s="1" t="s">
        <v>74</v>
      </c>
      <c r="M258" s="1" t="s">
        <v>58</v>
      </c>
      <c r="N258" s="1" t="s">
        <v>58</v>
      </c>
      <c r="O258" s="1" t="s">
        <v>69</v>
      </c>
      <c r="Q258" s="1" t="s">
        <v>58</v>
      </c>
      <c r="R258" s="1" t="s">
        <v>58</v>
      </c>
      <c r="S258" s="1" t="s">
        <v>69</v>
      </c>
      <c r="T258" s="1" t="s">
        <v>58</v>
      </c>
      <c r="U258" s="1" t="s">
        <v>70</v>
      </c>
      <c r="V258" s="1" t="s">
        <v>58</v>
      </c>
      <c r="W258" s="1" t="s">
        <v>69</v>
      </c>
      <c r="X258" s="1" t="s">
        <v>59</v>
      </c>
      <c r="Z258" s="1" t="s">
        <v>89</v>
      </c>
      <c r="AA258" s="2">
        <v>50.0</v>
      </c>
      <c r="AB258" s="1" t="s">
        <v>62</v>
      </c>
      <c r="AC258" s="1" t="s">
        <v>51</v>
      </c>
      <c r="AD258" s="1" t="s">
        <v>81</v>
      </c>
      <c r="AE258" s="1" t="s">
        <v>51</v>
      </c>
      <c r="AF258" s="1" t="s">
        <v>51</v>
      </c>
      <c r="AG258" s="1" t="s">
        <v>51</v>
      </c>
      <c r="AH258" s="2">
        <v>20.0</v>
      </c>
      <c r="AI258" s="2">
        <v>1.0</v>
      </c>
      <c r="AJ258" s="2">
        <v>0.0</v>
      </c>
      <c r="AK258" s="2">
        <v>0.0</v>
      </c>
      <c r="AL258" s="2">
        <v>0.0</v>
      </c>
      <c r="AM258" s="1" t="s">
        <v>51</v>
      </c>
      <c r="AN258" s="2">
        <v>6.2639941E8</v>
      </c>
      <c r="AP258" s="2">
        <v>4.90422919E8</v>
      </c>
      <c r="AQ258" s="1" t="s">
        <v>390</v>
      </c>
      <c r="AR258" s="2">
        <v>45809.46800925926</v>
      </c>
      <c r="AU258" s="1" t="s">
        <v>64</v>
      </c>
      <c r="AW258" s="1" t="s">
        <v>255</v>
      </c>
      <c r="AY258" s="2">
        <v>252.0</v>
      </c>
    </row>
    <row r="259">
      <c r="A259" s="1" t="s">
        <v>51</v>
      </c>
      <c r="C259" s="1" t="s">
        <v>52</v>
      </c>
      <c r="E259" s="1" t="s">
        <v>53</v>
      </c>
      <c r="F259" s="1" t="s">
        <v>54</v>
      </c>
      <c r="G259" s="2">
        <v>29.0</v>
      </c>
      <c r="H259" s="1" t="s">
        <v>55</v>
      </c>
      <c r="I259" s="1" t="s">
        <v>100</v>
      </c>
      <c r="J259" s="1" t="s">
        <v>68</v>
      </c>
      <c r="K259" s="1" t="s">
        <v>57</v>
      </c>
      <c r="M259" s="1" t="s">
        <v>58</v>
      </c>
      <c r="N259" s="1" t="s">
        <v>58</v>
      </c>
      <c r="O259" s="1" t="s">
        <v>69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81</v>
      </c>
      <c r="Y259" s="1" t="s">
        <v>172</v>
      </c>
      <c r="Z259" s="1" t="s">
        <v>96</v>
      </c>
      <c r="AA259" s="2">
        <v>100.0</v>
      </c>
      <c r="AB259" s="1" t="s">
        <v>28</v>
      </c>
      <c r="AC259" s="1" t="s">
        <v>71</v>
      </c>
      <c r="AF259" s="1" t="s">
        <v>51</v>
      </c>
      <c r="AG259" s="1" t="s">
        <v>72</v>
      </c>
      <c r="AI259" s="2">
        <v>0.0</v>
      </c>
      <c r="AJ259" s="2">
        <v>0.0</v>
      </c>
      <c r="AK259" s="2">
        <v>0.0</v>
      </c>
      <c r="AL259" s="2">
        <v>1.0</v>
      </c>
      <c r="AM259" s="1" t="s">
        <v>51</v>
      </c>
      <c r="AN259" s="2">
        <v>6.7069764E8</v>
      </c>
      <c r="AP259" s="2">
        <v>4.90424099E8</v>
      </c>
      <c r="AQ259" s="1" t="s">
        <v>391</v>
      </c>
      <c r="AR259" s="2">
        <v>45809.47068287037</v>
      </c>
      <c r="AU259" s="1" t="s">
        <v>64</v>
      </c>
      <c r="AW259" s="1" t="s">
        <v>255</v>
      </c>
      <c r="AY259" s="2">
        <v>253.0</v>
      </c>
    </row>
    <row r="260">
      <c r="A260" s="1" t="s">
        <v>51</v>
      </c>
      <c r="C260" s="1" t="s">
        <v>52</v>
      </c>
      <c r="E260" s="1" t="s">
        <v>53</v>
      </c>
      <c r="F260" s="1" t="s">
        <v>54</v>
      </c>
      <c r="G260" s="2">
        <v>30.0</v>
      </c>
      <c r="H260" s="1" t="s">
        <v>55</v>
      </c>
      <c r="I260" s="1" t="s">
        <v>100</v>
      </c>
      <c r="J260" s="1" t="s">
        <v>68</v>
      </c>
      <c r="K260" s="1" t="s">
        <v>74</v>
      </c>
      <c r="M260" s="1" t="s">
        <v>58</v>
      </c>
      <c r="N260" s="1" t="s">
        <v>58</v>
      </c>
      <c r="O260" s="1" t="s">
        <v>69</v>
      </c>
      <c r="Q260" s="1" t="s">
        <v>69</v>
      </c>
      <c r="R260" s="1" t="s">
        <v>58</v>
      </c>
      <c r="S260" s="1" t="s">
        <v>58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81</v>
      </c>
      <c r="Y260" s="1" t="s">
        <v>172</v>
      </c>
      <c r="Z260" s="1" t="s">
        <v>96</v>
      </c>
      <c r="AA260" s="2">
        <v>100.0</v>
      </c>
      <c r="AB260" s="1" t="s">
        <v>79</v>
      </c>
      <c r="AC260" s="1" t="s">
        <v>71</v>
      </c>
      <c r="AF260" s="1" t="s">
        <v>51</v>
      </c>
      <c r="AI260" s="2">
        <v>0.0</v>
      </c>
      <c r="AJ260" s="2">
        <v>0.0</v>
      </c>
      <c r="AK260" s="2">
        <v>0.0</v>
      </c>
      <c r="AL260" s="2">
        <v>1.0</v>
      </c>
      <c r="AM260" s="1" t="s">
        <v>51</v>
      </c>
      <c r="AN260" s="2">
        <v>8.18158267E8</v>
      </c>
      <c r="AP260" s="2">
        <v>4.90424695E8</v>
      </c>
      <c r="AQ260" s="1" t="s">
        <v>392</v>
      </c>
      <c r="AR260" s="2">
        <v>45809.47248842593</v>
      </c>
      <c r="AU260" s="1" t="s">
        <v>64</v>
      </c>
      <c r="AW260" s="1" t="s">
        <v>255</v>
      </c>
      <c r="AY260" s="2">
        <v>254.0</v>
      </c>
    </row>
    <row r="261">
      <c r="A261" s="1" t="s">
        <v>51</v>
      </c>
      <c r="C261" s="1" t="s">
        <v>52</v>
      </c>
      <c r="E261" s="1" t="s">
        <v>53</v>
      </c>
      <c r="F261" s="1" t="s">
        <v>54</v>
      </c>
      <c r="G261" s="2">
        <v>27.0</v>
      </c>
      <c r="H261" s="1" t="s">
        <v>55</v>
      </c>
      <c r="I261" s="1" t="s">
        <v>100</v>
      </c>
      <c r="J261" s="1" t="s">
        <v>68</v>
      </c>
      <c r="K261" s="1" t="s">
        <v>74</v>
      </c>
      <c r="M261" s="1" t="s">
        <v>58</v>
      </c>
      <c r="N261" s="1" t="s">
        <v>58</v>
      </c>
      <c r="O261" s="1" t="s">
        <v>69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81</v>
      </c>
      <c r="Y261" s="1" t="s">
        <v>172</v>
      </c>
      <c r="Z261" s="1" t="s">
        <v>96</v>
      </c>
      <c r="AA261" s="2">
        <v>50.0</v>
      </c>
      <c r="AB261" s="1" t="s">
        <v>79</v>
      </c>
      <c r="AC261" s="1" t="s">
        <v>71</v>
      </c>
      <c r="AF261" s="1" t="s">
        <v>51</v>
      </c>
      <c r="AG261" s="1" t="s">
        <v>51</v>
      </c>
      <c r="AH261" s="2">
        <v>300.0</v>
      </c>
      <c r="AI261" s="2">
        <v>0.0</v>
      </c>
      <c r="AJ261" s="2">
        <v>0.0</v>
      </c>
      <c r="AK261" s="2">
        <v>0.0</v>
      </c>
      <c r="AL261" s="2">
        <v>1.0</v>
      </c>
      <c r="AM261" s="1" t="s">
        <v>51</v>
      </c>
      <c r="AN261" s="2">
        <v>7.29861635E8</v>
      </c>
      <c r="AP261" s="2">
        <v>4.90425587E8</v>
      </c>
      <c r="AQ261" s="1" t="s">
        <v>393</v>
      </c>
      <c r="AR261" s="2">
        <v>45809.474270833336</v>
      </c>
      <c r="AU261" s="1" t="s">
        <v>64</v>
      </c>
      <c r="AW261" s="1" t="s">
        <v>255</v>
      </c>
      <c r="AY261" s="2">
        <v>255.0</v>
      </c>
    </row>
    <row r="262">
      <c r="A262" s="1" t="s">
        <v>51</v>
      </c>
      <c r="C262" s="1" t="s">
        <v>170</v>
      </c>
      <c r="E262" s="1" t="s">
        <v>53</v>
      </c>
      <c r="F262" s="1" t="s">
        <v>102</v>
      </c>
      <c r="G262" s="2">
        <v>37.0</v>
      </c>
      <c r="H262" s="1" t="s">
        <v>55</v>
      </c>
      <c r="I262" s="1" t="s">
        <v>100</v>
      </c>
      <c r="J262" s="1" t="s">
        <v>68</v>
      </c>
      <c r="K262" s="1" t="s">
        <v>78</v>
      </c>
      <c r="M262" s="1" t="s">
        <v>70</v>
      </c>
      <c r="N262" s="1" t="s">
        <v>70</v>
      </c>
      <c r="O262" s="1" t="s">
        <v>69</v>
      </c>
      <c r="Q262" s="1" t="s">
        <v>58</v>
      </c>
      <c r="R262" s="1" t="s">
        <v>58</v>
      </c>
      <c r="S262" s="1" t="s">
        <v>58</v>
      </c>
      <c r="T262" s="1" t="s">
        <v>69</v>
      </c>
      <c r="U262" s="1" t="s">
        <v>69</v>
      </c>
      <c r="V262" s="1" t="s">
        <v>69</v>
      </c>
      <c r="W262" s="1" t="s">
        <v>69</v>
      </c>
      <c r="X262" s="1" t="s">
        <v>81</v>
      </c>
      <c r="Y262" s="1" t="s">
        <v>60</v>
      </c>
      <c r="Z262" s="1" t="s">
        <v>61</v>
      </c>
      <c r="AA262" s="2">
        <v>10.0</v>
      </c>
      <c r="AB262" s="1" t="s">
        <v>79</v>
      </c>
      <c r="AC262" s="1" t="s">
        <v>71</v>
      </c>
      <c r="AF262" s="1" t="s">
        <v>51</v>
      </c>
      <c r="AG262" s="1" t="s">
        <v>72</v>
      </c>
      <c r="AI262" s="2">
        <v>0.0</v>
      </c>
      <c r="AJ262" s="2">
        <v>0.0</v>
      </c>
      <c r="AK262" s="2">
        <v>0.0</v>
      </c>
      <c r="AL262" s="2">
        <v>1.0</v>
      </c>
      <c r="AM262" s="1" t="s">
        <v>72</v>
      </c>
      <c r="AP262" s="2">
        <v>4.90425591E8</v>
      </c>
      <c r="AQ262" s="1" t="s">
        <v>394</v>
      </c>
      <c r="AR262" s="2">
        <v>45809.474270833336</v>
      </c>
      <c r="AU262" s="1" t="s">
        <v>64</v>
      </c>
      <c r="AW262" s="1" t="s">
        <v>255</v>
      </c>
      <c r="AY262" s="2">
        <v>256.0</v>
      </c>
    </row>
    <row r="263">
      <c r="A263" s="1" t="s">
        <v>51</v>
      </c>
      <c r="C263" s="1" t="s">
        <v>52</v>
      </c>
      <c r="E263" s="1" t="s">
        <v>53</v>
      </c>
      <c r="F263" s="1" t="s">
        <v>54</v>
      </c>
      <c r="G263" s="2">
        <v>36.0</v>
      </c>
      <c r="H263" s="1" t="s">
        <v>55</v>
      </c>
      <c r="I263" s="1" t="s">
        <v>100</v>
      </c>
      <c r="J263" s="1" t="s">
        <v>111</v>
      </c>
      <c r="K263" s="1" t="s">
        <v>74</v>
      </c>
      <c r="M263" s="1" t="s">
        <v>58</v>
      </c>
      <c r="N263" s="1" t="s">
        <v>58</v>
      </c>
      <c r="O263" s="1" t="s">
        <v>69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69</v>
      </c>
      <c r="V263" s="1" t="s">
        <v>69</v>
      </c>
      <c r="W263" s="1" t="s">
        <v>69</v>
      </c>
      <c r="X263" s="1" t="s">
        <v>59</v>
      </c>
      <c r="Y263" s="1" t="s">
        <v>172</v>
      </c>
      <c r="Z263" s="1" t="s">
        <v>96</v>
      </c>
      <c r="AA263" s="2">
        <v>50.0</v>
      </c>
      <c r="AB263" s="1" t="s">
        <v>28</v>
      </c>
      <c r="AC263" s="1" t="s">
        <v>71</v>
      </c>
      <c r="AF263" s="1" t="s">
        <v>51</v>
      </c>
      <c r="AG263" s="1" t="s">
        <v>51</v>
      </c>
      <c r="AH263" s="2">
        <v>400.0</v>
      </c>
      <c r="AI263" s="2">
        <v>0.0</v>
      </c>
      <c r="AJ263" s="2">
        <v>0.0</v>
      </c>
      <c r="AK263" s="2">
        <v>0.0</v>
      </c>
      <c r="AL263" s="2">
        <v>1.0</v>
      </c>
      <c r="AM263" s="1" t="s">
        <v>51</v>
      </c>
      <c r="AN263" s="2">
        <v>8.43748237E8</v>
      </c>
      <c r="AP263" s="2">
        <v>4.9042629E8</v>
      </c>
      <c r="AQ263" s="1" t="s">
        <v>395</v>
      </c>
      <c r="AR263" s="2">
        <v>45809.47556712963</v>
      </c>
      <c r="AU263" s="1" t="s">
        <v>64</v>
      </c>
      <c r="AW263" s="1" t="s">
        <v>255</v>
      </c>
      <c r="AY263" s="2">
        <v>257.0</v>
      </c>
    </row>
    <row r="264">
      <c r="A264" s="1" t="s">
        <v>51</v>
      </c>
      <c r="C264" s="1" t="s">
        <v>52</v>
      </c>
      <c r="E264" s="1" t="s">
        <v>53</v>
      </c>
      <c r="F264" s="1" t="s">
        <v>54</v>
      </c>
      <c r="G264" s="2">
        <v>33.0</v>
      </c>
      <c r="H264" s="1" t="s">
        <v>55</v>
      </c>
      <c r="I264" s="1" t="s">
        <v>67</v>
      </c>
      <c r="J264" s="1" t="s">
        <v>56</v>
      </c>
      <c r="K264" s="1" t="s">
        <v>74</v>
      </c>
      <c r="M264" s="1" t="s">
        <v>58</v>
      </c>
      <c r="N264" s="1" t="s">
        <v>58</v>
      </c>
      <c r="O264" s="1" t="s">
        <v>58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81</v>
      </c>
      <c r="Y264" s="1" t="s">
        <v>82</v>
      </c>
      <c r="Z264" s="1" t="s">
        <v>96</v>
      </c>
      <c r="AA264" s="2">
        <v>50.0</v>
      </c>
      <c r="AB264" s="1" t="s">
        <v>79</v>
      </c>
      <c r="AC264" s="1" t="s">
        <v>71</v>
      </c>
      <c r="AF264" s="1" t="s">
        <v>51</v>
      </c>
      <c r="AI264" s="2">
        <v>0.0</v>
      </c>
      <c r="AJ264" s="2">
        <v>1.0</v>
      </c>
      <c r="AK264" s="2">
        <v>0.0</v>
      </c>
      <c r="AL264" s="2">
        <v>0.0</v>
      </c>
      <c r="AM264" s="1" t="s">
        <v>51</v>
      </c>
      <c r="AN264" s="2">
        <v>7.42414746E8</v>
      </c>
      <c r="AP264" s="2">
        <v>4.90426878E8</v>
      </c>
      <c r="AQ264" s="1" t="s">
        <v>396</v>
      </c>
      <c r="AR264" s="2">
        <v>45809.476689814815</v>
      </c>
      <c r="AU264" s="1" t="s">
        <v>64</v>
      </c>
      <c r="AW264" s="1" t="s">
        <v>255</v>
      </c>
      <c r="AY264" s="2">
        <v>258.0</v>
      </c>
    </row>
    <row r="265">
      <c r="A265" s="1" t="s">
        <v>51</v>
      </c>
      <c r="C265" s="1" t="s">
        <v>52</v>
      </c>
      <c r="E265" s="1" t="s">
        <v>53</v>
      </c>
      <c r="G265" s="2">
        <v>26.0</v>
      </c>
      <c r="H265" s="1" t="s">
        <v>66</v>
      </c>
      <c r="I265" s="1" t="s">
        <v>67</v>
      </c>
      <c r="J265" s="1" t="s">
        <v>56</v>
      </c>
      <c r="K265" s="1" t="s">
        <v>74</v>
      </c>
      <c r="M265" s="1" t="s">
        <v>58</v>
      </c>
      <c r="N265" s="1" t="s">
        <v>58</v>
      </c>
      <c r="O265" s="1" t="s">
        <v>58</v>
      </c>
      <c r="Q265" s="1" t="s">
        <v>58</v>
      </c>
      <c r="R265" s="1" t="s">
        <v>58</v>
      </c>
      <c r="S265" s="1" t="s">
        <v>58</v>
      </c>
      <c r="T265" s="1" t="s">
        <v>58</v>
      </c>
      <c r="U265" s="1" t="s">
        <v>58</v>
      </c>
      <c r="V265" s="1" t="s">
        <v>58</v>
      </c>
      <c r="W265" s="1" t="s">
        <v>58</v>
      </c>
      <c r="X265" s="1" t="s">
        <v>81</v>
      </c>
      <c r="Y265" s="1" t="s">
        <v>172</v>
      </c>
      <c r="Z265" s="1" t="s">
        <v>96</v>
      </c>
      <c r="AA265" s="2">
        <v>50.0</v>
      </c>
      <c r="AB265" s="1" t="s">
        <v>79</v>
      </c>
      <c r="AC265" s="1" t="s">
        <v>71</v>
      </c>
      <c r="AF265" s="1" t="s">
        <v>51</v>
      </c>
      <c r="AI265" s="2">
        <v>0.0</v>
      </c>
      <c r="AJ265" s="2">
        <v>0.0</v>
      </c>
      <c r="AK265" s="2">
        <v>0.0</v>
      </c>
      <c r="AL265" s="2">
        <v>1.0</v>
      </c>
      <c r="AM265" s="1" t="s">
        <v>51</v>
      </c>
      <c r="AN265" s="2">
        <v>7.43074844E8</v>
      </c>
      <c r="AP265" s="2">
        <v>4.90427639E8</v>
      </c>
      <c r="AQ265" s="1" t="s">
        <v>397</v>
      </c>
      <c r="AR265" s="2">
        <v>45809.477858796294</v>
      </c>
      <c r="AU265" s="1" t="s">
        <v>64</v>
      </c>
      <c r="AW265" s="1" t="s">
        <v>255</v>
      </c>
      <c r="AY265" s="2">
        <v>259.0</v>
      </c>
    </row>
    <row r="266">
      <c r="A266" s="1" t="s">
        <v>51</v>
      </c>
      <c r="C266" s="1" t="s">
        <v>52</v>
      </c>
      <c r="E266" s="1" t="s">
        <v>53</v>
      </c>
      <c r="F266" s="1" t="s">
        <v>54</v>
      </c>
      <c r="G266" s="2">
        <v>30.0</v>
      </c>
      <c r="H266" s="1" t="s">
        <v>66</v>
      </c>
      <c r="I266" s="1" t="s">
        <v>67</v>
      </c>
      <c r="J266" s="1" t="s">
        <v>56</v>
      </c>
      <c r="K266" s="1" t="s">
        <v>74</v>
      </c>
      <c r="M266" s="1" t="s">
        <v>58</v>
      </c>
      <c r="N266" s="1" t="s">
        <v>58</v>
      </c>
      <c r="O266" s="1" t="s">
        <v>58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58</v>
      </c>
      <c r="V266" s="1" t="s">
        <v>58</v>
      </c>
      <c r="W266" s="1" t="s">
        <v>58</v>
      </c>
      <c r="X266" s="1" t="s">
        <v>81</v>
      </c>
      <c r="Y266" s="1" t="s">
        <v>60</v>
      </c>
      <c r="Z266" s="1" t="s">
        <v>96</v>
      </c>
      <c r="AA266" s="2">
        <v>50.0</v>
      </c>
      <c r="AB266" s="1" t="s">
        <v>79</v>
      </c>
      <c r="AC266" s="1" t="s">
        <v>71</v>
      </c>
      <c r="AF266" s="1" t="s">
        <v>51</v>
      </c>
      <c r="AI266" s="2">
        <v>0.0</v>
      </c>
      <c r="AJ266" s="2">
        <v>0.0</v>
      </c>
      <c r="AK266" s="2">
        <v>0.0</v>
      </c>
      <c r="AL266" s="2">
        <v>1.0</v>
      </c>
      <c r="AM266" s="1" t="s">
        <v>51</v>
      </c>
      <c r="AN266" s="2">
        <v>6.44607283E8</v>
      </c>
      <c r="AP266" s="2">
        <v>4.90428229E8</v>
      </c>
      <c r="AQ266" s="1" t="s">
        <v>398</v>
      </c>
      <c r="AR266" s="2">
        <v>45809.47893518519</v>
      </c>
      <c r="AU266" s="1" t="s">
        <v>64</v>
      </c>
      <c r="AW266" s="1" t="s">
        <v>255</v>
      </c>
      <c r="AY266" s="2">
        <v>260.0</v>
      </c>
    </row>
    <row r="267">
      <c r="A267" s="1" t="s">
        <v>51</v>
      </c>
      <c r="C267" s="1" t="s">
        <v>52</v>
      </c>
      <c r="E267" s="1" t="s">
        <v>53</v>
      </c>
      <c r="F267" s="1" t="s">
        <v>54</v>
      </c>
      <c r="G267" s="2">
        <v>39.0</v>
      </c>
      <c r="H267" s="1" t="s">
        <v>55</v>
      </c>
      <c r="I267" s="1" t="s">
        <v>67</v>
      </c>
      <c r="J267" s="1" t="s">
        <v>68</v>
      </c>
      <c r="K267" s="1" t="s">
        <v>74</v>
      </c>
      <c r="M267" s="1" t="s">
        <v>58</v>
      </c>
      <c r="N267" s="1" t="s">
        <v>58</v>
      </c>
      <c r="O267" s="1" t="s">
        <v>58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81</v>
      </c>
      <c r="Y267" s="1" t="s">
        <v>172</v>
      </c>
      <c r="Z267" s="1" t="s">
        <v>96</v>
      </c>
      <c r="AA267" s="2">
        <v>50.0</v>
      </c>
      <c r="AB267" s="1" t="s">
        <v>28</v>
      </c>
      <c r="AC267" s="1" t="s">
        <v>71</v>
      </c>
      <c r="AF267" s="1" t="s">
        <v>51</v>
      </c>
      <c r="AI267" s="2">
        <v>0.0</v>
      </c>
      <c r="AJ267" s="2">
        <v>0.0</v>
      </c>
      <c r="AK267" s="2">
        <v>0.0</v>
      </c>
      <c r="AL267" s="2">
        <v>1.0</v>
      </c>
      <c r="AM267" s="1" t="s">
        <v>51</v>
      </c>
      <c r="AN267" s="2">
        <v>6.1803172E8</v>
      </c>
      <c r="AP267" s="2">
        <v>4.9042889E8</v>
      </c>
      <c r="AQ267" s="1" t="s">
        <v>399</v>
      </c>
      <c r="AR267" s="2">
        <v>45809.48024305556</v>
      </c>
      <c r="AU267" s="1" t="s">
        <v>64</v>
      </c>
      <c r="AW267" s="1" t="s">
        <v>255</v>
      </c>
      <c r="AY267" s="2">
        <v>261.0</v>
      </c>
    </row>
    <row r="268">
      <c r="A268" s="1" t="s">
        <v>51</v>
      </c>
      <c r="C268" s="1" t="s">
        <v>52</v>
      </c>
      <c r="E268" s="1" t="s">
        <v>53</v>
      </c>
      <c r="F268" s="1" t="s">
        <v>54</v>
      </c>
      <c r="G268" s="2">
        <v>32.0</v>
      </c>
      <c r="H268" s="1" t="s">
        <v>66</v>
      </c>
      <c r="I268" s="1" t="s">
        <v>67</v>
      </c>
      <c r="J268" s="1" t="s">
        <v>68</v>
      </c>
      <c r="K268" s="1" t="s">
        <v>74</v>
      </c>
      <c r="M268" s="1" t="s">
        <v>58</v>
      </c>
      <c r="N268" s="1" t="s">
        <v>58</v>
      </c>
      <c r="O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81</v>
      </c>
      <c r="Y268" s="1" t="s">
        <v>60</v>
      </c>
      <c r="Z268" s="1" t="s">
        <v>108</v>
      </c>
      <c r="AA268" s="2">
        <v>100.0</v>
      </c>
      <c r="AB268" s="1" t="s">
        <v>62</v>
      </c>
      <c r="AC268" s="1" t="s">
        <v>71</v>
      </c>
      <c r="AF268" s="1" t="s">
        <v>51</v>
      </c>
      <c r="AI268" s="2">
        <v>0.0</v>
      </c>
      <c r="AJ268" s="2">
        <v>0.0</v>
      </c>
      <c r="AK268" s="2">
        <v>0.0</v>
      </c>
      <c r="AL268" s="2">
        <v>1.0</v>
      </c>
      <c r="AM268" s="1" t="s">
        <v>51</v>
      </c>
      <c r="AN268" s="2">
        <v>6.56507643E8</v>
      </c>
      <c r="AP268" s="2">
        <v>4.90429346E8</v>
      </c>
      <c r="AQ268" s="1" t="s">
        <v>400</v>
      </c>
      <c r="AR268" s="2">
        <v>45809.48138888889</v>
      </c>
      <c r="AU268" s="1" t="s">
        <v>64</v>
      </c>
      <c r="AW268" s="1" t="s">
        <v>255</v>
      </c>
      <c r="AY268" s="2">
        <v>262.0</v>
      </c>
    </row>
    <row r="269">
      <c r="A269" s="1" t="s">
        <v>51</v>
      </c>
      <c r="C269" s="1" t="s">
        <v>52</v>
      </c>
      <c r="E269" s="1" t="s">
        <v>53</v>
      </c>
      <c r="F269" s="1" t="s">
        <v>54</v>
      </c>
      <c r="G269" s="2">
        <v>38.0</v>
      </c>
      <c r="H269" s="1" t="s">
        <v>55</v>
      </c>
      <c r="I269" s="1" t="s">
        <v>67</v>
      </c>
      <c r="J269" s="1" t="s">
        <v>111</v>
      </c>
      <c r="K269" s="1" t="s">
        <v>74</v>
      </c>
      <c r="M269" s="1" t="s">
        <v>58</v>
      </c>
      <c r="N269" s="1" t="s">
        <v>58</v>
      </c>
      <c r="O269" s="1" t="s">
        <v>69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81</v>
      </c>
      <c r="Y269" s="1" t="s">
        <v>60</v>
      </c>
      <c r="Z269" s="1" t="s">
        <v>127</v>
      </c>
      <c r="AA269" s="2">
        <v>100.0</v>
      </c>
      <c r="AB269" s="1" t="s">
        <v>62</v>
      </c>
      <c r="AC269" s="1" t="s">
        <v>71</v>
      </c>
      <c r="AF269" s="1" t="s">
        <v>51</v>
      </c>
      <c r="AI269" s="2">
        <v>0.0</v>
      </c>
      <c r="AJ269" s="2">
        <v>0.0</v>
      </c>
      <c r="AK269" s="2">
        <v>0.0</v>
      </c>
      <c r="AL269" s="2">
        <v>1.0</v>
      </c>
      <c r="AM269" s="1" t="s">
        <v>51</v>
      </c>
      <c r="AN269" s="2">
        <v>6.56507643E8</v>
      </c>
      <c r="AP269" s="2">
        <v>4.90429896E8</v>
      </c>
      <c r="AQ269" s="1" t="s">
        <v>401</v>
      </c>
      <c r="AR269" s="2">
        <v>45809.48266203704</v>
      </c>
      <c r="AU269" s="1" t="s">
        <v>64</v>
      </c>
      <c r="AW269" s="1" t="s">
        <v>255</v>
      </c>
      <c r="AY269" s="2">
        <v>263.0</v>
      </c>
    </row>
    <row r="270">
      <c r="A270" s="1" t="s">
        <v>51</v>
      </c>
      <c r="C270" s="1" t="s">
        <v>52</v>
      </c>
      <c r="E270" s="1" t="s">
        <v>53</v>
      </c>
      <c r="F270" s="1" t="s">
        <v>54</v>
      </c>
      <c r="G270" s="2">
        <v>26.0</v>
      </c>
      <c r="H270" s="1" t="s">
        <v>55</v>
      </c>
      <c r="I270" s="1" t="s">
        <v>100</v>
      </c>
      <c r="J270" s="1" t="s">
        <v>68</v>
      </c>
      <c r="K270" s="1" t="s">
        <v>74</v>
      </c>
      <c r="M270" s="1" t="s">
        <v>58</v>
      </c>
      <c r="N270" s="1" t="s">
        <v>58</v>
      </c>
      <c r="O270" s="1" t="s">
        <v>58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81</v>
      </c>
      <c r="Y270" s="1" t="s">
        <v>60</v>
      </c>
      <c r="Z270" s="1" t="s">
        <v>127</v>
      </c>
      <c r="AA270" s="2">
        <v>50.0</v>
      </c>
      <c r="AB270" s="1" t="s">
        <v>62</v>
      </c>
      <c r="AC270" s="1" t="s">
        <v>71</v>
      </c>
      <c r="AF270" s="1" t="s">
        <v>51</v>
      </c>
      <c r="AI270" s="2">
        <v>0.0</v>
      </c>
      <c r="AJ270" s="2">
        <v>0.0</v>
      </c>
      <c r="AK270" s="2">
        <v>0.0</v>
      </c>
      <c r="AL270" s="2">
        <v>1.0</v>
      </c>
      <c r="AM270" s="1" t="s">
        <v>51</v>
      </c>
      <c r="AN270" s="2">
        <v>8.45540475E8</v>
      </c>
      <c r="AP270" s="2">
        <v>4.90430332E8</v>
      </c>
      <c r="AQ270" s="1" t="s">
        <v>402</v>
      </c>
      <c r="AR270" s="2">
        <v>45809.48391203704</v>
      </c>
      <c r="AU270" s="1" t="s">
        <v>64</v>
      </c>
      <c r="AW270" s="1" t="s">
        <v>255</v>
      </c>
      <c r="AY270" s="2">
        <v>264.0</v>
      </c>
    </row>
    <row r="271">
      <c r="A271" s="1" t="s">
        <v>51</v>
      </c>
      <c r="C271" s="1" t="s">
        <v>52</v>
      </c>
      <c r="E271" s="1" t="s">
        <v>53</v>
      </c>
      <c r="F271" s="1" t="s">
        <v>54</v>
      </c>
      <c r="G271" s="2">
        <v>35.0</v>
      </c>
      <c r="H271" s="1" t="s">
        <v>55</v>
      </c>
      <c r="I271" s="1" t="s">
        <v>67</v>
      </c>
      <c r="J271" s="1" t="s">
        <v>68</v>
      </c>
      <c r="K271" s="1" t="s">
        <v>74</v>
      </c>
      <c r="M271" s="1" t="s">
        <v>58</v>
      </c>
      <c r="N271" s="1" t="s">
        <v>58</v>
      </c>
      <c r="O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Y271" s="1" t="s">
        <v>82</v>
      </c>
      <c r="Z271" s="1" t="s">
        <v>61</v>
      </c>
      <c r="AA271" s="2">
        <v>20.0</v>
      </c>
      <c r="AB271" s="1" t="s">
        <v>79</v>
      </c>
      <c r="AC271" s="1" t="s">
        <v>51</v>
      </c>
      <c r="AD271" s="1" t="s">
        <v>59</v>
      </c>
      <c r="AF271" s="1" t="s">
        <v>51</v>
      </c>
      <c r="AG271" s="1" t="s">
        <v>51</v>
      </c>
      <c r="AI271" s="2">
        <v>0.0</v>
      </c>
      <c r="AJ271" s="2">
        <v>1.0</v>
      </c>
      <c r="AK271" s="2">
        <v>0.0</v>
      </c>
      <c r="AL271" s="2">
        <v>0.0</v>
      </c>
      <c r="AM271" s="1" t="s">
        <v>51</v>
      </c>
      <c r="AP271" s="2">
        <v>4.90430818E8</v>
      </c>
      <c r="AQ271" s="1" t="s">
        <v>403</v>
      </c>
      <c r="AR271" s="2">
        <v>45809.484872685185</v>
      </c>
      <c r="AU271" s="1" t="s">
        <v>64</v>
      </c>
      <c r="AW271" s="1" t="s">
        <v>255</v>
      </c>
      <c r="AY271" s="2">
        <v>265.0</v>
      </c>
    </row>
    <row r="272">
      <c r="A272" s="1" t="s">
        <v>51</v>
      </c>
      <c r="C272" s="1" t="s">
        <v>52</v>
      </c>
      <c r="E272" s="1" t="s">
        <v>53</v>
      </c>
      <c r="F272" s="1" t="s">
        <v>54</v>
      </c>
      <c r="G272" s="2">
        <v>30.0</v>
      </c>
      <c r="H272" s="1" t="s">
        <v>55</v>
      </c>
      <c r="I272" s="1" t="s">
        <v>100</v>
      </c>
      <c r="J272" s="1" t="s">
        <v>68</v>
      </c>
      <c r="K272" s="1" t="s">
        <v>74</v>
      </c>
      <c r="M272" s="1" t="s">
        <v>58</v>
      </c>
      <c r="N272" s="1" t="s">
        <v>58</v>
      </c>
      <c r="O272" s="1" t="s">
        <v>69</v>
      </c>
      <c r="Q272" s="1" t="s">
        <v>58</v>
      </c>
      <c r="R272" s="1" t="s">
        <v>58</v>
      </c>
      <c r="S272" s="1" t="s">
        <v>69</v>
      </c>
      <c r="T272" s="1" t="s">
        <v>69</v>
      </c>
      <c r="U272" s="1" t="s">
        <v>69</v>
      </c>
      <c r="V272" s="1" t="s">
        <v>58</v>
      </c>
      <c r="W272" s="1" t="s">
        <v>58</v>
      </c>
      <c r="X272" s="1" t="s">
        <v>81</v>
      </c>
      <c r="Y272" s="1" t="s">
        <v>172</v>
      </c>
      <c r="Z272" s="1" t="s">
        <v>96</v>
      </c>
      <c r="AA272" s="2">
        <v>100.0</v>
      </c>
      <c r="AB272" s="1" t="s">
        <v>62</v>
      </c>
      <c r="AC272" s="1" t="s">
        <v>71</v>
      </c>
      <c r="AF272" s="1" t="s">
        <v>51</v>
      </c>
      <c r="AG272" s="1" t="s">
        <v>72</v>
      </c>
      <c r="AI272" s="2">
        <v>0.0</v>
      </c>
      <c r="AJ272" s="2">
        <v>0.0</v>
      </c>
      <c r="AK272" s="2">
        <v>0.0</v>
      </c>
      <c r="AL272" s="2">
        <v>1.0</v>
      </c>
      <c r="AP272" s="2">
        <v>4.90431866E8</v>
      </c>
      <c r="AQ272" s="1" t="s">
        <v>404</v>
      </c>
      <c r="AR272" s="2">
        <v>45809.487546296295</v>
      </c>
      <c r="AU272" s="1" t="s">
        <v>64</v>
      </c>
      <c r="AW272" s="1" t="s">
        <v>255</v>
      </c>
      <c r="AY272" s="2">
        <v>266.0</v>
      </c>
    </row>
    <row r="273">
      <c r="A273" s="1" t="s">
        <v>51</v>
      </c>
      <c r="C273" s="1" t="s">
        <v>52</v>
      </c>
      <c r="E273" s="1" t="s">
        <v>53</v>
      </c>
      <c r="F273" s="1" t="s">
        <v>54</v>
      </c>
      <c r="G273" s="2">
        <v>34.0</v>
      </c>
      <c r="H273" s="1" t="s">
        <v>55</v>
      </c>
      <c r="I273" s="1" t="s">
        <v>67</v>
      </c>
      <c r="J273" s="1" t="s">
        <v>68</v>
      </c>
      <c r="K273" s="1" t="s">
        <v>74</v>
      </c>
      <c r="M273" s="1" t="s">
        <v>58</v>
      </c>
      <c r="N273" s="1" t="s">
        <v>58</v>
      </c>
      <c r="O273" s="1" t="s">
        <v>69</v>
      </c>
      <c r="Q273" s="1" t="s">
        <v>58</v>
      </c>
      <c r="R273" s="1" t="s">
        <v>58</v>
      </c>
      <c r="S273" s="1" t="s">
        <v>69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81</v>
      </c>
      <c r="Y273" s="1" t="s">
        <v>60</v>
      </c>
      <c r="Z273" s="1" t="s">
        <v>96</v>
      </c>
      <c r="AA273" s="2">
        <v>100.0</v>
      </c>
      <c r="AB273" s="1" t="s">
        <v>62</v>
      </c>
      <c r="AC273" s="1" t="s">
        <v>71</v>
      </c>
      <c r="AF273" s="1" t="s">
        <v>51</v>
      </c>
      <c r="AI273" s="2">
        <v>0.0</v>
      </c>
      <c r="AJ273" s="2">
        <v>0.0</v>
      </c>
      <c r="AK273" s="2">
        <v>0.0</v>
      </c>
      <c r="AL273" s="2">
        <v>1.0</v>
      </c>
      <c r="AM273" s="1" t="s">
        <v>51</v>
      </c>
      <c r="AN273" s="2">
        <v>8.43131062E8</v>
      </c>
      <c r="AP273" s="2">
        <v>4.904325E8</v>
      </c>
      <c r="AQ273" s="1" t="s">
        <v>405</v>
      </c>
      <c r="AR273" s="2">
        <v>45809.48903935185</v>
      </c>
      <c r="AU273" s="1" t="s">
        <v>64</v>
      </c>
      <c r="AW273" s="1" t="s">
        <v>255</v>
      </c>
      <c r="AY273" s="2">
        <v>267.0</v>
      </c>
    </row>
    <row r="274">
      <c r="A274" s="1" t="s">
        <v>51</v>
      </c>
      <c r="C274" s="1" t="s">
        <v>52</v>
      </c>
      <c r="E274" s="1" t="s">
        <v>53</v>
      </c>
      <c r="F274" s="1" t="s">
        <v>54</v>
      </c>
      <c r="G274" s="2">
        <v>29.0</v>
      </c>
      <c r="H274" s="1" t="s">
        <v>55</v>
      </c>
      <c r="I274" s="1" t="s">
        <v>67</v>
      </c>
      <c r="J274" s="1" t="s">
        <v>56</v>
      </c>
      <c r="K274" s="1" t="s">
        <v>74</v>
      </c>
      <c r="M274" s="1" t="s">
        <v>58</v>
      </c>
      <c r="N274" s="1" t="s">
        <v>58</v>
      </c>
      <c r="O274" s="1" t="s">
        <v>58</v>
      </c>
      <c r="Q274" s="1" t="s">
        <v>58</v>
      </c>
      <c r="R274" s="1" t="s">
        <v>58</v>
      </c>
      <c r="S274" s="1" t="s">
        <v>58</v>
      </c>
      <c r="T274" s="1" t="s">
        <v>58</v>
      </c>
      <c r="U274" s="1" t="s">
        <v>70</v>
      </c>
      <c r="V274" s="1" t="s">
        <v>58</v>
      </c>
      <c r="W274" s="1" t="s">
        <v>58</v>
      </c>
      <c r="X274" s="1" t="s">
        <v>59</v>
      </c>
      <c r="Y274" s="1" t="s">
        <v>60</v>
      </c>
      <c r="Z274" s="1" t="s">
        <v>108</v>
      </c>
      <c r="AA274" s="2">
        <v>100.0</v>
      </c>
      <c r="AB274" s="1" t="s">
        <v>62</v>
      </c>
      <c r="AC274" s="1" t="s">
        <v>71</v>
      </c>
      <c r="AF274" s="1" t="s">
        <v>51</v>
      </c>
      <c r="AG274" s="1" t="s">
        <v>51</v>
      </c>
      <c r="AH274" s="2">
        <v>200.0</v>
      </c>
      <c r="AI274" s="2">
        <v>0.0</v>
      </c>
      <c r="AJ274" s="2">
        <v>0.0</v>
      </c>
      <c r="AK274" s="2">
        <v>1.0</v>
      </c>
      <c r="AL274" s="2">
        <v>0.0</v>
      </c>
      <c r="AM274" s="1" t="s">
        <v>51</v>
      </c>
      <c r="AN274" s="2">
        <v>6.38118772E8</v>
      </c>
      <c r="AP274" s="2">
        <v>4.9043351E8</v>
      </c>
      <c r="AQ274" s="1" t="s">
        <v>406</v>
      </c>
      <c r="AR274" s="2">
        <v>45809.490694444445</v>
      </c>
      <c r="AU274" s="1" t="s">
        <v>64</v>
      </c>
      <c r="AW274" s="1" t="s">
        <v>255</v>
      </c>
      <c r="AY274" s="2">
        <v>268.0</v>
      </c>
    </row>
    <row r="275">
      <c r="A275" s="1" t="s">
        <v>51</v>
      </c>
      <c r="C275" s="1" t="s">
        <v>52</v>
      </c>
      <c r="E275" s="1" t="s">
        <v>53</v>
      </c>
      <c r="F275" s="1" t="s">
        <v>54</v>
      </c>
      <c r="G275" s="2">
        <v>32.0</v>
      </c>
      <c r="H275" s="1" t="s">
        <v>55</v>
      </c>
      <c r="I275" s="1" t="s">
        <v>67</v>
      </c>
      <c r="J275" s="1" t="s">
        <v>111</v>
      </c>
      <c r="K275" s="1" t="s">
        <v>74</v>
      </c>
      <c r="M275" s="1" t="s">
        <v>58</v>
      </c>
      <c r="N275" s="1" t="s">
        <v>58</v>
      </c>
      <c r="O275" s="1" t="s">
        <v>70</v>
      </c>
      <c r="Q275" s="1" t="s">
        <v>58</v>
      </c>
      <c r="R275" s="1" t="s">
        <v>58</v>
      </c>
      <c r="S275" s="1" t="s">
        <v>58</v>
      </c>
      <c r="T275" s="1" t="s">
        <v>69</v>
      </c>
      <c r="U275" s="1" t="s">
        <v>58</v>
      </c>
      <c r="V275" s="1" t="s">
        <v>58</v>
      </c>
      <c r="W275" s="1" t="s">
        <v>69</v>
      </c>
      <c r="X275" s="1" t="s">
        <v>59</v>
      </c>
      <c r="Y275" s="1" t="s">
        <v>60</v>
      </c>
      <c r="Z275" s="1" t="s">
        <v>127</v>
      </c>
      <c r="AA275" s="2">
        <v>50.0</v>
      </c>
      <c r="AB275" s="1" t="s">
        <v>62</v>
      </c>
      <c r="AC275" s="1" t="s">
        <v>71</v>
      </c>
      <c r="AF275" s="1" t="s">
        <v>51</v>
      </c>
      <c r="AG275" s="1" t="s">
        <v>51</v>
      </c>
      <c r="AH275" s="2">
        <v>350.0</v>
      </c>
      <c r="AI275" s="2">
        <v>0.0</v>
      </c>
      <c r="AJ275" s="2">
        <v>1.0</v>
      </c>
      <c r="AK275" s="2">
        <v>0.0</v>
      </c>
      <c r="AL275" s="2">
        <v>0.0</v>
      </c>
      <c r="AM275" s="1" t="s">
        <v>51</v>
      </c>
      <c r="AN275" s="2">
        <v>6.9334195E8</v>
      </c>
      <c r="AP275" s="2">
        <v>4.90434382E8</v>
      </c>
      <c r="AQ275" s="1" t="s">
        <v>407</v>
      </c>
      <c r="AR275" s="2">
        <v>45809.4921875</v>
      </c>
      <c r="AU275" s="1" t="s">
        <v>64</v>
      </c>
      <c r="AW275" s="1" t="s">
        <v>255</v>
      </c>
      <c r="AY275" s="2">
        <v>269.0</v>
      </c>
    </row>
    <row r="276">
      <c r="A276" s="1" t="s">
        <v>51</v>
      </c>
      <c r="C276" s="1" t="s">
        <v>52</v>
      </c>
      <c r="E276" s="1" t="s">
        <v>53</v>
      </c>
      <c r="F276" s="1" t="s">
        <v>54</v>
      </c>
      <c r="G276" s="2">
        <v>28.0</v>
      </c>
      <c r="H276" s="1" t="s">
        <v>55</v>
      </c>
      <c r="I276" s="1" t="s">
        <v>100</v>
      </c>
      <c r="J276" s="1" t="s">
        <v>68</v>
      </c>
      <c r="K276" s="1" t="s">
        <v>74</v>
      </c>
      <c r="M276" s="1" t="s">
        <v>58</v>
      </c>
      <c r="N276" s="1" t="s">
        <v>58</v>
      </c>
      <c r="O276" s="1" t="s">
        <v>69</v>
      </c>
      <c r="Q276" s="1" t="s">
        <v>69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69</v>
      </c>
      <c r="X276" s="1" t="s">
        <v>59</v>
      </c>
      <c r="Y276" s="1" t="s">
        <v>60</v>
      </c>
      <c r="Z276" s="1" t="s">
        <v>108</v>
      </c>
      <c r="AA276" s="2">
        <v>100.0</v>
      </c>
      <c r="AB276" s="1" t="s">
        <v>62</v>
      </c>
      <c r="AC276" s="1" t="s">
        <v>71</v>
      </c>
      <c r="AG276" s="1" t="s">
        <v>51</v>
      </c>
      <c r="AH276" s="2">
        <v>400.0</v>
      </c>
      <c r="AI276" s="2">
        <v>0.0</v>
      </c>
      <c r="AJ276" s="2">
        <v>0.0</v>
      </c>
      <c r="AK276" s="2">
        <v>0.0</v>
      </c>
      <c r="AL276" s="2">
        <v>1.0</v>
      </c>
      <c r="AM276" s="1" t="s">
        <v>51</v>
      </c>
      <c r="AN276" s="2">
        <v>6.93913293E8</v>
      </c>
      <c r="AP276" s="2">
        <v>4.90434959E8</v>
      </c>
      <c r="AQ276" s="1" t="s">
        <v>408</v>
      </c>
      <c r="AR276" s="2">
        <v>45809.49349537037</v>
      </c>
      <c r="AU276" s="1" t="s">
        <v>64</v>
      </c>
      <c r="AW276" s="1" t="s">
        <v>255</v>
      </c>
      <c r="AY276" s="2">
        <v>270.0</v>
      </c>
    </row>
    <row r="277">
      <c r="A277" s="1" t="s">
        <v>51</v>
      </c>
      <c r="C277" s="1" t="s">
        <v>131</v>
      </c>
      <c r="E277" s="1" t="s">
        <v>53</v>
      </c>
      <c r="F277" s="1" t="s">
        <v>54</v>
      </c>
      <c r="G277" s="2">
        <v>32.0</v>
      </c>
      <c r="H277" s="1" t="s">
        <v>55</v>
      </c>
      <c r="I277" s="1" t="s">
        <v>67</v>
      </c>
      <c r="J277" s="1" t="s">
        <v>68</v>
      </c>
      <c r="K277" s="1" t="s">
        <v>57</v>
      </c>
      <c r="M277" s="1" t="s">
        <v>58</v>
      </c>
      <c r="N277" s="1" t="s">
        <v>58</v>
      </c>
      <c r="O277" s="1" t="s">
        <v>70</v>
      </c>
      <c r="Q277" s="1" t="s">
        <v>69</v>
      </c>
      <c r="R277" s="1" t="s">
        <v>58</v>
      </c>
      <c r="S277" s="1" t="s">
        <v>69</v>
      </c>
      <c r="T277" s="1" t="s">
        <v>69</v>
      </c>
      <c r="U277" s="1" t="s">
        <v>70</v>
      </c>
      <c r="V277" s="1" t="s">
        <v>69</v>
      </c>
      <c r="W277" s="1" t="s">
        <v>69</v>
      </c>
      <c r="X277" s="1" t="s">
        <v>81</v>
      </c>
      <c r="Y277" s="1" t="s">
        <v>82</v>
      </c>
      <c r="Z277" s="1" t="s">
        <v>96</v>
      </c>
      <c r="AA277" s="2">
        <v>100.0</v>
      </c>
      <c r="AB277" s="1" t="s">
        <v>79</v>
      </c>
      <c r="AC277" s="1" t="s">
        <v>72</v>
      </c>
      <c r="AF277" s="1" t="s">
        <v>51</v>
      </c>
      <c r="AG277" s="1" t="s">
        <v>51</v>
      </c>
      <c r="AH277" s="2">
        <v>10.0</v>
      </c>
      <c r="AI277" s="2">
        <v>0.0</v>
      </c>
      <c r="AJ277" s="2">
        <v>0.0</v>
      </c>
      <c r="AK277" s="2">
        <v>0.0</v>
      </c>
      <c r="AL277" s="2">
        <v>1.0</v>
      </c>
      <c r="AM277" s="1" t="s">
        <v>51</v>
      </c>
      <c r="AN277" s="2">
        <v>6.37219103E8</v>
      </c>
      <c r="AP277" s="2">
        <v>4.90437016E8</v>
      </c>
      <c r="AQ277" s="1" t="s">
        <v>409</v>
      </c>
      <c r="AR277" s="2">
        <v>45809.498460648145</v>
      </c>
      <c r="AU277" s="1" t="s">
        <v>64</v>
      </c>
      <c r="AW277" s="1" t="s">
        <v>255</v>
      </c>
      <c r="AY277" s="2">
        <v>271.0</v>
      </c>
    </row>
    <row r="278">
      <c r="A278" s="1" t="s">
        <v>51</v>
      </c>
      <c r="C278" s="1" t="s">
        <v>151</v>
      </c>
      <c r="E278" s="1" t="s">
        <v>151</v>
      </c>
      <c r="G278" s="2">
        <v>33.0</v>
      </c>
      <c r="H278" s="1" t="s">
        <v>55</v>
      </c>
      <c r="J278" s="1" t="s">
        <v>86</v>
      </c>
      <c r="K278" s="1" t="s">
        <v>74</v>
      </c>
      <c r="M278" s="1" t="s">
        <v>58</v>
      </c>
      <c r="N278" s="1" t="s">
        <v>58</v>
      </c>
      <c r="O278" s="1" t="s">
        <v>69</v>
      </c>
      <c r="Q278" s="1" t="s">
        <v>69</v>
      </c>
      <c r="R278" s="1" t="s">
        <v>58</v>
      </c>
      <c r="S278" s="1" t="s">
        <v>69</v>
      </c>
      <c r="T278" s="1" t="s">
        <v>69</v>
      </c>
      <c r="U278" s="1" t="s">
        <v>58</v>
      </c>
      <c r="V278" s="1" t="s">
        <v>58</v>
      </c>
      <c r="W278" s="1" t="s">
        <v>69</v>
      </c>
      <c r="X278" s="1" t="s">
        <v>81</v>
      </c>
      <c r="Y278" s="1" t="s">
        <v>82</v>
      </c>
      <c r="Z278" s="1" t="s">
        <v>89</v>
      </c>
      <c r="AA278" s="2">
        <v>20.0</v>
      </c>
      <c r="AB278" s="1" t="s">
        <v>62</v>
      </c>
      <c r="AC278" s="1" t="s">
        <v>71</v>
      </c>
      <c r="AF278" s="1" t="s">
        <v>51</v>
      </c>
      <c r="AG278" s="1" t="s">
        <v>72</v>
      </c>
      <c r="AI278" s="2">
        <v>1.0</v>
      </c>
      <c r="AJ278" s="2">
        <v>1.0</v>
      </c>
      <c r="AK278" s="2">
        <v>1.0</v>
      </c>
      <c r="AL278" s="2">
        <v>0.0</v>
      </c>
      <c r="AP278" s="2">
        <v>4.90437613E8</v>
      </c>
      <c r="AQ278" s="1" t="s">
        <v>410</v>
      </c>
      <c r="AR278" s="2">
        <v>45809.500081018516</v>
      </c>
      <c r="AU278" s="1" t="s">
        <v>64</v>
      </c>
      <c r="AW278" s="1" t="s">
        <v>255</v>
      </c>
      <c r="AY278" s="2">
        <v>272.0</v>
      </c>
    </row>
    <row r="279">
      <c r="A279" s="1" t="s">
        <v>51</v>
      </c>
      <c r="C279" s="1" t="s">
        <v>151</v>
      </c>
      <c r="E279" s="1" t="s">
        <v>53</v>
      </c>
      <c r="F279" s="1" t="s">
        <v>102</v>
      </c>
      <c r="G279" s="2">
        <v>19.0</v>
      </c>
      <c r="H279" s="1" t="s">
        <v>55</v>
      </c>
      <c r="I279" s="1" t="s">
        <v>100</v>
      </c>
      <c r="J279" s="1" t="s">
        <v>56</v>
      </c>
      <c r="K279" s="1" t="s">
        <v>57</v>
      </c>
      <c r="M279" s="1" t="s">
        <v>70</v>
      </c>
      <c r="N279" s="1" t="s">
        <v>70</v>
      </c>
      <c r="O279" s="1" t="s">
        <v>69</v>
      </c>
      <c r="Q279" s="1" t="s">
        <v>70</v>
      </c>
      <c r="R279" s="1" t="s">
        <v>70</v>
      </c>
      <c r="S279" s="1" t="s">
        <v>58</v>
      </c>
      <c r="T279" s="1" t="s">
        <v>58</v>
      </c>
      <c r="U279" s="1" t="s">
        <v>70</v>
      </c>
      <c r="V279" s="1" t="s">
        <v>58</v>
      </c>
      <c r="W279" s="1" t="s">
        <v>58</v>
      </c>
      <c r="X279" s="1" t="s">
        <v>59</v>
      </c>
      <c r="Y279" s="1" t="s">
        <v>60</v>
      </c>
      <c r="Z279" s="1" t="s">
        <v>89</v>
      </c>
      <c r="AA279" s="2">
        <v>50.0</v>
      </c>
      <c r="AB279" s="1" t="s">
        <v>79</v>
      </c>
      <c r="AC279" s="1" t="s">
        <v>72</v>
      </c>
      <c r="AF279" s="1" t="s">
        <v>51</v>
      </c>
      <c r="AG279" s="1" t="s">
        <v>51</v>
      </c>
      <c r="AH279" s="2">
        <v>100.0</v>
      </c>
      <c r="AI279" s="2">
        <v>0.0</v>
      </c>
      <c r="AJ279" s="2">
        <v>1.0</v>
      </c>
      <c r="AK279" s="2">
        <v>0.0</v>
      </c>
      <c r="AL279" s="2">
        <v>0.0</v>
      </c>
      <c r="AM279" s="1" t="s">
        <v>72</v>
      </c>
      <c r="AP279" s="2">
        <v>4.90438774E8</v>
      </c>
      <c r="AQ279" s="1" t="s">
        <v>411</v>
      </c>
      <c r="AR279" s="2">
        <v>45809.50295138889</v>
      </c>
      <c r="AU279" s="1" t="s">
        <v>64</v>
      </c>
      <c r="AW279" s="1" t="s">
        <v>255</v>
      </c>
      <c r="AY279" s="2">
        <v>273.0</v>
      </c>
    </row>
    <row r="280">
      <c r="A280" s="1" t="s">
        <v>51</v>
      </c>
      <c r="C280" s="1" t="s">
        <v>151</v>
      </c>
      <c r="E280" s="1" t="s">
        <v>53</v>
      </c>
      <c r="F280" s="1" t="s">
        <v>232</v>
      </c>
      <c r="G280" s="2">
        <v>29.0</v>
      </c>
      <c r="H280" s="1" t="s">
        <v>66</v>
      </c>
      <c r="I280" s="1" t="s">
        <v>67</v>
      </c>
      <c r="J280" s="1" t="s">
        <v>68</v>
      </c>
      <c r="K280" s="1" t="s">
        <v>92</v>
      </c>
      <c r="M280" s="1" t="s">
        <v>58</v>
      </c>
      <c r="N280" s="1" t="s">
        <v>58</v>
      </c>
      <c r="O280" s="1" t="s">
        <v>69</v>
      </c>
      <c r="Q280" s="1" t="s">
        <v>58</v>
      </c>
      <c r="R280" s="1" t="s">
        <v>58</v>
      </c>
      <c r="S280" s="1" t="s">
        <v>69</v>
      </c>
      <c r="T280" s="1" t="s">
        <v>69</v>
      </c>
      <c r="U280" s="1" t="s">
        <v>70</v>
      </c>
      <c r="V280" s="1" t="s">
        <v>58</v>
      </c>
      <c r="W280" s="1" t="s">
        <v>69</v>
      </c>
      <c r="X280" s="1" t="s">
        <v>81</v>
      </c>
      <c r="Y280" s="1" t="s">
        <v>82</v>
      </c>
      <c r="Z280" s="1" t="s">
        <v>61</v>
      </c>
      <c r="AA280" s="2">
        <v>20.0</v>
      </c>
      <c r="AB280" s="1" t="s">
        <v>79</v>
      </c>
      <c r="AC280" s="1" t="s">
        <v>71</v>
      </c>
      <c r="AF280" s="1" t="s">
        <v>51</v>
      </c>
      <c r="AG280" s="1" t="s">
        <v>51</v>
      </c>
      <c r="AH280" s="2">
        <v>250.0</v>
      </c>
      <c r="AI280" s="2">
        <v>1.0</v>
      </c>
      <c r="AJ280" s="2">
        <v>1.0</v>
      </c>
      <c r="AK280" s="2">
        <v>1.0</v>
      </c>
      <c r="AL280" s="2">
        <v>1.0</v>
      </c>
      <c r="AM280" s="1" t="s">
        <v>72</v>
      </c>
      <c r="AP280" s="2">
        <v>4.90440004E8</v>
      </c>
      <c r="AQ280" s="1" t="s">
        <v>412</v>
      </c>
      <c r="AR280" s="2">
        <v>45809.505162037036</v>
      </c>
      <c r="AU280" s="1" t="s">
        <v>64</v>
      </c>
      <c r="AW280" s="1" t="s">
        <v>255</v>
      </c>
      <c r="AY280" s="2">
        <v>274.0</v>
      </c>
    </row>
    <row r="281">
      <c r="A281" s="1" t="s">
        <v>51</v>
      </c>
      <c r="C281" s="1" t="s">
        <v>151</v>
      </c>
      <c r="E281" s="1" t="s">
        <v>53</v>
      </c>
      <c r="F281" s="1" t="s">
        <v>102</v>
      </c>
      <c r="G281" s="2">
        <v>25.0</v>
      </c>
      <c r="H281" s="1" t="s">
        <v>55</v>
      </c>
      <c r="I281" s="1" t="s">
        <v>76</v>
      </c>
      <c r="J281" s="1" t="s">
        <v>68</v>
      </c>
      <c r="K281" s="1" t="s">
        <v>74</v>
      </c>
      <c r="M281" s="1" t="s">
        <v>58</v>
      </c>
      <c r="N281" s="1" t="s">
        <v>58</v>
      </c>
      <c r="O281" s="1" t="s">
        <v>69</v>
      </c>
      <c r="Q281" s="1" t="s">
        <v>69</v>
      </c>
      <c r="R281" s="1" t="s">
        <v>58</v>
      </c>
      <c r="S281" s="1" t="s">
        <v>58</v>
      </c>
      <c r="T281" s="1" t="s">
        <v>58</v>
      </c>
      <c r="U281" s="1" t="s">
        <v>70</v>
      </c>
      <c r="V281" s="1" t="s">
        <v>58</v>
      </c>
      <c r="W281" s="1" t="s">
        <v>58</v>
      </c>
      <c r="X281" s="1" t="s">
        <v>81</v>
      </c>
      <c r="Y281" s="1" t="s">
        <v>82</v>
      </c>
      <c r="Z281" s="1" t="s">
        <v>61</v>
      </c>
      <c r="AA281" s="2">
        <v>10.0</v>
      </c>
      <c r="AB281" s="1" t="s">
        <v>62</v>
      </c>
      <c r="AC281" s="1" t="s">
        <v>71</v>
      </c>
      <c r="AF281" s="1" t="s">
        <v>51</v>
      </c>
      <c r="AG281" s="1" t="s">
        <v>72</v>
      </c>
      <c r="AI281" s="2">
        <v>0.0</v>
      </c>
      <c r="AJ281" s="2">
        <v>0.0</v>
      </c>
      <c r="AK281" s="2">
        <v>0.0</v>
      </c>
      <c r="AL281" s="2">
        <v>1.0</v>
      </c>
      <c r="AM281" s="1" t="s">
        <v>72</v>
      </c>
      <c r="AP281" s="2">
        <v>4.90442696E8</v>
      </c>
      <c r="AQ281" s="1" t="s">
        <v>413</v>
      </c>
      <c r="AR281" s="2">
        <v>45809.510833333334</v>
      </c>
      <c r="AU281" s="1" t="s">
        <v>64</v>
      </c>
      <c r="AW281" s="1" t="s">
        <v>255</v>
      </c>
      <c r="AY281" s="2">
        <v>275.0</v>
      </c>
    </row>
    <row r="282">
      <c r="A282" s="1" t="s">
        <v>51</v>
      </c>
      <c r="C282" s="1" t="s">
        <v>151</v>
      </c>
      <c r="E282" s="1" t="s">
        <v>151</v>
      </c>
      <c r="G282" s="2">
        <v>46.0</v>
      </c>
      <c r="H282" s="1" t="s">
        <v>66</v>
      </c>
      <c r="J282" s="1" t="s">
        <v>111</v>
      </c>
      <c r="K282" s="1" t="s">
        <v>87</v>
      </c>
      <c r="M282" s="1" t="s">
        <v>58</v>
      </c>
      <c r="N282" s="1" t="s">
        <v>58</v>
      </c>
      <c r="O282" s="1" t="s">
        <v>69</v>
      </c>
      <c r="Q282" s="1" t="s">
        <v>69</v>
      </c>
      <c r="R282" s="1" t="s">
        <v>69</v>
      </c>
      <c r="S282" s="1" t="s">
        <v>69</v>
      </c>
      <c r="T282" s="1" t="s">
        <v>58</v>
      </c>
      <c r="U282" s="1" t="s">
        <v>69</v>
      </c>
      <c r="V282" s="1" t="s">
        <v>58</v>
      </c>
      <c r="W282" s="1" t="s">
        <v>69</v>
      </c>
      <c r="X282" s="1" t="s">
        <v>81</v>
      </c>
      <c r="Y282" s="1" t="s">
        <v>82</v>
      </c>
      <c r="Z282" s="1" t="s">
        <v>61</v>
      </c>
      <c r="AA282" s="2">
        <v>10.0</v>
      </c>
      <c r="AB282" s="1" t="s">
        <v>79</v>
      </c>
      <c r="AC282" s="1" t="s">
        <v>71</v>
      </c>
      <c r="AF282" s="1" t="s">
        <v>51</v>
      </c>
      <c r="AG282" s="1" t="s">
        <v>72</v>
      </c>
      <c r="AI282" s="2">
        <v>1.0</v>
      </c>
      <c r="AJ282" s="2">
        <v>1.0</v>
      </c>
      <c r="AK282" s="2">
        <v>0.0</v>
      </c>
      <c r="AL282" s="2">
        <v>0.0</v>
      </c>
      <c r="AP282" s="2">
        <v>4.90445028E8</v>
      </c>
      <c r="AQ282" s="1" t="s">
        <v>414</v>
      </c>
      <c r="AR282" s="2">
        <v>45809.516122685185</v>
      </c>
      <c r="AU282" s="1" t="s">
        <v>64</v>
      </c>
      <c r="AW282" s="1" t="s">
        <v>255</v>
      </c>
      <c r="AY282" s="2">
        <v>276.0</v>
      </c>
    </row>
    <row r="283">
      <c r="A283" s="1" t="s">
        <v>51</v>
      </c>
      <c r="C283" s="1" t="s">
        <v>151</v>
      </c>
      <c r="E283" s="1" t="s">
        <v>151</v>
      </c>
      <c r="G283" s="2">
        <v>20.0</v>
      </c>
      <c r="H283" s="1" t="s">
        <v>55</v>
      </c>
      <c r="J283" s="1" t="s">
        <v>68</v>
      </c>
      <c r="K283" s="1" t="s">
        <v>74</v>
      </c>
      <c r="M283" s="1" t="s">
        <v>58</v>
      </c>
      <c r="N283" s="1" t="s">
        <v>58</v>
      </c>
      <c r="O283" s="1" t="s">
        <v>69</v>
      </c>
      <c r="Q283" s="1" t="s">
        <v>69</v>
      </c>
      <c r="R283" s="1" t="s">
        <v>58</v>
      </c>
      <c r="S283" s="1" t="s">
        <v>69</v>
      </c>
      <c r="T283" s="1" t="s">
        <v>69</v>
      </c>
      <c r="U283" s="1" t="s">
        <v>70</v>
      </c>
      <c r="V283" s="1" t="s">
        <v>58</v>
      </c>
      <c r="W283" s="1" t="s">
        <v>69</v>
      </c>
      <c r="X283" s="1" t="s">
        <v>81</v>
      </c>
      <c r="Y283" s="1" t="s">
        <v>60</v>
      </c>
      <c r="Z283" s="1" t="s">
        <v>61</v>
      </c>
      <c r="AA283" s="2">
        <v>10.0</v>
      </c>
      <c r="AB283" s="1" t="s">
        <v>79</v>
      </c>
      <c r="AC283" s="1" t="s">
        <v>71</v>
      </c>
      <c r="AF283" s="1" t="s">
        <v>51</v>
      </c>
      <c r="AG283" s="1" t="s">
        <v>72</v>
      </c>
      <c r="AI283" s="2">
        <v>1.0</v>
      </c>
      <c r="AJ283" s="2">
        <v>1.0</v>
      </c>
      <c r="AK283" s="2">
        <v>1.0</v>
      </c>
      <c r="AL283" s="2">
        <v>1.0</v>
      </c>
      <c r="AP283" s="2">
        <v>4.9044811E8</v>
      </c>
      <c r="AQ283" s="1" t="s">
        <v>415</v>
      </c>
      <c r="AR283" s="2">
        <v>45809.52318287037</v>
      </c>
      <c r="AU283" s="1" t="s">
        <v>64</v>
      </c>
      <c r="AW283" s="1" t="s">
        <v>255</v>
      </c>
      <c r="AY283" s="2">
        <v>277.0</v>
      </c>
    </row>
    <row r="284">
      <c r="A284" s="1" t="s">
        <v>51</v>
      </c>
      <c r="C284" s="1" t="s">
        <v>151</v>
      </c>
      <c r="E284" s="1" t="s">
        <v>53</v>
      </c>
      <c r="G284" s="2">
        <v>25.0</v>
      </c>
      <c r="H284" s="1" t="s">
        <v>55</v>
      </c>
      <c r="J284" s="1" t="s">
        <v>56</v>
      </c>
      <c r="K284" s="1" t="s">
        <v>87</v>
      </c>
      <c r="M284" s="1" t="s">
        <v>58</v>
      </c>
      <c r="N284" s="1" t="s">
        <v>58</v>
      </c>
      <c r="O284" s="1" t="s">
        <v>58</v>
      </c>
      <c r="Q284" s="1" t="s">
        <v>58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81</v>
      </c>
      <c r="Y284" s="1" t="s">
        <v>95</v>
      </c>
      <c r="Z284" s="1" t="s">
        <v>89</v>
      </c>
      <c r="AA284" s="2">
        <v>10.0</v>
      </c>
      <c r="AB284" s="1" t="s">
        <v>79</v>
      </c>
      <c r="AC284" s="1" t="s">
        <v>51</v>
      </c>
      <c r="AD284" s="1" t="s">
        <v>81</v>
      </c>
      <c r="AE284" s="1" t="s">
        <v>51</v>
      </c>
      <c r="AF284" s="1" t="s">
        <v>51</v>
      </c>
      <c r="AG284" s="1" t="s">
        <v>72</v>
      </c>
      <c r="AI284" s="2">
        <v>1.0</v>
      </c>
      <c r="AJ284" s="2">
        <v>0.0</v>
      </c>
      <c r="AK284" s="2">
        <v>0.0</v>
      </c>
      <c r="AL284" s="2">
        <v>0.0</v>
      </c>
      <c r="AM284" s="1" t="s">
        <v>51</v>
      </c>
      <c r="AN284" s="2">
        <v>6.32773846E8</v>
      </c>
      <c r="AP284" s="2">
        <v>4.90506285E8</v>
      </c>
      <c r="AQ284" s="1" t="s">
        <v>416</v>
      </c>
      <c r="AR284" s="2">
        <v>45809.63078703704</v>
      </c>
      <c r="AU284" s="1" t="s">
        <v>64</v>
      </c>
      <c r="AW284" s="1" t="s">
        <v>255</v>
      </c>
      <c r="AY284" s="2">
        <v>278.0</v>
      </c>
    </row>
    <row r="285">
      <c r="A285" s="1" t="s">
        <v>51</v>
      </c>
      <c r="C285" s="1" t="s">
        <v>131</v>
      </c>
      <c r="E285" s="1" t="s">
        <v>53</v>
      </c>
      <c r="F285" s="1" t="s">
        <v>85</v>
      </c>
      <c r="G285" s="2">
        <v>20.0</v>
      </c>
      <c r="H285" s="1" t="s">
        <v>55</v>
      </c>
      <c r="I285" s="1" t="s">
        <v>100</v>
      </c>
      <c r="J285" s="1" t="s">
        <v>111</v>
      </c>
      <c r="K285" s="1" t="s">
        <v>57</v>
      </c>
      <c r="M285" s="1" t="s">
        <v>58</v>
      </c>
      <c r="N285" s="1" t="s">
        <v>58</v>
      </c>
      <c r="O285" s="1" t="s">
        <v>58</v>
      </c>
      <c r="Q285" s="1" t="s">
        <v>58</v>
      </c>
      <c r="R285" s="1" t="s">
        <v>58</v>
      </c>
      <c r="S285" s="1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1" t="s">
        <v>59</v>
      </c>
      <c r="Y285" s="1" t="s">
        <v>60</v>
      </c>
      <c r="Z285" s="1" t="s">
        <v>89</v>
      </c>
      <c r="AA285" s="2">
        <v>30.0</v>
      </c>
      <c r="AB285" s="1" t="s">
        <v>62</v>
      </c>
      <c r="AC285" s="1" t="s">
        <v>51</v>
      </c>
      <c r="AD285" s="1" t="s">
        <v>59</v>
      </c>
      <c r="AE285" s="1" t="s">
        <v>51</v>
      </c>
      <c r="AF285" s="1" t="s">
        <v>51</v>
      </c>
      <c r="AG285" s="1" t="s">
        <v>51</v>
      </c>
      <c r="AH285" s="2">
        <v>5.0</v>
      </c>
      <c r="AI285" s="2">
        <v>0.0</v>
      </c>
      <c r="AJ285" s="2">
        <v>1.0</v>
      </c>
      <c r="AK285" s="2">
        <v>0.0</v>
      </c>
      <c r="AL285" s="2">
        <v>0.0</v>
      </c>
      <c r="AM285" s="1" t="s">
        <v>51</v>
      </c>
      <c r="AN285" s="2">
        <v>6.5515584E8</v>
      </c>
      <c r="AP285" s="2">
        <v>4.90507921E8</v>
      </c>
      <c r="AQ285" s="1" t="s">
        <v>417</v>
      </c>
      <c r="AR285" s="2">
        <v>45809.633368055554</v>
      </c>
      <c r="AU285" s="1" t="s">
        <v>64</v>
      </c>
      <c r="AW285" s="1" t="s">
        <v>255</v>
      </c>
      <c r="AY285" s="2">
        <v>279.0</v>
      </c>
    </row>
    <row r="286">
      <c r="A286" s="1" t="s">
        <v>51</v>
      </c>
      <c r="C286" s="1" t="s">
        <v>131</v>
      </c>
      <c r="E286" s="1" t="s">
        <v>53</v>
      </c>
      <c r="F286" s="1" t="s">
        <v>291</v>
      </c>
      <c r="G286" s="2">
        <v>22.0</v>
      </c>
      <c r="H286" s="1" t="s">
        <v>66</v>
      </c>
      <c r="I286" s="1" t="s">
        <v>76</v>
      </c>
      <c r="J286" s="1" t="s">
        <v>68</v>
      </c>
      <c r="K286" s="1" t="s">
        <v>74</v>
      </c>
      <c r="M286" s="1" t="s">
        <v>58</v>
      </c>
      <c r="N286" s="1" t="s">
        <v>58</v>
      </c>
      <c r="O286" s="1" t="s">
        <v>58</v>
      </c>
      <c r="Q286" s="1" t="s">
        <v>58</v>
      </c>
      <c r="R286" s="1" t="s">
        <v>58</v>
      </c>
      <c r="S286" s="1" t="s">
        <v>58</v>
      </c>
      <c r="T286" s="1" t="s">
        <v>58</v>
      </c>
      <c r="U286" s="1" t="s">
        <v>58</v>
      </c>
      <c r="V286" s="1" t="s">
        <v>58</v>
      </c>
      <c r="W286" s="1" t="s">
        <v>58</v>
      </c>
      <c r="X286" s="1" t="s">
        <v>81</v>
      </c>
      <c r="Y286" s="1" t="s">
        <v>82</v>
      </c>
      <c r="Z286" s="1" t="s">
        <v>108</v>
      </c>
      <c r="AA286" s="2">
        <v>50.0</v>
      </c>
      <c r="AB286" s="1" t="s">
        <v>79</v>
      </c>
      <c r="AC286" s="1" t="s">
        <v>51</v>
      </c>
      <c r="AD286" s="1" t="s">
        <v>59</v>
      </c>
      <c r="AE286" s="1" t="s">
        <v>51</v>
      </c>
      <c r="AF286" s="1" t="s">
        <v>51</v>
      </c>
      <c r="AG286" s="1" t="s">
        <v>51</v>
      </c>
      <c r="AH286" s="2">
        <v>3.0</v>
      </c>
      <c r="AI286" s="2">
        <v>1.0</v>
      </c>
      <c r="AJ286" s="2">
        <v>0.0</v>
      </c>
      <c r="AK286" s="2">
        <v>0.0</v>
      </c>
      <c r="AL286" s="2">
        <v>0.0</v>
      </c>
      <c r="AM286" s="1" t="s">
        <v>51</v>
      </c>
      <c r="AN286" s="2">
        <v>6.311026E8</v>
      </c>
      <c r="AP286" s="2">
        <v>4.90509604E8</v>
      </c>
      <c r="AQ286" s="1" t="s">
        <v>418</v>
      </c>
      <c r="AR286" s="2">
        <v>45809.636712962965</v>
      </c>
      <c r="AU286" s="1" t="s">
        <v>64</v>
      </c>
      <c r="AW286" s="1" t="s">
        <v>255</v>
      </c>
      <c r="AY286" s="2">
        <v>280.0</v>
      </c>
    </row>
    <row r="287">
      <c r="A287" s="1" t="s">
        <v>51</v>
      </c>
      <c r="C287" s="1" t="s">
        <v>131</v>
      </c>
      <c r="E287" s="1" t="s">
        <v>53</v>
      </c>
      <c r="F287" s="1" t="s">
        <v>291</v>
      </c>
      <c r="G287" s="2">
        <v>25.0</v>
      </c>
      <c r="H287" s="1" t="s">
        <v>55</v>
      </c>
      <c r="I287" s="1" t="s">
        <v>419</v>
      </c>
      <c r="J287" s="1" t="s">
        <v>86</v>
      </c>
      <c r="K287" s="1" t="s">
        <v>78</v>
      </c>
      <c r="M287" s="1" t="s">
        <v>70</v>
      </c>
      <c r="N287" s="1" t="s">
        <v>58</v>
      </c>
      <c r="O287" s="1" t="s">
        <v>58</v>
      </c>
      <c r="Q287" s="1" t="s">
        <v>58</v>
      </c>
      <c r="R287" s="1" t="s">
        <v>58</v>
      </c>
      <c r="S287" s="1" t="s">
        <v>58</v>
      </c>
      <c r="T287" s="1" t="s">
        <v>58</v>
      </c>
      <c r="U287" s="1" t="s">
        <v>58</v>
      </c>
      <c r="V287" s="1" t="s">
        <v>58</v>
      </c>
      <c r="W287" s="1" t="s">
        <v>58</v>
      </c>
      <c r="X287" s="1" t="s">
        <v>88</v>
      </c>
      <c r="Y287" s="1" t="s">
        <v>60</v>
      </c>
      <c r="Z287" s="1" t="s">
        <v>127</v>
      </c>
      <c r="AA287" s="2">
        <v>20.0</v>
      </c>
      <c r="AB287" s="1" t="s">
        <v>79</v>
      </c>
      <c r="AC287" s="1" t="s">
        <v>51</v>
      </c>
      <c r="AD287" s="1" t="s">
        <v>59</v>
      </c>
      <c r="AE287" s="1" t="s">
        <v>51</v>
      </c>
      <c r="AF287" s="1" t="s">
        <v>51</v>
      </c>
      <c r="AG287" s="1" t="s">
        <v>51</v>
      </c>
      <c r="AH287" s="2">
        <v>2.0</v>
      </c>
      <c r="AI287" s="2">
        <v>1.0</v>
      </c>
      <c r="AJ287" s="2">
        <v>0.0</v>
      </c>
      <c r="AK287" s="2">
        <v>0.0</v>
      </c>
      <c r="AL287" s="2">
        <v>0.0</v>
      </c>
      <c r="AM287" s="1" t="s">
        <v>51</v>
      </c>
      <c r="AN287" s="2">
        <v>8.15732989E8</v>
      </c>
      <c r="AP287" s="2">
        <v>4.90509749E8</v>
      </c>
      <c r="AQ287" s="1" t="s">
        <v>420</v>
      </c>
      <c r="AR287" s="2">
        <v>45809.63701388889</v>
      </c>
      <c r="AU287" s="1" t="s">
        <v>64</v>
      </c>
      <c r="AW287" s="1" t="s">
        <v>255</v>
      </c>
      <c r="AY287" s="2">
        <v>281.0</v>
      </c>
    </row>
    <row r="288">
      <c r="A288" s="1" t="s">
        <v>51</v>
      </c>
      <c r="C288" s="1" t="s">
        <v>131</v>
      </c>
      <c r="E288" s="1" t="s">
        <v>53</v>
      </c>
      <c r="F288" s="1" t="s">
        <v>85</v>
      </c>
      <c r="G288" s="2">
        <v>23.0</v>
      </c>
      <c r="H288" s="1" t="s">
        <v>55</v>
      </c>
      <c r="I288" s="1" t="s">
        <v>67</v>
      </c>
      <c r="J288" s="1" t="s">
        <v>111</v>
      </c>
      <c r="K288" s="1" t="s">
        <v>78</v>
      </c>
      <c r="M288" s="1" t="s">
        <v>58</v>
      </c>
      <c r="N288" s="1" t="s">
        <v>58</v>
      </c>
      <c r="O288" s="1" t="s">
        <v>58</v>
      </c>
      <c r="Q288" s="1" t="s">
        <v>58</v>
      </c>
      <c r="R288" s="1" t="s">
        <v>70</v>
      </c>
      <c r="T288" s="1" t="s">
        <v>58</v>
      </c>
      <c r="U288" s="1" t="s">
        <v>70</v>
      </c>
      <c r="V288" s="1" t="s">
        <v>58</v>
      </c>
      <c r="W288" s="1" t="s">
        <v>58</v>
      </c>
      <c r="X288" s="1" t="s">
        <v>81</v>
      </c>
      <c r="Y288" s="1" t="s">
        <v>172</v>
      </c>
      <c r="Z288" s="1" t="s">
        <v>127</v>
      </c>
      <c r="AA288" s="2">
        <v>10.0</v>
      </c>
      <c r="AB288" s="1" t="s">
        <v>79</v>
      </c>
      <c r="AC288" s="1" t="s">
        <v>51</v>
      </c>
      <c r="AD288" s="1" t="s">
        <v>81</v>
      </c>
      <c r="AE288" s="1" t="s">
        <v>51</v>
      </c>
      <c r="AF288" s="1" t="s">
        <v>51</v>
      </c>
      <c r="AG288" s="1" t="s">
        <v>51</v>
      </c>
      <c r="AH288" s="2">
        <v>6.0</v>
      </c>
      <c r="AI288" s="2">
        <v>0.0</v>
      </c>
      <c r="AJ288" s="2">
        <v>1.0</v>
      </c>
      <c r="AK288" s="2">
        <v>0.0</v>
      </c>
      <c r="AL288" s="2">
        <v>0.0</v>
      </c>
      <c r="AM288" s="1" t="s">
        <v>51</v>
      </c>
      <c r="AN288" s="2">
        <v>6.1713361E8</v>
      </c>
      <c r="AP288" s="2">
        <v>4.90511459E8</v>
      </c>
      <c r="AQ288" s="1" t="s">
        <v>421</v>
      </c>
      <c r="AR288" s="2">
        <v>45809.63978009259</v>
      </c>
      <c r="AU288" s="1" t="s">
        <v>64</v>
      </c>
      <c r="AW288" s="1" t="s">
        <v>255</v>
      </c>
      <c r="AY288" s="2">
        <v>282.0</v>
      </c>
    </row>
    <row r="289">
      <c r="A289" s="1" t="s">
        <v>51</v>
      </c>
      <c r="C289" s="1" t="s">
        <v>131</v>
      </c>
      <c r="E289" s="1" t="s">
        <v>53</v>
      </c>
      <c r="F289" s="1" t="s">
        <v>85</v>
      </c>
      <c r="G289" s="2">
        <v>29.0</v>
      </c>
      <c r="H289" s="1" t="s">
        <v>66</v>
      </c>
      <c r="I289" s="1" t="s">
        <v>67</v>
      </c>
      <c r="J289" s="1" t="s">
        <v>111</v>
      </c>
      <c r="K289" s="1" t="s">
        <v>78</v>
      </c>
      <c r="M289" s="1" t="s">
        <v>70</v>
      </c>
      <c r="N289" s="1" t="s">
        <v>58</v>
      </c>
      <c r="O289" s="1" t="s">
        <v>58</v>
      </c>
      <c r="Q289" s="1" t="s">
        <v>70</v>
      </c>
      <c r="R289" s="1" t="s">
        <v>58</v>
      </c>
      <c r="S289" s="1" t="s">
        <v>58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59</v>
      </c>
      <c r="Y289" s="1" t="s">
        <v>82</v>
      </c>
      <c r="Z289" s="1" t="s">
        <v>89</v>
      </c>
      <c r="AA289" s="2">
        <v>30.0</v>
      </c>
      <c r="AB289" s="1" t="s">
        <v>62</v>
      </c>
      <c r="AC289" s="1" t="s">
        <v>51</v>
      </c>
      <c r="AD289" s="1" t="s">
        <v>59</v>
      </c>
      <c r="AE289" s="1" t="s">
        <v>51</v>
      </c>
      <c r="AF289" s="1" t="s">
        <v>51</v>
      </c>
      <c r="AG289" s="1" t="s">
        <v>51</v>
      </c>
      <c r="AH289" s="2">
        <v>4.0</v>
      </c>
      <c r="AI289" s="2">
        <v>0.0</v>
      </c>
      <c r="AJ289" s="2">
        <v>1.0</v>
      </c>
      <c r="AK289" s="2">
        <v>0.0</v>
      </c>
      <c r="AL289" s="2">
        <v>0.0</v>
      </c>
      <c r="AM289" s="1" t="s">
        <v>51</v>
      </c>
      <c r="AN289" s="2">
        <v>7.83879656E8</v>
      </c>
      <c r="AP289" s="2">
        <v>4.90511932E8</v>
      </c>
      <c r="AQ289" s="1" t="s">
        <v>422</v>
      </c>
      <c r="AR289" s="2">
        <v>45809.640648148146</v>
      </c>
      <c r="AU289" s="1" t="s">
        <v>64</v>
      </c>
      <c r="AW289" s="1" t="s">
        <v>255</v>
      </c>
      <c r="AY289" s="2">
        <v>283.0</v>
      </c>
    </row>
    <row r="290">
      <c r="A290" s="1" t="s">
        <v>51</v>
      </c>
      <c r="C290" s="1" t="s">
        <v>131</v>
      </c>
      <c r="E290" s="1" t="s">
        <v>53</v>
      </c>
      <c r="F290" s="1" t="s">
        <v>350</v>
      </c>
      <c r="G290" s="2">
        <v>27.0</v>
      </c>
      <c r="H290" s="1" t="s">
        <v>55</v>
      </c>
      <c r="I290" s="1" t="s">
        <v>67</v>
      </c>
      <c r="J290" s="1" t="s">
        <v>111</v>
      </c>
      <c r="K290" s="1" t="s">
        <v>57</v>
      </c>
      <c r="M290" s="1" t="s">
        <v>58</v>
      </c>
      <c r="N290" s="1" t="s">
        <v>58</v>
      </c>
      <c r="O290" s="1" t="s">
        <v>58</v>
      </c>
      <c r="Q290" s="1" t="s">
        <v>70</v>
      </c>
      <c r="R290" s="1" t="s">
        <v>58</v>
      </c>
      <c r="S290" s="1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59</v>
      </c>
      <c r="Y290" s="1" t="s">
        <v>82</v>
      </c>
      <c r="Z290" s="1" t="s">
        <v>89</v>
      </c>
      <c r="AA290" s="2">
        <v>10.0</v>
      </c>
      <c r="AB290" s="1" t="s">
        <v>79</v>
      </c>
      <c r="AC290" s="1" t="s">
        <v>51</v>
      </c>
      <c r="AD290" s="1" t="s">
        <v>59</v>
      </c>
      <c r="AE290" s="1" t="s">
        <v>51</v>
      </c>
      <c r="AF290" s="1" t="s">
        <v>51</v>
      </c>
      <c r="AG290" s="1" t="s">
        <v>51</v>
      </c>
      <c r="AH290" s="2">
        <v>8.0</v>
      </c>
      <c r="AI290" s="2">
        <v>0.0</v>
      </c>
      <c r="AJ290" s="2">
        <v>1.0</v>
      </c>
      <c r="AK290" s="2">
        <v>0.0</v>
      </c>
      <c r="AL290" s="2">
        <v>0.0</v>
      </c>
      <c r="AM290" s="1" t="s">
        <v>51</v>
      </c>
      <c r="AN290" s="2">
        <v>7.83106168E8</v>
      </c>
      <c r="AP290" s="2">
        <v>4.90512955E8</v>
      </c>
      <c r="AQ290" s="1" t="s">
        <v>423</v>
      </c>
      <c r="AR290" s="2">
        <v>45809.64240740741</v>
      </c>
      <c r="AU290" s="1" t="s">
        <v>64</v>
      </c>
      <c r="AW290" s="1" t="s">
        <v>255</v>
      </c>
      <c r="AY290" s="2">
        <v>284.0</v>
      </c>
    </row>
    <row r="291">
      <c r="A291" s="1" t="s">
        <v>51</v>
      </c>
      <c r="C291" s="1" t="s">
        <v>131</v>
      </c>
      <c r="E291" s="1" t="s">
        <v>53</v>
      </c>
      <c r="F291" s="1" t="s">
        <v>85</v>
      </c>
      <c r="G291" s="2">
        <v>21.0</v>
      </c>
      <c r="H291" s="1" t="s">
        <v>55</v>
      </c>
      <c r="I291" s="1" t="s">
        <v>419</v>
      </c>
      <c r="J291" s="1" t="s">
        <v>111</v>
      </c>
      <c r="K291" s="1" t="s">
        <v>78</v>
      </c>
      <c r="M291" s="1" t="s">
        <v>58</v>
      </c>
      <c r="N291" s="1" t="s">
        <v>58</v>
      </c>
      <c r="O291" s="1" t="s">
        <v>58</v>
      </c>
      <c r="Q291" s="1" t="s">
        <v>58</v>
      </c>
      <c r="R291" s="1" t="s">
        <v>58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59</v>
      </c>
      <c r="Y291" s="1" t="s">
        <v>60</v>
      </c>
      <c r="Z291" s="1" t="s">
        <v>89</v>
      </c>
      <c r="AA291" s="2">
        <v>10.0</v>
      </c>
      <c r="AB291" s="1" t="s">
        <v>79</v>
      </c>
      <c r="AC291" s="1" t="s">
        <v>51</v>
      </c>
      <c r="AD291" s="1" t="s">
        <v>81</v>
      </c>
      <c r="AE291" s="1" t="s">
        <v>51</v>
      </c>
      <c r="AF291" s="1" t="s">
        <v>51</v>
      </c>
      <c r="AG291" s="1" t="s">
        <v>51</v>
      </c>
      <c r="AH291" s="2">
        <v>2.0</v>
      </c>
      <c r="AI291" s="2">
        <v>1.0</v>
      </c>
      <c r="AJ291" s="2">
        <v>0.0</v>
      </c>
      <c r="AK291" s="2">
        <v>0.0</v>
      </c>
      <c r="AL291" s="2">
        <v>0.0</v>
      </c>
      <c r="AM291" s="1" t="s">
        <v>51</v>
      </c>
      <c r="AN291" s="2">
        <v>6.33869547E8</v>
      </c>
      <c r="AP291" s="2">
        <v>4.90513881E8</v>
      </c>
      <c r="AQ291" s="1" t="s">
        <v>424</v>
      </c>
      <c r="AR291" s="2">
        <v>45809.64402777778</v>
      </c>
      <c r="AU291" s="1" t="s">
        <v>64</v>
      </c>
      <c r="AW291" s="1" t="s">
        <v>255</v>
      </c>
      <c r="AY291" s="2">
        <v>285.0</v>
      </c>
    </row>
    <row r="292">
      <c r="A292" s="1" t="s">
        <v>51</v>
      </c>
      <c r="C292" s="1" t="s">
        <v>131</v>
      </c>
      <c r="E292" s="1" t="s">
        <v>53</v>
      </c>
      <c r="F292" s="1" t="s">
        <v>291</v>
      </c>
      <c r="G292" s="2">
        <v>23.0</v>
      </c>
      <c r="H292" s="1" t="s">
        <v>66</v>
      </c>
      <c r="I292" s="1" t="s">
        <v>67</v>
      </c>
      <c r="J292" s="1" t="s">
        <v>111</v>
      </c>
      <c r="K292" s="1" t="s">
        <v>57</v>
      </c>
      <c r="M292" s="1" t="s">
        <v>58</v>
      </c>
      <c r="N292" s="1" t="s">
        <v>58</v>
      </c>
      <c r="O292" s="1" t="s">
        <v>58</v>
      </c>
      <c r="Q292" s="1" t="s">
        <v>58</v>
      </c>
      <c r="R292" s="1" t="s">
        <v>58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81</v>
      </c>
      <c r="Y292" s="1" t="s">
        <v>82</v>
      </c>
      <c r="Z292" s="1" t="s">
        <v>89</v>
      </c>
      <c r="AA292" s="2">
        <v>20.0</v>
      </c>
      <c r="AB292" s="1" t="s">
        <v>62</v>
      </c>
      <c r="AC292" s="1" t="s">
        <v>51</v>
      </c>
      <c r="AD292" s="1" t="s">
        <v>81</v>
      </c>
      <c r="AE292" s="1" t="s">
        <v>51</v>
      </c>
      <c r="AF292" s="1" t="s">
        <v>51</v>
      </c>
      <c r="AG292" s="1" t="s">
        <v>51</v>
      </c>
      <c r="AH292" s="2">
        <v>4.0</v>
      </c>
      <c r="AI292" s="2">
        <v>1.0</v>
      </c>
      <c r="AJ292" s="2">
        <v>0.0</v>
      </c>
      <c r="AK292" s="2">
        <v>0.0</v>
      </c>
      <c r="AL292" s="2">
        <v>0.0</v>
      </c>
      <c r="AM292" s="1" t="s">
        <v>51</v>
      </c>
      <c r="AN292" s="2">
        <v>6.04141344E8</v>
      </c>
      <c r="AP292" s="2">
        <v>4.90516923E8</v>
      </c>
      <c r="AQ292" s="1" t="s">
        <v>425</v>
      </c>
      <c r="AR292" s="2">
        <v>45809.64916666667</v>
      </c>
      <c r="AU292" s="1" t="s">
        <v>64</v>
      </c>
      <c r="AW292" s="1" t="s">
        <v>255</v>
      </c>
      <c r="AY292" s="2">
        <v>286.0</v>
      </c>
    </row>
    <row r="293">
      <c r="A293" s="1" t="s">
        <v>51</v>
      </c>
      <c r="C293" s="1" t="s">
        <v>52</v>
      </c>
      <c r="E293" s="1" t="s">
        <v>53</v>
      </c>
      <c r="F293" s="1" t="s">
        <v>54</v>
      </c>
      <c r="G293" s="2">
        <v>32.0</v>
      </c>
      <c r="H293" s="1" t="s">
        <v>55</v>
      </c>
      <c r="I293" s="1" t="s">
        <v>100</v>
      </c>
      <c r="J293" s="1" t="s">
        <v>86</v>
      </c>
      <c r="K293" s="1" t="s">
        <v>87</v>
      </c>
      <c r="M293" s="1" t="s">
        <v>58</v>
      </c>
      <c r="N293" s="1" t="s">
        <v>58</v>
      </c>
      <c r="O293" s="1" t="s">
        <v>69</v>
      </c>
      <c r="Q293" s="1" t="s">
        <v>69</v>
      </c>
      <c r="R293" s="1" t="s">
        <v>58</v>
      </c>
      <c r="S293" s="1" t="s">
        <v>69</v>
      </c>
      <c r="T293" s="1" t="s">
        <v>69</v>
      </c>
      <c r="U293" s="1" t="s">
        <v>58</v>
      </c>
      <c r="V293" s="1" t="s">
        <v>58</v>
      </c>
      <c r="W293" s="1" t="s">
        <v>69</v>
      </c>
      <c r="X293" s="1" t="s">
        <v>88</v>
      </c>
      <c r="Y293" s="1" t="s">
        <v>95</v>
      </c>
      <c r="Z293" s="1" t="s">
        <v>108</v>
      </c>
      <c r="AA293" s="2">
        <v>100.0</v>
      </c>
      <c r="AB293" s="1" t="s">
        <v>62</v>
      </c>
      <c r="AC293" s="1" t="s">
        <v>51</v>
      </c>
      <c r="AD293" s="1" t="s">
        <v>88</v>
      </c>
      <c r="AE293" s="1" t="s">
        <v>51</v>
      </c>
      <c r="AF293" s="1" t="s">
        <v>72</v>
      </c>
      <c r="AG293" s="1" t="s">
        <v>72</v>
      </c>
      <c r="AI293" s="2">
        <v>0.0</v>
      </c>
      <c r="AJ293" s="2">
        <v>0.0</v>
      </c>
      <c r="AK293" s="2">
        <v>0.0</v>
      </c>
      <c r="AL293" s="2">
        <v>1.0</v>
      </c>
      <c r="AM293" s="1" t="s">
        <v>72</v>
      </c>
      <c r="AP293" s="2">
        <v>4.90575027E8</v>
      </c>
      <c r="AQ293" s="1" t="s">
        <v>426</v>
      </c>
      <c r="AR293" s="2">
        <v>45809.75487268518</v>
      </c>
      <c r="AU293" s="1" t="s">
        <v>64</v>
      </c>
      <c r="AW293" s="1" t="s">
        <v>255</v>
      </c>
      <c r="AY293" s="2">
        <v>287.0</v>
      </c>
    </row>
    <row r="294">
      <c r="A294" s="1" t="s">
        <v>51</v>
      </c>
      <c r="C294" s="1" t="s">
        <v>427</v>
      </c>
      <c r="E294" s="1" t="s">
        <v>53</v>
      </c>
      <c r="F294" s="1" t="s">
        <v>102</v>
      </c>
      <c r="G294" s="2">
        <v>31.0</v>
      </c>
      <c r="H294" s="1" t="s">
        <v>66</v>
      </c>
      <c r="I294" s="1" t="s">
        <v>100</v>
      </c>
      <c r="J294" s="1" t="s">
        <v>68</v>
      </c>
      <c r="K294" s="1" t="s">
        <v>57</v>
      </c>
      <c r="M294" s="1" t="s">
        <v>58</v>
      </c>
      <c r="N294" s="1" t="s">
        <v>58</v>
      </c>
      <c r="O294" s="1" t="s">
        <v>69</v>
      </c>
      <c r="Q294" s="1" t="s">
        <v>58</v>
      </c>
      <c r="R294" s="1" t="s">
        <v>58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81</v>
      </c>
      <c r="Y294" s="1" t="s">
        <v>82</v>
      </c>
      <c r="Z294" s="1" t="s">
        <v>61</v>
      </c>
      <c r="AB294" s="1" t="s">
        <v>79</v>
      </c>
      <c r="AC294" s="1" t="s">
        <v>71</v>
      </c>
      <c r="AF294" s="1" t="s">
        <v>51</v>
      </c>
      <c r="AG294" s="1" t="s">
        <v>72</v>
      </c>
      <c r="AI294" s="2">
        <v>0.0</v>
      </c>
      <c r="AJ294" s="2">
        <v>0.0</v>
      </c>
      <c r="AK294" s="2">
        <v>0.0</v>
      </c>
      <c r="AL294" s="2">
        <v>1.0</v>
      </c>
      <c r="AM294" s="1" t="s">
        <v>72</v>
      </c>
      <c r="AP294" s="2">
        <v>4.90758061E8</v>
      </c>
      <c r="AQ294" s="1" t="s">
        <v>428</v>
      </c>
      <c r="AR294" s="2">
        <v>45810.32388888889</v>
      </c>
      <c r="AU294" s="1" t="s">
        <v>64</v>
      </c>
      <c r="AW294" s="1" t="s">
        <v>255</v>
      </c>
      <c r="AY294" s="2">
        <v>288.0</v>
      </c>
    </row>
    <row r="295">
      <c r="A295" s="1" t="s">
        <v>51</v>
      </c>
      <c r="C295" s="1" t="s">
        <v>427</v>
      </c>
      <c r="E295" s="1" t="s">
        <v>53</v>
      </c>
      <c r="F295" s="1" t="s">
        <v>102</v>
      </c>
      <c r="G295" s="2">
        <v>50.0</v>
      </c>
      <c r="H295" s="1" t="s">
        <v>66</v>
      </c>
      <c r="I295" s="1" t="s">
        <v>100</v>
      </c>
      <c r="J295" s="1" t="s">
        <v>68</v>
      </c>
      <c r="K295" s="1" t="s">
        <v>78</v>
      </c>
      <c r="M295" s="1" t="s">
        <v>58</v>
      </c>
      <c r="N295" s="1" t="s">
        <v>58</v>
      </c>
      <c r="O295" s="1" t="s">
        <v>69</v>
      </c>
      <c r="Q295" s="1" t="s">
        <v>58</v>
      </c>
      <c r="R295" s="1" t="s">
        <v>58</v>
      </c>
      <c r="S295" s="1" t="s">
        <v>58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81</v>
      </c>
      <c r="Y295" s="1" t="s">
        <v>60</v>
      </c>
      <c r="Z295" s="1" t="s">
        <v>89</v>
      </c>
      <c r="AA295" s="2">
        <v>10.0</v>
      </c>
      <c r="AB295" s="1" t="s">
        <v>79</v>
      </c>
      <c r="AC295" s="1" t="s">
        <v>71</v>
      </c>
      <c r="AF295" s="1" t="s">
        <v>51</v>
      </c>
      <c r="AG295" s="1" t="s">
        <v>72</v>
      </c>
      <c r="AI295" s="2">
        <v>0.0</v>
      </c>
      <c r="AJ295" s="2">
        <v>0.0</v>
      </c>
      <c r="AK295" s="2">
        <v>0.0</v>
      </c>
      <c r="AL295" s="2">
        <v>1.0</v>
      </c>
      <c r="AM295" s="1" t="s">
        <v>72</v>
      </c>
      <c r="AP295" s="2">
        <v>4.90763616E8</v>
      </c>
      <c r="AQ295" s="1" t="s">
        <v>429</v>
      </c>
      <c r="AR295" s="2">
        <v>45810.33143518519</v>
      </c>
      <c r="AU295" s="1" t="s">
        <v>64</v>
      </c>
      <c r="AW295" s="1" t="s">
        <v>255</v>
      </c>
      <c r="AY295" s="2">
        <v>289.0</v>
      </c>
    </row>
    <row r="296">
      <c r="A296" s="1" t="s">
        <v>51</v>
      </c>
      <c r="C296" s="1" t="s">
        <v>52</v>
      </c>
      <c r="E296" s="1" t="s">
        <v>53</v>
      </c>
      <c r="F296" s="1" t="s">
        <v>54</v>
      </c>
      <c r="G296" s="2">
        <v>25.0</v>
      </c>
      <c r="H296" s="1" t="s">
        <v>66</v>
      </c>
      <c r="I296" s="1" t="s">
        <v>100</v>
      </c>
      <c r="J296" s="1" t="s">
        <v>68</v>
      </c>
      <c r="K296" s="1" t="s">
        <v>74</v>
      </c>
      <c r="M296" s="1" t="s">
        <v>58</v>
      </c>
      <c r="N296" s="1" t="s">
        <v>58</v>
      </c>
      <c r="O296" s="1" t="s">
        <v>69</v>
      </c>
      <c r="Q296" s="1" t="s">
        <v>58</v>
      </c>
      <c r="R296" s="1" t="s">
        <v>58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81</v>
      </c>
      <c r="Y296" s="1" t="s">
        <v>82</v>
      </c>
      <c r="Z296" s="1" t="s">
        <v>89</v>
      </c>
      <c r="AA296" s="2">
        <v>10.0</v>
      </c>
      <c r="AB296" s="1" t="s">
        <v>79</v>
      </c>
      <c r="AC296" s="1" t="s">
        <v>72</v>
      </c>
      <c r="AF296" s="1" t="s">
        <v>51</v>
      </c>
      <c r="AG296" s="1" t="s">
        <v>51</v>
      </c>
      <c r="AH296" s="2">
        <v>5.0</v>
      </c>
      <c r="AI296" s="2">
        <v>0.0</v>
      </c>
      <c r="AJ296" s="2">
        <v>0.0</v>
      </c>
      <c r="AK296" s="2">
        <v>0.0</v>
      </c>
      <c r="AL296" s="2">
        <v>1.0</v>
      </c>
      <c r="AM296" s="1" t="s">
        <v>72</v>
      </c>
      <c r="AP296" s="2">
        <v>4.90763804E8</v>
      </c>
      <c r="AQ296" s="1" t="s">
        <v>430</v>
      </c>
      <c r="AR296" s="2">
        <v>45810.331666666665</v>
      </c>
      <c r="AU296" s="1" t="s">
        <v>64</v>
      </c>
      <c r="AW296" s="1" t="s">
        <v>255</v>
      </c>
      <c r="AY296" s="2">
        <v>290.0</v>
      </c>
    </row>
    <row r="297">
      <c r="A297" s="1" t="s">
        <v>51</v>
      </c>
      <c r="C297" s="1" t="s">
        <v>52</v>
      </c>
      <c r="E297" s="1" t="s">
        <v>53</v>
      </c>
      <c r="F297" s="1" t="s">
        <v>54</v>
      </c>
      <c r="G297" s="2">
        <v>32.0</v>
      </c>
      <c r="H297" s="1" t="s">
        <v>66</v>
      </c>
      <c r="I297" s="1" t="s">
        <v>67</v>
      </c>
      <c r="J297" s="1" t="s">
        <v>68</v>
      </c>
      <c r="K297" s="1" t="s">
        <v>74</v>
      </c>
      <c r="M297" s="1" t="s">
        <v>58</v>
      </c>
      <c r="N297" s="1" t="s">
        <v>58</v>
      </c>
      <c r="O297" s="1" t="s">
        <v>69</v>
      </c>
      <c r="Q297" s="1" t="s">
        <v>58</v>
      </c>
      <c r="R297" s="1" t="s">
        <v>58</v>
      </c>
      <c r="S297" s="1" t="s">
        <v>69</v>
      </c>
      <c r="T297" s="1" t="s">
        <v>69</v>
      </c>
      <c r="U297" s="1" t="s">
        <v>70</v>
      </c>
      <c r="V297" s="1" t="s">
        <v>69</v>
      </c>
      <c r="W297" s="1" t="s">
        <v>69</v>
      </c>
      <c r="X297" s="1" t="s">
        <v>81</v>
      </c>
      <c r="Y297" s="1" t="s">
        <v>82</v>
      </c>
      <c r="Z297" s="1" t="s">
        <v>89</v>
      </c>
      <c r="AA297" s="2">
        <v>20.0</v>
      </c>
      <c r="AB297" s="1" t="s">
        <v>79</v>
      </c>
      <c r="AC297" s="1" t="s">
        <v>72</v>
      </c>
      <c r="AF297" s="1" t="s">
        <v>51</v>
      </c>
      <c r="AG297" s="1" t="s">
        <v>51</v>
      </c>
      <c r="AH297" s="2">
        <v>10.0</v>
      </c>
      <c r="AI297" s="2">
        <v>0.0</v>
      </c>
      <c r="AJ297" s="2">
        <v>0.0</v>
      </c>
      <c r="AK297" s="2">
        <v>0.0</v>
      </c>
      <c r="AL297" s="2">
        <v>1.0</v>
      </c>
      <c r="AM297" s="1" t="s">
        <v>72</v>
      </c>
      <c r="AP297" s="2">
        <v>4.9076591E8</v>
      </c>
      <c r="AQ297" s="1" t="s">
        <v>431</v>
      </c>
      <c r="AR297" s="2">
        <v>45810.33409722222</v>
      </c>
      <c r="AU297" s="1" t="s">
        <v>64</v>
      </c>
      <c r="AW297" s="1" t="s">
        <v>255</v>
      </c>
      <c r="AY297" s="2">
        <v>291.0</v>
      </c>
    </row>
    <row r="298">
      <c r="A298" s="1" t="s">
        <v>51</v>
      </c>
      <c r="C298" s="1" t="s">
        <v>170</v>
      </c>
      <c r="E298" s="1" t="s">
        <v>53</v>
      </c>
      <c r="F298" s="1" t="s">
        <v>54</v>
      </c>
      <c r="G298" s="2">
        <v>33.0</v>
      </c>
      <c r="H298" s="1" t="s">
        <v>66</v>
      </c>
      <c r="I298" s="1" t="s">
        <v>67</v>
      </c>
      <c r="J298" s="1" t="s">
        <v>68</v>
      </c>
      <c r="K298" s="1" t="s">
        <v>57</v>
      </c>
      <c r="M298" s="1" t="s">
        <v>58</v>
      </c>
      <c r="N298" s="1" t="s">
        <v>58</v>
      </c>
      <c r="O298" s="1" t="s">
        <v>69</v>
      </c>
      <c r="Q298" s="1" t="s">
        <v>58</v>
      </c>
      <c r="R298" s="1" t="s">
        <v>58</v>
      </c>
      <c r="S298" s="1" t="s">
        <v>69</v>
      </c>
      <c r="T298" s="1" t="s">
        <v>69</v>
      </c>
      <c r="U298" s="1" t="s">
        <v>70</v>
      </c>
      <c r="V298" s="1" t="s">
        <v>69</v>
      </c>
      <c r="W298" s="1" t="s">
        <v>58</v>
      </c>
      <c r="X298" s="1" t="s">
        <v>81</v>
      </c>
      <c r="Y298" s="1" t="s">
        <v>82</v>
      </c>
      <c r="Z298" s="1" t="s">
        <v>89</v>
      </c>
      <c r="AA298" s="2">
        <v>30.0</v>
      </c>
      <c r="AB298" s="1" t="s">
        <v>79</v>
      </c>
      <c r="AC298" s="1" t="s">
        <v>72</v>
      </c>
      <c r="AF298" s="1" t="s">
        <v>51</v>
      </c>
      <c r="AG298" s="1" t="s">
        <v>51</v>
      </c>
      <c r="AH298" s="2">
        <v>10.0</v>
      </c>
      <c r="AI298" s="2">
        <v>0.0</v>
      </c>
      <c r="AJ298" s="2">
        <v>0.0</v>
      </c>
      <c r="AK298" s="2">
        <v>0.0</v>
      </c>
      <c r="AL298" s="2">
        <v>1.0</v>
      </c>
      <c r="AM298" s="1" t="s">
        <v>72</v>
      </c>
      <c r="AP298" s="2">
        <v>4.90776313E8</v>
      </c>
      <c r="AQ298" s="1" t="s">
        <v>432</v>
      </c>
      <c r="AR298" s="2">
        <v>45810.34570601852</v>
      </c>
      <c r="AU298" s="1" t="s">
        <v>64</v>
      </c>
      <c r="AW298" s="1" t="s">
        <v>255</v>
      </c>
      <c r="AY298" s="2">
        <v>292.0</v>
      </c>
    </row>
    <row r="299">
      <c r="A299" s="1" t="s">
        <v>51</v>
      </c>
      <c r="C299" s="1" t="s">
        <v>52</v>
      </c>
      <c r="E299" s="1" t="s">
        <v>53</v>
      </c>
      <c r="F299" s="1" t="s">
        <v>54</v>
      </c>
      <c r="G299" s="2">
        <v>53.0</v>
      </c>
      <c r="H299" s="1" t="s">
        <v>66</v>
      </c>
      <c r="I299" s="1" t="s">
        <v>67</v>
      </c>
      <c r="J299" s="1" t="s">
        <v>68</v>
      </c>
      <c r="K299" s="1" t="s">
        <v>74</v>
      </c>
      <c r="M299" s="1" t="s">
        <v>58</v>
      </c>
      <c r="N299" s="1" t="s">
        <v>58</v>
      </c>
      <c r="O299" s="1" t="s">
        <v>69</v>
      </c>
      <c r="Q299" s="1" t="s">
        <v>58</v>
      </c>
      <c r="R299" s="1" t="s">
        <v>69</v>
      </c>
      <c r="S299" s="1" t="s">
        <v>69</v>
      </c>
      <c r="T299" s="1" t="s">
        <v>70</v>
      </c>
      <c r="U299" s="1" t="s">
        <v>58</v>
      </c>
      <c r="V299" s="1" t="s">
        <v>70</v>
      </c>
      <c r="W299" s="1" t="s">
        <v>69</v>
      </c>
      <c r="Y299" s="1" t="s">
        <v>227</v>
      </c>
      <c r="AA299" s="2">
        <v>50.0</v>
      </c>
      <c r="AB299" s="1" t="s">
        <v>79</v>
      </c>
      <c r="AC299" s="1" t="s">
        <v>51</v>
      </c>
      <c r="AD299" s="1" t="s">
        <v>81</v>
      </c>
      <c r="AE299" s="1" t="s">
        <v>51</v>
      </c>
      <c r="AF299" s="1" t="s">
        <v>51</v>
      </c>
      <c r="AG299" s="1" t="s">
        <v>51</v>
      </c>
      <c r="AH299" s="2">
        <v>15.0</v>
      </c>
      <c r="AI299" s="2">
        <v>0.0</v>
      </c>
      <c r="AJ299" s="2">
        <v>0.0</v>
      </c>
      <c r="AK299" s="2">
        <v>0.0</v>
      </c>
      <c r="AL299" s="2">
        <v>1.0</v>
      </c>
      <c r="AM299" s="1" t="s">
        <v>51</v>
      </c>
      <c r="AN299" s="3" t="str">
        <v>#ERROR!</v>
      </c>
      <c r="AP299" s="2">
        <v>4.90787809E8</v>
      </c>
      <c r="AQ299" s="1" t="s">
        <v>433</v>
      </c>
      <c r="AR299" s="2">
        <v>45810.3628125</v>
      </c>
      <c r="AU299" s="1" t="s">
        <v>64</v>
      </c>
      <c r="AW299" s="1" t="s">
        <v>255</v>
      </c>
      <c r="AY299" s="2">
        <v>293.0</v>
      </c>
    </row>
    <row r="300">
      <c r="A300" s="1" t="s">
        <v>51</v>
      </c>
      <c r="C300" s="1" t="s">
        <v>52</v>
      </c>
      <c r="E300" s="1" t="s">
        <v>53</v>
      </c>
      <c r="F300" s="1" t="s">
        <v>94</v>
      </c>
      <c r="G300" s="2">
        <v>42.0</v>
      </c>
      <c r="H300" s="1" t="s">
        <v>66</v>
      </c>
      <c r="I300" s="1" t="s">
        <v>67</v>
      </c>
      <c r="J300" s="1" t="s">
        <v>56</v>
      </c>
      <c r="K300" s="1" t="s">
        <v>74</v>
      </c>
      <c r="M300" s="1" t="s">
        <v>58</v>
      </c>
      <c r="N300" s="1" t="s">
        <v>58</v>
      </c>
      <c r="O300" s="1" t="s">
        <v>70</v>
      </c>
      <c r="Q300" s="1" t="s">
        <v>58</v>
      </c>
      <c r="R300" s="1" t="s">
        <v>58</v>
      </c>
      <c r="S300" s="1" t="s">
        <v>69</v>
      </c>
      <c r="T300" s="1" t="s">
        <v>58</v>
      </c>
      <c r="U300" s="1" t="s">
        <v>69</v>
      </c>
      <c r="V300" s="1" t="s">
        <v>58</v>
      </c>
      <c r="W300" s="1" t="s">
        <v>58</v>
      </c>
      <c r="X300" s="1" t="s">
        <v>81</v>
      </c>
      <c r="Y300" s="1" t="s">
        <v>82</v>
      </c>
      <c r="Z300" s="1" t="s">
        <v>108</v>
      </c>
      <c r="AA300" s="2">
        <v>10.0</v>
      </c>
      <c r="AB300" s="1" t="s">
        <v>79</v>
      </c>
      <c r="AC300" s="1" t="s">
        <v>71</v>
      </c>
      <c r="AF300" s="1" t="s">
        <v>51</v>
      </c>
      <c r="AG300" s="1" t="s">
        <v>51</v>
      </c>
      <c r="AH300" s="2">
        <v>4000.0</v>
      </c>
      <c r="AI300" s="2">
        <v>0.0</v>
      </c>
      <c r="AJ300" s="2">
        <v>0.0</v>
      </c>
      <c r="AK300" s="2">
        <v>0.0</v>
      </c>
      <c r="AL300" s="2">
        <v>1.0</v>
      </c>
      <c r="AM300" s="1" t="s">
        <v>51</v>
      </c>
      <c r="AN300" s="2">
        <v>8.44491333E8</v>
      </c>
      <c r="AP300" s="2">
        <v>4.9078864E8</v>
      </c>
      <c r="AQ300" s="1" t="s">
        <v>434</v>
      </c>
      <c r="AR300" s="2">
        <v>45810.36376157407</v>
      </c>
      <c r="AU300" s="1" t="s">
        <v>64</v>
      </c>
      <c r="AW300" s="1" t="s">
        <v>255</v>
      </c>
      <c r="AY300" s="2">
        <v>294.0</v>
      </c>
    </row>
    <row r="301">
      <c r="A301" s="1" t="s">
        <v>51</v>
      </c>
      <c r="C301" s="1" t="s">
        <v>52</v>
      </c>
      <c r="E301" s="1" t="s">
        <v>53</v>
      </c>
      <c r="F301" s="1" t="s">
        <v>54</v>
      </c>
      <c r="G301" s="2">
        <v>47.0</v>
      </c>
      <c r="H301" s="1" t="s">
        <v>66</v>
      </c>
      <c r="I301" s="1" t="s">
        <v>100</v>
      </c>
      <c r="J301" s="1" t="s">
        <v>56</v>
      </c>
      <c r="K301" s="1" t="s">
        <v>74</v>
      </c>
      <c r="M301" s="1" t="s">
        <v>58</v>
      </c>
      <c r="N301" s="1" t="s">
        <v>58</v>
      </c>
      <c r="O301" s="1" t="s">
        <v>58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81</v>
      </c>
      <c r="Y301" s="1" t="s">
        <v>82</v>
      </c>
      <c r="Z301" s="1" t="s">
        <v>61</v>
      </c>
      <c r="AA301" s="2">
        <v>20.0</v>
      </c>
      <c r="AB301" s="1" t="s">
        <v>79</v>
      </c>
      <c r="AC301" s="1" t="s">
        <v>51</v>
      </c>
      <c r="AD301" s="1" t="s">
        <v>81</v>
      </c>
      <c r="AE301" s="1" t="s">
        <v>51</v>
      </c>
      <c r="AF301" s="1" t="s">
        <v>51</v>
      </c>
      <c r="AG301" s="1" t="s">
        <v>51</v>
      </c>
      <c r="AH301" s="2">
        <v>10.0</v>
      </c>
      <c r="AI301" s="2">
        <v>0.0</v>
      </c>
      <c r="AJ301" s="2">
        <v>0.0</v>
      </c>
      <c r="AK301" s="2">
        <v>0.0</v>
      </c>
      <c r="AL301" s="2">
        <v>1.0</v>
      </c>
      <c r="AM301" s="1" t="s">
        <v>72</v>
      </c>
      <c r="AP301" s="2">
        <v>4.90791151E8</v>
      </c>
      <c r="AQ301" s="1" t="s">
        <v>435</v>
      </c>
      <c r="AR301" s="2">
        <v>45810.36685185185</v>
      </c>
      <c r="AU301" s="1" t="s">
        <v>64</v>
      </c>
      <c r="AW301" s="1" t="s">
        <v>255</v>
      </c>
      <c r="AY301" s="2">
        <v>295.0</v>
      </c>
    </row>
    <row r="302">
      <c r="A302" s="1" t="s">
        <v>51</v>
      </c>
      <c r="C302" s="1" t="s">
        <v>52</v>
      </c>
      <c r="E302" s="1" t="s">
        <v>53</v>
      </c>
      <c r="F302" s="1" t="s">
        <v>54</v>
      </c>
      <c r="G302" s="2">
        <v>45.0</v>
      </c>
      <c r="H302" s="1" t="s">
        <v>66</v>
      </c>
      <c r="I302" s="1" t="s">
        <v>100</v>
      </c>
      <c r="J302" s="1" t="s">
        <v>56</v>
      </c>
      <c r="K302" s="1" t="s">
        <v>74</v>
      </c>
      <c r="M302" s="1" t="s">
        <v>58</v>
      </c>
      <c r="N302" s="1" t="s">
        <v>58</v>
      </c>
      <c r="O302" s="1" t="s">
        <v>58</v>
      </c>
      <c r="Q302" s="1" t="s">
        <v>58</v>
      </c>
      <c r="R302" s="1" t="s">
        <v>58</v>
      </c>
      <c r="S302" s="1" t="s">
        <v>69</v>
      </c>
      <c r="T302" s="1" t="s">
        <v>69</v>
      </c>
      <c r="U302" s="1" t="s">
        <v>58</v>
      </c>
      <c r="V302" s="1" t="s">
        <v>58</v>
      </c>
      <c r="W302" s="1" t="s">
        <v>58</v>
      </c>
      <c r="X302" s="1" t="s">
        <v>81</v>
      </c>
      <c r="Y302" s="1" t="s">
        <v>82</v>
      </c>
      <c r="Z302" s="1" t="s">
        <v>89</v>
      </c>
      <c r="AA302" s="2">
        <v>30.0</v>
      </c>
      <c r="AB302" s="1" t="s">
        <v>28</v>
      </c>
      <c r="AC302" s="1" t="s">
        <v>71</v>
      </c>
      <c r="AF302" s="1" t="s">
        <v>51</v>
      </c>
      <c r="AG302" s="1" t="s">
        <v>72</v>
      </c>
      <c r="AI302" s="2">
        <v>0.0</v>
      </c>
      <c r="AJ302" s="2">
        <v>0.0</v>
      </c>
      <c r="AK302" s="2">
        <v>0.0</v>
      </c>
      <c r="AL302" s="2">
        <v>1.0</v>
      </c>
      <c r="AM302" s="1" t="s">
        <v>72</v>
      </c>
      <c r="AP302" s="2">
        <v>4.90795964E8</v>
      </c>
      <c r="AQ302" s="1" t="s">
        <v>436</v>
      </c>
      <c r="AR302" s="2">
        <v>45810.37263888889</v>
      </c>
      <c r="AU302" s="1" t="s">
        <v>64</v>
      </c>
      <c r="AW302" s="1" t="s">
        <v>255</v>
      </c>
      <c r="AY302" s="2">
        <v>296.0</v>
      </c>
    </row>
    <row r="303">
      <c r="A303" s="1" t="s">
        <v>51</v>
      </c>
      <c r="C303" s="1" t="s">
        <v>52</v>
      </c>
      <c r="E303" s="1" t="s">
        <v>53</v>
      </c>
      <c r="F303" s="1" t="s">
        <v>54</v>
      </c>
      <c r="G303" s="2">
        <v>36.0</v>
      </c>
      <c r="H303" s="1" t="s">
        <v>55</v>
      </c>
      <c r="I303" s="1" t="s">
        <v>67</v>
      </c>
      <c r="J303" s="1" t="s">
        <v>68</v>
      </c>
      <c r="K303" s="1" t="s">
        <v>74</v>
      </c>
      <c r="M303" s="1" t="s">
        <v>58</v>
      </c>
      <c r="N303" s="1" t="s">
        <v>58</v>
      </c>
      <c r="O303" s="1" t="s">
        <v>58</v>
      </c>
      <c r="Q303" s="1" t="s">
        <v>58</v>
      </c>
      <c r="R303" s="1" t="s">
        <v>58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81</v>
      </c>
      <c r="Y303" s="1" t="s">
        <v>82</v>
      </c>
      <c r="Z303" s="1" t="s">
        <v>89</v>
      </c>
      <c r="AA303" s="2">
        <v>10.0</v>
      </c>
      <c r="AB303" s="1" t="s">
        <v>28</v>
      </c>
      <c r="AC303" s="1" t="s">
        <v>51</v>
      </c>
      <c r="AD303" s="1" t="s">
        <v>81</v>
      </c>
      <c r="AE303" s="1" t="s">
        <v>51</v>
      </c>
      <c r="AF303" s="1" t="s">
        <v>51</v>
      </c>
      <c r="AG303" s="1" t="s">
        <v>72</v>
      </c>
      <c r="AI303" s="2">
        <v>0.0</v>
      </c>
      <c r="AJ303" s="2">
        <v>0.0</v>
      </c>
      <c r="AK303" s="2">
        <v>0.0</v>
      </c>
      <c r="AL303" s="2">
        <v>1.0</v>
      </c>
      <c r="AM303" s="1" t="s">
        <v>72</v>
      </c>
      <c r="AP303" s="2">
        <v>4.9080085E8</v>
      </c>
      <c r="AQ303" s="1" t="s">
        <v>437</v>
      </c>
      <c r="AR303" s="2">
        <v>45810.378842592596</v>
      </c>
      <c r="AU303" s="1" t="s">
        <v>64</v>
      </c>
      <c r="AW303" s="1" t="s">
        <v>255</v>
      </c>
      <c r="AY303" s="2">
        <v>297.0</v>
      </c>
    </row>
    <row r="304">
      <c r="A304" s="1" t="s">
        <v>51</v>
      </c>
      <c r="C304" s="1" t="s">
        <v>170</v>
      </c>
      <c r="E304" s="1" t="s">
        <v>53</v>
      </c>
      <c r="F304" s="1" t="s">
        <v>54</v>
      </c>
      <c r="G304" s="2">
        <v>33.0</v>
      </c>
      <c r="H304" s="1" t="s">
        <v>66</v>
      </c>
      <c r="I304" s="1" t="s">
        <v>67</v>
      </c>
      <c r="J304" s="1" t="s">
        <v>68</v>
      </c>
      <c r="K304" s="1" t="s">
        <v>74</v>
      </c>
      <c r="M304" s="1" t="s">
        <v>58</v>
      </c>
      <c r="N304" s="1" t="s">
        <v>58</v>
      </c>
      <c r="O304" s="1" t="s">
        <v>58</v>
      </c>
      <c r="Q304" s="1" t="s">
        <v>58</v>
      </c>
      <c r="R304" s="1" t="s">
        <v>69</v>
      </c>
      <c r="S304" s="1" t="s">
        <v>69</v>
      </c>
      <c r="T304" s="1" t="s">
        <v>69</v>
      </c>
      <c r="U304" s="1" t="s">
        <v>69</v>
      </c>
      <c r="V304" s="1" t="s">
        <v>69</v>
      </c>
      <c r="W304" s="1" t="s">
        <v>58</v>
      </c>
      <c r="X304" s="1" t="s">
        <v>81</v>
      </c>
      <c r="Y304" s="1" t="s">
        <v>82</v>
      </c>
      <c r="Z304" s="1" t="s">
        <v>61</v>
      </c>
      <c r="AA304" s="2">
        <v>30.0</v>
      </c>
      <c r="AB304" s="1" t="s">
        <v>79</v>
      </c>
      <c r="AC304" s="1" t="s">
        <v>71</v>
      </c>
      <c r="AF304" s="1" t="s">
        <v>51</v>
      </c>
      <c r="AG304" s="1" t="s">
        <v>72</v>
      </c>
      <c r="AI304" s="2">
        <v>0.0</v>
      </c>
      <c r="AJ304" s="2">
        <v>0.0</v>
      </c>
      <c r="AK304" s="2">
        <v>0.0</v>
      </c>
      <c r="AL304" s="2">
        <v>1.0</v>
      </c>
      <c r="AM304" s="1" t="s">
        <v>72</v>
      </c>
      <c r="AP304" s="2">
        <v>4.90804401E8</v>
      </c>
      <c r="AQ304" s="1" t="s">
        <v>438</v>
      </c>
      <c r="AR304" s="2">
        <v>45810.38334490741</v>
      </c>
      <c r="AU304" s="1" t="s">
        <v>64</v>
      </c>
      <c r="AW304" s="1" t="s">
        <v>255</v>
      </c>
      <c r="AY304" s="2">
        <v>298.0</v>
      </c>
    </row>
    <row r="305">
      <c r="A305" s="1" t="s">
        <v>51</v>
      </c>
      <c r="C305" s="1" t="s">
        <v>170</v>
      </c>
      <c r="E305" s="1" t="s">
        <v>53</v>
      </c>
      <c r="F305" s="1" t="s">
        <v>54</v>
      </c>
      <c r="G305" s="2">
        <v>30.0</v>
      </c>
      <c r="H305" s="1" t="s">
        <v>66</v>
      </c>
      <c r="I305" s="1" t="s">
        <v>76</v>
      </c>
      <c r="J305" s="1" t="s">
        <v>68</v>
      </c>
      <c r="K305" s="1" t="s">
        <v>57</v>
      </c>
      <c r="M305" s="1" t="s">
        <v>58</v>
      </c>
      <c r="N305" s="1" t="s">
        <v>58</v>
      </c>
      <c r="O305" s="1" t="s">
        <v>58</v>
      </c>
      <c r="Q305" s="1" t="s">
        <v>58</v>
      </c>
      <c r="R305" s="1" t="s">
        <v>58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81</v>
      </c>
      <c r="Y305" s="1" t="s">
        <v>82</v>
      </c>
      <c r="Z305" s="1" t="s">
        <v>89</v>
      </c>
      <c r="AA305" s="2">
        <v>50.0</v>
      </c>
      <c r="AB305" s="1" t="s">
        <v>28</v>
      </c>
      <c r="AC305" s="1" t="s">
        <v>51</v>
      </c>
      <c r="AD305" s="1" t="s">
        <v>81</v>
      </c>
      <c r="AE305" s="1" t="s">
        <v>51</v>
      </c>
      <c r="AF305" s="1" t="s">
        <v>51</v>
      </c>
      <c r="AG305" s="1" t="s">
        <v>72</v>
      </c>
      <c r="AI305" s="2">
        <v>0.0</v>
      </c>
      <c r="AJ305" s="2">
        <v>0.0</v>
      </c>
      <c r="AK305" s="2">
        <v>0.0</v>
      </c>
      <c r="AL305" s="2">
        <v>1.0</v>
      </c>
      <c r="AM305" s="1" t="s">
        <v>72</v>
      </c>
      <c r="AP305" s="2">
        <v>4.90810533E8</v>
      </c>
      <c r="AQ305" s="1" t="s">
        <v>439</v>
      </c>
      <c r="AR305" s="2">
        <v>45810.39111111111</v>
      </c>
      <c r="AU305" s="1" t="s">
        <v>64</v>
      </c>
      <c r="AW305" s="1" t="s">
        <v>255</v>
      </c>
      <c r="AY305" s="2">
        <v>299.0</v>
      </c>
    </row>
    <row r="306">
      <c r="A306" s="1" t="s">
        <v>51</v>
      </c>
      <c r="C306" s="1" t="s">
        <v>170</v>
      </c>
      <c r="E306" s="1" t="s">
        <v>53</v>
      </c>
      <c r="F306" s="1" t="s">
        <v>54</v>
      </c>
      <c r="G306" s="2">
        <v>37.0</v>
      </c>
      <c r="H306" s="1" t="s">
        <v>55</v>
      </c>
      <c r="I306" s="1" t="s">
        <v>100</v>
      </c>
      <c r="J306" s="1" t="s">
        <v>68</v>
      </c>
      <c r="K306" s="1" t="s">
        <v>74</v>
      </c>
      <c r="M306" s="1" t="s">
        <v>58</v>
      </c>
      <c r="N306" s="1" t="s">
        <v>58</v>
      </c>
      <c r="O306" s="1" t="s">
        <v>58</v>
      </c>
      <c r="Q306" s="1" t="s">
        <v>58</v>
      </c>
      <c r="R306" s="1" t="s">
        <v>58</v>
      </c>
      <c r="S306" s="1" t="s">
        <v>58</v>
      </c>
      <c r="T306" s="1" t="s">
        <v>58</v>
      </c>
      <c r="U306" s="1" t="s">
        <v>58</v>
      </c>
      <c r="V306" s="1" t="s">
        <v>58</v>
      </c>
      <c r="W306" s="1" t="s">
        <v>69</v>
      </c>
      <c r="X306" s="1" t="s">
        <v>81</v>
      </c>
      <c r="Y306" s="1" t="s">
        <v>82</v>
      </c>
      <c r="Z306" s="1" t="s">
        <v>61</v>
      </c>
      <c r="AB306" s="1" t="s">
        <v>79</v>
      </c>
      <c r="AC306" s="1" t="s">
        <v>71</v>
      </c>
      <c r="AF306" s="1" t="s">
        <v>51</v>
      </c>
      <c r="AG306" s="1" t="s">
        <v>72</v>
      </c>
      <c r="AI306" s="2">
        <v>0.0</v>
      </c>
      <c r="AJ306" s="2">
        <v>0.0</v>
      </c>
      <c r="AK306" s="2">
        <v>0.0</v>
      </c>
      <c r="AL306" s="2">
        <v>1.0</v>
      </c>
      <c r="AM306" s="1" t="s">
        <v>72</v>
      </c>
      <c r="AP306" s="2">
        <v>4.9081434E8</v>
      </c>
      <c r="AQ306" s="1" t="s">
        <v>440</v>
      </c>
      <c r="AR306" s="2">
        <v>45810.39599537037</v>
      </c>
      <c r="AU306" s="1" t="s">
        <v>64</v>
      </c>
      <c r="AW306" s="1" t="s">
        <v>255</v>
      </c>
      <c r="AY306" s="2">
        <v>300.0</v>
      </c>
    </row>
    <row r="307">
      <c r="A307" s="1" t="s">
        <v>51</v>
      </c>
      <c r="C307" s="1" t="s">
        <v>131</v>
      </c>
      <c r="E307" s="1" t="s">
        <v>441</v>
      </c>
      <c r="G307" s="2">
        <v>19.0</v>
      </c>
      <c r="H307" s="1" t="s">
        <v>66</v>
      </c>
      <c r="J307" s="1" t="s">
        <v>56</v>
      </c>
      <c r="K307" s="1" t="s">
        <v>57</v>
      </c>
      <c r="M307" s="1" t="s">
        <v>58</v>
      </c>
      <c r="N307" s="1" t="s">
        <v>58</v>
      </c>
      <c r="O307" s="1" t="s">
        <v>58</v>
      </c>
      <c r="Q307" s="1" t="s">
        <v>58</v>
      </c>
      <c r="R307" s="1" t="s">
        <v>58</v>
      </c>
      <c r="S307" s="1" t="s">
        <v>69</v>
      </c>
      <c r="T307" s="1" t="s">
        <v>69</v>
      </c>
      <c r="U307" s="1" t="s">
        <v>58</v>
      </c>
      <c r="V307" s="1" t="s">
        <v>69</v>
      </c>
      <c r="W307" s="1" t="s">
        <v>69</v>
      </c>
      <c r="X307" s="1" t="s">
        <v>81</v>
      </c>
      <c r="Y307" s="1" t="s">
        <v>60</v>
      </c>
      <c r="Z307" s="1" t="s">
        <v>61</v>
      </c>
      <c r="AA307" s="2">
        <v>20.0</v>
      </c>
      <c r="AB307" s="1" t="s">
        <v>28</v>
      </c>
      <c r="AC307" s="1" t="s">
        <v>71</v>
      </c>
      <c r="AF307" s="1" t="s">
        <v>51</v>
      </c>
      <c r="AG307" s="1" t="s">
        <v>72</v>
      </c>
      <c r="AI307" s="2">
        <v>0.0</v>
      </c>
      <c r="AJ307" s="2">
        <v>0.0</v>
      </c>
      <c r="AK307" s="2">
        <v>0.0</v>
      </c>
      <c r="AL307" s="2">
        <v>1.0</v>
      </c>
      <c r="AP307" s="2">
        <v>4.90817146E8</v>
      </c>
      <c r="AQ307" s="1" t="s">
        <v>442</v>
      </c>
      <c r="AR307" s="2">
        <v>45810.39975694445</v>
      </c>
      <c r="AU307" s="1" t="s">
        <v>64</v>
      </c>
      <c r="AW307" s="1" t="s">
        <v>255</v>
      </c>
      <c r="AY307" s="2">
        <v>301.0</v>
      </c>
    </row>
    <row r="308">
      <c r="A308" s="1" t="s">
        <v>51</v>
      </c>
      <c r="C308" s="1" t="s">
        <v>131</v>
      </c>
      <c r="E308" s="1" t="s">
        <v>53</v>
      </c>
      <c r="F308" s="1" t="s">
        <v>54</v>
      </c>
      <c r="G308" s="2">
        <v>42.0</v>
      </c>
      <c r="H308" s="1" t="s">
        <v>66</v>
      </c>
      <c r="I308" s="1" t="s">
        <v>67</v>
      </c>
      <c r="J308" s="1" t="s">
        <v>68</v>
      </c>
      <c r="K308" s="1" t="s">
        <v>78</v>
      </c>
      <c r="M308" s="1" t="s">
        <v>58</v>
      </c>
      <c r="N308" s="1" t="s">
        <v>58</v>
      </c>
      <c r="O308" s="1" t="s">
        <v>58</v>
      </c>
      <c r="Q308" s="1" t="s">
        <v>58</v>
      </c>
      <c r="R308" s="1" t="s">
        <v>58</v>
      </c>
      <c r="S308" s="1" t="s">
        <v>69</v>
      </c>
      <c r="T308" s="1" t="s">
        <v>69</v>
      </c>
      <c r="U308" s="1" t="s">
        <v>69</v>
      </c>
      <c r="V308" s="1" t="s">
        <v>58</v>
      </c>
      <c r="W308" s="1" t="s">
        <v>58</v>
      </c>
      <c r="X308" s="1" t="s">
        <v>81</v>
      </c>
      <c r="Y308" s="1" t="s">
        <v>60</v>
      </c>
      <c r="Z308" s="1" t="s">
        <v>61</v>
      </c>
      <c r="AA308" s="2">
        <v>30.0</v>
      </c>
      <c r="AB308" s="1" t="s">
        <v>28</v>
      </c>
      <c r="AC308" s="1" t="s">
        <v>51</v>
      </c>
      <c r="AD308" s="1" t="s">
        <v>81</v>
      </c>
      <c r="AE308" s="1" t="s">
        <v>51</v>
      </c>
      <c r="AF308" s="1" t="s">
        <v>51</v>
      </c>
      <c r="AG308" s="1" t="s">
        <v>72</v>
      </c>
      <c r="AI308" s="2">
        <v>0.0</v>
      </c>
      <c r="AJ308" s="2">
        <v>0.0</v>
      </c>
      <c r="AK308" s="2">
        <v>0.0</v>
      </c>
      <c r="AL308" s="2">
        <v>1.0</v>
      </c>
      <c r="AM308" s="1" t="s">
        <v>72</v>
      </c>
      <c r="AP308" s="2">
        <v>4.90820555E8</v>
      </c>
      <c r="AQ308" s="1" t="s">
        <v>443</v>
      </c>
      <c r="AR308" s="2">
        <v>45810.403391203705</v>
      </c>
      <c r="AU308" s="1" t="s">
        <v>64</v>
      </c>
      <c r="AW308" s="1" t="s">
        <v>255</v>
      </c>
      <c r="AY308" s="2">
        <v>302.0</v>
      </c>
    </row>
    <row r="309">
      <c r="A309" s="1" t="s">
        <v>51</v>
      </c>
      <c r="C309" s="1" t="s">
        <v>131</v>
      </c>
      <c r="E309" s="1" t="s">
        <v>131</v>
      </c>
      <c r="G309" s="2">
        <v>50.0</v>
      </c>
      <c r="H309" s="1" t="s">
        <v>55</v>
      </c>
      <c r="J309" s="1" t="s">
        <v>68</v>
      </c>
      <c r="K309" s="1" t="s">
        <v>78</v>
      </c>
      <c r="M309" s="1" t="s">
        <v>58</v>
      </c>
      <c r="N309" s="1" t="s">
        <v>58</v>
      </c>
      <c r="O309" s="1" t="s">
        <v>58</v>
      </c>
      <c r="Q309" s="1" t="s">
        <v>58</v>
      </c>
      <c r="R309" s="1" t="s">
        <v>69</v>
      </c>
      <c r="S309" s="1" t="s">
        <v>69</v>
      </c>
      <c r="T309" s="1" t="s">
        <v>58</v>
      </c>
      <c r="U309" s="1" t="s">
        <v>58</v>
      </c>
      <c r="V309" s="1" t="s">
        <v>69</v>
      </c>
      <c r="W309" s="1" t="s">
        <v>58</v>
      </c>
      <c r="X309" s="1" t="s">
        <v>81</v>
      </c>
      <c r="Y309" s="1" t="s">
        <v>82</v>
      </c>
      <c r="Z309" s="1" t="s">
        <v>89</v>
      </c>
      <c r="AA309" s="2">
        <v>30.0</v>
      </c>
      <c r="AB309" s="1" t="s">
        <v>28</v>
      </c>
      <c r="AC309" s="1" t="s">
        <v>51</v>
      </c>
      <c r="AD309" s="1" t="s">
        <v>81</v>
      </c>
      <c r="AE309" s="1" t="s">
        <v>51</v>
      </c>
      <c r="AF309" s="1" t="s">
        <v>51</v>
      </c>
      <c r="AI309" s="2">
        <v>0.0</v>
      </c>
      <c r="AJ309" s="2">
        <v>0.0</v>
      </c>
      <c r="AK309" s="2">
        <v>0.0</v>
      </c>
      <c r="AL309" s="2">
        <v>1.0</v>
      </c>
      <c r="AP309" s="2">
        <v>4.90822988E8</v>
      </c>
      <c r="AQ309" s="1" t="s">
        <v>444</v>
      </c>
      <c r="AR309" s="2">
        <v>45810.40594907408</v>
      </c>
      <c r="AU309" s="1" t="s">
        <v>64</v>
      </c>
      <c r="AW309" s="1" t="s">
        <v>255</v>
      </c>
      <c r="AY309" s="2">
        <v>303.0</v>
      </c>
    </row>
    <row r="310">
      <c r="A310" s="1" t="s">
        <v>51</v>
      </c>
      <c r="C310" s="1" t="s">
        <v>52</v>
      </c>
      <c r="E310" s="1" t="s">
        <v>53</v>
      </c>
      <c r="F310" s="1" t="s">
        <v>54</v>
      </c>
      <c r="G310" s="2">
        <v>43.0</v>
      </c>
      <c r="H310" s="1" t="s">
        <v>55</v>
      </c>
      <c r="I310" s="1" t="s">
        <v>100</v>
      </c>
      <c r="J310" s="1" t="s">
        <v>68</v>
      </c>
      <c r="K310" s="1" t="s">
        <v>92</v>
      </c>
      <c r="M310" s="1" t="s">
        <v>58</v>
      </c>
      <c r="N310" s="1" t="s">
        <v>58</v>
      </c>
      <c r="O310" s="1" t="s">
        <v>58</v>
      </c>
      <c r="Q310" s="1" t="s">
        <v>58</v>
      </c>
      <c r="R310" s="1" t="s">
        <v>58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81</v>
      </c>
      <c r="Z310" s="1" t="s">
        <v>61</v>
      </c>
      <c r="AA310" s="2">
        <v>50.0</v>
      </c>
      <c r="AB310" s="1" t="s">
        <v>28</v>
      </c>
      <c r="AC310" s="1" t="s">
        <v>51</v>
      </c>
      <c r="AD310" s="1" t="s">
        <v>81</v>
      </c>
      <c r="AE310" s="1" t="s">
        <v>51</v>
      </c>
      <c r="AF310" s="1" t="s">
        <v>51</v>
      </c>
      <c r="AG310" s="1" t="s">
        <v>72</v>
      </c>
      <c r="AI310" s="2">
        <v>0.0</v>
      </c>
      <c r="AJ310" s="2">
        <v>0.0</v>
      </c>
      <c r="AK310" s="2">
        <v>0.0</v>
      </c>
      <c r="AL310" s="2">
        <v>1.0</v>
      </c>
      <c r="AM310" s="1" t="s">
        <v>72</v>
      </c>
      <c r="AP310" s="2">
        <v>4.9082519E8</v>
      </c>
      <c r="AQ310" s="1" t="s">
        <v>445</v>
      </c>
      <c r="AR310" s="2">
        <v>45810.40837962963</v>
      </c>
      <c r="AU310" s="1" t="s">
        <v>64</v>
      </c>
      <c r="AW310" s="1" t="s">
        <v>255</v>
      </c>
      <c r="AY310" s="2">
        <v>304.0</v>
      </c>
    </row>
    <row r="311">
      <c r="A311" s="1" t="s">
        <v>51</v>
      </c>
      <c r="C311" s="1" t="s">
        <v>170</v>
      </c>
      <c r="E311" s="1" t="s">
        <v>170</v>
      </c>
      <c r="G311" s="2">
        <v>27.0</v>
      </c>
      <c r="H311" s="1" t="s">
        <v>66</v>
      </c>
      <c r="J311" s="1" t="s">
        <v>68</v>
      </c>
      <c r="K311" s="1" t="s">
        <v>74</v>
      </c>
      <c r="M311" s="1" t="s">
        <v>58</v>
      </c>
      <c r="N311" s="1" t="s">
        <v>58</v>
      </c>
      <c r="O311" s="1" t="s">
        <v>58</v>
      </c>
      <c r="Q311" s="1" t="s">
        <v>58</v>
      </c>
      <c r="R311" s="1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  <c r="W311" s="1" t="s">
        <v>58</v>
      </c>
      <c r="X311" s="1" t="s">
        <v>81</v>
      </c>
      <c r="Y311" s="1" t="s">
        <v>82</v>
      </c>
      <c r="Z311" s="1" t="s">
        <v>89</v>
      </c>
      <c r="AA311" s="2">
        <v>30.0</v>
      </c>
      <c r="AB311" s="1" t="s">
        <v>79</v>
      </c>
      <c r="AC311" s="1" t="s">
        <v>51</v>
      </c>
      <c r="AD311" s="1" t="s">
        <v>81</v>
      </c>
      <c r="AE311" s="1" t="s">
        <v>51</v>
      </c>
      <c r="AF311" s="1" t="s">
        <v>51</v>
      </c>
      <c r="AG311" s="1" t="s">
        <v>72</v>
      </c>
      <c r="AI311" s="2">
        <v>0.0</v>
      </c>
      <c r="AJ311" s="2">
        <v>0.0</v>
      </c>
      <c r="AK311" s="2">
        <v>0.0</v>
      </c>
      <c r="AL311" s="2">
        <v>1.0</v>
      </c>
      <c r="AP311" s="2">
        <v>4.90827975E8</v>
      </c>
      <c r="AQ311" s="1" t="s">
        <v>446</v>
      </c>
      <c r="AR311" s="2">
        <v>45810.41122685185</v>
      </c>
      <c r="AU311" s="1" t="s">
        <v>64</v>
      </c>
      <c r="AW311" s="1" t="s">
        <v>255</v>
      </c>
      <c r="AY311" s="2">
        <v>305.0</v>
      </c>
    </row>
    <row r="312">
      <c r="A312" s="1" t="s">
        <v>51</v>
      </c>
      <c r="C312" s="1" t="s">
        <v>170</v>
      </c>
      <c r="E312" s="1" t="s">
        <v>53</v>
      </c>
      <c r="F312" s="1" t="s">
        <v>54</v>
      </c>
      <c r="G312" s="2">
        <v>35.0</v>
      </c>
      <c r="H312" s="1" t="s">
        <v>55</v>
      </c>
      <c r="I312" s="1" t="s">
        <v>419</v>
      </c>
      <c r="J312" s="1" t="s">
        <v>68</v>
      </c>
      <c r="K312" s="1" t="s">
        <v>78</v>
      </c>
      <c r="M312" s="1" t="s">
        <v>58</v>
      </c>
      <c r="N312" s="1" t="s">
        <v>58</v>
      </c>
      <c r="O312" s="1" t="s">
        <v>58</v>
      </c>
      <c r="Q312" s="1" t="s">
        <v>58</v>
      </c>
      <c r="R312" s="1" t="s">
        <v>58</v>
      </c>
      <c r="S312" s="1" t="s">
        <v>58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81</v>
      </c>
      <c r="Y312" s="1" t="s">
        <v>82</v>
      </c>
      <c r="Z312" s="1" t="s">
        <v>89</v>
      </c>
      <c r="AA312" s="2">
        <v>20.0</v>
      </c>
      <c r="AB312" s="1" t="s">
        <v>28</v>
      </c>
      <c r="AC312" s="1" t="s">
        <v>71</v>
      </c>
      <c r="AF312" s="1" t="s">
        <v>51</v>
      </c>
      <c r="AG312" s="1" t="s">
        <v>72</v>
      </c>
      <c r="AI312" s="2">
        <v>0.0</v>
      </c>
      <c r="AJ312" s="2">
        <v>0.0</v>
      </c>
      <c r="AK312" s="2">
        <v>0.0</v>
      </c>
      <c r="AL312" s="2">
        <v>1.0</v>
      </c>
      <c r="AM312" s="1" t="s">
        <v>72</v>
      </c>
      <c r="AP312" s="2">
        <v>4.90830437E8</v>
      </c>
      <c r="AQ312" s="1" t="s">
        <v>447</v>
      </c>
      <c r="AR312" s="2">
        <v>45810.413819444446</v>
      </c>
      <c r="AU312" s="1" t="s">
        <v>64</v>
      </c>
      <c r="AW312" s="1" t="s">
        <v>255</v>
      </c>
      <c r="AY312" s="2">
        <v>306.0</v>
      </c>
    </row>
    <row r="313">
      <c r="A313" s="1" t="s">
        <v>51</v>
      </c>
      <c r="C313" s="1" t="s">
        <v>170</v>
      </c>
      <c r="E313" s="1" t="s">
        <v>53</v>
      </c>
      <c r="F313" s="1" t="s">
        <v>54</v>
      </c>
      <c r="G313" s="2">
        <v>42.0</v>
      </c>
      <c r="H313" s="1" t="s">
        <v>55</v>
      </c>
      <c r="I313" s="1" t="s">
        <v>67</v>
      </c>
      <c r="J313" s="1" t="s">
        <v>68</v>
      </c>
      <c r="K313" s="1" t="s">
        <v>57</v>
      </c>
      <c r="M313" s="1" t="s">
        <v>58</v>
      </c>
      <c r="N313" s="1" t="s">
        <v>58</v>
      </c>
      <c r="O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 t="s">
        <v>69</v>
      </c>
      <c r="X313" s="1" t="s">
        <v>81</v>
      </c>
      <c r="Y313" s="1" t="s">
        <v>82</v>
      </c>
      <c r="Z313" s="1" t="s">
        <v>61</v>
      </c>
      <c r="AA313" s="2">
        <v>10.0</v>
      </c>
      <c r="AB313" s="1" t="s">
        <v>79</v>
      </c>
      <c r="AC313" s="1" t="s">
        <v>51</v>
      </c>
      <c r="AD313" s="1" t="s">
        <v>81</v>
      </c>
      <c r="AE313" s="1" t="s">
        <v>51</v>
      </c>
      <c r="AF313" s="1" t="s">
        <v>51</v>
      </c>
      <c r="AG313" s="1" t="s">
        <v>72</v>
      </c>
      <c r="AI313" s="2">
        <v>0.0</v>
      </c>
      <c r="AJ313" s="2">
        <v>0.0</v>
      </c>
      <c r="AK313" s="2">
        <v>0.0</v>
      </c>
      <c r="AL313" s="2">
        <v>1.0</v>
      </c>
      <c r="AP313" s="2">
        <v>4.90833006E8</v>
      </c>
      <c r="AQ313" s="1" t="s">
        <v>448</v>
      </c>
      <c r="AR313" s="2">
        <v>45810.41619212963</v>
      </c>
      <c r="AU313" s="1" t="s">
        <v>64</v>
      </c>
      <c r="AW313" s="1" t="s">
        <v>255</v>
      </c>
      <c r="AY313" s="2">
        <v>307.0</v>
      </c>
    </row>
    <row r="314">
      <c r="A314" s="1" t="s">
        <v>51</v>
      </c>
      <c r="C314" s="1" t="s">
        <v>52</v>
      </c>
      <c r="E314" s="1" t="s">
        <v>53</v>
      </c>
      <c r="F314" s="1" t="s">
        <v>54</v>
      </c>
      <c r="G314" s="2">
        <v>47.0</v>
      </c>
      <c r="H314" s="1" t="s">
        <v>66</v>
      </c>
      <c r="I314" s="1" t="s">
        <v>67</v>
      </c>
      <c r="J314" s="1" t="s">
        <v>56</v>
      </c>
      <c r="K314" s="1" t="s">
        <v>78</v>
      </c>
      <c r="M314" s="1" t="s">
        <v>58</v>
      </c>
      <c r="N314" s="1" t="s">
        <v>58</v>
      </c>
      <c r="O314" s="1" t="s">
        <v>58</v>
      </c>
      <c r="Q314" s="1" t="s">
        <v>58</v>
      </c>
      <c r="R314" s="1" t="s">
        <v>69</v>
      </c>
      <c r="S314" s="1" t="s">
        <v>69</v>
      </c>
      <c r="T314" s="1" t="s">
        <v>58</v>
      </c>
      <c r="U314" s="1" t="s">
        <v>58</v>
      </c>
      <c r="V314" s="1" t="s">
        <v>69</v>
      </c>
      <c r="W314" s="1" t="s">
        <v>69</v>
      </c>
      <c r="X314" s="1" t="s">
        <v>81</v>
      </c>
      <c r="Y314" s="1" t="s">
        <v>82</v>
      </c>
      <c r="Z314" s="1" t="s">
        <v>89</v>
      </c>
      <c r="AA314" s="2">
        <v>20.0</v>
      </c>
      <c r="AB314" s="1" t="s">
        <v>28</v>
      </c>
      <c r="AC314" s="1" t="s">
        <v>71</v>
      </c>
      <c r="AF314" s="1" t="s">
        <v>51</v>
      </c>
      <c r="AG314" s="1" t="s">
        <v>72</v>
      </c>
      <c r="AI314" s="2">
        <v>0.0</v>
      </c>
      <c r="AJ314" s="2">
        <v>0.0</v>
      </c>
      <c r="AK314" s="2">
        <v>0.0</v>
      </c>
      <c r="AL314" s="2">
        <v>1.0</v>
      </c>
      <c r="AM314" s="1" t="s">
        <v>72</v>
      </c>
      <c r="AP314" s="2">
        <v>4.90835855E8</v>
      </c>
      <c r="AQ314" s="1" t="s">
        <v>449</v>
      </c>
      <c r="AR314" s="2">
        <v>45810.41915509259</v>
      </c>
      <c r="AU314" s="1" t="s">
        <v>64</v>
      </c>
      <c r="AW314" s="1" t="s">
        <v>255</v>
      </c>
      <c r="AY314" s="2">
        <v>308.0</v>
      </c>
    </row>
    <row r="315">
      <c r="A315" s="1" t="s">
        <v>51</v>
      </c>
      <c r="C315" s="1" t="s">
        <v>52</v>
      </c>
      <c r="E315" s="1" t="s">
        <v>53</v>
      </c>
      <c r="F315" s="1" t="s">
        <v>54</v>
      </c>
      <c r="G315" s="2">
        <v>33.0</v>
      </c>
      <c r="H315" s="1" t="s">
        <v>66</v>
      </c>
      <c r="I315" s="1" t="s">
        <v>76</v>
      </c>
      <c r="J315" s="1" t="s">
        <v>56</v>
      </c>
      <c r="K315" s="1" t="s">
        <v>74</v>
      </c>
      <c r="M315" s="1" t="s">
        <v>58</v>
      </c>
      <c r="N315" s="1" t="s">
        <v>58</v>
      </c>
      <c r="O315" s="1" t="s">
        <v>58</v>
      </c>
      <c r="Q315" s="1" t="s">
        <v>58</v>
      </c>
      <c r="R315" s="1" t="s">
        <v>58</v>
      </c>
      <c r="S315" s="1" t="s">
        <v>58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81</v>
      </c>
      <c r="Y315" s="1" t="s">
        <v>82</v>
      </c>
      <c r="Z315" s="1" t="s">
        <v>61</v>
      </c>
      <c r="AA315" s="2">
        <v>20.0</v>
      </c>
      <c r="AB315" s="1" t="s">
        <v>28</v>
      </c>
      <c r="AC315" s="1" t="s">
        <v>71</v>
      </c>
      <c r="AF315" s="1" t="s">
        <v>51</v>
      </c>
      <c r="AG315" s="1" t="s">
        <v>51</v>
      </c>
      <c r="AH315" s="2">
        <v>10.0</v>
      </c>
      <c r="AI315" s="2">
        <v>0.0</v>
      </c>
      <c r="AJ315" s="2">
        <v>0.0</v>
      </c>
      <c r="AK315" s="2">
        <v>0.0</v>
      </c>
      <c r="AL315" s="2">
        <v>1.0</v>
      </c>
      <c r="AM315" s="1" t="s">
        <v>51</v>
      </c>
      <c r="AN315" s="2">
        <v>6.43962307E8</v>
      </c>
      <c r="AP315" s="2">
        <v>4.90838553E8</v>
      </c>
      <c r="AQ315" s="1" t="s">
        <v>450</v>
      </c>
      <c r="AR315" s="2">
        <v>45810.42173611111</v>
      </c>
      <c r="AU315" s="1" t="s">
        <v>64</v>
      </c>
      <c r="AW315" s="1" t="s">
        <v>255</v>
      </c>
      <c r="AY315" s="2">
        <v>309.0</v>
      </c>
    </row>
    <row r="316">
      <c r="A316" s="1" t="s">
        <v>51</v>
      </c>
      <c r="C316" s="1" t="s">
        <v>52</v>
      </c>
      <c r="E316" s="1" t="s">
        <v>53</v>
      </c>
      <c r="F316" s="1" t="s">
        <v>54</v>
      </c>
      <c r="G316" s="2">
        <v>23.0</v>
      </c>
      <c r="H316" s="1" t="s">
        <v>66</v>
      </c>
      <c r="I316" s="1" t="s">
        <v>67</v>
      </c>
      <c r="J316" s="1" t="s">
        <v>56</v>
      </c>
      <c r="K316" s="1" t="s">
        <v>92</v>
      </c>
      <c r="M316" s="1" t="s">
        <v>58</v>
      </c>
      <c r="N316" s="1" t="s">
        <v>58</v>
      </c>
      <c r="O316" s="1" t="s">
        <v>58</v>
      </c>
      <c r="Q316" s="1" t="s">
        <v>58</v>
      </c>
      <c r="R316" s="1" t="s">
        <v>58</v>
      </c>
      <c r="S316" s="1" t="s">
        <v>58</v>
      </c>
      <c r="U316" s="1" t="s">
        <v>58</v>
      </c>
      <c r="V316" s="1" t="s">
        <v>58</v>
      </c>
      <c r="W316" s="1" t="s">
        <v>58</v>
      </c>
      <c r="X316" s="1" t="s">
        <v>81</v>
      </c>
      <c r="Y316" s="1" t="s">
        <v>82</v>
      </c>
      <c r="Z316" s="1" t="s">
        <v>61</v>
      </c>
      <c r="AA316" s="2">
        <v>30.0</v>
      </c>
      <c r="AC316" s="1" t="s">
        <v>51</v>
      </c>
      <c r="AD316" s="1" t="s">
        <v>81</v>
      </c>
      <c r="AE316" s="1" t="s">
        <v>51</v>
      </c>
      <c r="AF316" s="1" t="s">
        <v>51</v>
      </c>
      <c r="AG316" s="1" t="s">
        <v>72</v>
      </c>
      <c r="AI316" s="2">
        <v>0.0</v>
      </c>
      <c r="AJ316" s="2">
        <v>0.0</v>
      </c>
      <c r="AK316" s="2">
        <v>0.0</v>
      </c>
      <c r="AL316" s="2">
        <v>1.0</v>
      </c>
      <c r="AM316" s="1" t="s">
        <v>72</v>
      </c>
      <c r="AP316" s="2">
        <v>4.90840812E8</v>
      </c>
      <c r="AQ316" s="1" t="s">
        <v>451</v>
      </c>
      <c r="AR316" s="2">
        <v>45810.423796296294</v>
      </c>
      <c r="AU316" s="1" t="s">
        <v>64</v>
      </c>
      <c r="AW316" s="1" t="s">
        <v>255</v>
      </c>
      <c r="AY316" s="2">
        <v>310.0</v>
      </c>
    </row>
    <row r="317">
      <c r="A317" s="1" t="s">
        <v>51</v>
      </c>
      <c r="C317" s="1" t="s">
        <v>170</v>
      </c>
      <c r="E317" s="1" t="s">
        <v>53</v>
      </c>
      <c r="F317" s="1" t="s">
        <v>54</v>
      </c>
      <c r="G317" s="2">
        <v>26.0</v>
      </c>
      <c r="H317" s="1" t="s">
        <v>66</v>
      </c>
      <c r="I317" s="1" t="s">
        <v>419</v>
      </c>
      <c r="J317" s="1" t="s">
        <v>68</v>
      </c>
      <c r="K317" s="1" t="s">
        <v>57</v>
      </c>
      <c r="M317" s="1" t="s">
        <v>58</v>
      </c>
      <c r="N317" s="1" t="s">
        <v>58</v>
      </c>
      <c r="O317" s="1" t="s">
        <v>58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81</v>
      </c>
      <c r="Y317" s="1" t="s">
        <v>60</v>
      </c>
      <c r="Z317" s="1" t="s">
        <v>61</v>
      </c>
      <c r="AA317" s="2">
        <v>10.0</v>
      </c>
      <c r="AB317" s="1" t="s">
        <v>28</v>
      </c>
      <c r="AC317" s="1" t="s">
        <v>71</v>
      </c>
      <c r="AF317" s="1" t="s">
        <v>51</v>
      </c>
      <c r="AG317" s="1" t="s">
        <v>72</v>
      </c>
      <c r="AI317" s="2">
        <v>0.0</v>
      </c>
      <c r="AJ317" s="2">
        <v>0.0</v>
      </c>
      <c r="AK317" s="2">
        <v>0.0</v>
      </c>
      <c r="AL317" s="2">
        <v>1.0</v>
      </c>
      <c r="AM317" s="1" t="s">
        <v>72</v>
      </c>
      <c r="AP317" s="2">
        <v>4.9084287E8</v>
      </c>
      <c r="AQ317" s="1" t="s">
        <v>452</v>
      </c>
      <c r="AR317" s="2">
        <v>45810.42579861111</v>
      </c>
      <c r="AU317" s="1" t="s">
        <v>64</v>
      </c>
      <c r="AW317" s="1" t="s">
        <v>255</v>
      </c>
      <c r="AY317" s="2">
        <v>311.0</v>
      </c>
    </row>
    <row r="318">
      <c r="A318" s="1" t="s">
        <v>51</v>
      </c>
      <c r="C318" s="1" t="s">
        <v>52</v>
      </c>
      <c r="E318" s="1" t="s">
        <v>53</v>
      </c>
      <c r="F318" s="1" t="s">
        <v>54</v>
      </c>
      <c r="G318" s="2">
        <v>26.0</v>
      </c>
      <c r="H318" s="1" t="s">
        <v>66</v>
      </c>
      <c r="I318" s="1" t="s">
        <v>76</v>
      </c>
      <c r="J318" s="1" t="s">
        <v>56</v>
      </c>
      <c r="K318" s="1" t="s">
        <v>78</v>
      </c>
      <c r="M318" s="1" t="s">
        <v>58</v>
      </c>
      <c r="N318" s="1" t="s">
        <v>58</v>
      </c>
      <c r="O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 t="s">
        <v>58</v>
      </c>
      <c r="X318" s="1" t="s">
        <v>81</v>
      </c>
      <c r="Y318" s="1" t="s">
        <v>82</v>
      </c>
      <c r="Z318" s="1" t="s">
        <v>89</v>
      </c>
      <c r="AA318" s="2">
        <v>40.0</v>
      </c>
      <c r="AB318" s="1" t="s">
        <v>62</v>
      </c>
      <c r="AC318" s="1" t="s">
        <v>51</v>
      </c>
      <c r="AD318" s="1" t="s">
        <v>81</v>
      </c>
      <c r="AE318" s="1" t="s">
        <v>51</v>
      </c>
      <c r="AF318" s="1" t="s">
        <v>51</v>
      </c>
      <c r="AG318" s="1" t="s">
        <v>51</v>
      </c>
      <c r="AI318" s="2">
        <v>1.0</v>
      </c>
      <c r="AJ318" s="2">
        <v>0.0</v>
      </c>
      <c r="AK318" s="2">
        <v>0.0</v>
      </c>
      <c r="AL318" s="2">
        <v>0.0</v>
      </c>
      <c r="AM318" s="1" t="s">
        <v>51</v>
      </c>
      <c r="AP318" s="2">
        <v>4.90846701E8</v>
      </c>
      <c r="AQ318" s="1" t="s">
        <v>453</v>
      </c>
      <c r="AR318" s="2">
        <v>45810.42947916667</v>
      </c>
      <c r="AU318" s="1" t="s">
        <v>64</v>
      </c>
      <c r="AW318" s="1" t="s">
        <v>255</v>
      </c>
      <c r="AY318" s="2">
        <v>312.0</v>
      </c>
    </row>
    <row r="319">
      <c r="A319" s="1" t="s">
        <v>51</v>
      </c>
      <c r="C319" s="1" t="s">
        <v>52</v>
      </c>
      <c r="E319" s="1" t="s">
        <v>53</v>
      </c>
      <c r="F319" s="1" t="s">
        <v>54</v>
      </c>
      <c r="G319" s="2">
        <v>23.0</v>
      </c>
      <c r="H319" s="1" t="s">
        <v>55</v>
      </c>
      <c r="I319" s="1" t="s">
        <v>76</v>
      </c>
      <c r="J319" s="1" t="s">
        <v>68</v>
      </c>
      <c r="K319" s="1" t="s">
        <v>57</v>
      </c>
      <c r="M319" s="1" t="s">
        <v>58</v>
      </c>
      <c r="N319" s="1" t="s">
        <v>58</v>
      </c>
      <c r="O319" s="1" t="s">
        <v>58</v>
      </c>
      <c r="Q319" s="1" t="s">
        <v>58</v>
      </c>
      <c r="R319" s="1" t="s">
        <v>58</v>
      </c>
      <c r="S319" s="1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81</v>
      </c>
      <c r="Y319" s="1" t="s">
        <v>82</v>
      </c>
      <c r="Z319" s="1" t="s">
        <v>89</v>
      </c>
      <c r="AA319" s="2">
        <v>50.0</v>
      </c>
      <c r="AB319" s="1" t="s">
        <v>62</v>
      </c>
      <c r="AC319" s="1" t="s">
        <v>51</v>
      </c>
      <c r="AD319" s="1" t="s">
        <v>81</v>
      </c>
      <c r="AE319" s="1" t="s">
        <v>51</v>
      </c>
      <c r="AF319" s="1" t="s">
        <v>51</v>
      </c>
      <c r="AG319" s="1" t="s">
        <v>51</v>
      </c>
      <c r="AI319" s="2">
        <v>1.0</v>
      </c>
      <c r="AJ319" s="2">
        <v>0.0</v>
      </c>
      <c r="AK319" s="2">
        <v>0.0</v>
      </c>
      <c r="AL319" s="2">
        <v>0.0</v>
      </c>
      <c r="AM319" s="1" t="s">
        <v>51</v>
      </c>
      <c r="AP319" s="2">
        <v>4.90849509E8</v>
      </c>
      <c r="AQ319" s="1" t="s">
        <v>454</v>
      </c>
      <c r="AR319" s="2">
        <v>45810.43204861111</v>
      </c>
      <c r="AU319" s="1" t="s">
        <v>64</v>
      </c>
      <c r="AW319" s="1" t="s">
        <v>255</v>
      </c>
      <c r="AY319" s="2">
        <v>313.0</v>
      </c>
    </row>
    <row r="320">
      <c r="A320" s="1" t="s">
        <v>51</v>
      </c>
      <c r="C320" s="1" t="s">
        <v>52</v>
      </c>
      <c r="E320" s="1" t="s">
        <v>53</v>
      </c>
      <c r="F320" s="1" t="s">
        <v>54</v>
      </c>
      <c r="G320" s="2">
        <v>30.0</v>
      </c>
      <c r="H320" s="1" t="s">
        <v>66</v>
      </c>
      <c r="I320" s="1" t="s">
        <v>67</v>
      </c>
      <c r="J320" s="1" t="s">
        <v>68</v>
      </c>
      <c r="K320" s="1" t="s">
        <v>78</v>
      </c>
      <c r="M320" s="1" t="s">
        <v>58</v>
      </c>
      <c r="N320" s="1" t="s">
        <v>58</v>
      </c>
      <c r="O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81</v>
      </c>
      <c r="Y320" s="1" t="s">
        <v>82</v>
      </c>
      <c r="Z320" s="1" t="s">
        <v>89</v>
      </c>
      <c r="AA320" s="2">
        <v>30.0</v>
      </c>
      <c r="AB320" s="1" t="s">
        <v>79</v>
      </c>
      <c r="AC320" s="1" t="s">
        <v>51</v>
      </c>
      <c r="AE320" s="1" t="s">
        <v>51</v>
      </c>
      <c r="AF320" s="1" t="s">
        <v>51</v>
      </c>
      <c r="AG320" s="1" t="s">
        <v>51</v>
      </c>
      <c r="AI320" s="2">
        <v>1.0</v>
      </c>
      <c r="AJ320" s="2">
        <v>0.0</v>
      </c>
      <c r="AK320" s="2">
        <v>0.0</v>
      </c>
      <c r="AL320" s="2">
        <v>0.0</v>
      </c>
      <c r="AM320" s="1" t="s">
        <v>51</v>
      </c>
      <c r="AP320" s="2">
        <v>4.90851429E8</v>
      </c>
      <c r="AQ320" s="1" t="s">
        <v>455</v>
      </c>
      <c r="AR320" s="2">
        <v>45810.433657407404</v>
      </c>
      <c r="AU320" s="1" t="s">
        <v>64</v>
      </c>
      <c r="AW320" s="1" t="s">
        <v>255</v>
      </c>
      <c r="AY320" s="2">
        <v>314.0</v>
      </c>
    </row>
    <row r="321">
      <c r="A321" s="1" t="s">
        <v>51</v>
      </c>
      <c r="C321" s="1" t="s">
        <v>170</v>
      </c>
      <c r="E321" s="1" t="s">
        <v>53</v>
      </c>
      <c r="F321" s="1" t="s">
        <v>54</v>
      </c>
      <c r="G321" s="2">
        <v>22.0</v>
      </c>
      <c r="H321" s="1" t="s">
        <v>66</v>
      </c>
      <c r="I321" s="1" t="s">
        <v>100</v>
      </c>
      <c r="J321" s="1" t="s">
        <v>68</v>
      </c>
      <c r="K321" s="1" t="s">
        <v>78</v>
      </c>
      <c r="M321" s="1" t="s">
        <v>58</v>
      </c>
      <c r="N321" s="1" t="s">
        <v>58</v>
      </c>
      <c r="O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81</v>
      </c>
      <c r="Y321" s="1" t="s">
        <v>82</v>
      </c>
      <c r="Z321" s="1" t="s">
        <v>89</v>
      </c>
      <c r="AA321" s="2">
        <v>20.0</v>
      </c>
      <c r="AB321" s="1" t="s">
        <v>79</v>
      </c>
      <c r="AC321" s="1" t="s">
        <v>51</v>
      </c>
      <c r="AD321" s="1" t="s">
        <v>81</v>
      </c>
      <c r="AE321" s="1" t="s">
        <v>51</v>
      </c>
      <c r="AF321" s="1" t="s">
        <v>51</v>
      </c>
      <c r="AG321" s="1" t="s">
        <v>51</v>
      </c>
      <c r="AI321" s="2">
        <v>1.0</v>
      </c>
      <c r="AJ321" s="2">
        <v>0.0</v>
      </c>
      <c r="AK321" s="2">
        <v>0.0</v>
      </c>
      <c r="AL321" s="2">
        <v>0.0</v>
      </c>
      <c r="AM321" s="1" t="s">
        <v>51</v>
      </c>
      <c r="AP321" s="2">
        <v>4.90854649E8</v>
      </c>
      <c r="AQ321" s="1" t="s">
        <v>456</v>
      </c>
      <c r="AR321" s="2">
        <v>45810.43644675926</v>
      </c>
      <c r="AU321" s="1" t="s">
        <v>64</v>
      </c>
      <c r="AW321" s="1" t="s">
        <v>255</v>
      </c>
      <c r="AY321" s="2">
        <v>315.0</v>
      </c>
    </row>
    <row r="322">
      <c r="A322" s="1" t="s">
        <v>51</v>
      </c>
      <c r="C322" s="1" t="s">
        <v>170</v>
      </c>
      <c r="E322" s="1" t="s">
        <v>53</v>
      </c>
      <c r="F322" s="1" t="s">
        <v>54</v>
      </c>
      <c r="G322" s="2">
        <v>24.0</v>
      </c>
      <c r="H322" s="1" t="s">
        <v>55</v>
      </c>
      <c r="I322" s="1" t="s">
        <v>100</v>
      </c>
      <c r="J322" s="1" t="s">
        <v>68</v>
      </c>
      <c r="K322" s="1" t="s">
        <v>78</v>
      </c>
      <c r="M322" s="1" t="s">
        <v>58</v>
      </c>
      <c r="N322" s="1" t="s">
        <v>58</v>
      </c>
      <c r="O322" s="1" t="s">
        <v>58</v>
      </c>
      <c r="Q322" s="1" t="s">
        <v>58</v>
      </c>
      <c r="R322" s="1" t="s">
        <v>58</v>
      </c>
      <c r="S322" s="1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81</v>
      </c>
      <c r="Y322" s="1" t="s">
        <v>82</v>
      </c>
      <c r="Z322" s="1" t="s">
        <v>89</v>
      </c>
      <c r="AA322" s="2">
        <v>10.0</v>
      </c>
      <c r="AB322" s="1" t="s">
        <v>79</v>
      </c>
      <c r="AC322" s="1" t="s">
        <v>51</v>
      </c>
      <c r="AD322" s="1" t="s">
        <v>81</v>
      </c>
      <c r="AE322" s="1" t="s">
        <v>51</v>
      </c>
      <c r="AF322" s="1" t="s">
        <v>51</v>
      </c>
      <c r="AG322" s="1" t="s">
        <v>51</v>
      </c>
      <c r="AI322" s="2">
        <v>1.0</v>
      </c>
      <c r="AJ322" s="2">
        <v>0.0</v>
      </c>
      <c r="AK322" s="2">
        <v>0.0</v>
      </c>
      <c r="AL322" s="2">
        <v>0.0</v>
      </c>
      <c r="AM322" s="1" t="s">
        <v>51</v>
      </c>
      <c r="AP322" s="2">
        <v>4.908566E8</v>
      </c>
      <c r="AQ322" s="1" t="s">
        <v>457</v>
      </c>
      <c r="AR322" s="2">
        <v>45810.43871527778</v>
      </c>
      <c r="AU322" s="1" t="s">
        <v>64</v>
      </c>
      <c r="AW322" s="1" t="s">
        <v>255</v>
      </c>
      <c r="AY322" s="2">
        <v>316.0</v>
      </c>
    </row>
    <row r="323">
      <c r="A323" s="1" t="s">
        <v>51</v>
      </c>
      <c r="C323" s="1" t="s">
        <v>52</v>
      </c>
      <c r="E323" s="1" t="s">
        <v>53</v>
      </c>
      <c r="F323" s="1" t="s">
        <v>54</v>
      </c>
      <c r="G323" s="2">
        <v>37.0</v>
      </c>
      <c r="H323" s="1" t="s">
        <v>55</v>
      </c>
      <c r="I323" s="1" t="s">
        <v>100</v>
      </c>
      <c r="J323" s="1" t="s">
        <v>68</v>
      </c>
      <c r="K323" s="1" t="s">
        <v>74</v>
      </c>
      <c r="M323" s="1" t="s">
        <v>58</v>
      </c>
      <c r="N323" s="1" t="s">
        <v>58</v>
      </c>
      <c r="O323" s="1" t="s">
        <v>58</v>
      </c>
      <c r="Q323" s="1" t="s">
        <v>58</v>
      </c>
      <c r="R323" s="1" t="s">
        <v>58</v>
      </c>
      <c r="S323" s="1" t="s">
        <v>58</v>
      </c>
      <c r="T323" s="1" t="s">
        <v>58</v>
      </c>
      <c r="U323" s="1" t="s">
        <v>58</v>
      </c>
      <c r="V323" s="1" t="s">
        <v>58</v>
      </c>
      <c r="W323" s="1" t="s">
        <v>58</v>
      </c>
      <c r="X323" s="1" t="s">
        <v>81</v>
      </c>
      <c r="Y323" s="1" t="s">
        <v>82</v>
      </c>
      <c r="Z323" s="1" t="s">
        <v>89</v>
      </c>
      <c r="AA323" s="2">
        <v>100.0</v>
      </c>
      <c r="AB323" s="1" t="s">
        <v>62</v>
      </c>
      <c r="AC323" s="1" t="s">
        <v>51</v>
      </c>
      <c r="AD323" s="1" t="s">
        <v>81</v>
      </c>
      <c r="AE323" s="1" t="s">
        <v>51</v>
      </c>
      <c r="AF323" s="1" t="s">
        <v>51</v>
      </c>
      <c r="AG323" s="1" t="s">
        <v>51</v>
      </c>
      <c r="AI323" s="2">
        <v>1.0</v>
      </c>
      <c r="AJ323" s="2">
        <v>0.0</v>
      </c>
      <c r="AK323" s="2">
        <v>0.0</v>
      </c>
      <c r="AL323" s="2">
        <v>0.0</v>
      </c>
      <c r="AM323" s="1" t="s">
        <v>51</v>
      </c>
      <c r="AP323" s="2">
        <v>4.90858686E8</v>
      </c>
      <c r="AQ323" s="1" t="s">
        <v>458</v>
      </c>
      <c r="AR323" s="2">
        <v>45810.44086805556</v>
      </c>
      <c r="AU323" s="1" t="s">
        <v>64</v>
      </c>
      <c r="AW323" s="1" t="s">
        <v>255</v>
      </c>
      <c r="AY323" s="2">
        <v>317.0</v>
      </c>
    </row>
    <row r="324">
      <c r="A324" s="1" t="s">
        <v>51</v>
      </c>
      <c r="C324" s="1" t="s">
        <v>52</v>
      </c>
      <c r="E324" s="1" t="s">
        <v>53</v>
      </c>
      <c r="F324" s="1" t="s">
        <v>54</v>
      </c>
      <c r="G324" s="2">
        <v>27.0</v>
      </c>
      <c r="H324" s="1" t="s">
        <v>66</v>
      </c>
      <c r="I324" s="1" t="s">
        <v>67</v>
      </c>
      <c r="J324" s="1" t="s">
        <v>68</v>
      </c>
      <c r="K324" s="1" t="s">
        <v>78</v>
      </c>
      <c r="M324" s="1" t="s">
        <v>58</v>
      </c>
      <c r="N324" s="1" t="s">
        <v>58</v>
      </c>
      <c r="O324" s="1" t="s">
        <v>58</v>
      </c>
      <c r="Q324" s="1" t="s">
        <v>58</v>
      </c>
      <c r="R324" s="1" t="s">
        <v>58</v>
      </c>
      <c r="S324" s="1" t="s">
        <v>58</v>
      </c>
      <c r="T324" s="1" t="s">
        <v>58</v>
      </c>
      <c r="U324" s="1" t="s">
        <v>58</v>
      </c>
      <c r="V324" s="1" t="s">
        <v>58</v>
      </c>
      <c r="W324" s="1" t="s">
        <v>58</v>
      </c>
      <c r="X324" s="1" t="s">
        <v>81</v>
      </c>
      <c r="Y324" s="1" t="s">
        <v>82</v>
      </c>
      <c r="Z324" s="1" t="s">
        <v>89</v>
      </c>
      <c r="AA324" s="2">
        <v>10.0</v>
      </c>
      <c r="AB324" s="1" t="s">
        <v>79</v>
      </c>
      <c r="AC324" s="1" t="s">
        <v>51</v>
      </c>
      <c r="AD324" s="1" t="s">
        <v>81</v>
      </c>
      <c r="AE324" s="1" t="s">
        <v>51</v>
      </c>
      <c r="AF324" s="1" t="s">
        <v>51</v>
      </c>
      <c r="AG324" s="1" t="s">
        <v>51</v>
      </c>
      <c r="AI324" s="2">
        <v>1.0</v>
      </c>
      <c r="AJ324" s="2">
        <v>0.0</v>
      </c>
      <c r="AK324" s="2">
        <v>0.0</v>
      </c>
      <c r="AL324" s="2">
        <v>0.0</v>
      </c>
      <c r="AM324" s="1" t="s">
        <v>51</v>
      </c>
      <c r="AP324" s="2">
        <v>4.90860435E8</v>
      </c>
      <c r="AQ324" s="1" t="s">
        <v>459</v>
      </c>
      <c r="AR324" s="2">
        <v>45810.442719907405</v>
      </c>
      <c r="AU324" s="1" t="s">
        <v>64</v>
      </c>
      <c r="AW324" s="1" t="s">
        <v>255</v>
      </c>
      <c r="AY324" s="2">
        <v>318.0</v>
      </c>
    </row>
    <row r="325">
      <c r="A325" s="1" t="s">
        <v>51</v>
      </c>
      <c r="C325" s="1" t="s">
        <v>170</v>
      </c>
      <c r="E325" s="1" t="s">
        <v>53</v>
      </c>
      <c r="F325" s="1" t="s">
        <v>54</v>
      </c>
      <c r="G325" s="2">
        <v>37.0</v>
      </c>
      <c r="H325" s="1" t="s">
        <v>55</v>
      </c>
      <c r="I325" s="1" t="s">
        <v>100</v>
      </c>
      <c r="J325" s="1" t="s">
        <v>68</v>
      </c>
      <c r="K325" s="1" t="s">
        <v>57</v>
      </c>
      <c r="M325" s="1" t="s">
        <v>58</v>
      </c>
      <c r="N325" s="1" t="s">
        <v>58</v>
      </c>
      <c r="O325" s="1" t="s">
        <v>58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58</v>
      </c>
      <c r="V325" s="1" t="s">
        <v>58</v>
      </c>
      <c r="W325" s="1" t="s">
        <v>58</v>
      </c>
      <c r="X325" s="1" t="s">
        <v>81</v>
      </c>
      <c r="Y325" s="1" t="s">
        <v>82</v>
      </c>
      <c r="Z325" s="1" t="s">
        <v>89</v>
      </c>
      <c r="AA325" s="2">
        <v>100.0</v>
      </c>
      <c r="AB325" s="1" t="s">
        <v>79</v>
      </c>
      <c r="AC325" s="1" t="s">
        <v>51</v>
      </c>
      <c r="AD325" s="1" t="s">
        <v>81</v>
      </c>
      <c r="AE325" s="1" t="s">
        <v>51</v>
      </c>
      <c r="AF325" s="1" t="s">
        <v>51</v>
      </c>
      <c r="AG325" s="1" t="s">
        <v>51</v>
      </c>
      <c r="AI325" s="2">
        <v>1.0</v>
      </c>
      <c r="AJ325" s="2">
        <v>0.0</v>
      </c>
      <c r="AK325" s="2">
        <v>0.0</v>
      </c>
      <c r="AL325" s="2">
        <v>0.0</v>
      </c>
      <c r="AM325" s="1" t="s">
        <v>51</v>
      </c>
      <c r="AP325" s="2">
        <v>4.90861901E8</v>
      </c>
      <c r="AQ325" s="1" t="s">
        <v>460</v>
      </c>
      <c r="AR325" s="2">
        <v>45810.44420138889</v>
      </c>
      <c r="AU325" s="1" t="s">
        <v>64</v>
      </c>
      <c r="AW325" s="1" t="s">
        <v>255</v>
      </c>
      <c r="AY325" s="2">
        <v>319.0</v>
      </c>
    </row>
    <row r="326">
      <c r="A326" s="1" t="s">
        <v>51</v>
      </c>
      <c r="C326" s="1" t="s">
        <v>52</v>
      </c>
      <c r="E326" s="1" t="s">
        <v>53</v>
      </c>
      <c r="F326" s="1" t="s">
        <v>54</v>
      </c>
      <c r="G326" s="2">
        <v>38.0</v>
      </c>
      <c r="H326" s="1" t="s">
        <v>66</v>
      </c>
      <c r="I326" s="1" t="s">
        <v>100</v>
      </c>
      <c r="J326" s="1" t="s">
        <v>68</v>
      </c>
      <c r="K326" s="1" t="s">
        <v>74</v>
      </c>
      <c r="M326" s="1" t="s">
        <v>58</v>
      </c>
      <c r="N326" s="1" t="s">
        <v>58</v>
      </c>
      <c r="O326" s="1" t="s">
        <v>58</v>
      </c>
      <c r="Q326" s="1" t="s">
        <v>58</v>
      </c>
      <c r="R326" s="1" t="s">
        <v>58</v>
      </c>
      <c r="S326" s="1" t="s">
        <v>58</v>
      </c>
      <c r="T326" s="1" t="s">
        <v>58</v>
      </c>
      <c r="U326" s="1" t="s">
        <v>58</v>
      </c>
      <c r="V326" s="1" t="s">
        <v>58</v>
      </c>
      <c r="W326" s="1" t="s">
        <v>58</v>
      </c>
      <c r="X326" s="1" t="s">
        <v>81</v>
      </c>
      <c r="Y326" s="1" t="s">
        <v>82</v>
      </c>
      <c r="Z326" s="1" t="s">
        <v>89</v>
      </c>
      <c r="AA326" s="2">
        <v>100.0</v>
      </c>
      <c r="AB326" s="1" t="s">
        <v>79</v>
      </c>
      <c r="AC326" s="1" t="s">
        <v>51</v>
      </c>
      <c r="AD326" s="1" t="s">
        <v>81</v>
      </c>
      <c r="AE326" s="1" t="s">
        <v>51</v>
      </c>
      <c r="AF326" s="1" t="s">
        <v>51</v>
      </c>
      <c r="AG326" s="1" t="s">
        <v>51</v>
      </c>
      <c r="AI326" s="2">
        <v>1.0</v>
      </c>
      <c r="AJ326" s="2">
        <v>0.0</v>
      </c>
      <c r="AK326" s="2">
        <v>0.0</v>
      </c>
      <c r="AL326" s="2">
        <v>0.0</v>
      </c>
      <c r="AM326" s="1" t="s">
        <v>51</v>
      </c>
      <c r="AP326" s="2">
        <v>4.9086362E8</v>
      </c>
      <c r="AQ326" s="1" t="s">
        <v>461</v>
      </c>
      <c r="AR326" s="2">
        <v>45810.445868055554</v>
      </c>
      <c r="AU326" s="1" t="s">
        <v>64</v>
      </c>
      <c r="AW326" s="1" t="s">
        <v>255</v>
      </c>
      <c r="AY326" s="2">
        <v>320.0</v>
      </c>
    </row>
    <row r="327">
      <c r="A327" s="1" t="s">
        <v>51</v>
      </c>
      <c r="C327" s="1" t="s">
        <v>170</v>
      </c>
      <c r="E327" s="1" t="s">
        <v>53</v>
      </c>
      <c r="F327" s="1" t="s">
        <v>54</v>
      </c>
      <c r="G327" s="2">
        <v>45.0</v>
      </c>
      <c r="H327" s="1" t="s">
        <v>55</v>
      </c>
      <c r="I327" s="1" t="s">
        <v>67</v>
      </c>
      <c r="J327" s="1" t="s">
        <v>68</v>
      </c>
      <c r="K327" s="1" t="s">
        <v>74</v>
      </c>
      <c r="M327" s="1" t="s">
        <v>58</v>
      </c>
      <c r="N327" s="1" t="s">
        <v>58</v>
      </c>
      <c r="O327" s="1" t="s">
        <v>58</v>
      </c>
      <c r="Q327" s="1" t="s">
        <v>58</v>
      </c>
      <c r="R327" s="1" t="s">
        <v>58</v>
      </c>
      <c r="S327" s="1" t="s">
        <v>58</v>
      </c>
      <c r="T327" s="1" t="s">
        <v>58</v>
      </c>
      <c r="U327" s="1" t="s">
        <v>58</v>
      </c>
      <c r="V327" s="1" t="s">
        <v>58</v>
      </c>
      <c r="W327" s="1" t="s">
        <v>58</v>
      </c>
      <c r="X327" s="1" t="s">
        <v>81</v>
      </c>
      <c r="Y327" s="1" t="s">
        <v>82</v>
      </c>
      <c r="Z327" s="1" t="s">
        <v>89</v>
      </c>
      <c r="AA327" s="2">
        <v>50.0</v>
      </c>
      <c r="AB327" s="1" t="s">
        <v>79</v>
      </c>
      <c r="AC327" s="1" t="s">
        <v>51</v>
      </c>
      <c r="AD327" s="1" t="s">
        <v>81</v>
      </c>
      <c r="AE327" s="1" t="s">
        <v>51</v>
      </c>
      <c r="AF327" s="1" t="s">
        <v>51</v>
      </c>
      <c r="AG327" s="1" t="s">
        <v>51</v>
      </c>
      <c r="AI327" s="2">
        <v>1.0</v>
      </c>
      <c r="AJ327" s="2">
        <v>0.0</v>
      </c>
      <c r="AK327" s="2">
        <v>0.0</v>
      </c>
      <c r="AL327" s="2">
        <v>0.0</v>
      </c>
      <c r="AM327" s="1" t="s">
        <v>51</v>
      </c>
      <c r="AP327" s="2">
        <v>4.90865124E8</v>
      </c>
      <c r="AQ327" s="1" t="s">
        <v>462</v>
      </c>
      <c r="AR327" s="2">
        <v>45810.44726851852</v>
      </c>
      <c r="AU327" s="1" t="s">
        <v>64</v>
      </c>
      <c r="AW327" s="1" t="s">
        <v>255</v>
      </c>
      <c r="AY327" s="2">
        <v>321.0</v>
      </c>
    </row>
    <row r="328">
      <c r="A328" s="1" t="s">
        <v>51</v>
      </c>
      <c r="C328" s="1" t="s">
        <v>170</v>
      </c>
      <c r="E328" s="1" t="s">
        <v>53</v>
      </c>
      <c r="F328" s="1" t="s">
        <v>54</v>
      </c>
      <c r="G328" s="2">
        <v>22.0</v>
      </c>
      <c r="H328" s="1" t="s">
        <v>55</v>
      </c>
      <c r="I328" s="1" t="s">
        <v>100</v>
      </c>
      <c r="J328" s="1" t="s">
        <v>68</v>
      </c>
      <c r="K328" s="1" t="s">
        <v>78</v>
      </c>
      <c r="M328" s="1" t="s">
        <v>58</v>
      </c>
      <c r="N328" s="1" t="s">
        <v>58</v>
      </c>
      <c r="O328" s="1" t="s">
        <v>58</v>
      </c>
      <c r="Q328" s="1" t="s">
        <v>58</v>
      </c>
      <c r="R328" s="1" t="s">
        <v>58</v>
      </c>
      <c r="S328" s="1" t="s">
        <v>58</v>
      </c>
      <c r="T328" s="1" t="s">
        <v>58</v>
      </c>
      <c r="U328" s="1" t="s">
        <v>58</v>
      </c>
      <c r="V328" s="1" t="s">
        <v>58</v>
      </c>
      <c r="W328" s="1" t="s">
        <v>58</v>
      </c>
      <c r="X328" s="1" t="s">
        <v>81</v>
      </c>
      <c r="Y328" s="1" t="s">
        <v>82</v>
      </c>
      <c r="Z328" s="1" t="s">
        <v>89</v>
      </c>
      <c r="AA328" s="2">
        <v>30.0</v>
      </c>
      <c r="AB328" s="1" t="s">
        <v>79</v>
      </c>
      <c r="AC328" s="1" t="s">
        <v>51</v>
      </c>
      <c r="AD328" s="1" t="s">
        <v>81</v>
      </c>
      <c r="AE328" s="1" t="s">
        <v>51</v>
      </c>
      <c r="AF328" s="1" t="s">
        <v>51</v>
      </c>
      <c r="AG328" s="1" t="s">
        <v>51</v>
      </c>
      <c r="AI328" s="2">
        <v>1.0</v>
      </c>
      <c r="AJ328" s="2">
        <v>0.0</v>
      </c>
      <c r="AK328" s="2">
        <v>0.0</v>
      </c>
      <c r="AL328" s="2">
        <v>0.0</v>
      </c>
      <c r="AM328" s="1" t="s">
        <v>51</v>
      </c>
      <c r="AP328" s="2">
        <v>4.90866858E8</v>
      </c>
      <c r="AQ328" s="1" t="s">
        <v>463</v>
      </c>
      <c r="AR328" s="2">
        <v>45810.44868055556</v>
      </c>
      <c r="AU328" s="1" t="s">
        <v>64</v>
      </c>
      <c r="AW328" s="1" t="s">
        <v>255</v>
      </c>
      <c r="AY328" s="2">
        <v>322.0</v>
      </c>
    </row>
    <row r="329">
      <c r="A329" s="1" t="s">
        <v>51</v>
      </c>
      <c r="C329" s="1" t="s">
        <v>52</v>
      </c>
      <c r="E329" s="1" t="s">
        <v>53</v>
      </c>
      <c r="F329" s="1" t="s">
        <v>54</v>
      </c>
      <c r="G329" s="2">
        <v>37.0</v>
      </c>
      <c r="H329" s="1" t="s">
        <v>66</v>
      </c>
      <c r="I329" s="1" t="s">
        <v>76</v>
      </c>
      <c r="J329" s="1" t="s">
        <v>68</v>
      </c>
      <c r="K329" s="1" t="s">
        <v>74</v>
      </c>
      <c r="M329" s="1" t="s">
        <v>58</v>
      </c>
      <c r="N329" s="1" t="s">
        <v>58</v>
      </c>
      <c r="O329" s="1" t="s">
        <v>58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81</v>
      </c>
      <c r="Y329" s="1" t="s">
        <v>82</v>
      </c>
      <c r="Z329" s="1" t="s">
        <v>89</v>
      </c>
      <c r="AA329" s="2">
        <v>40.0</v>
      </c>
      <c r="AB329" s="1" t="s">
        <v>79</v>
      </c>
      <c r="AC329" s="1" t="s">
        <v>51</v>
      </c>
      <c r="AD329" s="1" t="s">
        <v>81</v>
      </c>
      <c r="AE329" s="1" t="s">
        <v>51</v>
      </c>
      <c r="AF329" s="1" t="s">
        <v>51</v>
      </c>
      <c r="AG329" s="1" t="s">
        <v>51</v>
      </c>
      <c r="AI329" s="2">
        <v>1.0</v>
      </c>
      <c r="AJ329" s="2">
        <v>0.0</v>
      </c>
      <c r="AK329" s="2">
        <v>0.0</v>
      </c>
      <c r="AL329" s="2">
        <v>0.0</v>
      </c>
      <c r="AM329" s="1" t="s">
        <v>51</v>
      </c>
      <c r="AP329" s="2">
        <v>4.90868361E8</v>
      </c>
      <c r="AQ329" s="1" t="s">
        <v>464</v>
      </c>
      <c r="AR329" s="2">
        <v>45810.45009259259</v>
      </c>
      <c r="AU329" s="1" t="s">
        <v>64</v>
      </c>
      <c r="AW329" s="1" t="s">
        <v>255</v>
      </c>
      <c r="AY329" s="2">
        <v>323.0</v>
      </c>
    </row>
    <row r="330">
      <c r="A330" s="1" t="s">
        <v>51</v>
      </c>
      <c r="C330" s="1" t="s">
        <v>52</v>
      </c>
      <c r="E330" s="1" t="s">
        <v>53</v>
      </c>
      <c r="F330" s="1" t="s">
        <v>54</v>
      </c>
      <c r="G330" s="2">
        <v>25.0</v>
      </c>
      <c r="H330" s="1" t="s">
        <v>66</v>
      </c>
      <c r="I330" s="1" t="s">
        <v>76</v>
      </c>
      <c r="J330" s="1" t="s">
        <v>68</v>
      </c>
      <c r="K330" s="1" t="s">
        <v>74</v>
      </c>
      <c r="M330" s="1" t="s">
        <v>58</v>
      </c>
      <c r="N330" s="1" t="s">
        <v>58</v>
      </c>
      <c r="O330" s="1" t="s">
        <v>58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1" t="s">
        <v>81</v>
      </c>
      <c r="Y330" s="1" t="s">
        <v>82</v>
      </c>
      <c r="Z330" s="1" t="s">
        <v>89</v>
      </c>
      <c r="AA330" s="2">
        <v>100.0</v>
      </c>
      <c r="AB330" s="1" t="s">
        <v>79</v>
      </c>
      <c r="AC330" s="1" t="s">
        <v>51</v>
      </c>
      <c r="AD330" s="1" t="s">
        <v>81</v>
      </c>
      <c r="AE330" s="1" t="s">
        <v>51</v>
      </c>
      <c r="AF330" s="1" t="s">
        <v>51</v>
      </c>
      <c r="AG330" s="1" t="s">
        <v>72</v>
      </c>
      <c r="AI330" s="2">
        <v>1.0</v>
      </c>
      <c r="AJ330" s="2">
        <v>0.0</v>
      </c>
      <c r="AK330" s="2">
        <v>0.0</v>
      </c>
      <c r="AL330" s="2">
        <v>0.0</v>
      </c>
      <c r="AM330" s="1" t="s">
        <v>51</v>
      </c>
      <c r="AP330" s="2">
        <v>4.90870025E8</v>
      </c>
      <c r="AQ330" s="1" t="s">
        <v>465</v>
      </c>
      <c r="AR330" s="2">
        <v>45810.451516203706</v>
      </c>
      <c r="AU330" s="1" t="s">
        <v>64</v>
      </c>
      <c r="AW330" s="1" t="s">
        <v>255</v>
      </c>
      <c r="AY330" s="2">
        <v>324.0</v>
      </c>
    </row>
    <row r="331">
      <c r="A331" s="1" t="s">
        <v>51</v>
      </c>
      <c r="C331" s="1" t="s">
        <v>131</v>
      </c>
      <c r="E331" s="1" t="s">
        <v>53</v>
      </c>
      <c r="F331" s="1" t="s">
        <v>54</v>
      </c>
      <c r="G331" s="2">
        <v>25.0</v>
      </c>
      <c r="H331" s="1" t="s">
        <v>55</v>
      </c>
      <c r="I331" s="1" t="s">
        <v>100</v>
      </c>
      <c r="J331" s="1" t="s">
        <v>68</v>
      </c>
      <c r="K331" s="1" t="s">
        <v>57</v>
      </c>
      <c r="M331" s="1" t="s">
        <v>58</v>
      </c>
      <c r="N331" s="1" t="s">
        <v>58</v>
      </c>
      <c r="O331" s="1" t="s">
        <v>58</v>
      </c>
      <c r="Q331" s="1" t="s">
        <v>58</v>
      </c>
      <c r="R331" s="1" t="s">
        <v>58</v>
      </c>
      <c r="S331" s="1" t="s">
        <v>58</v>
      </c>
      <c r="T331" s="1" t="s">
        <v>58</v>
      </c>
      <c r="U331" s="1" t="s">
        <v>58</v>
      </c>
      <c r="V331" s="1" t="s">
        <v>58</v>
      </c>
      <c r="W331" s="1" t="s">
        <v>58</v>
      </c>
      <c r="X331" s="1" t="s">
        <v>81</v>
      </c>
      <c r="Y331" s="1" t="s">
        <v>82</v>
      </c>
      <c r="Z331" s="1" t="s">
        <v>61</v>
      </c>
      <c r="AA331" s="2">
        <v>20.0</v>
      </c>
      <c r="AB331" s="1" t="s">
        <v>28</v>
      </c>
      <c r="AC331" s="1" t="s">
        <v>71</v>
      </c>
      <c r="AF331" s="1" t="s">
        <v>51</v>
      </c>
      <c r="AG331" s="1" t="s">
        <v>51</v>
      </c>
      <c r="AI331" s="2">
        <v>0.0</v>
      </c>
      <c r="AJ331" s="2">
        <v>0.0</v>
      </c>
      <c r="AK331" s="2">
        <v>0.0</v>
      </c>
      <c r="AL331" s="2">
        <v>1.0</v>
      </c>
      <c r="AM331" s="1" t="s">
        <v>72</v>
      </c>
      <c r="AP331" s="2">
        <v>4.90872118E8</v>
      </c>
      <c r="AQ331" s="1" t="s">
        <v>466</v>
      </c>
      <c r="AR331" s="2">
        <v>45810.4540625</v>
      </c>
      <c r="AU331" s="1" t="s">
        <v>64</v>
      </c>
      <c r="AW331" s="1" t="s">
        <v>255</v>
      </c>
      <c r="AY331" s="2">
        <v>325.0</v>
      </c>
    </row>
    <row r="332">
      <c r="A332" s="1" t="s">
        <v>51</v>
      </c>
      <c r="C332" s="1" t="s">
        <v>170</v>
      </c>
      <c r="E332" s="1" t="s">
        <v>53</v>
      </c>
      <c r="F332" s="1" t="s">
        <v>54</v>
      </c>
      <c r="G332" s="2">
        <v>28.0</v>
      </c>
      <c r="H332" s="1" t="s">
        <v>233</v>
      </c>
      <c r="I332" s="1" t="s">
        <v>76</v>
      </c>
      <c r="J332" s="1" t="s">
        <v>56</v>
      </c>
      <c r="K332" s="1" t="s">
        <v>74</v>
      </c>
      <c r="M332" s="1" t="s">
        <v>58</v>
      </c>
      <c r="O332" s="1" t="s">
        <v>58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81</v>
      </c>
      <c r="Y332" s="1" t="s">
        <v>82</v>
      </c>
      <c r="Z332" s="1" t="s">
        <v>61</v>
      </c>
      <c r="AA332" s="2">
        <v>10.0</v>
      </c>
      <c r="AB332" s="1" t="s">
        <v>28</v>
      </c>
      <c r="AC332" s="1" t="s">
        <v>51</v>
      </c>
      <c r="AD332" s="1" t="s">
        <v>81</v>
      </c>
      <c r="AE332" s="1" t="s">
        <v>51</v>
      </c>
      <c r="AF332" s="1" t="s">
        <v>51</v>
      </c>
      <c r="AG332" s="1" t="s">
        <v>72</v>
      </c>
      <c r="AM332" s="1" t="s">
        <v>72</v>
      </c>
      <c r="AP332" s="2">
        <v>4.90874202E8</v>
      </c>
      <c r="AQ332" s="1" t="s">
        <v>467</v>
      </c>
      <c r="AR332" s="2">
        <v>45810.456724537034</v>
      </c>
      <c r="AU332" s="1" t="s">
        <v>64</v>
      </c>
      <c r="AW332" s="1" t="s">
        <v>255</v>
      </c>
      <c r="AY332" s="2">
        <v>326.0</v>
      </c>
    </row>
    <row r="333">
      <c r="A333" s="1" t="s">
        <v>51</v>
      </c>
      <c r="C333" s="1" t="s">
        <v>52</v>
      </c>
      <c r="E333" s="1" t="s">
        <v>53</v>
      </c>
      <c r="F333" s="1" t="s">
        <v>54</v>
      </c>
      <c r="G333" s="2">
        <v>30.0</v>
      </c>
      <c r="H333" s="1" t="s">
        <v>66</v>
      </c>
      <c r="I333" s="1" t="s">
        <v>67</v>
      </c>
      <c r="J333" s="1" t="s">
        <v>68</v>
      </c>
      <c r="K333" s="1" t="s">
        <v>57</v>
      </c>
      <c r="M333" s="1" t="s">
        <v>58</v>
      </c>
      <c r="N333" s="1" t="s">
        <v>58</v>
      </c>
      <c r="O333" s="1" t="s">
        <v>58</v>
      </c>
      <c r="Q333" s="1" t="s">
        <v>58</v>
      </c>
      <c r="R333" s="1" t="s">
        <v>58</v>
      </c>
      <c r="S333" s="1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1" t="s">
        <v>81</v>
      </c>
      <c r="Y333" s="1" t="s">
        <v>82</v>
      </c>
      <c r="Z333" s="1" t="s">
        <v>61</v>
      </c>
      <c r="AA333" s="2">
        <v>10.0</v>
      </c>
      <c r="AB333" s="1" t="s">
        <v>28</v>
      </c>
      <c r="AC333" s="1" t="s">
        <v>72</v>
      </c>
      <c r="AF333" s="1" t="s">
        <v>51</v>
      </c>
      <c r="AG333" s="1" t="s">
        <v>72</v>
      </c>
      <c r="AI333" s="2">
        <v>0.0</v>
      </c>
      <c r="AJ333" s="2">
        <v>0.0</v>
      </c>
      <c r="AK333" s="2">
        <v>0.0</v>
      </c>
      <c r="AL333" s="2">
        <v>1.0</v>
      </c>
      <c r="AM333" s="1" t="s">
        <v>72</v>
      </c>
      <c r="AP333" s="2">
        <v>4.90875834E8</v>
      </c>
      <c r="AQ333" s="1" t="s">
        <v>468</v>
      </c>
      <c r="AR333" s="2">
        <v>45810.45853009259</v>
      </c>
      <c r="AU333" s="1" t="s">
        <v>64</v>
      </c>
      <c r="AW333" s="1" t="s">
        <v>255</v>
      </c>
      <c r="AY333" s="2">
        <v>327.0</v>
      </c>
    </row>
    <row r="334">
      <c r="A334" s="1" t="s">
        <v>51</v>
      </c>
      <c r="C334" s="1" t="s">
        <v>52</v>
      </c>
      <c r="E334" s="1" t="s">
        <v>53</v>
      </c>
      <c r="F334" s="1" t="s">
        <v>54</v>
      </c>
      <c r="G334" s="2">
        <v>33.0</v>
      </c>
      <c r="H334" s="1" t="s">
        <v>66</v>
      </c>
      <c r="I334" s="1" t="s">
        <v>67</v>
      </c>
      <c r="J334" s="1" t="s">
        <v>68</v>
      </c>
      <c r="K334" s="1" t="s">
        <v>57</v>
      </c>
      <c r="M334" s="1" t="s">
        <v>58</v>
      </c>
      <c r="N334" s="1" t="s">
        <v>58</v>
      </c>
      <c r="O334" s="1" t="s">
        <v>58</v>
      </c>
      <c r="Q334" s="1" t="s">
        <v>58</v>
      </c>
      <c r="R334" s="1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81</v>
      </c>
      <c r="Y334" s="1" t="s">
        <v>82</v>
      </c>
      <c r="Z334" s="1" t="s">
        <v>89</v>
      </c>
      <c r="AA334" s="2">
        <v>10.0</v>
      </c>
      <c r="AB334" s="1" t="s">
        <v>28</v>
      </c>
      <c r="AC334" s="1" t="s">
        <v>72</v>
      </c>
      <c r="AF334" s="1" t="s">
        <v>51</v>
      </c>
      <c r="AG334" s="1" t="s">
        <v>72</v>
      </c>
      <c r="AI334" s="2">
        <v>0.0</v>
      </c>
      <c r="AJ334" s="2">
        <v>0.0</v>
      </c>
      <c r="AK334" s="2">
        <v>0.0</v>
      </c>
      <c r="AL334" s="2">
        <v>1.0</v>
      </c>
      <c r="AM334" s="1" t="s">
        <v>72</v>
      </c>
      <c r="AP334" s="2">
        <v>4.90877324E8</v>
      </c>
      <c r="AQ334" s="1" t="s">
        <v>469</v>
      </c>
      <c r="AR334" s="2">
        <v>45810.46016203704</v>
      </c>
      <c r="AU334" s="1" t="s">
        <v>64</v>
      </c>
      <c r="AW334" s="1" t="s">
        <v>255</v>
      </c>
      <c r="AY334" s="2">
        <v>328.0</v>
      </c>
    </row>
    <row r="335">
      <c r="A335" s="1" t="s">
        <v>51</v>
      </c>
      <c r="C335" s="1" t="s">
        <v>52</v>
      </c>
      <c r="E335" s="1" t="s">
        <v>53</v>
      </c>
      <c r="F335" s="1" t="s">
        <v>54</v>
      </c>
      <c r="G335" s="2">
        <v>41.0</v>
      </c>
      <c r="H335" s="1" t="s">
        <v>66</v>
      </c>
      <c r="I335" s="1" t="s">
        <v>419</v>
      </c>
      <c r="J335" s="1" t="s">
        <v>68</v>
      </c>
      <c r="K335" s="1" t="s">
        <v>74</v>
      </c>
      <c r="M335" s="1" t="s">
        <v>58</v>
      </c>
      <c r="N335" s="1" t="s">
        <v>58</v>
      </c>
      <c r="O335" s="1" t="s">
        <v>58</v>
      </c>
      <c r="Q335" s="1" t="s">
        <v>58</v>
      </c>
      <c r="R335" s="1" t="s">
        <v>58</v>
      </c>
      <c r="S335" s="1" t="s">
        <v>58</v>
      </c>
      <c r="T335" s="1" t="s">
        <v>58</v>
      </c>
      <c r="U335" s="1" t="s">
        <v>58</v>
      </c>
      <c r="V335" s="1" t="s">
        <v>58</v>
      </c>
      <c r="W335" s="1" t="s">
        <v>58</v>
      </c>
      <c r="X335" s="1" t="s">
        <v>81</v>
      </c>
      <c r="Y335" s="1" t="s">
        <v>82</v>
      </c>
      <c r="Z335" s="1" t="s">
        <v>61</v>
      </c>
      <c r="AA335" s="2">
        <v>20.0</v>
      </c>
      <c r="AB335" s="1" t="s">
        <v>28</v>
      </c>
      <c r="AC335" s="1" t="s">
        <v>51</v>
      </c>
      <c r="AD335" s="1" t="s">
        <v>81</v>
      </c>
      <c r="AE335" s="1" t="s">
        <v>51</v>
      </c>
      <c r="AF335" s="1" t="s">
        <v>51</v>
      </c>
      <c r="AG335" s="1" t="s">
        <v>72</v>
      </c>
      <c r="AI335" s="2">
        <v>0.0</v>
      </c>
      <c r="AJ335" s="2">
        <v>0.0</v>
      </c>
      <c r="AK335" s="2">
        <v>0.0</v>
      </c>
      <c r="AL335" s="2">
        <v>1.0</v>
      </c>
      <c r="AM335" s="1" t="s">
        <v>72</v>
      </c>
      <c r="AP335" s="2">
        <v>4.90878732E8</v>
      </c>
      <c r="AQ335" s="1" t="s">
        <v>470</v>
      </c>
      <c r="AR335" s="2">
        <v>45810.46167824074</v>
      </c>
      <c r="AU335" s="1" t="s">
        <v>64</v>
      </c>
      <c r="AW335" s="1" t="s">
        <v>255</v>
      </c>
      <c r="AY335" s="2">
        <v>329.0</v>
      </c>
    </row>
    <row r="336">
      <c r="A336" s="1" t="s">
        <v>51</v>
      </c>
      <c r="C336" s="1" t="s">
        <v>131</v>
      </c>
      <c r="E336" s="1" t="s">
        <v>53</v>
      </c>
      <c r="F336" s="1" t="s">
        <v>54</v>
      </c>
      <c r="G336" s="2">
        <v>29.0</v>
      </c>
      <c r="H336" s="1" t="s">
        <v>66</v>
      </c>
      <c r="I336" s="1" t="s">
        <v>76</v>
      </c>
      <c r="J336" s="1" t="s">
        <v>68</v>
      </c>
      <c r="K336" s="1" t="s">
        <v>74</v>
      </c>
      <c r="M336" s="1" t="s">
        <v>58</v>
      </c>
      <c r="N336" s="1" t="s">
        <v>58</v>
      </c>
      <c r="O336" s="1" t="s">
        <v>58</v>
      </c>
      <c r="Q336" s="1" t="s">
        <v>58</v>
      </c>
      <c r="R336" s="1" t="s">
        <v>58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81</v>
      </c>
      <c r="Y336" s="1" t="s">
        <v>60</v>
      </c>
      <c r="Z336" s="1" t="s">
        <v>61</v>
      </c>
      <c r="AA336" s="2">
        <v>30.0</v>
      </c>
      <c r="AB336" s="1" t="s">
        <v>28</v>
      </c>
      <c r="AC336" s="1" t="s">
        <v>51</v>
      </c>
      <c r="AD336" s="1" t="s">
        <v>81</v>
      </c>
      <c r="AE336" s="1" t="s">
        <v>51</v>
      </c>
      <c r="AF336" s="1" t="s">
        <v>51</v>
      </c>
      <c r="AG336" s="1" t="s">
        <v>72</v>
      </c>
      <c r="AI336" s="2">
        <v>0.0</v>
      </c>
      <c r="AJ336" s="2">
        <v>0.0</v>
      </c>
      <c r="AK336" s="2">
        <v>0.0</v>
      </c>
      <c r="AL336" s="2">
        <v>1.0</v>
      </c>
      <c r="AM336" s="1" t="s">
        <v>72</v>
      </c>
      <c r="AP336" s="2">
        <v>4.90880482E8</v>
      </c>
      <c r="AQ336" s="1" t="s">
        <v>471</v>
      </c>
      <c r="AR336" s="2">
        <v>45810.463530092595</v>
      </c>
      <c r="AU336" s="1" t="s">
        <v>64</v>
      </c>
      <c r="AW336" s="1" t="s">
        <v>255</v>
      </c>
      <c r="AY336" s="2">
        <v>330.0</v>
      </c>
    </row>
    <row r="337">
      <c r="A337" s="1" t="s">
        <v>51</v>
      </c>
      <c r="C337" s="1" t="s">
        <v>52</v>
      </c>
      <c r="E337" s="1" t="s">
        <v>53</v>
      </c>
      <c r="F337" s="1" t="s">
        <v>54</v>
      </c>
      <c r="G337" s="2">
        <v>40.0</v>
      </c>
      <c r="H337" s="1" t="s">
        <v>66</v>
      </c>
      <c r="I337" s="1" t="s">
        <v>100</v>
      </c>
      <c r="J337" s="1" t="s">
        <v>68</v>
      </c>
      <c r="K337" s="1" t="s">
        <v>74</v>
      </c>
      <c r="M337" s="1" t="s">
        <v>58</v>
      </c>
      <c r="N337" s="1" t="s">
        <v>58</v>
      </c>
      <c r="O337" s="1" t="s">
        <v>58</v>
      </c>
      <c r="Q337" s="1" t="s">
        <v>58</v>
      </c>
      <c r="R337" s="1" t="s">
        <v>58</v>
      </c>
      <c r="S337" s="1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81</v>
      </c>
      <c r="Y337" s="1" t="s">
        <v>82</v>
      </c>
      <c r="Z337" s="1" t="s">
        <v>61</v>
      </c>
      <c r="AA337" s="2">
        <v>10.0</v>
      </c>
      <c r="AB337" s="1" t="s">
        <v>28</v>
      </c>
      <c r="AC337" s="1" t="s">
        <v>51</v>
      </c>
      <c r="AD337" s="1" t="s">
        <v>81</v>
      </c>
      <c r="AE337" s="1" t="s">
        <v>51</v>
      </c>
      <c r="AF337" s="1" t="s">
        <v>51</v>
      </c>
      <c r="AG337" s="1" t="s">
        <v>72</v>
      </c>
      <c r="AI337" s="2">
        <v>0.0</v>
      </c>
      <c r="AJ337" s="2">
        <v>0.0</v>
      </c>
      <c r="AK337" s="2">
        <v>0.0</v>
      </c>
      <c r="AL337" s="2">
        <v>1.0</v>
      </c>
      <c r="AM337" s="1" t="s">
        <v>72</v>
      </c>
      <c r="AP337" s="2">
        <v>4.90881694E8</v>
      </c>
      <c r="AQ337" s="1" t="s">
        <v>472</v>
      </c>
      <c r="AR337" s="2">
        <v>45810.46502314815</v>
      </c>
      <c r="AU337" s="1" t="s">
        <v>64</v>
      </c>
      <c r="AW337" s="1" t="s">
        <v>255</v>
      </c>
      <c r="AY337" s="2">
        <v>331.0</v>
      </c>
    </row>
    <row r="338">
      <c r="A338" s="1" t="s">
        <v>51</v>
      </c>
      <c r="C338" s="1" t="s">
        <v>170</v>
      </c>
      <c r="E338" s="1" t="s">
        <v>53</v>
      </c>
      <c r="F338" s="1" t="s">
        <v>54</v>
      </c>
      <c r="G338" s="2">
        <v>45.0</v>
      </c>
      <c r="H338" s="1" t="s">
        <v>66</v>
      </c>
      <c r="I338" s="1" t="s">
        <v>100</v>
      </c>
      <c r="J338" s="1" t="s">
        <v>68</v>
      </c>
      <c r="K338" s="1" t="s">
        <v>57</v>
      </c>
      <c r="M338" s="1" t="s">
        <v>58</v>
      </c>
      <c r="N338" s="1" t="s">
        <v>58</v>
      </c>
      <c r="O338" s="1" t="s">
        <v>58</v>
      </c>
      <c r="Q338" s="1" t="s">
        <v>58</v>
      </c>
      <c r="R338" s="1" t="s">
        <v>58</v>
      </c>
      <c r="S338" s="1" t="s">
        <v>58</v>
      </c>
      <c r="T338" s="1" t="s">
        <v>58</v>
      </c>
      <c r="U338" s="1" t="s">
        <v>58</v>
      </c>
      <c r="W338" s="1" t="s">
        <v>58</v>
      </c>
      <c r="X338" s="1" t="s">
        <v>81</v>
      </c>
      <c r="Y338" s="1" t="s">
        <v>82</v>
      </c>
      <c r="Z338" s="1" t="s">
        <v>61</v>
      </c>
      <c r="AA338" s="2">
        <v>10.0</v>
      </c>
      <c r="AB338" s="1" t="s">
        <v>28</v>
      </c>
      <c r="AC338" s="1" t="s">
        <v>51</v>
      </c>
      <c r="AD338" s="1" t="s">
        <v>81</v>
      </c>
      <c r="AE338" s="1" t="s">
        <v>51</v>
      </c>
      <c r="AF338" s="1" t="s">
        <v>51</v>
      </c>
      <c r="AG338" s="1" t="s">
        <v>72</v>
      </c>
      <c r="AI338" s="2">
        <v>0.0</v>
      </c>
      <c r="AJ338" s="2">
        <v>0.0</v>
      </c>
      <c r="AK338" s="2">
        <v>0.0</v>
      </c>
      <c r="AL338" s="2">
        <v>1.0</v>
      </c>
      <c r="AM338" s="1" t="s">
        <v>72</v>
      </c>
      <c r="AP338" s="2">
        <v>4.90883057E8</v>
      </c>
      <c r="AQ338" s="1" t="s">
        <v>473</v>
      </c>
      <c r="AR338" s="2">
        <v>45810.46697916667</v>
      </c>
      <c r="AU338" s="1" t="s">
        <v>64</v>
      </c>
      <c r="AW338" s="1" t="s">
        <v>255</v>
      </c>
      <c r="AY338" s="2">
        <v>332.0</v>
      </c>
    </row>
    <row r="339">
      <c r="A339" s="1" t="s">
        <v>51</v>
      </c>
      <c r="C339" s="1" t="s">
        <v>52</v>
      </c>
      <c r="E339" s="1" t="s">
        <v>53</v>
      </c>
      <c r="F339" s="1" t="s">
        <v>54</v>
      </c>
      <c r="G339" s="2">
        <v>36.0</v>
      </c>
      <c r="H339" s="1" t="s">
        <v>66</v>
      </c>
      <c r="I339" s="1" t="s">
        <v>76</v>
      </c>
      <c r="J339" s="1" t="s">
        <v>68</v>
      </c>
      <c r="K339" s="1" t="s">
        <v>74</v>
      </c>
      <c r="M339" s="1" t="s">
        <v>58</v>
      </c>
      <c r="N339" s="1" t="s">
        <v>58</v>
      </c>
      <c r="O339" s="1" t="s">
        <v>58</v>
      </c>
      <c r="Q339" s="1" t="s">
        <v>58</v>
      </c>
      <c r="R339" s="1" t="s">
        <v>58</v>
      </c>
      <c r="S339" s="1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81</v>
      </c>
      <c r="Z339" s="1" t="s">
        <v>61</v>
      </c>
      <c r="AA339" s="2">
        <v>20.0</v>
      </c>
      <c r="AC339" s="1" t="s">
        <v>51</v>
      </c>
      <c r="AD339" s="1" t="s">
        <v>81</v>
      </c>
      <c r="AE339" s="1" t="s">
        <v>51</v>
      </c>
      <c r="AF339" s="1" t="s">
        <v>51</v>
      </c>
      <c r="AG339" s="1" t="s">
        <v>72</v>
      </c>
      <c r="AI339" s="2">
        <v>0.0</v>
      </c>
      <c r="AJ339" s="2">
        <v>0.0</v>
      </c>
      <c r="AK339" s="2">
        <v>0.0</v>
      </c>
      <c r="AL339" s="2">
        <v>1.0</v>
      </c>
      <c r="AM339" s="1" t="s">
        <v>72</v>
      </c>
      <c r="AP339" s="2">
        <v>4.90884263E8</v>
      </c>
      <c r="AQ339" s="1" t="s">
        <v>474</v>
      </c>
      <c r="AR339" s="2">
        <v>45810.46826388889</v>
      </c>
      <c r="AU339" s="1" t="s">
        <v>64</v>
      </c>
      <c r="AW339" s="1" t="s">
        <v>255</v>
      </c>
      <c r="AY339" s="2">
        <v>333.0</v>
      </c>
    </row>
    <row r="340">
      <c r="A340" s="1" t="s">
        <v>51</v>
      </c>
      <c r="C340" s="1" t="s">
        <v>52</v>
      </c>
      <c r="E340" s="1" t="s">
        <v>53</v>
      </c>
      <c r="F340" s="1" t="s">
        <v>54</v>
      </c>
      <c r="G340" s="2">
        <v>31.0</v>
      </c>
      <c r="H340" s="1" t="s">
        <v>66</v>
      </c>
      <c r="I340" s="1" t="s">
        <v>419</v>
      </c>
      <c r="J340" s="1" t="s">
        <v>68</v>
      </c>
      <c r="K340" s="1" t="s">
        <v>74</v>
      </c>
      <c r="M340" s="1" t="s">
        <v>58</v>
      </c>
      <c r="N340" s="1" t="s">
        <v>58</v>
      </c>
      <c r="O340" s="1" t="s">
        <v>58</v>
      </c>
      <c r="Q340" s="1" t="s">
        <v>58</v>
      </c>
      <c r="R340" s="1" t="s">
        <v>58</v>
      </c>
      <c r="S340" s="1" t="s">
        <v>58</v>
      </c>
      <c r="T340" s="1" t="s">
        <v>58</v>
      </c>
      <c r="U340" s="1" t="s">
        <v>58</v>
      </c>
      <c r="V340" s="1" t="s">
        <v>58</v>
      </c>
      <c r="W340" s="1" t="s">
        <v>58</v>
      </c>
      <c r="X340" s="1" t="s">
        <v>81</v>
      </c>
      <c r="Y340" s="1" t="s">
        <v>82</v>
      </c>
      <c r="Z340" s="1" t="s">
        <v>61</v>
      </c>
      <c r="AA340" s="2">
        <v>10.0</v>
      </c>
      <c r="AB340" s="1" t="s">
        <v>28</v>
      </c>
      <c r="AC340" s="1" t="s">
        <v>71</v>
      </c>
      <c r="AF340" s="1" t="s">
        <v>51</v>
      </c>
      <c r="AG340" s="1" t="s">
        <v>72</v>
      </c>
      <c r="AI340" s="2">
        <v>0.0</v>
      </c>
      <c r="AJ340" s="2">
        <v>0.0</v>
      </c>
      <c r="AK340" s="2">
        <v>0.0</v>
      </c>
      <c r="AL340" s="2">
        <v>1.0</v>
      </c>
      <c r="AM340" s="1" t="s">
        <v>72</v>
      </c>
      <c r="AP340" s="2">
        <v>4.90885688E8</v>
      </c>
      <c r="AQ340" s="1" t="s">
        <v>475</v>
      </c>
      <c r="AR340" s="2">
        <v>45810.469976851855</v>
      </c>
      <c r="AU340" s="1" t="s">
        <v>64</v>
      </c>
      <c r="AW340" s="1" t="s">
        <v>255</v>
      </c>
      <c r="AY340" s="2">
        <v>334.0</v>
      </c>
    </row>
    <row r="341">
      <c r="A341" s="1" t="s">
        <v>51</v>
      </c>
      <c r="C341" s="1" t="s">
        <v>52</v>
      </c>
      <c r="E341" s="1" t="s">
        <v>53</v>
      </c>
      <c r="F341" s="1" t="s">
        <v>54</v>
      </c>
      <c r="G341" s="2">
        <v>22.0</v>
      </c>
      <c r="H341" s="1" t="s">
        <v>66</v>
      </c>
      <c r="I341" s="1" t="s">
        <v>100</v>
      </c>
      <c r="J341" s="1" t="s">
        <v>68</v>
      </c>
      <c r="K341" s="1" t="s">
        <v>78</v>
      </c>
      <c r="M341" s="1" t="s">
        <v>58</v>
      </c>
      <c r="N341" s="1" t="s">
        <v>58</v>
      </c>
      <c r="O341" s="1" t="s">
        <v>58</v>
      </c>
      <c r="Q341" s="1" t="s">
        <v>58</v>
      </c>
      <c r="R341" s="1" t="s">
        <v>58</v>
      </c>
      <c r="S341" s="1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81</v>
      </c>
      <c r="Y341" s="1" t="s">
        <v>82</v>
      </c>
      <c r="Z341" s="1" t="s">
        <v>89</v>
      </c>
      <c r="AA341" s="2">
        <v>30.0</v>
      </c>
      <c r="AB341" s="1" t="s">
        <v>79</v>
      </c>
      <c r="AC341" s="1" t="s">
        <v>51</v>
      </c>
      <c r="AD341" s="1" t="s">
        <v>81</v>
      </c>
      <c r="AE341" s="1" t="s">
        <v>51</v>
      </c>
      <c r="AF341" s="1" t="s">
        <v>51</v>
      </c>
      <c r="AG341" s="1" t="s">
        <v>51</v>
      </c>
      <c r="AI341" s="2">
        <v>1.0</v>
      </c>
      <c r="AJ341" s="2">
        <v>0.0</v>
      </c>
      <c r="AK341" s="2">
        <v>0.0</v>
      </c>
      <c r="AL341" s="2">
        <v>0.0</v>
      </c>
      <c r="AM341" s="1" t="s">
        <v>51</v>
      </c>
      <c r="AP341" s="2">
        <v>4.90906177E8</v>
      </c>
      <c r="AQ341" s="1" t="s">
        <v>476</v>
      </c>
      <c r="AR341" s="2">
        <v>45810.49365740741</v>
      </c>
      <c r="AU341" s="1" t="s">
        <v>64</v>
      </c>
      <c r="AW341" s="1" t="s">
        <v>255</v>
      </c>
      <c r="AY341" s="2">
        <v>335.0</v>
      </c>
    </row>
    <row r="342">
      <c r="A342" s="1" t="s">
        <v>51</v>
      </c>
      <c r="C342" s="1" t="s">
        <v>52</v>
      </c>
      <c r="E342" s="1" t="s">
        <v>53</v>
      </c>
      <c r="F342" s="1" t="s">
        <v>54</v>
      </c>
      <c r="G342" s="2">
        <v>22.0</v>
      </c>
      <c r="H342" s="1" t="s">
        <v>66</v>
      </c>
      <c r="I342" s="1" t="s">
        <v>100</v>
      </c>
      <c r="J342" s="1" t="s">
        <v>68</v>
      </c>
      <c r="K342" s="1" t="s">
        <v>57</v>
      </c>
      <c r="M342" s="1" t="s">
        <v>58</v>
      </c>
      <c r="N342" s="1" t="s">
        <v>58</v>
      </c>
      <c r="O342" s="1" t="s">
        <v>58</v>
      </c>
      <c r="Q342" s="1" t="s">
        <v>58</v>
      </c>
      <c r="R342" s="1" t="s">
        <v>58</v>
      </c>
      <c r="S342" s="1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81</v>
      </c>
      <c r="Y342" s="1" t="s">
        <v>82</v>
      </c>
      <c r="Z342" s="1" t="s">
        <v>89</v>
      </c>
      <c r="AA342" s="2">
        <v>20.0</v>
      </c>
      <c r="AB342" s="1" t="s">
        <v>79</v>
      </c>
      <c r="AC342" s="1" t="s">
        <v>51</v>
      </c>
      <c r="AD342" s="1" t="s">
        <v>81</v>
      </c>
      <c r="AE342" s="1" t="s">
        <v>51</v>
      </c>
      <c r="AF342" s="1" t="s">
        <v>51</v>
      </c>
      <c r="AG342" s="1" t="s">
        <v>51</v>
      </c>
      <c r="AI342" s="2">
        <v>1.0</v>
      </c>
      <c r="AJ342" s="2">
        <v>0.0</v>
      </c>
      <c r="AK342" s="2">
        <v>0.0</v>
      </c>
      <c r="AL342" s="2">
        <v>0.0</v>
      </c>
      <c r="AM342" s="1" t="s">
        <v>51</v>
      </c>
      <c r="AP342" s="2">
        <v>4.9090619E8</v>
      </c>
      <c r="AQ342" s="1" t="s">
        <v>477</v>
      </c>
      <c r="AR342" s="2">
        <v>45810.49366898148</v>
      </c>
      <c r="AU342" s="1" t="s">
        <v>64</v>
      </c>
      <c r="AW342" s="1" t="s">
        <v>255</v>
      </c>
      <c r="AY342" s="2">
        <v>336.0</v>
      </c>
    </row>
    <row r="343">
      <c r="A343" s="1" t="s">
        <v>51</v>
      </c>
      <c r="C343" s="1" t="s">
        <v>52</v>
      </c>
      <c r="E343" s="1" t="s">
        <v>53</v>
      </c>
      <c r="F343" s="1" t="s">
        <v>54</v>
      </c>
      <c r="G343" s="2">
        <v>35.0</v>
      </c>
      <c r="H343" s="1" t="s">
        <v>66</v>
      </c>
      <c r="I343" s="1" t="s">
        <v>67</v>
      </c>
      <c r="J343" s="1" t="s">
        <v>68</v>
      </c>
      <c r="K343" s="1" t="s">
        <v>74</v>
      </c>
      <c r="M343" s="1" t="s">
        <v>58</v>
      </c>
      <c r="N343" s="1" t="s">
        <v>58</v>
      </c>
      <c r="O343" s="1" t="s">
        <v>58</v>
      </c>
      <c r="Q343" s="1" t="s">
        <v>58</v>
      </c>
      <c r="R343" s="1" t="s">
        <v>58</v>
      </c>
      <c r="S343" s="1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81</v>
      </c>
      <c r="Y343" s="1" t="s">
        <v>82</v>
      </c>
      <c r="Z343" s="1" t="s">
        <v>61</v>
      </c>
      <c r="AA343" s="2">
        <v>10.0</v>
      </c>
      <c r="AB343" s="1" t="s">
        <v>28</v>
      </c>
      <c r="AC343" s="1" t="s">
        <v>51</v>
      </c>
      <c r="AD343" s="1" t="s">
        <v>81</v>
      </c>
      <c r="AE343" s="1" t="s">
        <v>51</v>
      </c>
      <c r="AF343" s="1" t="s">
        <v>51</v>
      </c>
      <c r="AG343" s="1" t="s">
        <v>72</v>
      </c>
      <c r="AI343" s="2">
        <v>0.0</v>
      </c>
      <c r="AJ343" s="2">
        <v>0.0</v>
      </c>
      <c r="AK343" s="2">
        <v>0.0</v>
      </c>
      <c r="AL343" s="2">
        <v>1.0</v>
      </c>
      <c r="AM343" s="1" t="s">
        <v>72</v>
      </c>
      <c r="AP343" s="2">
        <v>4.90906204E8</v>
      </c>
      <c r="AQ343" s="1" t="s">
        <v>478</v>
      </c>
      <c r="AR343" s="2">
        <v>45810.493680555555</v>
      </c>
      <c r="AU343" s="1" t="s">
        <v>64</v>
      </c>
      <c r="AW343" s="1" t="s">
        <v>255</v>
      </c>
      <c r="AY343" s="2">
        <v>337.0</v>
      </c>
    </row>
    <row r="344">
      <c r="A344" s="1" t="s">
        <v>72</v>
      </c>
      <c r="AP344" s="2">
        <v>4.90906217E8</v>
      </c>
      <c r="AQ344" s="1" t="s">
        <v>479</v>
      </c>
      <c r="AR344" s="2">
        <v>45810.493680555555</v>
      </c>
      <c r="AU344" s="1" t="s">
        <v>64</v>
      </c>
      <c r="AW344" s="1" t="s">
        <v>255</v>
      </c>
      <c r="AY344" s="2">
        <v>338.0</v>
      </c>
    </row>
    <row r="345">
      <c r="A345" s="1" t="s">
        <v>51</v>
      </c>
      <c r="C345" s="1" t="s">
        <v>52</v>
      </c>
      <c r="E345" s="1" t="s">
        <v>53</v>
      </c>
      <c r="F345" s="1" t="s">
        <v>54</v>
      </c>
      <c r="G345" s="2">
        <v>42.0</v>
      </c>
      <c r="H345" s="1" t="s">
        <v>66</v>
      </c>
      <c r="I345" s="1" t="s">
        <v>76</v>
      </c>
      <c r="J345" s="1" t="s">
        <v>68</v>
      </c>
      <c r="K345" s="1" t="s">
        <v>57</v>
      </c>
      <c r="M345" s="1" t="s">
        <v>58</v>
      </c>
      <c r="N345" s="1" t="s">
        <v>58</v>
      </c>
      <c r="O345" s="1" t="s">
        <v>58</v>
      </c>
      <c r="Q345" s="1" t="s">
        <v>58</v>
      </c>
      <c r="R345" s="1" t="s">
        <v>58</v>
      </c>
      <c r="S345" s="1" t="s">
        <v>58</v>
      </c>
      <c r="T345" s="1" t="s">
        <v>58</v>
      </c>
      <c r="U345" s="1" t="s">
        <v>58</v>
      </c>
      <c r="V345" s="1" t="s">
        <v>58</v>
      </c>
      <c r="W345" s="1" t="s">
        <v>58</v>
      </c>
      <c r="X345" s="1" t="s">
        <v>81</v>
      </c>
      <c r="Y345" s="1" t="s">
        <v>82</v>
      </c>
      <c r="Z345" s="1" t="s">
        <v>89</v>
      </c>
      <c r="AA345" s="2">
        <v>20.0</v>
      </c>
      <c r="AB345" s="1" t="s">
        <v>28</v>
      </c>
      <c r="AC345" s="1" t="s">
        <v>51</v>
      </c>
      <c r="AD345" s="1" t="s">
        <v>81</v>
      </c>
      <c r="AE345" s="1" t="s">
        <v>51</v>
      </c>
      <c r="AF345" s="1" t="s">
        <v>51</v>
      </c>
      <c r="AG345" s="1" t="s">
        <v>72</v>
      </c>
      <c r="AI345" s="2">
        <v>0.0</v>
      </c>
      <c r="AJ345" s="2">
        <v>0.0</v>
      </c>
      <c r="AK345" s="2">
        <v>0.0</v>
      </c>
      <c r="AL345" s="2">
        <v>1.0</v>
      </c>
      <c r="AM345" s="1" t="s">
        <v>72</v>
      </c>
      <c r="AP345" s="2">
        <v>4.90907267E8</v>
      </c>
      <c r="AQ345" s="1" t="s">
        <v>480</v>
      </c>
      <c r="AR345" s="2">
        <v>45810.49484953703</v>
      </c>
      <c r="AU345" s="1" t="s">
        <v>64</v>
      </c>
      <c r="AW345" s="1" t="s">
        <v>255</v>
      </c>
      <c r="AY345" s="2">
        <v>339.0</v>
      </c>
    </row>
    <row r="346">
      <c r="A346" s="1" t="s">
        <v>51</v>
      </c>
      <c r="C346" s="1" t="s">
        <v>52</v>
      </c>
      <c r="E346" s="1" t="s">
        <v>53</v>
      </c>
      <c r="F346" s="1" t="s">
        <v>54</v>
      </c>
      <c r="G346" s="2">
        <v>21.0</v>
      </c>
      <c r="H346" s="1" t="s">
        <v>66</v>
      </c>
      <c r="I346" s="1" t="s">
        <v>100</v>
      </c>
      <c r="J346" s="1" t="s">
        <v>68</v>
      </c>
      <c r="K346" s="1" t="s">
        <v>74</v>
      </c>
      <c r="M346" s="1" t="s">
        <v>58</v>
      </c>
      <c r="N346" s="1" t="s">
        <v>58</v>
      </c>
      <c r="O346" s="1" t="s">
        <v>58</v>
      </c>
      <c r="Q346" s="1" t="s">
        <v>58</v>
      </c>
      <c r="R346" s="1" t="s">
        <v>58</v>
      </c>
      <c r="S346" s="1" t="s">
        <v>58</v>
      </c>
      <c r="T346" s="1" t="s">
        <v>58</v>
      </c>
      <c r="U346" s="1" t="s">
        <v>58</v>
      </c>
      <c r="V346" s="1" t="s">
        <v>58</v>
      </c>
      <c r="W346" s="1" t="s">
        <v>58</v>
      </c>
      <c r="X346" s="1" t="s">
        <v>81</v>
      </c>
      <c r="Y346" s="1" t="s">
        <v>60</v>
      </c>
      <c r="Z346" s="1" t="s">
        <v>89</v>
      </c>
      <c r="AA346" s="2">
        <v>20.0</v>
      </c>
      <c r="AB346" s="1" t="s">
        <v>28</v>
      </c>
      <c r="AC346" s="1" t="s">
        <v>71</v>
      </c>
      <c r="AF346" s="1" t="s">
        <v>51</v>
      </c>
      <c r="AG346" s="1" t="s">
        <v>51</v>
      </c>
      <c r="AH346" s="2">
        <v>10.0</v>
      </c>
      <c r="AI346" s="2">
        <v>0.0</v>
      </c>
      <c r="AJ346" s="2">
        <v>0.0</v>
      </c>
      <c r="AK346" s="2">
        <v>0.0</v>
      </c>
      <c r="AL346" s="2">
        <v>1.0</v>
      </c>
      <c r="AM346" s="1" t="s">
        <v>72</v>
      </c>
      <c r="AP346" s="2">
        <v>4.90962388E8</v>
      </c>
      <c r="AQ346" s="1" t="s">
        <v>481</v>
      </c>
      <c r="AR346" s="2">
        <v>45810.551157407404</v>
      </c>
      <c r="AU346" s="1" t="s">
        <v>64</v>
      </c>
      <c r="AW346" s="1" t="s">
        <v>255</v>
      </c>
      <c r="AY346" s="2">
        <v>340.0</v>
      </c>
    </row>
    <row r="347">
      <c r="A347" s="1" t="s">
        <v>51</v>
      </c>
      <c r="C347" s="1" t="s">
        <v>170</v>
      </c>
      <c r="E347" s="1" t="s">
        <v>53</v>
      </c>
      <c r="F347" s="1" t="s">
        <v>54</v>
      </c>
      <c r="G347" s="2">
        <v>29.0</v>
      </c>
      <c r="H347" s="1" t="s">
        <v>66</v>
      </c>
      <c r="I347" s="1" t="s">
        <v>419</v>
      </c>
      <c r="J347" s="1" t="s">
        <v>56</v>
      </c>
      <c r="K347" s="1" t="s">
        <v>74</v>
      </c>
      <c r="M347" s="1" t="s">
        <v>58</v>
      </c>
      <c r="N347" s="1" t="s">
        <v>58</v>
      </c>
      <c r="O347" s="1" t="s">
        <v>58</v>
      </c>
      <c r="Q347" s="1" t="s">
        <v>58</v>
      </c>
      <c r="R347" s="1" t="s">
        <v>58</v>
      </c>
      <c r="S347" s="1" t="s">
        <v>58</v>
      </c>
      <c r="T347" s="1" t="s">
        <v>58</v>
      </c>
      <c r="U347" s="1" t="s">
        <v>69</v>
      </c>
      <c r="V347" s="1" t="s">
        <v>58</v>
      </c>
      <c r="W347" s="1" t="s">
        <v>58</v>
      </c>
      <c r="X347" s="1" t="s">
        <v>81</v>
      </c>
      <c r="Y347" s="1" t="s">
        <v>60</v>
      </c>
      <c r="Z347" s="1" t="s">
        <v>61</v>
      </c>
      <c r="AA347" s="2">
        <v>30.0</v>
      </c>
      <c r="AB347" s="1" t="s">
        <v>28</v>
      </c>
      <c r="AC347" s="1" t="s">
        <v>51</v>
      </c>
      <c r="AD347" s="1" t="s">
        <v>81</v>
      </c>
      <c r="AE347" s="1" t="s">
        <v>51</v>
      </c>
      <c r="AF347" s="1" t="s">
        <v>51</v>
      </c>
      <c r="AG347" s="1" t="s">
        <v>72</v>
      </c>
      <c r="AI347" s="2">
        <v>0.0</v>
      </c>
      <c r="AJ347" s="2">
        <v>0.0</v>
      </c>
      <c r="AK347" s="2">
        <v>0.0</v>
      </c>
      <c r="AL347" s="2">
        <v>1.0</v>
      </c>
      <c r="AM347" s="1" t="s">
        <v>72</v>
      </c>
      <c r="AP347" s="2">
        <v>4.90969826E8</v>
      </c>
      <c r="AQ347" s="1" t="s">
        <v>482</v>
      </c>
      <c r="AR347" s="2">
        <v>45810.55866898148</v>
      </c>
      <c r="AU347" s="1" t="s">
        <v>64</v>
      </c>
      <c r="AW347" s="1" t="s">
        <v>255</v>
      </c>
      <c r="AY347" s="2">
        <v>341.0</v>
      </c>
    </row>
    <row r="348">
      <c r="A348" s="1" t="s">
        <v>51</v>
      </c>
      <c r="C348" s="1" t="s">
        <v>170</v>
      </c>
      <c r="E348" s="1" t="s">
        <v>53</v>
      </c>
      <c r="F348" s="1" t="s">
        <v>54</v>
      </c>
      <c r="G348" s="2">
        <v>40.0</v>
      </c>
      <c r="H348" s="1" t="s">
        <v>55</v>
      </c>
      <c r="I348" s="1" t="s">
        <v>67</v>
      </c>
      <c r="J348" s="1" t="s">
        <v>68</v>
      </c>
      <c r="K348" s="1" t="s">
        <v>92</v>
      </c>
      <c r="M348" s="1" t="s">
        <v>58</v>
      </c>
      <c r="N348" s="1" t="s">
        <v>58</v>
      </c>
      <c r="O348" s="1" t="s">
        <v>58</v>
      </c>
      <c r="Q348" s="1" t="s">
        <v>58</v>
      </c>
      <c r="R348" s="1" t="s">
        <v>58</v>
      </c>
      <c r="S348" s="1" t="s">
        <v>58</v>
      </c>
      <c r="T348" s="1" t="s">
        <v>58</v>
      </c>
      <c r="U348" s="1" t="s">
        <v>58</v>
      </c>
      <c r="V348" s="1" t="s">
        <v>58</v>
      </c>
      <c r="W348" s="1" t="s">
        <v>58</v>
      </c>
      <c r="X348" s="1" t="s">
        <v>81</v>
      </c>
      <c r="Y348" s="1" t="s">
        <v>60</v>
      </c>
      <c r="Z348" s="1" t="s">
        <v>89</v>
      </c>
      <c r="AA348" s="2">
        <v>20.0</v>
      </c>
      <c r="AB348" s="1" t="s">
        <v>28</v>
      </c>
      <c r="AC348" s="1" t="s">
        <v>51</v>
      </c>
      <c r="AD348" s="1" t="s">
        <v>81</v>
      </c>
      <c r="AE348" s="1" t="s">
        <v>51</v>
      </c>
      <c r="AF348" s="1" t="s">
        <v>51</v>
      </c>
      <c r="AG348" s="1" t="s">
        <v>72</v>
      </c>
      <c r="AI348" s="2">
        <v>0.0</v>
      </c>
      <c r="AJ348" s="2">
        <v>0.0</v>
      </c>
      <c r="AK348" s="2">
        <v>0.0</v>
      </c>
      <c r="AL348" s="2">
        <v>1.0</v>
      </c>
      <c r="AM348" s="1" t="s">
        <v>72</v>
      </c>
      <c r="AP348" s="2">
        <v>4.90974958E8</v>
      </c>
      <c r="AQ348" s="1" t="s">
        <v>483</v>
      </c>
      <c r="AR348" s="2">
        <v>45810.563206018516</v>
      </c>
      <c r="AU348" s="1" t="s">
        <v>64</v>
      </c>
      <c r="AW348" s="1" t="s">
        <v>255</v>
      </c>
      <c r="AY348" s="2">
        <v>342.0</v>
      </c>
    </row>
    <row r="349">
      <c r="A349" s="1" t="s">
        <v>51</v>
      </c>
      <c r="C349" s="1" t="s">
        <v>52</v>
      </c>
      <c r="E349" s="1" t="s">
        <v>53</v>
      </c>
      <c r="F349" s="1" t="s">
        <v>54</v>
      </c>
      <c r="G349" s="2">
        <v>26.0</v>
      </c>
      <c r="H349" s="1" t="s">
        <v>66</v>
      </c>
      <c r="I349" s="1" t="s">
        <v>100</v>
      </c>
      <c r="J349" s="1" t="s">
        <v>68</v>
      </c>
      <c r="K349" s="1" t="s">
        <v>92</v>
      </c>
      <c r="M349" s="1" t="s">
        <v>58</v>
      </c>
      <c r="N349" s="1" t="s">
        <v>58</v>
      </c>
      <c r="O349" s="1" t="s">
        <v>58</v>
      </c>
      <c r="Q349" s="1" t="s">
        <v>58</v>
      </c>
      <c r="R349" s="1" t="s">
        <v>58</v>
      </c>
      <c r="S349" s="1" t="s">
        <v>58</v>
      </c>
      <c r="T349" s="1" t="s">
        <v>58</v>
      </c>
      <c r="U349" s="1" t="s">
        <v>58</v>
      </c>
      <c r="V349" s="1" t="s">
        <v>58</v>
      </c>
      <c r="W349" s="1" t="s">
        <v>58</v>
      </c>
      <c r="X349" s="1" t="s">
        <v>81</v>
      </c>
      <c r="Y349" s="1" t="s">
        <v>82</v>
      </c>
      <c r="Z349" s="1" t="s">
        <v>89</v>
      </c>
      <c r="AA349" s="2">
        <v>30.0</v>
      </c>
      <c r="AB349" s="1" t="s">
        <v>28</v>
      </c>
      <c r="AC349" s="1" t="s">
        <v>71</v>
      </c>
      <c r="AF349" s="1" t="s">
        <v>51</v>
      </c>
      <c r="AG349" s="1" t="s">
        <v>72</v>
      </c>
      <c r="AI349" s="2">
        <v>0.0</v>
      </c>
      <c r="AJ349" s="2">
        <v>0.0</v>
      </c>
      <c r="AK349" s="2">
        <v>0.0</v>
      </c>
      <c r="AL349" s="2">
        <v>1.0</v>
      </c>
      <c r="AM349" s="1" t="s">
        <v>72</v>
      </c>
      <c r="AP349" s="2">
        <v>4.90977302E8</v>
      </c>
      <c r="AQ349" s="1" t="s">
        <v>484</v>
      </c>
      <c r="AR349" s="2">
        <v>45810.56553240741</v>
      </c>
      <c r="AU349" s="1" t="s">
        <v>64</v>
      </c>
      <c r="AW349" s="1" t="s">
        <v>255</v>
      </c>
      <c r="AY349" s="2">
        <v>343.0</v>
      </c>
    </row>
    <row r="350">
      <c r="A350" s="1" t="s">
        <v>51</v>
      </c>
      <c r="C350" s="1" t="s">
        <v>52</v>
      </c>
      <c r="E350" s="1" t="s">
        <v>53</v>
      </c>
      <c r="F350" s="1" t="s">
        <v>54</v>
      </c>
      <c r="G350" s="2">
        <v>47.0</v>
      </c>
      <c r="H350" s="1" t="s">
        <v>66</v>
      </c>
      <c r="I350" s="1" t="s">
        <v>419</v>
      </c>
      <c r="J350" s="1" t="s">
        <v>68</v>
      </c>
      <c r="K350" s="1" t="s">
        <v>74</v>
      </c>
      <c r="M350" s="1" t="s">
        <v>58</v>
      </c>
      <c r="N350" s="1" t="s">
        <v>58</v>
      </c>
      <c r="O350" s="1" t="s">
        <v>58</v>
      </c>
      <c r="Q350" s="1" t="s">
        <v>58</v>
      </c>
      <c r="R350" s="1" t="s">
        <v>58</v>
      </c>
      <c r="S350" s="1" t="s">
        <v>58</v>
      </c>
      <c r="T350" s="1" t="s">
        <v>58</v>
      </c>
      <c r="U350" s="1" t="s">
        <v>58</v>
      </c>
      <c r="V350" s="1" t="s">
        <v>58</v>
      </c>
      <c r="W350" s="1" t="s">
        <v>58</v>
      </c>
      <c r="X350" s="1" t="s">
        <v>81</v>
      </c>
      <c r="Y350" s="1" t="s">
        <v>82</v>
      </c>
      <c r="Z350" s="1" t="s">
        <v>61</v>
      </c>
      <c r="AA350" s="2">
        <v>40.0</v>
      </c>
      <c r="AB350" s="1" t="s">
        <v>28</v>
      </c>
      <c r="AC350" s="1" t="s">
        <v>71</v>
      </c>
      <c r="AF350" s="1" t="s">
        <v>51</v>
      </c>
      <c r="AG350" s="1" t="s">
        <v>72</v>
      </c>
      <c r="AI350" s="2">
        <v>0.0</v>
      </c>
      <c r="AJ350" s="2">
        <v>0.0</v>
      </c>
      <c r="AK350" s="2">
        <v>0.0</v>
      </c>
      <c r="AL350" s="2">
        <v>1.0</v>
      </c>
      <c r="AM350" s="1" t="s">
        <v>72</v>
      </c>
      <c r="AP350" s="2">
        <v>4.90981552E8</v>
      </c>
      <c r="AQ350" s="1" t="s">
        <v>485</v>
      </c>
      <c r="AR350" s="2">
        <v>45810.56888888889</v>
      </c>
      <c r="AU350" s="1" t="s">
        <v>64</v>
      </c>
      <c r="AW350" s="1" t="s">
        <v>255</v>
      </c>
      <c r="AY350" s="2">
        <v>344.0</v>
      </c>
    </row>
    <row r="351">
      <c r="A351" s="1" t="s">
        <v>51</v>
      </c>
      <c r="C351" s="1" t="s">
        <v>52</v>
      </c>
      <c r="E351" s="1" t="s">
        <v>53</v>
      </c>
      <c r="F351" s="1" t="s">
        <v>54</v>
      </c>
      <c r="G351" s="2">
        <v>32.0</v>
      </c>
      <c r="H351" s="1" t="s">
        <v>66</v>
      </c>
      <c r="I351" s="1" t="s">
        <v>100</v>
      </c>
      <c r="J351" s="1" t="s">
        <v>68</v>
      </c>
      <c r="K351" s="1" t="s">
        <v>57</v>
      </c>
      <c r="M351" s="1" t="s">
        <v>58</v>
      </c>
      <c r="N351" s="1" t="s">
        <v>58</v>
      </c>
      <c r="O351" s="1" t="s">
        <v>58</v>
      </c>
      <c r="Q351" s="1" t="s">
        <v>58</v>
      </c>
      <c r="R351" s="1" t="s">
        <v>58</v>
      </c>
      <c r="S351" s="1" t="s">
        <v>58</v>
      </c>
      <c r="T351" s="1" t="s">
        <v>58</v>
      </c>
      <c r="U351" s="1" t="s">
        <v>58</v>
      </c>
      <c r="V351" s="1" t="s">
        <v>58</v>
      </c>
      <c r="W351" s="1" t="s">
        <v>58</v>
      </c>
      <c r="X351" s="1" t="s">
        <v>81</v>
      </c>
      <c r="Y351" s="1" t="s">
        <v>82</v>
      </c>
      <c r="Z351" s="1" t="s">
        <v>89</v>
      </c>
      <c r="AA351" s="2">
        <v>20.0</v>
      </c>
      <c r="AB351" s="1" t="s">
        <v>79</v>
      </c>
      <c r="AC351" s="1" t="s">
        <v>51</v>
      </c>
      <c r="AD351" s="1" t="s">
        <v>81</v>
      </c>
      <c r="AE351" s="1" t="s">
        <v>51</v>
      </c>
      <c r="AF351" s="1" t="s">
        <v>51</v>
      </c>
      <c r="AG351" s="1" t="s">
        <v>51</v>
      </c>
      <c r="AI351" s="2">
        <v>1.0</v>
      </c>
      <c r="AJ351" s="2">
        <v>0.0</v>
      </c>
      <c r="AK351" s="2">
        <v>0.0</v>
      </c>
      <c r="AL351" s="2">
        <v>0.0</v>
      </c>
      <c r="AM351" s="1" t="s">
        <v>51</v>
      </c>
      <c r="AP351" s="2">
        <v>4.90983613E8</v>
      </c>
      <c r="AQ351" s="1" t="s">
        <v>486</v>
      </c>
      <c r="AR351" s="2">
        <v>45810.57034722222</v>
      </c>
      <c r="AU351" s="1" t="s">
        <v>64</v>
      </c>
      <c r="AW351" s="1" t="s">
        <v>255</v>
      </c>
      <c r="AY351" s="2">
        <v>345.0</v>
      </c>
    </row>
    <row r="352">
      <c r="A352" s="1" t="s">
        <v>51</v>
      </c>
      <c r="C352" s="1" t="s">
        <v>52</v>
      </c>
      <c r="E352" s="1" t="s">
        <v>53</v>
      </c>
      <c r="F352" s="1" t="s">
        <v>54</v>
      </c>
      <c r="G352" s="2">
        <v>27.0</v>
      </c>
      <c r="H352" s="1" t="s">
        <v>66</v>
      </c>
      <c r="I352" s="1" t="s">
        <v>76</v>
      </c>
      <c r="J352" s="1" t="s">
        <v>68</v>
      </c>
      <c r="K352" s="1" t="s">
        <v>57</v>
      </c>
      <c r="M352" s="1" t="s">
        <v>58</v>
      </c>
      <c r="N352" s="1" t="s">
        <v>58</v>
      </c>
      <c r="O352" s="1" t="s">
        <v>58</v>
      </c>
      <c r="Q352" s="1" t="s">
        <v>58</v>
      </c>
      <c r="R352" s="1" t="s">
        <v>58</v>
      </c>
      <c r="S352" s="1" t="s">
        <v>58</v>
      </c>
      <c r="T352" s="1" t="s">
        <v>58</v>
      </c>
      <c r="U352" s="1" t="s">
        <v>58</v>
      </c>
      <c r="V352" s="1" t="s">
        <v>58</v>
      </c>
      <c r="W352" s="1" t="s">
        <v>58</v>
      </c>
      <c r="X352" s="1" t="s">
        <v>81</v>
      </c>
      <c r="Y352" s="1" t="s">
        <v>82</v>
      </c>
      <c r="Z352" s="1" t="s">
        <v>89</v>
      </c>
      <c r="AA352" s="2">
        <v>50.0</v>
      </c>
      <c r="AB352" s="1" t="s">
        <v>79</v>
      </c>
      <c r="AC352" s="1" t="s">
        <v>51</v>
      </c>
      <c r="AD352" s="1" t="s">
        <v>81</v>
      </c>
      <c r="AE352" s="1" t="s">
        <v>51</v>
      </c>
      <c r="AF352" s="1" t="s">
        <v>51</v>
      </c>
      <c r="AG352" s="1" t="s">
        <v>51</v>
      </c>
      <c r="AI352" s="2">
        <v>1.0</v>
      </c>
      <c r="AJ352" s="2">
        <v>0.0</v>
      </c>
      <c r="AK352" s="2">
        <v>0.0</v>
      </c>
      <c r="AL352" s="2">
        <v>0.0</v>
      </c>
      <c r="AM352" s="1" t="s">
        <v>51</v>
      </c>
      <c r="AP352" s="2">
        <v>4.90985158E8</v>
      </c>
      <c r="AQ352" s="1" t="s">
        <v>487</v>
      </c>
      <c r="AR352" s="2">
        <v>45810.57181712963</v>
      </c>
      <c r="AU352" s="1" t="s">
        <v>64</v>
      </c>
      <c r="AW352" s="1" t="s">
        <v>255</v>
      </c>
      <c r="AY352" s="2">
        <v>346.0</v>
      </c>
    </row>
    <row r="353">
      <c r="A353" s="1" t="s">
        <v>51</v>
      </c>
      <c r="C353" s="1" t="s">
        <v>52</v>
      </c>
      <c r="E353" s="1" t="s">
        <v>441</v>
      </c>
      <c r="G353" s="2">
        <v>31.0</v>
      </c>
      <c r="H353" s="1" t="s">
        <v>66</v>
      </c>
      <c r="J353" s="1" t="s">
        <v>68</v>
      </c>
      <c r="K353" s="1" t="s">
        <v>74</v>
      </c>
      <c r="M353" s="1" t="s">
        <v>58</v>
      </c>
      <c r="N353" s="1" t="s">
        <v>58</v>
      </c>
      <c r="O353" s="1" t="s">
        <v>58</v>
      </c>
      <c r="Q353" s="1" t="s">
        <v>58</v>
      </c>
      <c r="R353" s="1" t="s">
        <v>58</v>
      </c>
      <c r="S353" s="1" t="s">
        <v>58</v>
      </c>
      <c r="T353" s="1" t="s">
        <v>58</v>
      </c>
      <c r="U353" s="1" t="s">
        <v>58</v>
      </c>
      <c r="V353" s="1" t="s">
        <v>58</v>
      </c>
      <c r="W353" s="1" t="s">
        <v>58</v>
      </c>
      <c r="X353" s="1" t="s">
        <v>81</v>
      </c>
      <c r="Y353" s="1" t="s">
        <v>82</v>
      </c>
      <c r="Z353" s="1" t="s">
        <v>89</v>
      </c>
      <c r="AA353" s="2">
        <v>50.0</v>
      </c>
      <c r="AB353" s="1" t="s">
        <v>79</v>
      </c>
      <c r="AC353" s="1" t="s">
        <v>51</v>
      </c>
      <c r="AD353" s="1" t="s">
        <v>81</v>
      </c>
      <c r="AE353" s="1" t="s">
        <v>51</v>
      </c>
      <c r="AF353" s="1" t="s">
        <v>51</v>
      </c>
      <c r="AG353" s="1" t="s">
        <v>51</v>
      </c>
      <c r="AI353" s="2">
        <v>1.0</v>
      </c>
      <c r="AJ353" s="2">
        <v>0.0</v>
      </c>
      <c r="AK353" s="2">
        <v>0.0</v>
      </c>
      <c r="AL353" s="2">
        <v>0.0</v>
      </c>
      <c r="AP353" s="2">
        <v>4.90986287E8</v>
      </c>
      <c r="AQ353" s="1" t="s">
        <v>488</v>
      </c>
      <c r="AR353" s="2">
        <v>45810.57287037037</v>
      </c>
      <c r="AU353" s="1" t="s">
        <v>64</v>
      </c>
      <c r="AW353" s="1" t="s">
        <v>255</v>
      </c>
      <c r="AY353" s="2">
        <v>347.0</v>
      </c>
    </row>
    <row r="354">
      <c r="A354" s="1" t="s">
        <v>51</v>
      </c>
      <c r="C354" s="1" t="s">
        <v>52</v>
      </c>
      <c r="E354" s="1" t="s">
        <v>53</v>
      </c>
      <c r="F354" s="1" t="s">
        <v>54</v>
      </c>
      <c r="G354" s="2">
        <v>41.0</v>
      </c>
      <c r="H354" s="1" t="s">
        <v>66</v>
      </c>
      <c r="I354" s="1" t="s">
        <v>76</v>
      </c>
      <c r="J354" s="1" t="s">
        <v>68</v>
      </c>
      <c r="K354" s="1" t="s">
        <v>74</v>
      </c>
      <c r="M354" s="1" t="s">
        <v>58</v>
      </c>
      <c r="N354" s="1" t="s">
        <v>58</v>
      </c>
      <c r="O354" s="1" t="s">
        <v>58</v>
      </c>
      <c r="Q354" s="1" t="s">
        <v>58</v>
      </c>
      <c r="R354" s="1" t="s">
        <v>58</v>
      </c>
      <c r="S354" s="1" t="s">
        <v>58</v>
      </c>
      <c r="T354" s="1" t="s">
        <v>58</v>
      </c>
      <c r="U354" s="1" t="s">
        <v>58</v>
      </c>
      <c r="V354" s="1" t="s">
        <v>58</v>
      </c>
      <c r="W354" s="1" t="s">
        <v>58</v>
      </c>
      <c r="X354" s="1" t="s">
        <v>81</v>
      </c>
      <c r="Y354" s="1" t="s">
        <v>82</v>
      </c>
      <c r="Z354" s="1" t="s">
        <v>89</v>
      </c>
      <c r="AA354" s="2">
        <v>30.0</v>
      </c>
      <c r="AB354" s="1" t="s">
        <v>79</v>
      </c>
      <c r="AC354" s="1" t="s">
        <v>51</v>
      </c>
      <c r="AD354" s="1" t="s">
        <v>81</v>
      </c>
      <c r="AE354" s="1" t="s">
        <v>51</v>
      </c>
      <c r="AF354" s="1" t="s">
        <v>51</v>
      </c>
      <c r="AG354" s="1" t="s">
        <v>51</v>
      </c>
      <c r="AI354" s="2">
        <v>1.0</v>
      </c>
      <c r="AJ354" s="2">
        <v>0.0</v>
      </c>
      <c r="AK354" s="2">
        <v>0.0</v>
      </c>
      <c r="AL354" s="2">
        <v>0.0</v>
      </c>
      <c r="AM354" s="1" t="s">
        <v>51</v>
      </c>
      <c r="AP354" s="2">
        <v>4.9098773E8</v>
      </c>
      <c r="AQ354" s="1" t="s">
        <v>489</v>
      </c>
      <c r="AR354" s="2">
        <v>45810.57418981481</v>
      </c>
      <c r="AU354" s="1" t="s">
        <v>64</v>
      </c>
      <c r="AW354" s="1" t="s">
        <v>255</v>
      </c>
      <c r="AY354" s="2">
        <v>348.0</v>
      </c>
    </row>
    <row r="355">
      <c r="A355" s="1" t="s">
        <v>51</v>
      </c>
      <c r="C355" s="1" t="s">
        <v>52</v>
      </c>
      <c r="E355" s="1" t="s">
        <v>53</v>
      </c>
      <c r="F355" s="1" t="s">
        <v>54</v>
      </c>
      <c r="G355" s="2">
        <v>28.0</v>
      </c>
      <c r="H355" s="1" t="s">
        <v>66</v>
      </c>
      <c r="I355" s="1" t="s">
        <v>76</v>
      </c>
      <c r="J355" s="1" t="s">
        <v>68</v>
      </c>
      <c r="K355" s="1" t="s">
        <v>74</v>
      </c>
      <c r="M355" s="1" t="s">
        <v>58</v>
      </c>
      <c r="N355" s="1" t="s">
        <v>58</v>
      </c>
      <c r="O355" s="1" t="s">
        <v>58</v>
      </c>
      <c r="Q355" s="1" t="s">
        <v>58</v>
      </c>
      <c r="R355" s="1" t="s">
        <v>58</v>
      </c>
      <c r="S355" s="1" t="s">
        <v>58</v>
      </c>
      <c r="T355" s="1" t="s">
        <v>58</v>
      </c>
      <c r="U355" s="1" t="s">
        <v>58</v>
      </c>
      <c r="V355" s="1" t="s">
        <v>58</v>
      </c>
      <c r="W355" s="1" t="s">
        <v>58</v>
      </c>
      <c r="X355" s="1" t="s">
        <v>81</v>
      </c>
      <c r="Y355" s="1" t="s">
        <v>82</v>
      </c>
      <c r="Z355" s="1" t="s">
        <v>89</v>
      </c>
      <c r="AA355" s="2">
        <v>10.0</v>
      </c>
      <c r="AB355" s="1" t="s">
        <v>79</v>
      </c>
      <c r="AC355" s="1" t="s">
        <v>51</v>
      </c>
      <c r="AE355" s="1" t="s">
        <v>51</v>
      </c>
      <c r="AF355" s="1" t="s">
        <v>51</v>
      </c>
      <c r="AG355" s="1" t="s">
        <v>51</v>
      </c>
      <c r="AI355" s="2">
        <v>1.0</v>
      </c>
      <c r="AJ355" s="2">
        <v>0.0</v>
      </c>
      <c r="AK355" s="2">
        <v>0.0</v>
      </c>
      <c r="AL355" s="2">
        <v>0.0</v>
      </c>
      <c r="AM355" s="1" t="s">
        <v>51</v>
      </c>
      <c r="AP355" s="2">
        <v>4.909892E8</v>
      </c>
      <c r="AQ355" s="1" t="s">
        <v>490</v>
      </c>
      <c r="AR355" s="2">
        <v>45810.57538194444</v>
      </c>
      <c r="AU355" s="1" t="s">
        <v>64</v>
      </c>
      <c r="AW355" s="1" t="s">
        <v>255</v>
      </c>
      <c r="AY355" s="2">
        <v>349.0</v>
      </c>
    </row>
    <row r="356">
      <c r="A356" s="1" t="s">
        <v>51</v>
      </c>
      <c r="C356" s="1" t="s">
        <v>52</v>
      </c>
      <c r="E356" s="1" t="s">
        <v>53</v>
      </c>
      <c r="F356" s="1" t="s">
        <v>54</v>
      </c>
      <c r="G356" s="2">
        <v>24.0</v>
      </c>
      <c r="H356" s="1" t="s">
        <v>66</v>
      </c>
      <c r="I356" s="1" t="s">
        <v>100</v>
      </c>
      <c r="J356" s="1" t="s">
        <v>68</v>
      </c>
      <c r="K356" s="1" t="s">
        <v>74</v>
      </c>
      <c r="M356" s="1" t="s">
        <v>58</v>
      </c>
      <c r="N356" s="1" t="s">
        <v>58</v>
      </c>
      <c r="O356" s="1" t="s">
        <v>58</v>
      </c>
      <c r="Q356" s="1" t="s">
        <v>58</v>
      </c>
      <c r="R356" s="1" t="s">
        <v>58</v>
      </c>
      <c r="S356" s="1" t="s">
        <v>58</v>
      </c>
      <c r="T356" s="1" t="s">
        <v>58</v>
      </c>
      <c r="U356" s="1" t="s">
        <v>58</v>
      </c>
      <c r="V356" s="1" t="s">
        <v>58</v>
      </c>
      <c r="W356" s="1" t="s">
        <v>58</v>
      </c>
      <c r="X356" s="1" t="s">
        <v>81</v>
      </c>
      <c r="Y356" s="1" t="s">
        <v>82</v>
      </c>
      <c r="Z356" s="1" t="s">
        <v>89</v>
      </c>
      <c r="AA356" s="2">
        <v>30.0</v>
      </c>
      <c r="AB356" s="1" t="s">
        <v>79</v>
      </c>
      <c r="AC356" s="1" t="s">
        <v>51</v>
      </c>
      <c r="AD356" s="1" t="s">
        <v>81</v>
      </c>
      <c r="AE356" s="1" t="s">
        <v>51</v>
      </c>
      <c r="AF356" s="1" t="s">
        <v>51</v>
      </c>
      <c r="AG356" s="1" t="s">
        <v>51</v>
      </c>
      <c r="AI356" s="2">
        <v>1.0</v>
      </c>
      <c r="AJ356" s="2">
        <v>0.0</v>
      </c>
      <c r="AK356" s="2">
        <v>0.0</v>
      </c>
      <c r="AL356" s="2">
        <v>0.0</v>
      </c>
      <c r="AM356" s="1" t="s">
        <v>51</v>
      </c>
      <c r="AP356" s="2">
        <v>4.90990809E8</v>
      </c>
      <c r="AQ356" s="1" t="s">
        <v>491</v>
      </c>
      <c r="AR356" s="2">
        <v>45810.57671296296</v>
      </c>
      <c r="AU356" s="1" t="s">
        <v>64</v>
      </c>
      <c r="AW356" s="1" t="s">
        <v>255</v>
      </c>
      <c r="AY356" s="2">
        <v>350.0</v>
      </c>
    </row>
    <row r="357">
      <c r="A357" s="1" t="s">
        <v>51</v>
      </c>
      <c r="C357" s="1" t="s">
        <v>52</v>
      </c>
      <c r="E357" s="1" t="s">
        <v>53</v>
      </c>
      <c r="F357" s="1" t="s">
        <v>54</v>
      </c>
      <c r="G357" s="2">
        <v>24.0</v>
      </c>
      <c r="H357" s="1" t="s">
        <v>66</v>
      </c>
      <c r="I357" s="1" t="s">
        <v>100</v>
      </c>
      <c r="J357" s="1" t="s">
        <v>68</v>
      </c>
      <c r="K357" s="1" t="s">
        <v>74</v>
      </c>
      <c r="M357" s="1" t="s">
        <v>58</v>
      </c>
      <c r="N357" s="1" t="s">
        <v>58</v>
      </c>
      <c r="O357" s="1" t="s">
        <v>58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58</v>
      </c>
      <c r="V357" s="1" t="s">
        <v>58</v>
      </c>
      <c r="W357" s="1" t="s">
        <v>58</v>
      </c>
      <c r="X357" s="1" t="s">
        <v>81</v>
      </c>
      <c r="Y357" s="1" t="s">
        <v>82</v>
      </c>
      <c r="Z357" s="1" t="s">
        <v>89</v>
      </c>
      <c r="AA357" s="2">
        <v>10.0</v>
      </c>
      <c r="AB357" s="1" t="s">
        <v>79</v>
      </c>
      <c r="AC357" s="1" t="s">
        <v>51</v>
      </c>
      <c r="AD357" s="1" t="s">
        <v>81</v>
      </c>
      <c r="AE357" s="1" t="s">
        <v>51</v>
      </c>
      <c r="AF357" s="1" t="s">
        <v>51</v>
      </c>
      <c r="AG357" s="1" t="s">
        <v>51</v>
      </c>
      <c r="AI357" s="2">
        <v>1.0</v>
      </c>
      <c r="AJ357" s="2">
        <v>0.0</v>
      </c>
      <c r="AK357" s="2">
        <v>0.0</v>
      </c>
      <c r="AL357" s="2">
        <v>0.0</v>
      </c>
      <c r="AM357" s="1" t="s">
        <v>51</v>
      </c>
      <c r="AP357" s="2">
        <v>4.90993117E8</v>
      </c>
      <c r="AQ357" s="1" t="s">
        <v>492</v>
      </c>
      <c r="AR357" s="2">
        <v>45810.57863425926</v>
      </c>
      <c r="AU357" s="1" t="s">
        <v>64</v>
      </c>
      <c r="AW357" s="1" t="s">
        <v>255</v>
      </c>
      <c r="AY357" s="2">
        <v>351.0</v>
      </c>
    </row>
    <row r="358">
      <c r="A358" s="1" t="s">
        <v>51</v>
      </c>
      <c r="C358" s="1" t="s">
        <v>52</v>
      </c>
      <c r="E358" s="1" t="s">
        <v>53</v>
      </c>
      <c r="F358" s="1" t="s">
        <v>54</v>
      </c>
      <c r="G358" s="2">
        <v>32.0</v>
      </c>
      <c r="H358" s="1" t="s">
        <v>66</v>
      </c>
      <c r="I358" s="1" t="s">
        <v>100</v>
      </c>
      <c r="J358" s="1" t="s">
        <v>68</v>
      </c>
      <c r="K358" s="1" t="s">
        <v>74</v>
      </c>
      <c r="M358" s="1" t="s">
        <v>58</v>
      </c>
      <c r="N358" s="1" t="s">
        <v>58</v>
      </c>
      <c r="O358" s="1" t="s">
        <v>58</v>
      </c>
      <c r="Q358" s="1" t="s">
        <v>58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81</v>
      </c>
      <c r="Y358" s="1" t="s">
        <v>82</v>
      </c>
      <c r="Z358" s="1" t="s">
        <v>89</v>
      </c>
      <c r="AA358" s="2">
        <v>30.0</v>
      </c>
      <c r="AB358" s="1" t="s">
        <v>79</v>
      </c>
      <c r="AC358" s="1" t="s">
        <v>51</v>
      </c>
      <c r="AD358" s="1" t="s">
        <v>81</v>
      </c>
      <c r="AE358" s="1" t="s">
        <v>51</v>
      </c>
      <c r="AF358" s="1" t="s">
        <v>51</v>
      </c>
      <c r="AG358" s="1" t="s">
        <v>51</v>
      </c>
      <c r="AI358" s="2">
        <v>1.0</v>
      </c>
      <c r="AJ358" s="2">
        <v>0.0</v>
      </c>
      <c r="AK358" s="2">
        <v>0.0</v>
      </c>
      <c r="AL358" s="2">
        <v>0.0</v>
      </c>
      <c r="AM358" s="1" t="s">
        <v>51</v>
      </c>
      <c r="AP358" s="2">
        <v>4.90994751E8</v>
      </c>
      <c r="AQ358" s="1" t="s">
        <v>493</v>
      </c>
      <c r="AR358" s="2">
        <v>45810.58002314815</v>
      </c>
      <c r="AU358" s="1" t="s">
        <v>64</v>
      </c>
      <c r="AW358" s="1" t="s">
        <v>255</v>
      </c>
      <c r="AY358" s="2">
        <v>352.0</v>
      </c>
    </row>
    <row r="359">
      <c r="A359" s="1" t="s">
        <v>51</v>
      </c>
      <c r="C359" s="1" t="s">
        <v>52</v>
      </c>
      <c r="E359" s="1" t="s">
        <v>53</v>
      </c>
      <c r="F359" s="1" t="s">
        <v>54</v>
      </c>
      <c r="G359" s="2">
        <v>42.0</v>
      </c>
      <c r="H359" s="1" t="s">
        <v>66</v>
      </c>
      <c r="I359" s="1" t="s">
        <v>67</v>
      </c>
      <c r="J359" s="1" t="s">
        <v>68</v>
      </c>
      <c r="K359" s="1" t="s">
        <v>57</v>
      </c>
      <c r="M359" s="1" t="s">
        <v>58</v>
      </c>
      <c r="N359" s="1" t="s">
        <v>58</v>
      </c>
      <c r="O359" s="1" t="s">
        <v>58</v>
      </c>
      <c r="Q359" s="1" t="s">
        <v>58</v>
      </c>
      <c r="R359" s="1" t="s">
        <v>58</v>
      </c>
      <c r="S359" s="1" t="s">
        <v>58</v>
      </c>
      <c r="T359" s="1" t="s">
        <v>58</v>
      </c>
      <c r="U359" s="1" t="s">
        <v>58</v>
      </c>
      <c r="V359" s="1" t="s">
        <v>58</v>
      </c>
      <c r="W359" s="1" t="s">
        <v>58</v>
      </c>
      <c r="X359" s="1" t="s">
        <v>81</v>
      </c>
      <c r="Y359" s="1" t="s">
        <v>82</v>
      </c>
      <c r="Z359" s="1" t="s">
        <v>89</v>
      </c>
      <c r="AA359" s="2">
        <v>40.0</v>
      </c>
      <c r="AB359" s="1" t="s">
        <v>79</v>
      </c>
      <c r="AC359" s="1" t="s">
        <v>51</v>
      </c>
      <c r="AD359" s="1" t="s">
        <v>81</v>
      </c>
      <c r="AE359" s="1" t="s">
        <v>51</v>
      </c>
      <c r="AF359" s="1" t="s">
        <v>51</v>
      </c>
      <c r="AG359" s="1" t="s">
        <v>51</v>
      </c>
      <c r="AI359" s="2">
        <v>1.0</v>
      </c>
      <c r="AJ359" s="2">
        <v>0.0</v>
      </c>
      <c r="AK359" s="2">
        <v>0.0</v>
      </c>
      <c r="AL359" s="2">
        <v>0.0</v>
      </c>
      <c r="AM359" s="1" t="s">
        <v>51</v>
      </c>
      <c r="AP359" s="2">
        <v>4.90996564E8</v>
      </c>
      <c r="AQ359" s="1" t="s">
        <v>494</v>
      </c>
      <c r="AR359" s="2">
        <v>45810.581354166665</v>
      </c>
      <c r="AU359" s="1" t="s">
        <v>64</v>
      </c>
      <c r="AW359" s="1" t="s">
        <v>255</v>
      </c>
      <c r="AY359" s="2">
        <v>353.0</v>
      </c>
    </row>
    <row r="360">
      <c r="A360" s="1" t="s">
        <v>51</v>
      </c>
      <c r="C360" s="1" t="s">
        <v>52</v>
      </c>
      <c r="E360" s="1" t="s">
        <v>53</v>
      </c>
      <c r="F360" s="1" t="s">
        <v>54</v>
      </c>
      <c r="G360" s="2">
        <v>26.0</v>
      </c>
      <c r="H360" s="1" t="s">
        <v>66</v>
      </c>
      <c r="I360" s="1" t="s">
        <v>76</v>
      </c>
      <c r="J360" s="1" t="s">
        <v>56</v>
      </c>
      <c r="K360" s="1" t="s">
        <v>57</v>
      </c>
      <c r="M360" s="1" t="s">
        <v>58</v>
      </c>
      <c r="N360" s="1" t="s">
        <v>58</v>
      </c>
      <c r="O360" s="1" t="s">
        <v>58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  <c r="W360" s="1" t="s">
        <v>58</v>
      </c>
      <c r="X360" s="1" t="s">
        <v>81</v>
      </c>
      <c r="Y360" s="1" t="s">
        <v>82</v>
      </c>
      <c r="Z360" s="1" t="s">
        <v>89</v>
      </c>
      <c r="AA360" s="2">
        <v>10.0</v>
      </c>
      <c r="AB360" s="1" t="s">
        <v>79</v>
      </c>
      <c r="AC360" s="1" t="s">
        <v>51</v>
      </c>
      <c r="AD360" s="1" t="s">
        <v>81</v>
      </c>
      <c r="AE360" s="1" t="s">
        <v>51</v>
      </c>
      <c r="AF360" s="1" t="s">
        <v>51</v>
      </c>
      <c r="AG360" s="1" t="s">
        <v>51</v>
      </c>
      <c r="AI360" s="2">
        <v>1.0</v>
      </c>
      <c r="AJ360" s="2">
        <v>0.0</v>
      </c>
      <c r="AK360" s="2">
        <v>0.0</v>
      </c>
      <c r="AL360" s="2">
        <v>0.0</v>
      </c>
      <c r="AM360" s="1" t="s">
        <v>51</v>
      </c>
      <c r="AP360" s="2">
        <v>4.90997907E8</v>
      </c>
      <c r="AQ360" s="1" t="s">
        <v>495</v>
      </c>
      <c r="AR360" s="2">
        <v>45810.58256944444</v>
      </c>
      <c r="AU360" s="1" t="s">
        <v>64</v>
      </c>
      <c r="AW360" s="1" t="s">
        <v>255</v>
      </c>
      <c r="AY360" s="2">
        <v>354.0</v>
      </c>
    </row>
    <row r="361">
      <c r="A361" s="1" t="s">
        <v>51</v>
      </c>
      <c r="C361" s="1" t="s">
        <v>52</v>
      </c>
      <c r="E361" s="1" t="s">
        <v>53</v>
      </c>
      <c r="F361" s="1" t="s">
        <v>54</v>
      </c>
      <c r="G361" s="2">
        <v>22.0</v>
      </c>
      <c r="H361" s="1" t="s">
        <v>66</v>
      </c>
      <c r="I361" s="1" t="s">
        <v>100</v>
      </c>
      <c r="J361" s="1" t="s">
        <v>56</v>
      </c>
      <c r="K361" s="1" t="s">
        <v>57</v>
      </c>
      <c r="M361" s="1" t="s">
        <v>58</v>
      </c>
      <c r="N361" s="1" t="s">
        <v>58</v>
      </c>
      <c r="O361" s="1" t="s">
        <v>58</v>
      </c>
      <c r="Q361" s="1" t="s">
        <v>58</v>
      </c>
      <c r="R361" s="1" t="s">
        <v>58</v>
      </c>
      <c r="S361" s="1" t="s">
        <v>58</v>
      </c>
      <c r="T361" s="1" t="s">
        <v>58</v>
      </c>
      <c r="V361" s="1" t="s">
        <v>58</v>
      </c>
      <c r="X361" s="1" t="s">
        <v>81</v>
      </c>
      <c r="Y361" s="1" t="s">
        <v>82</v>
      </c>
      <c r="Z361" s="1" t="s">
        <v>89</v>
      </c>
      <c r="AA361" s="2">
        <v>30.0</v>
      </c>
      <c r="AB361" s="1" t="s">
        <v>79</v>
      </c>
      <c r="AC361" s="1" t="s">
        <v>51</v>
      </c>
      <c r="AD361" s="1" t="s">
        <v>81</v>
      </c>
      <c r="AE361" s="1" t="s">
        <v>51</v>
      </c>
      <c r="AF361" s="1" t="s">
        <v>51</v>
      </c>
      <c r="AG361" s="1" t="s">
        <v>51</v>
      </c>
      <c r="AI361" s="2">
        <v>0.0</v>
      </c>
      <c r="AJ361" s="2">
        <v>0.0</v>
      </c>
      <c r="AK361" s="2">
        <v>0.0</v>
      </c>
      <c r="AL361" s="2">
        <v>1.0</v>
      </c>
      <c r="AM361" s="1" t="s">
        <v>51</v>
      </c>
      <c r="AP361" s="2">
        <v>4.90999516E8</v>
      </c>
      <c r="AQ361" s="1" t="s">
        <v>496</v>
      </c>
      <c r="AR361" s="2">
        <v>45810.58390046296</v>
      </c>
      <c r="AU361" s="1" t="s">
        <v>64</v>
      </c>
      <c r="AW361" s="1" t="s">
        <v>255</v>
      </c>
      <c r="AY361" s="2">
        <v>355.0</v>
      </c>
    </row>
    <row r="362">
      <c r="A362" s="1" t="s">
        <v>51</v>
      </c>
      <c r="C362" s="1" t="s">
        <v>52</v>
      </c>
      <c r="E362" s="1" t="s">
        <v>53</v>
      </c>
      <c r="F362" s="1" t="s">
        <v>54</v>
      </c>
      <c r="G362" s="2">
        <v>31.0</v>
      </c>
      <c r="H362" s="1" t="s">
        <v>66</v>
      </c>
      <c r="I362" s="1" t="s">
        <v>100</v>
      </c>
      <c r="J362" s="1" t="s">
        <v>68</v>
      </c>
      <c r="K362" s="1" t="s">
        <v>92</v>
      </c>
      <c r="M362" s="1" t="s">
        <v>58</v>
      </c>
      <c r="N362" s="1" t="s">
        <v>58</v>
      </c>
      <c r="O362" s="1" t="s">
        <v>58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  <c r="W362" s="1" t="s">
        <v>58</v>
      </c>
      <c r="X362" s="1" t="s">
        <v>81</v>
      </c>
      <c r="Y362" s="1" t="s">
        <v>82</v>
      </c>
      <c r="Z362" s="1" t="s">
        <v>89</v>
      </c>
      <c r="AA362" s="2">
        <v>10.0</v>
      </c>
      <c r="AB362" s="1" t="s">
        <v>28</v>
      </c>
      <c r="AC362" s="1" t="s">
        <v>71</v>
      </c>
      <c r="AF362" s="1" t="s">
        <v>51</v>
      </c>
      <c r="AG362" s="1" t="s">
        <v>72</v>
      </c>
      <c r="AI362" s="2">
        <v>0.0</v>
      </c>
      <c r="AJ362" s="2">
        <v>0.0</v>
      </c>
      <c r="AK362" s="2">
        <v>0.0</v>
      </c>
      <c r="AL362" s="2">
        <v>1.0</v>
      </c>
      <c r="AM362" s="1" t="s">
        <v>72</v>
      </c>
      <c r="AP362" s="2">
        <v>4.91002485E8</v>
      </c>
      <c r="AQ362" s="1" t="s">
        <v>497</v>
      </c>
      <c r="AR362" s="2">
        <v>45810.585914351854</v>
      </c>
      <c r="AU362" s="1" t="s">
        <v>64</v>
      </c>
      <c r="AW362" s="1" t="s">
        <v>255</v>
      </c>
      <c r="AY362" s="2">
        <v>356.0</v>
      </c>
    </row>
    <row r="363">
      <c r="A363" s="1" t="s">
        <v>51</v>
      </c>
      <c r="C363" s="1" t="s">
        <v>170</v>
      </c>
      <c r="E363" s="1" t="s">
        <v>53</v>
      </c>
      <c r="F363" s="1" t="s">
        <v>54</v>
      </c>
      <c r="G363" s="2">
        <v>34.0</v>
      </c>
      <c r="I363" s="1" t="s">
        <v>100</v>
      </c>
      <c r="J363" s="1" t="s">
        <v>86</v>
      </c>
      <c r="K363" s="1" t="s">
        <v>87</v>
      </c>
      <c r="M363" s="1" t="s">
        <v>58</v>
      </c>
      <c r="N363" s="1" t="s">
        <v>58</v>
      </c>
      <c r="O363" s="1" t="s">
        <v>58</v>
      </c>
      <c r="Q363" s="1" t="s">
        <v>69</v>
      </c>
      <c r="R363" s="1" t="s">
        <v>58</v>
      </c>
      <c r="S363" s="1" t="s">
        <v>69</v>
      </c>
      <c r="T363" s="1" t="s">
        <v>69</v>
      </c>
      <c r="U363" s="1" t="s">
        <v>58</v>
      </c>
      <c r="V363" s="1" t="s">
        <v>58</v>
      </c>
      <c r="W363" s="1" t="s">
        <v>69</v>
      </c>
      <c r="X363" s="1" t="s">
        <v>59</v>
      </c>
      <c r="Y363" s="1" t="s">
        <v>60</v>
      </c>
      <c r="Z363" s="1" t="s">
        <v>108</v>
      </c>
      <c r="AA363" s="2">
        <v>20.0</v>
      </c>
      <c r="AB363" s="1" t="s">
        <v>62</v>
      </c>
      <c r="AC363" s="1" t="s">
        <v>71</v>
      </c>
      <c r="AF363" s="1" t="s">
        <v>51</v>
      </c>
      <c r="AG363" s="1" t="s">
        <v>51</v>
      </c>
      <c r="AH363" s="2">
        <v>50.0</v>
      </c>
      <c r="AI363" s="2">
        <v>0.0</v>
      </c>
      <c r="AJ363" s="2">
        <v>0.0</v>
      </c>
      <c r="AK363" s="2">
        <v>0.0</v>
      </c>
      <c r="AL363" s="2">
        <v>1.0</v>
      </c>
      <c r="AM363" s="1" t="s">
        <v>72</v>
      </c>
      <c r="AP363" s="2">
        <v>4.91024236E8</v>
      </c>
      <c r="AQ363" s="1" t="s">
        <v>498</v>
      </c>
      <c r="AR363" s="2">
        <v>45810.60663194444</v>
      </c>
      <c r="AU363" s="1" t="s">
        <v>64</v>
      </c>
      <c r="AW363" s="1" t="s">
        <v>255</v>
      </c>
      <c r="AY363" s="2">
        <v>357.0</v>
      </c>
    </row>
    <row r="364">
      <c r="A364" s="1" t="s">
        <v>51</v>
      </c>
      <c r="C364" s="1" t="s">
        <v>52</v>
      </c>
      <c r="E364" s="1" t="s">
        <v>53</v>
      </c>
      <c r="F364" s="1" t="s">
        <v>102</v>
      </c>
      <c r="G364" s="2">
        <v>21.0</v>
      </c>
      <c r="H364" s="1" t="s">
        <v>55</v>
      </c>
      <c r="I364" s="1" t="s">
        <v>100</v>
      </c>
      <c r="J364" s="1" t="s">
        <v>68</v>
      </c>
      <c r="K364" s="1" t="s">
        <v>74</v>
      </c>
      <c r="M364" s="1" t="s">
        <v>58</v>
      </c>
      <c r="N364" s="1" t="s">
        <v>58</v>
      </c>
      <c r="O364" s="1" t="s">
        <v>58</v>
      </c>
      <c r="Q364" s="1" t="s">
        <v>58</v>
      </c>
      <c r="R364" s="1" t="s">
        <v>58</v>
      </c>
      <c r="S364" s="1" t="s">
        <v>58</v>
      </c>
      <c r="T364" s="1" t="s">
        <v>58</v>
      </c>
      <c r="U364" s="1" t="s">
        <v>58</v>
      </c>
      <c r="V364" s="1" t="s">
        <v>70</v>
      </c>
      <c r="W364" s="1" t="s">
        <v>69</v>
      </c>
      <c r="X364" s="1" t="s">
        <v>81</v>
      </c>
      <c r="Y364" s="1" t="s">
        <v>172</v>
      </c>
      <c r="Z364" s="1" t="s">
        <v>96</v>
      </c>
      <c r="AA364" s="2">
        <v>10.0</v>
      </c>
      <c r="AB364" s="1" t="s">
        <v>79</v>
      </c>
      <c r="AC364" s="1" t="s">
        <v>71</v>
      </c>
      <c r="AF364" s="1" t="s">
        <v>51</v>
      </c>
      <c r="AG364" s="1" t="s">
        <v>72</v>
      </c>
      <c r="AI364" s="2">
        <v>1.0</v>
      </c>
      <c r="AJ364" s="2">
        <v>0.0</v>
      </c>
      <c r="AK364" s="2">
        <v>0.0</v>
      </c>
      <c r="AL364" s="2">
        <v>0.0</v>
      </c>
      <c r="AM364" s="1" t="s">
        <v>51</v>
      </c>
      <c r="AP364" s="2">
        <v>4.91177719E8</v>
      </c>
      <c r="AQ364" s="1" t="s">
        <v>499</v>
      </c>
      <c r="AR364" s="2">
        <v>45810.805231481485</v>
      </c>
      <c r="AU364" s="1" t="s">
        <v>64</v>
      </c>
      <c r="AW364" s="1" t="s">
        <v>255</v>
      </c>
      <c r="AY364" s="2">
        <v>358.0</v>
      </c>
    </row>
    <row r="365">
      <c r="AP365" s="2">
        <v>4.91177779E8</v>
      </c>
      <c r="AQ365" s="1" t="s">
        <v>500</v>
      </c>
      <c r="AR365" s="2">
        <v>45810.80535879629</v>
      </c>
      <c r="AU365" s="1" t="s">
        <v>64</v>
      </c>
      <c r="AW365" s="1" t="s">
        <v>255</v>
      </c>
      <c r="AY365" s="2">
        <v>359.0</v>
      </c>
    </row>
    <row r="366">
      <c r="A366" s="1" t="s">
        <v>51</v>
      </c>
      <c r="C366" s="1" t="s">
        <v>154</v>
      </c>
      <c r="E366" s="1" t="s">
        <v>154</v>
      </c>
      <c r="G366" s="2">
        <v>48.0</v>
      </c>
      <c r="H366" s="1" t="s">
        <v>66</v>
      </c>
      <c r="J366" s="1" t="s">
        <v>86</v>
      </c>
      <c r="K366" s="1" t="s">
        <v>87</v>
      </c>
      <c r="M366" s="1" t="s">
        <v>58</v>
      </c>
      <c r="N366" s="1" t="s">
        <v>58</v>
      </c>
      <c r="O366" s="1" t="s">
        <v>58</v>
      </c>
      <c r="Q366" s="1" t="s">
        <v>69</v>
      </c>
      <c r="R366" s="1" t="s">
        <v>58</v>
      </c>
      <c r="S366" s="1" t="s">
        <v>69</v>
      </c>
      <c r="T366" s="1" t="s">
        <v>58</v>
      </c>
      <c r="U366" s="1" t="s">
        <v>58</v>
      </c>
      <c r="V366" s="1" t="s">
        <v>58</v>
      </c>
      <c r="W366" s="1" t="s">
        <v>69</v>
      </c>
      <c r="X366" s="1" t="s">
        <v>103</v>
      </c>
      <c r="Y366" s="1" t="s">
        <v>95</v>
      </c>
      <c r="Z366" s="1" t="s">
        <v>96</v>
      </c>
      <c r="AA366" s="2">
        <v>100.0</v>
      </c>
      <c r="AB366" s="1" t="s">
        <v>28</v>
      </c>
      <c r="AC366" s="1" t="s">
        <v>51</v>
      </c>
      <c r="AD366" s="1" t="s">
        <v>103</v>
      </c>
      <c r="AE366" s="1" t="s">
        <v>72</v>
      </c>
      <c r="AF366" s="1" t="s">
        <v>51</v>
      </c>
      <c r="AG366" s="1" t="s">
        <v>51</v>
      </c>
      <c r="AH366" s="2">
        <v>500.0</v>
      </c>
      <c r="AI366" s="2">
        <v>1.0</v>
      </c>
      <c r="AJ366" s="2">
        <v>0.0</v>
      </c>
      <c r="AK366" s="2">
        <v>1.0</v>
      </c>
      <c r="AL366" s="2">
        <v>0.0</v>
      </c>
      <c r="AP366" s="2">
        <v>4.91178031E8</v>
      </c>
      <c r="AQ366" s="1" t="s">
        <v>501</v>
      </c>
      <c r="AR366" s="2">
        <v>45810.80601851852</v>
      </c>
      <c r="AU366" s="1" t="s">
        <v>64</v>
      </c>
      <c r="AW366" s="1" t="s">
        <v>255</v>
      </c>
      <c r="AY366" s="2">
        <v>360.0</v>
      </c>
    </row>
    <row r="367">
      <c r="A367" s="1" t="s">
        <v>72</v>
      </c>
      <c r="AP367" s="2">
        <v>4.91292839E8</v>
      </c>
      <c r="AQ367" s="1" t="s">
        <v>502</v>
      </c>
      <c r="AR367" s="2">
        <v>45811.209189814814</v>
      </c>
      <c r="AU367" s="1" t="s">
        <v>64</v>
      </c>
      <c r="AW367" s="1" t="s">
        <v>255</v>
      </c>
      <c r="AY367" s="2">
        <v>361.0</v>
      </c>
    </row>
    <row r="368">
      <c r="A368" s="1" t="s">
        <v>51</v>
      </c>
      <c r="C368" s="1" t="s">
        <v>52</v>
      </c>
      <c r="E368" s="1" t="s">
        <v>53</v>
      </c>
      <c r="F368" s="1" t="s">
        <v>54</v>
      </c>
      <c r="G368" s="2">
        <v>39.0</v>
      </c>
      <c r="H368" s="1" t="s">
        <v>66</v>
      </c>
      <c r="I368" s="1" t="s">
        <v>67</v>
      </c>
      <c r="J368" s="1" t="s">
        <v>111</v>
      </c>
      <c r="K368" s="1" t="s">
        <v>92</v>
      </c>
      <c r="M368" s="1" t="s">
        <v>58</v>
      </c>
      <c r="N368" s="1" t="s">
        <v>58</v>
      </c>
      <c r="O368" s="1" t="s">
        <v>70</v>
      </c>
      <c r="Q368" s="1" t="s">
        <v>58</v>
      </c>
      <c r="R368" s="1" t="s">
        <v>58</v>
      </c>
      <c r="S368" s="1" t="s">
        <v>58</v>
      </c>
      <c r="T368" s="1" t="s">
        <v>58</v>
      </c>
      <c r="U368" s="1" t="s">
        <v>58</v>
      </c>
      <c r="V368" s="1" t="s">
        <v>70</v>
      </c>
      <c r="W368" s="1" t="s">
        <v>69</v>
      </c>
      <c r="X368" s="1" t="s">
        <v>59</v>
      </c>
      <c r="Y368" s="1" t="s">
        <v>172</v>
      </c>
      <c r="Z368" s="1" t="s">
        <v>108</v>
      </c>
      <c r="AA368" s="2">
        <v>100.0</v>
      </c>
      <c r="AB368" s="1" t="s">
        <v>62</v>
      </c>
      <c r="AC368" s="1" t="s">
        <v>71</v>
      </c>
      <c r="AF368" s="1" t="s">
        <v>51</v>
      </c>
      <c r="AG368" s="1" t="s">
        <v>72</v>
      </c>
      <c r="AI368" s="2">
        <v>0.0</v>
      </c>
      <c r="AJ368" s="2">
        <v>0.0</v>
      </c>
      <c r="AK368" s="2">
        <v>0.0</v>
      </c>
      <c r="AL368" s="2">
        <v>1.0</v>
      </c>
      <c r="AM368" s="1" t="s">
        <v>72</v>
      </c>
      <c r="AP368" s="2">
        <v>4.91297762E8</v>
      </c>
      <c r="AQ368" s="1" t="s">
        <v>503</v>
      </c>
      <c r="AR368" s="2">
        <v>45811.2221875</v>
      </c>
      <c r="AU368" s="1" t="s">
        <v>64</v>
      </c>
      <c r="AW368" s="1" t="s">
        <v>255</v>
      </c>
      <c r="AY368" s="2">
        <v>362.0</v>
      </c>
    </row>
    <row r="369">
      <c r="A369" s="1" t="s">
        <v>51</v>
      </c>
      <c r="C369" s="1" t="s">
        <v>52</v>
      </c>
      <c r="E369" s="1" t="s">
        <v>53</v>
      </c>
      <c r="F369" s="1" t="s">
        <v>183</v>
      </c>
      <c r="G369" s="2">
        <v>37.0</v>
      </c>
      <c r="H369" s="1" t="s">
        <v>66</v>
      </c>
      <c r="I369" s="1" t="s">
        <v>67</v>
      </c>
      <c r="J369" s="1" t="s">
        <v>56</v>
      </c>
      <c r="K369" s="1" t="s">
        <v>74</v>
      </c>
      <c r="M369" s="1" t="s">
        <v>58</v>
      </c>
      <c r="N369" s="1" t="s">
        <v>58</v>
      </c>
      <c r="O369" s="1" t="s">
        <v>70</v>
      </c>
      <c r="Q369" s="1" t="s">
        <v>58</v>
      </c>
      <c r="R369" s="1" t="s">
        <v>58</v>
      </c>
      <c r="S369" s="1" t="s">
        <v>69</v>
      </c>
      <c r="T369" s="1" t="s">
        <v>58</v>
      </c>
      <c r="U369" s="1" t="s">
        <v>58</v>
      </c>
      <c r="V369" s="1" t="s">
        <v>58</v>
      </c>
      <c r="W369" s="1" t="s">
        <v>69</v>
      </c>
      <c r="X369" s="1" t="s">
        <v>88</v>
      </c>
      <c r="Y369" s="1" t="s">
        <v>60</v>
      </c>
      <c r="Z369" s="1" t="s">
        <v>108</v>
      </c>
      <c r="AA369" s="2">
        <v>40.0</v>
      </c>
      <c r="AB369" s="1" t="s">
        <v>62</v>
      </c>
      <c r="AC369" s="1" t="s">
        <v>71</v>
      </c>
      <c r="AF369" s="1" t="s">
        <v>51</v>
      </c>
      <c r="AG369" s="1" t="s">
        <v>72</v>
      </c>
      <c r="AI369" s="2">
        <v>0.0</v>
      </c>
      <c r="AJ369" s="2">
        <v>0.0</v>
      </c>
      <c r="AK369" s="2">
        <v>1.0</v>
      </c>
      <c r="AL369" s="2">
        <v>0.0</v>
      </c>
      <c r="AM369" s="1" t="s">
        <v>72</v>
      </c>
      <c r="AP369" s="2">
        <v>4.91299433E8</v>
      </c>
      <c r="AQ369" s="1" t="s">
        <v>504</v>
      </c>
      <c r="AR369" s="2">
        <v>45811.22628472222</v>
      </c>
      <c r="AU369" s="1" t="s">
        <v>64</v>
      </c>
      <c r="AW369" s="1" t="s">
        <v>255</v>
      </c>
      <c r="AY369" s="2">
        <v>363.0</v>
      </c>
    </row>
    <row r="370">
      <c r="A370" s="1" t="s">
        <v>51</v>
      </c>
      <c r="C370" s="1" t="s">
        <v>212</v>
      </c>
      <c r="E370" s="1" t="s">
        <v>53</v>
      </c>
      <c r="F370" s="1" t="s">
        <v>54</v>
      </c>
      <c r="G370" s="2">
        <v>38.0</v>
      </c>
      <c r="H370" s="1" t="s">
        <v>55</v>
      </c>
      <c r="I370" s="1" t="s">
        <v>67</v>
      </c>
      <c r="J370" s="1" t="s">
        <v>111</v>
      </c>
      <c r="K370" s="1" t="s">
        <v>92</v>
      </c>
      <c r="M370" s="1" t="s">
        <v>58</v>
      </c>
      <c r="N370" s="1" t="s">
        <v>58</v>
      </c>
      <c r="O370" s="1" t="s">
        <v>70</v>
      </c>
      <c r="Q370" s="1" t="s">
        <v>69</v>
      </c>
      <c r="R370" s="1" t="s">
        <v>58</v>
      </c>
      <c r="S370" s="1" t="s">
        <v>69</v>
      </c>
      <c r="T370" s="1" t="s">
        <v>69</v>
      </c>
      <c r="U370" s="1" t="s">
        <v>58</v>
      </c>
      <c r="V370" s="1" t="s">
        <v>58</v>
      </c>
      <c r="W370" s="1" t="s">
        <v>69</v>
      </c>
      <c r="X370" s="1" t="s">
        <v>59</v>
      </c>
      <c r="Y370" s="1" t="s">
        <v>60</v>
      </c>
      <c r="Z370" s="1" t="s">
        <v>108</v>
      </c>
      <c r="AA370" s="2">
        <v>50.0</v>
      </c>
      <c r="AB370" s="1" t="s">
        <v>62</v>
      </c>
      <c r="AC370" s="1" t="s">
        <v>71</v>
      </c>
      <c r="AF370" s="1" t="s">
        <v>51</v>
      </c>
      <c r="AG370" s="1" t="s">
        <v>72</v>
      </c>
      <c r="AI370" s="2">
        <v>0.0</v>
      </c>
      <c r="AJ370" s="2">
        <v>0.0</v>
      </c>
      <c r="AK370" s="2">
        <v>0.0</v>
      </c>
      <c r="AL370" s="2">
        <v>1.0</v>
      </c>
      <c r="AM370" s="1" t="s">
        <v>72</v>
      </c>
      <c r="AP370" s="2">
        <v>4.91301599E8</v>
      </c>
      <c r="AQ370" s="1" t="s">
        <v>505</v>
      </c>
      <c r="AR370" s="2">
        <v>45811.23045138889</v>
      </c>
      <c r="AU370" s="1" t="s">
        <v>64</v>
      </c>
      <c r="AW370" s="1" t="s">
        <v>255</v>
      </c>
      <c r="AY370" s="2">
        <v>364.0</v>
      </c>
    </row>
    <row r="371">
      <c r="A371" s="1" t="s">
        <v>51</v>
      </c>
      <c r="C371" s="1" t="s">
        <v>52</v>
      </c>
      <c r="E371" s="1" t="s">
        <v>53</v>
      </c>
      <c r="F371" s="1" t="s">
        <v>506</v>
      </c>
      <c r="G371" s="2">
        <v>27.0</v>
      </c>
      <c r="H371" s="1" t="s">
        <v>55</v>
      </c>
      <c r="I371" s="1" t="s">
        <v>100</v>
      </c>
      <c r="J371" s="1" t="s">
        <v>68</v>
      </c>
      <c r="K371" s="1" t="s">
        <v>74</v>
      </c>
      <c r="M371" s="1" t="s">
        <v>58</v>
      </c>
      <c r="N371" s="1" t="s">
        <v>58</v>
      </c>
      <c r="O371" s="1" t="s">
        <v>69</v>
      </c>
      <c r="Q371" s="1" t="s">
        <v>58</v>
      </c>
      <c r="R371" s="1" t="s">
        <v>58</v>
      </c>
      <c r="S371" s="1" t="s">
        <v>69</v>
      </c>
      <c r="T371" s="1" t="s">
        <v>69</v>
      </c>
      <c r="U371" s="1" t="s">
        <v>58</v>
      </c>
      <c r="V371" s="1" t="s">
        <v>69</v>
      </c>
      <c r="W371" s="1" t="s">
        <v>69</v>
      </c>
      <c r="X371" s="1" t="s">
        <v>59</v>
      </c>
      <c r="Y371" s="1" t="s">
        <v>172</v>
      </c>
      <c r="Z371" s="1" t="s">
        <v>108</v>
      </c>
      <c r="AA371" s="2">
        <v>30.0</v>
      </c>
      <c r="AB371" s="1" t="s">
        <v>62</v>
      </c>
      <c r="AC371" s="1" t="s">
        <v>71</v>
      </c>
      <c r="AF371" s="1" t="s">
        <v>51</v>
      </c>
      <c r="AG371" s="1" t="s">
        <v>72</v>
      </c>
      <c r="AI371" s="2">
        <v>0.0</v>
      </c>
      <c r="AJ371" s="2">
        <v>0.0</v>
      </c>
      <c r="AK371" s="2">
        <v>0.0</v>
      </c>
      <c r="AL371" s="2">
        <v>1.0</v>
      </c>
      <c r="AM371" s="1" t="s">
        <v>51</v>
      </c>
      <c r="AN371" s="3" t="str">
        <v>#ERROR!</v>
      </c>
      <c r="AP371" s="2">
        <v>4.91304043E8</v>
      </c>
      <c r="AQ371" s="1" t="s">
        <v>507</v>
      </c>
      <c r="AR371" s="2">
        <v>45811.23615740741</v>
      </c>
      <c r="AU371" s="1" t="s">
        <v>64</v>
      </c>
      <c r="AW371" s="1" t="s">
        <v>255</v>
      </c>
      <c r="AY371" s="2">
        <v>365.0</v>
      </c>
    </row>
    <row r="372">
      <c r="A372" s="1" t="s">
        <v>51</v>
      </c>
      <c r="C372" s="1" t="s">
        <v>151</v>
      </c>
      <c r="E372" s="1" t="s">
        <v>53</v>
      </c>
      <c r="F372" s="1" t="s">
        <v>54</v>
      </c>
      <c r="G372" s="2">
        <v>51.0</v>
      </c>
      <c r="H372" s="1" t="s">
        <v>66</v>
      </c>
      <c r="I372" s="1" t="s">
        <v>67</v>
      </c>
      <c r="J372" s="1" t="s">
        <v>68</v>
      </c>
      <c r="K372" s="1" t="s">
        <v>57</v>
      </c>
      <c r="M372" s="1" t="s">
        <v>58</v>
      </c>
      <c r="N372" s="1" t="s">
        <v>58</v>
      </c>
      <c r="O372" s="1" t="s">
        <v>58</v>
      </c>
      <c r="Q372" s="1" t="s">
        <v>69</v>
      </c>
      <c r="R372" s="1" t="s">
        <v>58</v>
      </c>
      <c r="S372" s="1" t="s">
        <v>69</v>
      </c>
      <c r="T372" s="1" t="s">
        <v>69</v>
      </c>
      <c r="U372" s="1" t="s">
        <v>69</v>
      </c>
      <c r="V372" s="1" t="s">
        <v>69</v>
      </c>
      <c r="W372" s="1" t="s">
        <v>69</v>
      </c>
      <c r="X372" s="1" t="s">
        <v>81</v>
      </c>
      <c r="Y372" s="1" t="s">
        <v>82</v>
      </c>
      <c r="Z372" s="1" t="s">
        <v>89</v>
      </c>
      <c r="AA372" s="2">
        <v>30.0</v>
      </c>
      <c r="AB372" s="1" t="s">
        <v>79</v>
      </c>
      <c r="AC372" s="1" t="s">
        <v>71</v>
      </c>
      <c r="AF372" s="1" t="s">
        <v>51</v>
      </c>
      <c r="AG372" s="1" t="s">
        <v>51</v>
      </c>
      <c r="AH372" s="2">
        <v>200.0</v>
      </c>
      <c r="AI372" s="2">
        <v>0.0</v>
      </c>
      <c r="AJ372" s="2">
        <v>0.0</v>
      </c>
      <c r="AK372" s="2">
        <v>0.0</v>
      </c>
      <c r="AL372" s="2">
        <v>1.0</v>
      </c>
      <c r="AM372" s="1" t="s">
        <v>51</v>
      </c>
      <c r="AN372" s="2">
        <v>6.49779116E8</v>
      </c>
      <c r="AP372" s="2">
        <v>4.90386915E8</v>
      </c>
      <c r="AQ372" s="1" t="s">
        <v>512</v>
      </c>
      <c r="AR372" s="2">
        <v>45809.39319444444</v>
      </c>
      <c r="AU372" s="1" t="s">
        <v>64</v>
      </c>
      <c r="AW372" s="1" t="s">
        <v>513</v>
      </c>
      <c r="AY372" s="2">
        <v>1.0</v>
      </c>
    </row>
    <row r="373">
      <c r="A373" s="1" t="s">
        <v>51</v>
      </c>
      <c r="C373" s="1" t="s">
        <v>53</v>
      </c>
      <c r="E373" s="1" t="s">
        <v>53</v>
      </c>
      <c r="F373" s="1" t="s">
        <v>54</v>
      </c>
      <c r="G373" s="2">
        <v>42.0</v>
      </c>
      <c r="H373" s="1" t="s">
        <v>55</v>
      </c>
      <c r="I373" s="1" t="s">
        <v>121</v>
      </c>
      <c r="J373" s="1" t="s">
        <v>68</v>
      </c>
      <c r="K373" s="1" t="s">
        <v>57</v>
      </c>
      <c r="M373" s="1" t="s">
        <v>58</v>
      </c>
      <c r="N373" s="1" t="s">
        <v>58</v>
      </c>
      <c r="O373" s="1" t="s">
        <v>58</v>
      </c>
      <c r="Q373" s="1" t="s">
        <v>58</v>
      </c>
      <c r="R373" s="1" t="s">
        <v>69</v>
      </c>
      <c r="S373" s="1" t="s">
        <v>69</v>
      </c>
      <c r="T373" s="1" t="s">
        <v>69</v>
      </c>
      <c r="U373" s="1" t="s">
        <v>69</v>
      </c>
      <c r="V373" s="1" t="s">
        <v>69</v>
      </c>
      <c r="W373" s="1" t="s">
        <v>69</v>
      </c>
      <c r="X373" s="1" t="s">
        <v>59</v>
      </c>
      <c r="Y373" s="1" t="s">
        <v>227</v>
      </c>
      <c r="Z373" s="1" t="s">
        <v>61</v>
      </c>
      <c r="AA373" s="2">
        <v>100.0</v>
      </c>
      <c r="AB373" s="1" t="s">
        <v>79</v>
      </c>
      <c r="AC373" s="1" t="s">
        <v>71</v>
      </c>
      <c r="AF373" s="1" t="s">
        <v>51</v>
      </c>
      <c r="AG373" s="1" t="s">
        <v>51</v>
      </c>
      <c r="AH373" s="2">
        <v>50.0</v>
      </c>
      <c r="AI373" s="2">
        <v>0.0</v>
      </c>
      <c r="AJ373" s="2">
        <v>0.0</v>
      </c>
      <c r="AK373" s="2">
        <v>0.0</v>
      </c>
      <c r="AL373" s="2">
        <v>1.0</v>
      </c>
      <c r="AM373" s="1" t="s">
        <v>51</v>
      </c>
      <c r="AN373" s="2">
        <v>6.73003512E8</v>
      </c>
      <c r="AP373" s="2">
        <v>4.90394724E8</v>
      </c>
      <c r="AQ373" s="1" t="s">
        <v>514</v>
      </c>
      <c r="AR373" s="2">
        <v>45809.408680555556</v>
      </c>
      <c r="AU373" s="1" t="s">
        <v>64</v>
      </c>
      <c r="AW373" s="1" t="s">
        <v>513</v>
      </c>
      <c r="AY373" s="2">
        <v>2.0</v>
      </c>
    </row>
    <row r="374">
      <c r="A374" s="1" t="s">
        <v>51</v>
      </c>
      <c r="C374" s="1" t="s">
        <v>53</v>
      </c>
      <c r="E374" s="1" t="s">
        <v>53</v>
      </c>
      <c r="F374" s="1" t="s">
        <v>54</v>
      </c>
      <c r="G374" s="2">
        <v>30.0</v>
      </c>
      <c r="H374" s="1" t="s">
        <v>55</v>
      </c>
      <c r="I374" s="1" t="s">
        <v>121</v>
      </c>
      <c r="J374" s="1" t="s">
        <v>56</v>
      </c>
      <c r="K374" s="1" t="s">
        <v>57</v>
      </c>
      <c r="M374" s="1" t="s">
        <v>58</v>
      </c>
      <c r="N374" s="1" t="s">
        <v>58</v>
      </c>
      <c r="O374" s="1" t="s">
        <v>58</v>
      </c>
      <c r="Q374" s="1" t="s">
        <v>58</v>
      </c>
      <c r="R374" s="1" t="s">
        <v>69</v>
      </c>
      <c r="S374" s="1" t="s">
        <v>69</v>
      </c>
      <c r="T374" s="1" t="s">
        <v>58</v>
      </c>
      <c r="U374" s="1" t="s">
        <v>58</v>
      </c>
      <c r="V374" s="1" t="s">
        <v>69</v>
      </c>
      <c r="W374" s="1" t="s">
        <v>69</v>
      </c>
      <c r="X374" s="1" t="s">
        <v>81</v>
      </c>
      <c r="Y374" s="1" t="s">
        <v>82</v>
      </c>
      <c r="Z374" s="1" t="s">
        <v>89</v>
      </c>
      <c r="AA374" s="2">
        <v>40.0</v>
      </c>
      <c r="AB374" s="1" t="s">
        <v>79</v>
      </c>
      <c r="AC374" s="1" t="s">
        <v>71</v>
      </c>
      <c r="AF374" s="1" t="s">
        <v>51</v>
      </c>
      <c r="AG374" s="1" t="s">
        <v>51</v>
      </c>
      <c r="AH374" s="2">
        <v>300.0</v>
      </c>
      <c r="AI374" s="2">
        <v>1.0</v>
      </c>
      <c r="AJ374" s="2">
        <v>0.0</v>
      </c>
      <c r="AK374" s="2">
        <v>0.0</v>
      </c>
      <c r="AL374" s="2">
        <v>0.0</v>
      </c>
      <c r="AM374" s="1" t="s">
        <v>51</v>
      </c>
      <c r="AN374" s="2">
        <v>6.73583337E8</v>
      </c>
      <c r="AP374" s="2">
        <v>4.90394919E8</v>
      </c>
      <c r="AQ374" s="1" t="s">
        <v>515</v>
      </c>
      <c r="AR374" s="2">
        <v>45809.40924768519</v>
      </c>
      <c r="AU374" s="1" t="s">
        <v>64</v>
      </c>
      <c r="AW374" s="1" t="s">
        <v>513</v>
      </c>
      <c r="AY374" s="2">
        <v>3.0</v>
      </c>
    </row>
    <row r="375">
      <c r="A375" s="1" t="s">
        <v>51</v>
      </c>
      <c r="C375" s="1" t="s">
        <v>151</v>
      </c>
      <c r="E375" s="1" t="s">
        <v>53</v>
      </c>
      <c r="F375" s="1" t="s">
        <v>54</v>
      </c>
      <c r="G375" s="2">
        <v>27.0</v>
      </c>
      <c r="H375" s="1" t="s">
        <v>55</v>
      </c>
      <c r="I375" s="1" t="s">
        <v>76</v>
      </c>
      <c r="J375" s="1" t="s">
        <v>56</v>
      </c>
      <c r="K375" s="1" t="s">
        <v>74</v>
      </c>
      <c r="M375" s="1" t="s">
        <v>58</v>
      </c>
      <c r="N375" s="1" t="s">
        <v>58</v>
      </c>
      <c r="O375" s="1" t="s">
        <v>58</v>
      </c>
      <c r="Q375" s="1" t="s">
        <v>58</v>
      </c>
      <c r="R375" s="1" t="s">
        <v>58</v>
      </c>
      <c r="S375" s="1" t="s">
        <v>58</v>
      </c>
      <c r="T375" s="1" t="s">
        <v>58</v>
      </c>
      <c r="U375" s="1" t="s">
        <v>58</v>
      </c>
      <c r="V375" s="1" t="s">
        <v>58</v>
      </c>
      <c r="W375" s="1" t="s">
        <v>58</v>
      </c>
      <c r="X375" s="1" t="s">
        <v>81</v>
      </c>
      <c r="Y375" s="1" t="s">
        <v>60</v>
      </c>
      <c r="Z375" s="1" t="s">
        <v>89</v>
      </c>
      <c r="AA375" s="2">
        <v>50.0</v>
      </c>
      <c r="AB375" s="1" t="s">
        <v>62</v>
      </c>
      <c r="AC375" s="1" t="s">
        <v>51</v>
      </c>
      <c r="AD375" s="1" t="s">
        <v>81</v>
      </c>
      <c r="AE375" s="1" t="s">
        <v>51</v>
      </c>
      <c r="AF375" s="1" t="s">
        <v>51</v>
      </c>
      <c r="AG375" s="1" t="s">
        <v>51</v>
      </c>
      <c r="AI375" s="2">
        <v>0.0</v>
      </c>
      <c r="AJ375" s="2">
        <v>0.0</v>
      </c>
      <c r="AK375" s="2">
        <v>0.0</v>
      </c>
      <c r="AL375" s="2">
        <v>1.0</v>
      </c>
      <c r="AM375" s="1" t="s">
        <v>51</v>
      </c>
      <c r="AN375" s="2">
        <v>6.888317704E9</v>
      </c>
      <c r="AP375" s="2">
        <v>4.90397468E8</v>
      </c>
      <c r="AQ375" s="1" t="s">
        <v>516</v>
      </c>
      <c r="AR375" s="2">
        <v>45809.415300925924</v>
      </c>
      <c r="AU375" s="1" t="s">
        <v>64</v>
      </c>
      <c r="AW375" s="1" t="s">
        <v>513</v>
      </c>
      <c r="AY375" s="2">
        <v>4.0</v>
      </c>
    </row>
    <row r="376">
      <c r="A376" s="1" t="s">
        <v>51</v>
      </c>
      <c r="C376" s="1" t="s">
        <v>53</v>
      </c>
      <c r="E376" s="1" t="s">
        <v>53</v>
      </c>
      <c r="F376" s="1" t="s">
        <v>54</v>
      </c>
      <c r="G376" s="2">
        <v>36.0</v>
      </c>
      <c r="H376" s="1" t="s">
        <v>55</v>
      </c>
      <c r="I376" s="1" t="s">
        <v>121</v>
      </c>
      <c r="J376" s="1" t="s">
        <v>86</v>
      </c>
      <c r="K376" s="1" t="s">
        <v>74</v>
      </c>
      <c r="M376" s="1" t="s">
        <v>58</v>
      </c>
      <c r="N376" s="1" t="s">
        <v>58</v>
      </c>
      <c r="O376" s="1" t="s">
        <v>58</v>
      </c>
      <c r="Q376" s="1" t="s">
        <v>58</v>
      </c>
      <c r="R376" s="1" t="s">
        <v>58</v>
      </c>
      <c r="S376" s="1" t="s">
        <v>58</v>
      </c>
      <c r="T376" s="1" t="s">
        <v>58</v>
      </c>
      <c r="U376" s="1" t="s">
        <v>58</v>
      </c>
      <c r="V376" s="1" t="s">
        <v>58</v>
      </c>
      <c r="W376" s="1" t="s">
        <v>58</v>
      </c>
      <c r="X376" s="1" t="s">
        <v>59</v>
      </c>
      <c r="Y376" s="1" t="s">
        <v>60</v>
      </c>
      <c r="Z376" s="1" t="s">
        <v>61</v>
      </c>
      <c r="AA376" s="2">
        <v>20.0</v>
      </c>
      <c r="AB376" s="1" t="s">
        <v>62</v>
      </c>
      <c r="AC376" s="1" t="s">
        <v>51</v>
      </c>
      <c r="AD376" s="1" t="s">
        <v>59</v>
      </c>
      <c r="AE376" s="1" t="s">
        <v>51</v>
      </c>
      <c r="AF376" s="1" t="s">
        <v>51</v>
      </c>
      <c r="AG376" s="1" t="s">
        <v>51</v>
      </c>
      <c r="AI376" s="2">
        <v>1.0</v>
      </c>
      <c r="AJ376" s="2">
        <v>0.0</v>
      </c>
      <c r="AK376" s="2">
        <v>0.0</v>
      </c>
      <c r="AL376" s="2">
        <v>0.0</v>
      </c>
      <c r="AM376" s="1" t="s">
        <v>51</v>
      </c>
      <c r="AP376" s="2">
        <v>4.90400535E8</v>
      </c>
      <c r="AQ376" s="1" t="s">
        <v>517</v>
      </c>
      <c r="AR376" s="2">
        <v>45809.420636574076</v>
      </c>
      <c r="AU376" s="1" t="s">
        <v>64</v>
      </c>
      <c r="AW376" s="1" t="s">
        <v>513</v>
      </c>
      <c r="AY376" s="2">
        <v>5.0</v>
      </c>
    </row>
    <row r="377">
      <c r="A377" s="1" t="s">
        <v>51</v>
      </c>
      <c r="C377" s="1" t="s">
        <v>151</v>
      </c>
      <c r="E377" s="1" t="s">
        <v>53</v>
      </c>
      <c r="F377" s="1" t="s">
        <v>54</v>
      </c>
      <c r="G377" s="2">
        <v>35.0</v>
      </c>
      <c r="H377" s="1" t="s">
        <v>55</v>
      </c>
      <c r="I377" s="1" t="s">
        <v>67</v>
      </c>
      <c r="J377" s="1" t="s">
        <v>68</v>
      </c>
      <c r="K377" s="1" t="s">
        <v>74</v>
      </c>
      <c r="M377" s="1" t="s">
        <v>58</v>
      </c>
      <c r="N377" s="1" t="s">
        <v>58</v>
      </c>
      <c r="O377" s="1" t="s">
        <v>69</v>
      </c>
      <c r="Q377" s="1" t="s">
        <v>58</v>
      </c>
      <c r="R377" s="1" t="s">
        <v>69</v>
      </c>
      <c r="S377" s="1" t="s">
        <v>69</v>
      </c>
      <c r="T377" s="1" t="s">
        <v>69</v>
      </c>
      <c r="U377" s="1" t="s">
        <v>69</v>
      </c>
      <c r="V377" s="1" t="s">
        <v>69</v>
      </c>
      <c r="W377" s="1" t="s">
        <v>69</v>
      </c>
      <c r="X377" s="1" t="s">
        <v>59</v>
      </c>
      <c r="Y377" s="1" t="s">
        <v>82</v>
      </c>
      <c r="Z377" s="1" t="s">
        <v>89</v>
      </c>
      <c r="AA377" s="2">
        <v>50.0</v>
      </c>
      <c r="AB377" s="1" t="s">
        <v>79</v>
      </c>
      <c r="AC377" s="1" t="s">
        <v>71</v>
      </c>
      <c r="AF377" s="1" t="s">
        <v>51</v>
      </c>
      <c r="AG377" s="1" t="s">
        <v>51</v>
      </c>
      <c r="AH377" s="2">
        <v>10.0</v>
      </c>
      <c r="AI377" s="2">
        <v>1.0</v>
      </c>
      <c r="AJ377" s="2">
        <v>0.0</v>
      </c>
      <c r="AK377" s="2">
        <v>0.0</v>
      </c>
      <c r="AL377" s="2">
        <v>1.0</v>
      </c>
      <c r="AM377" s="1" t="s">
        <v>51</v>
      </c>
      <c r="AN377" s="2">
        <v>6.86703189E8</v>
      </c>
      <c r="AP377" s="2">
        <v>4.90400705E8</v>
      </c>
      <c r="AQ377" s="1" t="s">
        <v>518</v>
      </c>
      <c r="AR377" s="2">
        <v>45809.42101851852</v>
      </c>
      <c r="AU377" s="1" t="s">
        <v>64</v>
      </c>
      <c r="AW377" s="1" t="s">
        <v>513</v>
      </c>
      <c r="AY377" s="2">
        <v>6.0</v>
      </c>
    </row>
    <row r="378">
      <c r="A378" s="1" t="s">
        <v>51</v>
      </c>
      <c r="C378" s="1" t="s">
        <v>151</v>
      </c>
      <c r="E378" s="1" t="s">
        <v>53</v>
      </c>
      <c r="F378" s="1" t="s">
        <v>54</v>
      </c>
      <c r="G378" s="2">
        <v>28.0</v>
      </c>
      <c r="H378" s="1" t="s">
        <v>66</v>
      </c>
      <c r="I378" s="1" t="s">
        <v>100</v>
      </c>
      <c r="J378" s="1" t="s">
        <v>56</v>
      </c>
      <c r="K378" s="1" t="s">
        <v>74</v>
      </c>
      <c r="M378" s="1" t="s">
        <v>58</v>
      </c>
      <c r="N378" s="1" t="s">
        <v>58</v>
      </c>
      <c r="O378" s="1" t="s">
        <v>58</v>
      </c>
      <c r="Q378" s="1" t="s">
        <v>69</v>
      </c>
      <c r="R378" s="1" t="s">
        <v>69</v>
      </c>
      <c r="S378" s="1" t="s">
        <v>69</v>
      </c>
      <c r="T378" s="1" t="s">
        <v>69</v>
      </c>
      <c r="V378" s="1" t="s">
        <v>69</v>
      </c>
      <c r="W378" s="1" t="s">
        <v>69</v>
      </c>
      <c r="X378" s="1" t="s">
        <v>59</v>
      </c>
      <c r="Y378" s="1" t="s">
        <v>82</v>
      </c>
      <c r="Z378" s="1" t="s">
        <v>61</v>
      </c>
      <c r="AA378" s="2">
        <v>50.0</v>
      </c>
      <c r="AB378" s="1" t="s">
        <v>79</v>
      </c>
      <c r="AC378" s="1" t="s">
        <v>71</v>
      </c>
      <c r="AF378" s="1" t="s">
        <v>51</v>
      </c>
      <c r="AG378" s="1" t="s">
        <v>51</v>
      </c>
      <c r="AH378" s="2">
        <v>59.0</v>
      </c>
      <c r="AI378" s="2">
        <v>0.0</v>
      </c>
      <c r="AJ378" s="2">
        <v>0.0</v>
      </c>
      <c r="AK378" s="2">
        <v>0.0</v>
      </c>
      <c r="AL378" s="2">
        <v>1.0</v>
      </c>
      <c r="AM378" s="1" t="s">
        <v>51</v>
      </c>
      <c r="AN378" s="2">
        <v>6.05023987E8</v>
      </c>
      <c r="AP378" s="2">
        <v>4.90403176E8</v>
      </c>
      <c r="AQ378" s="1" t="s">
        <v>519</v>
      </c>
      <c r="AR378" s="2">
        <v>45809.42591435185</v>
      </c>
      <c r="AU378" s="1" t="s">
        <v>64</v>
      </c>
      <c r="AW378" s="1" t="s">
        <v>513</v>
      </c>
      <c r="AY378" s="2">
        <v>7.0</v>
      </c>
    </row>
    <row r="379">
      <c r="A379" s="1" t="s">
        <v>51</v>
      </c>
      <c r="C379" s="1" t="s">
        <v>151</v>
      </c>
      <c r="E379" s="1" t="s">
        <v>53</v>
      </c>
      <c r="F379" s="1" t="s">
        <v>54</v>
      </c>
      <c r="G379" s="2">
        <v>28.0</v>
      </c>
      <c r="H379" s="1" t="s">
        <v>55</v>
      </c>
      <c r="I379" s="1" t="s">
        <v>67</v>
      </c>
      <c r="J379" s="1" t="s">
        <v>111</v>
      </c>
      <c r="K379" s="1" t="s">
        <v>74</v>
      </c>
      <c r="M379" s="1" t="s">
        <v>58</v>
      </c>
      <c r="N379" s="1" t="s">
        <v>58</v>
      </c>
      <c r="O379" s="1" t="s">
        <v>58</v>
      </c>
      <c r="Q379" s="1" t="s">
        <v>58</v>
      </c>
      <c r="R379" s="1" t="s">
        <v>58</v>
      </c>
      <c r="S379" s="1" t="s">
        <v>58</v>
      </c>
      <c r="T379" s="1" t="s">
        <v>58</v>
      </c>
      <c r="U379" s="1" t="s">
        <v>58</v>
      </c>
      <c r="V379" s="1" t="s">
        <v>58</v>
      </c>
      <c r="W379" s="1" t="s">
        <v>58</v>
      </c>
      <c r="X379" s="1" t="s">
        <v>103</v>
      </c>
      <c r="Y379" s="1" t="s">
        <v>82</v>
      </c>
      <c r="Z379" s="1" t="s">
        <v>61</v>
      </c>
      <c r="AA379" s="2">
        <v>50.0</v>
      </c>
      <c r="AB379" s="1" t="s">
        <v>79</v>
      </c>
      <c r="AC379" s="1" t="s">
        <v>51</v>
      </c>
      <c r="AD379" s="1" t="s">
        <v>81</v>
      </c>
      <c r="AE379" s="1" t="s">
        <v>51</v>
      </c>
      <c r="AF379" s="1" t="s">
        <v>51</v>
      </c>
      <c r="AG379" s="1" t="s">
        <v>51</v>
      </c>
      <c r="AH379" s="2">
        <v>300.0</v>
      </c>
      <c r="AI379" s="2">
        <v>0.0</v>
      </c>
      <c r="AJ379" s="2">
        <v>1.0</v>
      </c>
      <c r="AK379" s="2">
        <v>0.0</v>
      </c>
      <c r="AL379" s="2">
        <v>0.0</v>
      </c>
      <c r="AM379" s="1" t="s">
        <v>51</v>
      </c>
      <c r="AN379" s="2">
        <v>6.05023987E8</v>
      </c>
      <c r="AP379" s="2">
        <v>4.90406325E8</v>
      </c>
      <c r="AQ379" s="1" t="s">
        <v>520</v>
      </c>
      <c r="AR379" s="2">
        <v>45809.43239583333</v>
      </c>
      <c r="AU379" s="1" t="s">
        <v>64</v>
      </c>
      <c r="AW379" s="1" t="s">
        <v>513</v>
      </c>
      <c r="AY379" s="2">
        <v>8.0</v>
      </c>
    </row>
    <row r="380">
      <c r="A380" s="1" t="s">
        <v>51</v>
      </c>
      <c r="C380" s="1" t="s">
        <v>151</v>
      </c>
      <c r="E380" s="1" t="s">
        <v>53</v>
      </c>
      <c r="F380" s="1" t="s">
        <v>54</v>
      </c>
      <c r="G380" s="2">
        <v>30.0</v>
      </c>
      <c r="H380" s="1" t="s">
        <v>55</v>
      </c>
      <c r="I380" s="1" t="s">
        <v>76</v>
      </c>
      <c r="J380" s="1" t="s">
        <v>56</v>
      </c>
      <c r="K380" s="1" t="s">
        <v>57</v>
      </c>
      <c r="M380" s="1" t="s">
        <v>58</v>
      </c>
      <c r="N380" s="1" t="s">
        <v>58</v>
      </c>
      <c r="O380" s="1" t="s">
        <v>58</v>
      </c>
      <c r="Q380" s="1" t="s">
        <v>58</v>
      </c>
      <c r="R380" s="1" t="s">
        <v>58</v>
      </c>
      <c r="S380" s="1" t="s">
        <v>58</v>
      </c>
      <c r="T380" s="1" t="s">
        <v>58</v>
      </c>
      <c r="U380" s="1" t="s">
        <v>58</v>
      </c>
      <c r="V380" s="1" t="s">
        <v>58</v>
      </c>
      <c r="W380" s="1" t="s">
        <v>58</v>
      </c>
      <c r="X380" s="1" t="s">
        <v>81</v>
      </c>
      <c r="Y380" s="1" t="s">
        <v>82</v>
      </c>
      <c r="Z380" s="1" t="s">
        <v>61</v>
      </c>
      <c r="AA380" s="2">
        <v>40.0</v>
      </c>
      <c r="AB380" s="1" t="s">
        <v>79</v>
      </c>
      <c r="AC380" s="1" t="s">
        <v>51</v>
      </c>
      <c r="AD380" s="1" t="s">
        <v>81</v>
      </c>
      <c r="AE380" s="1" t="s">
        <v>51</v>
      </c>
      <c r="AF380" s="1" t="s">
        <v>51</v>
      </c>
      <c r="AG380" s="1" t="s">
        <v>51</v>
      </c>
      <c r="AH380" s="2">
        <v>700.0</v>
      </c>
      <c r="AI380" s="2">
        <v>1.0</v>
      </c>
      <c r="AJ380" s="2">
        <v>0.0</v>
      </c>
      <c r="AK380" s="2">
        <v>0.0</v>
      </c>
      <c r="AL380" s="2">
        <v>0.0</v>
      </c>
      <c r="AM380" s="1" t="s">
        <v>51</v>
      </c>
      <c r="AN380" s="2">
        <v>5.932364E7</v>
      </c>
      <c r="AP380" s="2">
        <v>4.90410469E8</v>
      </c>
      <c r="AQ380" s="1" t="s">
        <v>521</v>
      </c>
      <c r="AR380" s="2">
        <v>45809.44119212963</v>
      </c>
      <c r="AU380" s="1" t="s">
        <v>64</v>
      </c>
      <c r="AW380" s="1" t="s">
        <v>513</v>
      </c>
      <c r="AY380" s="2">
        <v>9.0</v>
      </c>
    </row>
    <row r="381">
      <c r="A381" s="1" t="s">
        <v>51</v>
      </c>
      <c r="C381" s="1" t="s">
        <v>53</v>
      </c>
      <c r="E381" s="1" t="s">
        <v>53</v>
      </c>
      <c r="F381" s="1" t="s">
        <v>54</v>
      </c>
      <c r="G381" s="2">
        <v>33.0</v>
      </c>
      <c r="H381" s="1" t="s">
        <v>55</v>
      </c>
      <c r="I381" s="1" t="s">
        <v>121</v>
      </c>
      <c r="J381" s="1" t="s">
        <v>68</v>
      </c>
      <c r="K381" s="1" t="s">
        <v>74</v>
      </c>
      <c r="M381" s="1" t="s">
        <v>58</v>
      </c>
      <c r="N381" s="1" t="s">
        <v>58</v>
      </c>
      <c r="O381" s="1" t="s">
        <v>58</v>
      </c>
      <c r="Q381" s="1" t="s">
        <v>58</v>
      </c>
      <c r="R381" s="1" t="s">
        <v>70</v>
      </c>
      <c r="S381" s="1" t="s">
        <v>70</v>
      </c>
      <c r="T381" s="1" t="s">
        <v>58</v>
      </c>
      <c r="U381" s="1" t="s">
        <v>70</v>
      </c>
      <c r="V381" s="1" t="s">
        <v>58</v>
      </c>
      <c r="W381" s="1" t="s">
        <v>58</v>
      </c>
      <c r="X381" s="1" t="s">
        <v>81</v>
      </c>
      <c r="Y381" s="1" t="s">
        <v>82</v>
      </c>
      <c r="Z381" s="1" t="s">
        <v>89</v>
      </c>
      <c r="AA381" s="2">
        <v>30.0</v>
      </c>
      <c r="AB381" s="1" t="s">
        <v>62</v>
      </c>
      <c r="AC381" s="1" t="s">
        <v>51</v>
      </c>
      <c r="AD381" s="1" t="s">
        <v>81</v>
      </c>
      <c r="AE381" s="1" t="s">
        <v>51</v>
      </c>
      <c r="AF381" s="1" t="s">
        <v>51</v>
      </c>
      <c r="AG381" s="1" t="s">
        <v>51</v>
      </c>
      <c r="AH381" s="2">
        <v>500.0</v>
      </c>
      <c r="AI381" s="2">
        <v>1.0</v>
      </c>
      <c r="AJ381" s="2">
        <v>0.0</v>
      </c>
      <c r="AK381" s="2">
        <v>0.0</v>
      </c>
      <c r="AL381" s="2">
        <v>0.0</v>
      </c>
      <c r="AM381" s="1" t="s">
        <v>51</v>
      </c>
      <c r="AN381" s="2">
        <v>7.2234359E8</v>
      </c>
      <c r="AP381" s="2">
        <v>4.90415914E8</v>
      </c>
      <c r="AQ381" s="1" t="s">
        <v>522</v>
      </c>
      <c r="AR381" s="2">
        <v>45809.453043981484</v>
      </c>
      <c r="AU381" s="1" t="s">
        <v>64</v>
      </c>
      <c r="AW381" s="1" t="s">
        <v>513</v>
      </c>
      <c r="AY381" s="2">
        <v>10.0</v>
      </c>
    </row>
    <row r="382">
      <c r="A382" s="1" t="s">
        <v>51</v>
      </c>
      <c r="C382" s="1" t="s">
        <v>151</v>
      </c>
      <c r="E382" s="1" t="s">
        <v>53</v>
      </c>
      <c r="F382" s="1" t="s">
        <v>54</v>
      </c>
      <c r="G382" s="2">
        <v>38.0</v>
      </c>
      <c r="H382" s="1" t="s">
        <v>66</v>
      </c>
      <c r="I382" s="1" t="s">
        <v>67</v>
      </c>
      <c r="J382" s="1" t="s">
        <v>56</v>
      </c>
      <c r="K382" s="1" t="s">
        <v>78</v>
      </c>
      <c r="M382" s="1" t="s">
        <v>58</v>
      </c>
      <c r="N382" s="1" t="s">
        <v>58</v>
      </c>
      <c r="O382" s="1" t="s">
        <v>58</v>
      </c>
      <c r="Q382" s="1" t="s">
        <v>58</v>
      </c>
      <c r="R382" s="1" t="s">
        <v>70</v>
      </c>
      <c r="S382" s="1" t="s">
        <v>70</v>
      </c>
      <c r="T382" s="1" t="s">
        <v>58</v>
      </c>
      <c r="U382" s="1" t="s">
        <v>70</v>
      </c>
      <c r="V382" s="1" t="s">
        <v>70</v>
      </c>
      <c r="W382" s="1" t="s">
        <v>70</v>
      </c>
      <c r="X382" s="1" t="s">
        <v>88</v>
      </c>
      <c r="Y382" s="1" t="s">
        <v>82</v>
      </c>
      <c r="Z382" s="1" t="s">
        <v>89</v>
      </c>
      <c r="AA382" s="2">
        <v>10.0</v>
      </c>
      <c r="AB382" s="1" t="s">
        <v>79</v>
      </c>
      <c r="AC382" s="1" t="s">
        <v>51</v>
      </c>
      <c r="AD382" s="1" t="s">
        <v>81</v>
      </c>
      <c r="AE382" s="1" t="s">
        <v>51</v>
      </c>
      <c r="AF382" s="1" t="s">
        <v>51</v>
      </c>
      <c r="AG382" s="1" t="s">
        <v>51</v>
      </c>
      <c r="AH382" s="2">
        <v>150000.0</v>
      </c>
      <c r="AI382" s="2">
        <v>1.0</v>
      </c>
      <c r="AJ382" s="2">
        <v>0.0</v>
      </c>
      <c r="AK382" s="2">
        <v>0.0</v>
      </c>
      <c r="AL382" s="2">
        <v>0.0</v>
      </c>
      <c r="AM382" s="1" t="s">
        <v>51</v>
      </c>
      <c r="AN382" s="2">
        <v>7.81882812E8</v>
      </c>
      <c r="AP382" s="2">
        <v>4.90438105E8</v>
      </c>
      <c r="AQ382" s="1" t="s">
        <v>523</v>
      </c>
      <c r="AR382" s="2">
        <v>45809.50146990741</v>
      </c>
      <c r="AU382" s="1" t="s">
        <v>64</v>
      </c>
      <c r="AW382" s="1" t="s">
        <v>513</v>
      </c>
      <c r="AY382" s="2">
        <v>11.0</v>
      </c>
    </row>
    <row r="383">
      <c r="A383" s="1" t="s">
        <v>51</v>
      </c>
      <c r="C383" s="1" t="s">
        <v>151</v>
      </c>
      <c r="E383" s="1" t="s">
        <v>53</v>
      </c>
      <c r="F383" s="1" t="s">
        <v>54</v>
      </c>
      <c r="G383" s="2">
        <v>39.0</v>
      </c>
      <c r="H383" s="1" t="s">
        <v>66</v>
      </c>
      <c r="I383" s="1" t="s">
        <v>100</v>
      </c>
      <c r="J383" s="1" t="s">
        <v>68</v>
      </c>
      <c r="K383" s="1" t="s">
        <v>78</v>
      </c>
      <c r="M383" s="1" t="s">
        <v>58</v>
      </c>
      <c r="N383" s="1" t="s">
        <v>58</v>
      </c>
      <c r="O383" s="1" t="s">
        <v>58</v>
      </c>
      <c r="Q383" s="1" t="s">
        <v>58</v>
      </c>
      <c r="R383" s="1" t="s">
        <v>58</v>
      </c>
      <c r="S383" s="1" t="s">
        <v>58</v>
      </c>
      <c r="T383" s="1" t="s">
        <v>58</v>
      </c>
      <c r="U383" s="1" t="s">
        <v>58</v>
      </c>
      <c r="V383" s="1" t="s">
        <v>58</v>
      </c>
      <c r="W383" s="1" t="s">
        <v>58</v>
      </c>
      <c r="X383" s="1" t="s">
        <v>81</v>
      </c>
      <c r="Y383" s="1" t="s">
        <v>82</v>
      </c>
      <c r="Z383" s="1" t="s">
        <v>89</v>
      </c>
      <c r="AA383" s="2">
        <v>20.0</v>
      </c>
      <c r="AB383" s="1" t="s">
        <v>79</v>
      </c>
      <c r="AC383" s="1" t="s">
        <v>51</v>
      </c>
      <c r="AD383" s="1" t="s">
        <v>81</v>
      </c>
      <c r="AE383" s="1" t="s">
        <v>51</v>
      </c>
      <c r="AF383" s="1" t="s">
        <v>51</v>
      </c>
      <c r="AG383" s="1" t="s">
        <v>51</v>
      </c>
      <c r="AH383" s="2">
        <v>400.0</v>
      </c>
      <c r="AI383" s="2">
        <v>1.0</v>
      </c>
      <c r="AJ383" s="2">
        <v>0.0</v>
      </c>
      <c r="AK383" s="2">
        <v>0.0</v>
      </c>
      <c r="AL383" s="2">
        <v>0.0</v>
      </c>
      <c r="AM383" s="1" t="s">
        <v>51</v>
      </c>
      <c r="AN383" s="2">
        <v>6.34482526E8</v>
      </c>
      <c r="AP383" s="2">
        <v>4.9044075E8</v>
      </c>
      <c r="AQ383" s="1" t="s">
        <v>524</v>
      </c>
      <c r="AR383" s="2">
        <v>45809.506736111114</v>
      </c>
      <c r="AU383" s="1" t="s">
        <v>64</v>
      </c>
      <c r="AW383" s="1" t="s">
        <v>513</v>
      </c>
      <c r="AY383" s="2">
        <v>12.0</v>
      </c>
    </row>
    <row r="384">
      <c r="A384" s="1" t="s">
        <v>51</v>
      </c>
      <c r="C384" s="1" t="s">
        <v>151</v>
      </c>
      <c r="E384" s="1" t="s">
        <v>53</v>
      </c>
      <c r="F384" s="1" t="s">
        <v>54</v>
      </c>
      <c r="G384" s="2">
        <v>33.0</v>
      </c>
      <c r="H384" s="1" t="s">
        <v>66</v>
      </c>
      <c r="I384" s="1" t="s">
        <v>419</v>
      </c>
      <c r="J384" s="1" t="s">
        <v>56</v>
      </c>
      <c r="K384" s="1" t="s">
        <v>57</v>
      </c>
      <c r="M384" s="1" t="s">
        <v>58</v>
      </c>
      <c r="N384" s="1" t="s">
        <v>58</v>
      </c>
      <c r="O384" s="1" t="s">
        <v>69</v>
      </c>
      <c r="Q384" s="1" t="s">
        <v>58</v>
      </c>
      <c r="R384" s="1" t="s">
        <v>58</v>
      </c>
      <c r="S384" s="1" t="s">
        <v>58</v>
      </c>
      <c r="T384" s="1" t="s">
        <v>58</v>
      </c>
      <c r="U384" s="1" t="s">
        <v>58</v>
      </c>
      <c r="V384" s="1" t="s">
        <v>58</v>
      </c>
      <c r="W384" s="1" t="s">
        <v>58</v>
      </c>
      <c r="X384" s="1" t="s">
        <v>59</v>
      </c>
      <c r="Y384" s="1" t="s">
        <v>82</v>
      </c>
      <c r="Z384" s="1" t="s">
        <v>61</v>
      </c>
      <c r="AA384" s="2">
        <v>10.0</v>
      </c>
      <c r="AB384" s="1" t="s">
        <v>62</v>
      </c>
      <c r="AC384" s="1" t="s">
        <v>51</v>
      </c>
      <c r="AD384" s="1" t="s">
        <v>59</v>
      </c>
      <c r="AE384" s="1" t="s">
        <v>51</v>
      </c>
      <c r="AF384" s="1" t="s">
        <v>51</v>
      </c>
      <c r="AG384" s="1" t="s">
        <v>51</v>
      </c>
      <c r="AH384" s="2">
        <v>300.0</v>
      </c>
      <c r="AI384" s="2">
        <v>0.0</v>
      </c>
      <c r="AJ384" s="2">
        <v>1.0</v>
      </c>
      <c r="AK384" s="2">
        <v>0.0</v>
      </c>
      <c r="AL384" s="2">
        <v>0.0</v>
      </c>
      <c r="AM384" s="1" t="s">
        <v>51</v>
      </c>
      <c r="AN384" s="2">
        <v>6.14698223E8</v>
      </c>
      <c r="AP384" s="2">
        <v>4.90444316E8</v>
      </c>
      <c r="AQ384" s="1" t="s">
        <v>525</v>
      </c>
      <c r="AR384" s="2">
        <v>45809.51458333333</v>
      </c>
      <c r="AU384" s="1" t="s">
        <v>64</v>
      </c>
      <c r="AW384" s="1" t="s">
        <v>513</v>
      </c>
      <c r="AY384" s="2">
        <v>13.0</v>
      </c>
    </row>
    <row r="385">
      <c r="A385" s="1" t="s">
        <v>51</v>
      </c>
      <c r="C385" s="1" t="s">
        <v>151</v>
      </c>
      <c r="E385" s="1" t="s">
        <v>53</v>
      </c>
      <c r="F385" s="1" t="s">
        <v>54</v>
      </c>
      <c r="G385" s="2">
        <v>39.0</v>
      </c>
      <c r="H385" s="1" t="s">
        <v>55</v>
      </c>
      <c r="I385" s="1" t="s">
        <v>100</v>
      </c>
      <c r="J385" s="1" t="s">
        <v>56</v>
      </c>
      <c r="K385" s="1" t="s">
        <v>57</v>
      </c>
      <c r="M385" s="1" t="s">
        <v>58</v>
      </c>
      <c r="N385" s="1" t="s">
        <v>58</v>
      </c>
      <c r="O385" s="1" t="s">
        <v>58</v>
      </c>
      <c r="Q385" s="1" t="s">
        <v>58</v>
      </c>
      <c r="R385" s="1" t="s">
        <v>58</v>
      </c>
      <c r="S385" s="1" t="s">
        <v>58</v>
      </c>
      <c r="T385" s="1" t="s">
        <v>58</v>
      </c>
      <c r="U385" s="1" t="s">
        <v>58</v>
      </c>
      <c r="V385" s="1" t="s">
        <v>58</v>
      </c>
      <c r="W385" s="1" t="s">
        <v>58</v>
      </c>
      <c r="X385" s="1" t="s">
        <v>59</v>
      </c>
      <c r="Y385" s="1" t="s">
        <v>82</v>
      </c>
      <c r="Z385" s="1" t="s">
        <v>89</v>
      </c>
      <c r="AA385" s="2">
        <v>10.0</v>
      </c>
      <c r="AB385" s="1" t="s">
        <v>28</v>
      </c>
      <c r="AC385" s="1" t="s">
        <v>51</v>
      </c>
      <c r="AD385" s="1" t="s">
        <v>59</v>
      </c>
      <c r="AE385" s="1" t="s">
        <v>51</v>
      </c>
      <c r="AF385" s="1" t="s">
        <v>51</v>
      </c>
      <c r="AG385" s="1" t="s">
        <v>51</v>
      </c>
      <c r="AH385" s="2">
        <v>200.0</v>
      </c>
      <c r="AI385" s="2">
        <v>1.0</v>
      </c>
      <c r="AJ385" s="2">
        <v>0.0</v>
      </c>
      <c r="AK385" s="2">
        <v>0.0</v>
      </c>
      <c r="AL385" s="2">
        <v>0.0</v>
      </c>
      <c r="AM385" s="1" t="s">
        <v>51</v>
      </c>
      <c r="AN385" s="2">
        <v>7.99866781E8</v>
      </c>
      <c r="AP385" s="2">
        <v>4.90451443E8</v>
      </c>
      <c r="AQ385" s="1" t="s">
        <v>526</v>
      </c>
      <c r="AR385" s="2">
        <v>45809.52954861111</v>
      </c>
      <c r="AU385" s="1" t="s">
        <v>64</v>
      </c>
      <c r="AW385" s="1" t="s">
        <v>513</v>
      </c>
      <c r="AY385" s="2">
        <v>14.0</v>
      </c>
    </row>
    <row r="386">
      <c r="A386" s="1" t="s">
        <v>51</v>
      </c>
      <c r="C386" s="1" t="s">
        <v>151</v>
      </c>
      <c r="E386" s="1" t="s">
        <v>53</v>
      </c>
      <c r="F386" s="1" t="s">
        <v>54</v>
      </c>
      <c r="G386" s="2">
        <v>40.0</v>
      </c>
      <c r="H386" s="1" t="s">
        <v>55</v>
      </c>
      <c r="I386" s="1" t="s">
        <v>100</v>
      </c>
      <c r="J386" s="1" t="s">
        <v>86</v>
      </c>
      <c r="K386" s="1" t="s">
        <v>57</v>
      </c>
      <c r="M386" s="1" t="s">
        <v>58</v>
      </c>
      <c r="N386" s="1" t="s">
        <v>58</v>
      </c>
      <c r="O386" s="1" t="s">
        <v>69</v>
      </c>
      <c r="Q386" s="1" t="s">
        <v>58</v>
      </c>
      <c r="R386" s="1" t="s">
        <v>58</v>
      </c>
      <c r="S386" s="1" t="s">
        <v>69</v>
      </c>
      <c r="T386" s="1" t="s">
        <v>58</v>
      </c>
      <c r="U386" s="1" t="s">
        <v>58</v>
      </c>
      <c r="V386" s="1" t="s">
        <v>58</v>
      </c>
      <c r="W386" s="1" t="s">
        <v>58</v>
      </c>
      <c r="X386" s="1" t="s">
        <v>88</v>
      </c>
      <c r="Y386" s="1" t="s">
        <v>60</v>
      </c>
      <c r="Z386" s="1" t="s">
        <v>61</v>
      </c>
      <c r="AA386" s="2">
        <v>10.0</v>
      </c>
      <c r="AB386" s="1" t="s">
        <v>79</v>
      </c>
      <c r="AC386" s="1" t="s">
        <v>72</v>
      </c>
      <c r="AF386" s="1" t="s">
        <v>51</v>
      </c>
      <c r="AG386" s="1" t="s">
        <v>51</v>
      </c>
      <c r="AH386" s="2">
        <v>200.0</v>
      </c>
      <c r="AI386" s="2">
        <v>1.0</v>
      </c>
      <c r="AJ386" s="2">
        <v>0.0</v>
      </c>
      <c r="AK386" s="2">
        <v>0.0</v>
      </c>
      <c r="AL386" s="2">
        <v>0.0</v>
      </c>
      <c r="AM386" s="1" t="s">
        <v>51</v>
      </c>
      <c r="AN386" s="2">
        <v>7.11230687E8</v>
      </c>
      <c r="AP386" s="2">
        <v>4.90455501E8</v>
      </c>
      <c r="AQ386" s="1" t="s">
        <v>527</v>
      </c>
      <c r="AR386" s="2">
        <v>45809.53716435185</v>
      </c>
      <c r="AU386" s="1" t="s">
        <v>64</v>
      </c>
      <c r="AW386" s="1" t="s">
        <v>513</v>
      </c>
      <c r="AY386" s="2">
        <v>15.0</v>
      </c>
    </row>
    <row r="387">
      <c r="A387" s="1" t="s">
        <v>51</v>
      </c>
      <c r="C387" s="1" t="s">
        <v>151</v>
      </c>
      <c r="E387" s="1" t="s">
        <v>53</v>
      </c>
      <c r="F387" s="1" t="s">
        <v>54</v>
      </c>
      <c r="G387" s="2">
        <v>39.0</v>
      </c>
      <c r="H387" s="1" t="s">
        <v>55</v>
      </c>
      <c r="I387" s="1" t="s">
        <v>100</v>
      </c>
      <c r="J387" s="1" t="s">
        <v>68</v>
      </c>
      <c r="K387" s="1" t="s">
        <v>57</v>
      </c>
      <c r="M387" s="1" t="s">
        <v>58</v>
      </c>
      <c r="N387" s="1" t="s">
        <v>58</v>
      </c>
      <c r="O387" s="1" t="s">
        <v>58</v>
      </c>
      <c r="Q387" s="1" t="s">
        <v>58</v>
      </c>
      <c r="R387" s="1" t="s">
        <v>58</v>
      </c>
      <c r="T387" s="1" t="s">
        <v>58</v>
      </c>
      <c r="U387" s="1" t="s">
        <v>58</v>
      </c>
      <c r="W387" s="1" t="s">
        <v>58</v>
      </c>
      <c r="X387" s="1" t="s">
        <v>81</v>
      </c>
      <c r="Y387" s="1" t="s">
        <v>227</v>
      </c>
      <c r="Z387" s="1" t="s">
        <v>89</v>
      </c>
      <c r="AA387" s="2">
        <v>10.0</v>
      </c>
      <c r="AB387" s="1" t="s">
        <v>62</v>
      </c>
      <c r="AC387" s="1" t="s">
        <v>51</v>
      </c>
      <c r="AD387" s="1" t="s">
        <v>81</v>
      </c>
      <c r="AE387" s="1" t="s">
        <v>51</v>
      </c>
      <c r="AF387" s="1" t="s">
        <v>72</v>
      </c>
      <c r="AG387" s="1" t="s">
        <v>72</v>
      </c>
      <c r="AI387" s="2">
        <v>0.0</v>
      </c>
      <c r="AJ387" s="2">
        <v>0.0</v>
      </c>
      <c r="AK387" s="2">
        <v>0.0</v>
      </c>
      <c r="AL387" s="2">
        <v>1.0</v>
      </c>
      <c r="AM387" s="1" t="s">
        <v>51</v>
      </c>
      <c r="AN387" s="2">
        <v>7.93682104E8</v>
      </c>
      <c r="AP387" s="2">
        <v>4.90459871E8</v>
      </c>
      <c r="AQ387" s="1" t="s">
        <v>528</v>
      </c>
      <c r="AR387" s="2">
        <v>45809.54628472222</v>
      </c>
      <c r="AU387" s="1" t="s">
        <v>64</v>
      </c>
      <c r="AW387" s="1" t="s">
        <v>513</v>
      </c>
      <c r="AY387" s="2">
        <v>16.0</v>
      </c>
    </row>
    <row r="388">
      <c r="A388" s="1" t="s">
        <v>51</v>
      </c>
      <c r="C388" s="1" t="s">
        <v>151</v>
      </c>
      <c r="E388" s="1" t="s">
        <v>53</v>
      </c>
      <c r="F388" s="1" t="s">
        <v>54</v>
      </c>
      <c r="G388" s="2">
        <v>35.0</v>
      </c>
      <c r="H388" s="1" t="s">
        <v>55</v>
      </c>
      <c r="I388" s="1" t="s">
        <v>67</v>
      </c>
      <c r="J388" s="1" t="s">
        <v>86</v>
      </c>
      <c r="K388" s="1" t="s">
        <v>74</v>
      </c>
      <c r="M388" s="1" t="s">
        <v>58</v>
      </c>
      <c r="N388" s="1" t="s">
        <v>58</v>
      </c>
      <c r="O388" s="1" t="s">
        <v>58</v>
      </c>
      <c r="Q388" s="1" t="s">
        <v>58</v>
      </c>
      <c r="R388" s="1" t="s">
        <v>58</v>
      </c>
      <c r="S388" s="1" t="s">
        <v>58</v>
      </c>
      <c r="T388" s="1" t="s">
        <v>58</v>
      </c>
      <c r="U388" s="1" t="s">
        <v>58</v>
      </c>
      <c r="V388" s="1" t="s">
        <v>58</v>
      </c>
      <c r="W388" s="1" t="s">
        <v>58</v>
      </c>
      <c r="X388" s="1" t="s">
        <v>59</v>
      </c>
      <c r="Y388" s="1" t="s">
        <v>60</v>
      </c>
      <c r="Z388" s="1" t="s">
        <v>61</v>
      </c>
      <c r="AA388" s="2">
        <v>10.0</v>
      </c>
      <c r="AB388" s="1" t="s">
        <v>79</v>
      </c>
      <c r="AC388" s="1" t="s">
        <v>51</v>
      </c>
      <c r="AD388" s="1" t="s">
        <v>59</v>
      </c>
      <c r="AE388" s="1" t="s">
        <v>51</v>
      </c>
      <c r="AF388" s="1" t="s">
        <v>51</v>
      </c>
      <c r="AG388" s="1" t="s">
        <v>51</v>
      </c>
      <c r="AH388" s="2">
        <v>500.0</v>
      </c>
      <c r="AI388" s="2">
        <v>1.0</v>
      </c>
      <c r="AJ388" s="2">
        <v>0.0</v>
      </c>
      <c r="AK388" s="2">
        <v>0.0</v>
      </c>
      <c r="AL388" s="2">
        <v>0.0</v>
      </c>
      <c r="AM388" s="1" t="s">
        <v>51</v>
      </c>
      <c r="AN388" s="2">
        <v>6.47722465E8</v>
      </c>
      <c r="AP388" s="2">
        <v>4.90464896E8</v>
      </c>
      <c r="AQ388" s="1" t="s">
        <v>529</v>
      </c>
      <c r="AR388" s="2">
        <v>45809.55693287037</v>
      </c>
      <c r="AU388" s="1" t="s">
        <v>64</v>
      </c>
      <c r="AW388" s="1" t="s">
        <v>513</v>
      </c>
      <c r="AY388" s="2">
        <v>17.0</v>
      </c>
    </row>
  </sheetData>
  <drawing r:id="rId1"/>
</worksheet>
</file>