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Data/Analysis/Dams/Data/"/>
    </mc:Choice>
  </mc:AlternateContent>
  <xr:revisionPtr revIDLastSave="0" documentId="8_{A56F0A30-5A78-D44C-A0D6-89BCDE6CE27F}" xr6:coauthVersionLast="45" xr6:coauthVersionMax="45" xr10:uidLastSave="{00000000-0000-0000-0000-000000000000}"/>
  <bookViews>
    <workbookView xWindow="2200" yWindow="1960" windowWidth="23320" windowHeight="13500" xr2:uid="{48FCB959-E58A-3D47-9BE5-89146B899818}"/>
  </bookViews>
  <sheets>
    <sheet name="PD_2018-05-08" sheetId="1" r:id="rId1"/>
    <sheet name="IP_2018-05-0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D24" i="2"/>
  <c r="F15" i="2"/>
  <c r="F16" i="2"/>
  <c r="M9" i="2"/>
  <c r="M11" i="2" s="1"/>
  <c r="M4" i="2"/>
  <c r="M5" i="2" s="1"/>
  <c r="P34" i="2"/>
  <c r="P33" i="2"/>
  <c r="F15" i="1"/>
  <c r="F16" i="1"/>
  <c r="M11" i="1"/>
  <c r="M9" i="1"/>
  <c r="M4" i="1"/>
  <c r="M3" i="1"/>
  <c r="M5" i="1" s="1"/>
  <c r="P34" i="1"/>
  <c r="P35" i="1"/>
  <c r="P33" i="1"/>
  <c r="G4" i="2"/>
  <c r="L9" i="2"/>
  <c r="K9" i="2"/>
  <c r="J9" i="2"/>
  <c r="I9" i="2"/>
  <c r="H9" i="2"/>
  <c r="G9" i="2"/>
  <c r="F9" i="2"/>
  <c r="O34" i="2"/>
  <c r="M34" i="2"/>
  <c r="N34" i="2" s="1"/>
  <c r="K34" i="2"/>
  <c r="I34" i="2"/>
  <c r="J34" i="2" s="1"/>
  <c r="C34" i="2"/>
  <c r="O33" i="2"/>
  <c r="M33" i="2"/>
  <c r="N33" i="2" s="1"/>
  <c r="K33" i="2"/>
  <c r="I33" i="2"/>
  <c r="J33" i="2" s="1"/>
  <c r="C33" i="2"/>
  <c r="L30" i="2"/>
  <c r="B15" i="2"/>
  <c r="B14" i="2"/>
  <c r="F18" i="2" l="1"/>
  <c r="F19" i="2" s="1"/>
  <c r="F18" i="1"/>
  <c r="F19" i="1" s="1"/>
  <c r="K4" i="2"/>
  <c r="K5" i="2" s="1"/>
  <c r="F4" i="2"/>
  <c r="F5" i="2" s="1"/>
  <c r="H4" i="2"/>
  <c r="H5" i="2" s="1"/>
  <c r="I4" i="2"/>
  <c r="I5" i="2" s="1"/>
  <c r="L4" i="2"/>
  <c r="L5" i="2" s="1"/>
  <c r="J4" i="2"/>
  <c r="J5" i="2" s="1"/>
  <c r="J11" i="2" s="1"/>
  <c r="G5" i="2"/>
  <c r="O34" i="1"/>
  <c r="O35" i="1"/>
  <c r="O33" i="1"/>
  <c r="M34" i="1"/>
  <c r="M35" i="1"/>
  <c r="M33" i="1"/>
  <c r="K34" i="1"/>
  <c r="K35" i="1"/>
  <c r="K33" i="1"/>
  <c r="I34" i="1"/>
  <c r="I35" i="1"/>
  <c r="I33" i="1"/>
  <c r="L11" i="2" l="1"/>
  <c r="G11" i="2"/>
  <c r="I11" i="2"/>
  <c r="K11" i="2"/>
  <c r="H11" i="2"/>
  <c r="F11" i="2"/>
  <c r="L9" i="1"/>
  <c r="L30" i="1"/>
  <c r="N34" i="1"/>
  <c r="N35" i="1"/>
  <c r="N33" i="1"/>
  <c r="J34" i="1"/>
  <c r="J35" i="1"/>
  <c r="J33" i="1"/>
  <c r="C35" i="1"/>
  <c r="C34" i="1"/>
  <c r="F4" i="1" s="1"/>
  <c r="C33" i="1"/>
  <c r="F9" i="1" s="1"/>
  <c r="B16" i="1"/>
  <c r="B15" i="1"/>
  <c r="B14" i="1"/>
  <c r="L3" i="1" l="1"/>
  <c r="J3" i="1"/>
  <c r="G3" i="1"/>
  <c r="K3" i="1"/>
  <c r="K5" i="1" s="1"/>
  <c r="K11" i="1" s="1"/>
  <c r="H3" i="1"/>
  <c r="I3" i="1"/>
  <c r="G4" i="1"/>
  <c r="K4" i="1"/>
  <c r="H4" i="1"/>
  <c r="I4" i="1"/>
  <c r="L4" i="1"/>
  <c r="J4" i="1"/>
  <c r="F3" i="1"/>
  <c r="F5" i="1" s="1"/>
  <c r="H9" i="1"/>
  <c r="I9" i="1"/>
  <c r="J9" i="1"/>
  <c r="G9" i="1"/>
  <c r="K9" i="1"/>
  <c r="G5" i="1" l="1"/>
  <c r="G11" i="1" s="1"/>
  <c r="J5" i="1"/>
  <c r="J11" i="1" s="1"/>
  <c r="I5" i="1"/>
  <c r="I11" i="1" s="1"/>
  <c r="F11" i="1"/>
  <c r="H5" i="1"/>
  <c r="H11" i="1" s="1"/>
  <c r="L5" i="1"/>
  <c r="L11" i="1" s="1"/>
</calcChain>
</file>

<file path=xl/sharedStrings.xml><?xml version="1.0" encoding="utf-8"?>
<sst xmlns="http://schemas.openxmlformats.org/spreadsheetml/2006/main" count="144" uniqueCount="47">
  <si>
    <t>Site</t>
  </si>
  <si>
    <t>PD</t>
  </si>
  <si>
    <t>Date</t>
  </si>
  <si>
    <t>PD_UP</t>
  </si>
  <si>
    <t>WB</t>
  </si>
  <si>
    <t>NH4 (mg/L)</t>
  </si>
  <si>
    <t>NO3 (mg/L)</t>
  </si>
  <si>
    <t>DON (mg/L)</t>
  </si>
  <si>
    <t>N2 (mM)</t>
  </si>
  <si>
    <t>Catchment Areas (km2)</t>
  </si>
  <si>
    <t>USGS_Gage</t>
  </si>
  <si>
    <t>Discharge (m3/s)</t>
  </si>
  <si>
    <t>Molar Masses (g/mol)</t>
  </si>
  <si>
    <t>N2</t>
  </si>
  <si>
    <t>N</t>
  </si>
  <si>
    <t>N Concentrations</t>
  </si>
  <si>
    <t>N2O (mM)</t>
  </si>
  <si>
    <t>TDN (mg/L)</t>
  </si>
  <si>
    <t>DIN (mg/L)</t>
  </si>
  <si>
    <t>NH4 (ug/L)</t>
  </si>
  <si>
    <t>N2O</t>
  </si>
  <si>
    <t>N2O-N (mM)</t>
  </si>
  <si>
    <t>N2O-N (mg/L)</t>
  </si>
  <si>
    <t>N2-N (mM)</t>
  </si>
  <si>
    <t>N2-N (mg/L)</t>
  </si>
  <si>
    <t>Calculated Removal</t>
  </si>
  <si>
    <t>NH4</t>
  </si>
  <si>
    <t>NO3</t>
  </si>
  <si>
    <t>TDN</t>
  </si>
  <si>
    <t>DIN</t>
  </si>
  <si>
    <t>DON</t>
  </si>
  <si>
    <t>Nitrogen Budget/Mass Balance</t>
  </si>
  <si>
    <t>N2O-N</t>
  </si>
  <si>
    <t>N2-N</t>
  </si>
  <si>
    <t>Sum</t>
  </si>
  <si>
    <t>Difference (in-out)</t>
  </si>
  <si>
    <t>Inputs (kg/d)</t>
  </si>
  <si>
    <t>Output (kg/d)</t>
  </si>
  <si>
    <t>Total Inputs (kg/d)</t>
  </si>
  <si>
    <t>Total Outputs (kg/d)</t>
  </si>
  <si>
    <t>kg N/day produced (not accounting for degassing of N2O-N or N2-N)</t>
  </si>
  <si>
    <t>+ = removal</t>
  </si>
  <si>
    <t>- = production</t>
  </si>
  <si>
    <t>IP</t>
  </si>
  <si>
    <t>IP04_UP</t>
  </si>
  <si>
    <t>IP04</t>
  </si>
  <si>
    <t>N2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</si>
</sst>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2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quotePrefix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4570-5E5F-2A47-B6F6-1BC750EAB012}">
  <dimension ref="A1:P35"/>
  <sheetViews>
    <sheetView tabSelected="1" topLeftCell="A2" workbookViewId="0">
      <selection activeCell="D25" sqref="D25"/>
    </sheetView>
  </sheetViews>
  <sheetFormatPr baseColWidth="10" defaultRowHeight="16"/>
  <cols>
    <col min="1" max="1" width="21" customWidth="1"/>
    <col min="5" max="5" width="18.1640625" bestFit="1" customWidth="1"/>
  </cols>
  <sheetData>
    <row r="1" spans="1:13" ht="17" thickBot="1">
      <c r="A1" t="s">
        <v>31</v>
      </c>
    </row>
    <row r="2" spans="1:13">
      <c r="E2" s="13" t="s">
        <v>36</v>
      </c>
      <c r="F2" s="14" t="s">
        <v>26</v>
      </c>
      <c r="G2" s="14" t="s">
        <v>27</v>
      </c>
      <c r="H2" s="4" t="s">
        <v>28</v>
      </c>
      <c r="I2" s="4" t="s">
        <v>29</v>
      </c>
      <c r="J2" s="14" t="s">
        <v>30</v>
      </c>
      <c r="K2" s="14" t="s">
        <v>32</v>
      </c>
      <c r="L2" s="15" t="s">
        <v>33</v>
      </c>
      <c r="M2" s="15" t="s">
        <v>33</v>
      </c>
    </row>
    <row r="3" spans="1:13">
      <c r="A3" t="s">
        <v>0</v>
      </c>
      <c r="B3" t="s">
        <v>1</v>
      </c>
      <c r="E3" s="9" t="s">
        <v>3</v>
      </c>
      <c r="F3" s="7">
        <f>(C35*($B$14*1000)*86400)/1000</f>
        <v>1842.1002539979024</v>
      </c>
      <c r="G3" s="7">
        <f t="shared" ref="G3:J3" si="0">(D35*($B$14*1000)*86400)/1000</f>
        <v>1261.070270004305</v>
      </c>
      <c r="H3" s="7">
        <f t="shared" si="0"/>
        <v>53200.496955374372</v>
      </c>
      <c r="I3" s="7">
        <f t="shared" si="0"/>
        <v>3103.1704907432113</v>
      </c>
      <c r="J3" s="7">
        <f t="shared" si="0"/>
        <v>50097.326464631165</v>
      </c>
      <c r="K3" s="7">
        <f>(K35*($B$14*1000)*86400)/1000</f>
        <v>31741.44211724864</v>
      </c>
      <c r="L3" s="8">
        <f>(O35*($B$14*1000)*86400)/1000</f>
        <v>3880052.3500644742</v>
      </c>
      <c r="M3" s="8">
        <f>(P35*($B$14*1000)*86400)/1000</f>
        <v>1940026.1750322371</v>
      </c>
    </row>
    <row r="4" spans="1:13">
      <c r="A4" t="s">
        <v>2</v>
      </c>
      <c r="B4" s="1">
        <v>43228</v>
      </c>
      <c r="E4" s="9" t="s">
        <v>4</v>
      </c>
      <c r="F4" s="7">
        <f>(C34*($B$15*1000)*86400)/1000</f>
        <v>346.8290159119129</v>
      </c>
      <c r="G4" s="7">
        <f t="shared" ref="G4:J4" si="1">(D34*($B$15*1000)*86400)/1000</f>
        <v>15657.702442924405</v>
      </c>
      <c r="H4" s="7">
        <f t="shared" si="1"/>
        <v>16925.971295226464</v>
      </c>
      <c r="I4" s="7">
        <f t="shared" si="1"/>
        <v>16004.531464210302</v>
      </c>
      <c r="J4" s="7">
        <f t="shared" si="1"/>
        <v>921.4398310161622</v>
      </c>
      <c r="K4" s="7">
        <f>(K34*($B$15*1000)*86400)/1000</f>
        <v>5149.3690397087348</v>
      </c>
      <c r="L4" s="8">
        <f>(O34*($B$15*1000)*86400)/1000</f>
        <v>466257.34573469765</v>
      </c>
      <c r="M4" s="8">
        <f>(P34*($B$15*1000)*86400)/1000</f>
        <v>233128.67286734883</v>
      </c>
    </row>
    <row r="5" spans="1:13">
      <c r="B5" s="1"/>
      <c r="E5" s="5" t="s">
        <v>34</v>
      </c>
      <c r="F5" s="6">
        <f t="shared" ref="F5:M5" si="2">SUM(F3:F4)</f>
        <v>2188.9292699098155</v>
      </c>
      <c r="G5" s="6">
        <f t="shared" si="2"/>
        <v>16918.772712928709</v>
      </c>
      <c r="H5" s="6">
        <f t="shared" si="2"/>
        <v>70126.468250600839</v>
      </c>
      <c r="I5" s="6">
        <f t="shared" si="2"/>
        <v>19107.701954953514</v>
      </c>
      <c r="J5" s="6">
        <f t="shared" si="2"/>
        <v>51018.766295647329</v>
      </c>
      <c r="K5" s="6">
        <f t="shared" si="2"/>
        <v>36890.811156957374</v>
      </c>
      <c r="L5" s="16">
        <f t="shared" si="2"/>
        <v>4346309.6957991719</v>
      </c>
      <c r="M5" s="16">
        <f t="shared" si="2"/>
        <v>2173154.847899586</v>
      </c>
    </row>
    <row r="6" spans="1:13">
      <c r="A6" s="2" t="s">
        <v>9</v>
      </c>
      <c r="B6" s="1"/>
      <c r="E6" s="9"/>
      <c r="F6" s="7"/>
      <c r="G6" s="7"/>
      <c r="H6" s="7"/>
      <c r="I6" s="7"/>
      <c r="J6" s="7"/>
      <c r="K6" s="7"/>
      <c r="L6" s="8"/>
    </row>
    <row r="7" spans="1:13">
      <c r="A7" t="s">
        <v>10</v>
      </c>
      <c r="B7">
        <v>55.16675</v>
      </c>
      <c r="E7" s="9"/>
      <c r="F7" s="7"/>
      <c r="G7" s="7"/>
      <c r="H7" s="7"/>
      <c r="I7" s="7"/>
      <c r="J7" s="7"/>
      <c r="K7" s="7"/>
      <c r="L7" s="8"/>
    </row>
    <row r="8" spans="1:13">
      <c r="A8" t="s">
        <v>3</v>
      </c>
      <c r="B8">
        <v>55.7</v>
      </c>
      <c r="E8" s="5" t="s">
        <v>37</v>
      </c>
      <c r="F8" s="6" t="s">
        <v>26</v>
      </c>
      <c r="G8" s="6" t="s">
        <v>27</v>
      </c>
      <c r="H8" s="7" t="s">
        <v>28</v>
      </c>
      <c r="I8" s="7" t="s">
        <v>29</v>
      </c>
      <c r="J8" s="6" t="s">
        <v>30</v>
      </c>
      <c r="K8" s="6" t="s">
        <v>32</v>
      </c>
      <c r="L8" s="16" t="s">
        <v>33</v>
      </c>
      <c r="M8" s="16" t="s">
        <v>33</v>
      </c>
    </row>
    <row r="9" spans="1:13">
      <c r="A9" t="s">
        <v>4</v>
      </c>
      <c r="B9">
        <v>6</v>
      </c>
      <c r="E9" s="9" t="s">
        <v>1</v>
      </c>
      <c r="F9" s="7">
        <f>(C33*($B$16*1000)*86400)/1000</f>
        <v>3144.0108082816664</v>
      </c>
      <c r="G9" s="7">
        <f t="shared" ref="G9:J9" si="3">(D33*($B$16*1000)*86400)/1000</f>
        <v>6422.8077539256874</v>
      </c>
      <c r="H9" s="7">
        <f t="shared" si="3"/>
        <v>61792.625626496614</v>
      </c>
      <c r="I9" s="7">
        <f t="shared" si="3"/>
        <v>9566.8185717461783</v>
      </c>
      <c r="J9" s="7">
        <f t="shared" si="3"/>
        <v>52225.807054750432</v>
      </c>
      <c r="K9" s="7">
        <f>(K33*($B$16*1000)*86400)/1000</f>
        <v>35106.67218752177</v>
      </c>
      <c r="L9" s="8">
        <f>(O33*($B$16*1000)*86400)/1000</f>
        <v>4780953.6871141335</v>
      </c>
      <c r="M9" s="8">
        <f>(P33*($B$16*1000)*86400)/1000</f>
        <v>2390476.8435570667</v>
      </c>
    </row>
    <row r="10" spans="1:13">
      <c r="A10" t="s">
        <v>1</v>
      </c>
      <c r="B10">
        <v>63.9</v>
      </c>
      <c r="E10" s="9"/>
      <c r="F10" s="7"/>
      <c r="G10" s="7"/>
      <c r="H10" s="7"/>
      <c r="I10" s="7"/>
      <c r="J10" s="7"/>
      <c r="K10" s="7"/>
      <c r="L10" s="8"/>
    </row>
    <row r="11" spans="1:13">
      <c r="E11" s="5" t="s">
        <v>35</v>
      </c>
      <c r="F11" s="7">
        <f>F5-F9</f>
        <v>-955.08153837185091</v>
      </c>
      <c r="G11" s="7">
        <f t="shared" ref="G11:K11" si="4">G5-G9</f>
        <v>10495.96495900302</v>
      </c>
      <c r="H11" s="7">
        <f t="shared" si="4"/>
        <v>8333.8426241042253</v>
      </c>
      <c r="I11" s="7">
        <f t="shared" si="4"/>
        <v>9540.883383207336</v>
      </c>
      <c r="J11" s="7">
        <f t="shared" si="4"/>
        <v>-1207.0407591031035</v>
      </c>
      <c r="K11" s="7">
        <f t="shared" si="4"/>
        <v>1784.1389694356039</v>
      </c>
      <c r="L11" s="8">
        <f>(L5-L9)</f>
        <v>-434643.99131496157</v>
      </c>
      <c r="M11" s="8">
        <f>(M5-M9)</f>
        <v>-217321.99565748079</v>
      </c>
    </row>
    <row r="12" spans="1:13">
      <c r="A12" s="2" t="s">
        <v>11</v>
      </c>
      <c r="E12" s="17" t="s">
        <v>41</v>
      </c>
      <c r="F12" s="7"/>
      <c r="G12" s="7"/>
      <c r="H12" s="7"/>
      <c r="I12" s="7"/>
      <c r="J12" s="7"/>
      <c r="K12" s="7"/>
      <c r="L12" s="8"/>
    </row>
    <row r="13" spans="1:13">
      <c r="A13" t="s">
        <v>10</v>
      </c>
      <c r="B13">
        <v>1.58857</v>
      </c>
      <c r="E13" s="17" t="s">
        <v>42</v>
      </c>
      <c r="F13" s="7"/>
      <c r="G13" s="7"/>
      <c r="H13" s="7"/>
      <c r="I13" s="7"/>
      <c r="J13" s="7"/>
      <c r="K13" s="7"/>
      <c r="L13" s="8"/>
    </row>
    <row r="14" spans="1:13">
      <c r="A14" t="s">
        <v>3</v>
      </c>
      <c r="B14">
        <f>(B8/B7)*B13</f>
        <v>1.6039253535870792</v>
      </c>
      <c r="E14" s="9"/>
      <c r="F14" s="7"/>
      <c r="G14" s="7"/>
      <c r="H14" s="7"/>
      <c r="I14" s="7"/>
      <c r="J14" s="7"/>
      <c r="K14" s="7"/>
      <c r="L14" s="8"/>
    </row>
    <row r="15" spans="1:13">
      <c r="A15" t="s">
        <v>4</v>
      </c>
      <c r="B15">
        <f>(B9/B7)*B13</f>
        <v>0.17277472390525089</v>
      </c>
      <c r="E15" s="5" t="s">
        <v>38</v>
      </c>
      <c r="F15" s="7">
        <f>SUM(F5,G5,J5,K5,M5)</f>
        <v>2280172.1273350292</v>
      </c>
      <c r="G15" s="7"/>
      <c r="H15" s="7"/>
      <c r="I15" s="7"/>
      <c r="J15" s="7"/>
      <c r="K15" s="7"/>
      <c r="L15" s="8"/>
    </row>
    <row r="16" spans="1:13">
      <c r="A16" t="s">
        <v>1</v>
      </c>
      <c r="B16">
        <f>(B10/B7)*B13</f>
        <v>1.840050809590922</v>
      </c>
      <c r="E16" s="5" t="s">
        <v>39</v>
      </c>
      <c r="F16" s="7">
        <f>SUM(F9,G9,J9,K9,M9)</f>
        <v>2487376.1413615462</v>
      </c>
      <c r="G16" s="7"/>
      <c r="H16" s="7"/>
      <c r="I16" s="7"/>
      <c r="J16" s="7"/>
      <c r="K16" s="7"/>
      <c r="L16" s="8"/>
    </row>
    <row r="17" spans="1:16">
      <c r="E17" s="9"/>
      <c r="F17" s="7"/>
      <c r="G17" s="7"/>
      <c r="H17" s="7"/>
      <c r="I17" s="7"/>
      <c r="J17" s="7"/>
      <c r="K17" s="7"/>
      <c r="L17" s="8"/>
    </row>
    <row r="18" spans="1:16" ht="17" thickBot="1">
      <c r="A18" s="2" t="s">
        <v>12</v>
      </c>
      <c r="E18" s="10" t="s">
        <v>35</v>
      </c>
      <c r="F18" s="11">
        <f>F15-F16</f>
        <v>-207204.01402651705</v>
      </c>
      <c r="G18" s="11" t="s">
        <v>40</v>
      </c>
      <c r="H18" s="11"/>
      <c r="I18" s="11"/>
      <c r="J18" s="11"/>
      <c r="K18" s="11"/>
      <c r="L18" s="12"/>
    </row>
    <row r="19" spans="1:16">
      <c r="A19" t="s">
        <v>14</v>
      </c>
      <c r="B19">
        <v>14.007</v>
      </c>
      <c r="F19">
        <f>(F18/F15)*100</f>
        <v>-9.0872093182144322</v>
      </c>
    </row>
    <row r="20" spans="1:16">
      <c r="A20" s="3" t="s">
        <v>13</v>
      </c>
      <c r="B20">
        <v>28.013400000000001</v>
      </c>
    </row>
    <row r="21" spans="1:16">
      <c r="A21" s="3" t="s">
        <v>20</v>
      </c>
      <c r="B21">
        <v>44.012999999999998</v>
      </c>
    </row>
    <row r="23" spans="1:16">
      <c r="A23" s="2" t="s">
        <v>25</v>
      </c>
    </row>
    <row r="24" spans="1:16">
      <c r="A24" t="s">
        <v>26</v>
      </c>
      <c r="B24">
        <v>0.43632359999999998</v>
      </c>
      <c r="D24">
        <f>(F5-F9)/F5</f>
        <v>-0.43632361789890112</v>
      </c>
    </row>
    <row r="25" spans="1:16">
      <c r="A25" t="s">
        <v>27</v>
      </c>
      <c r="B25">
        <v>0.62037390000000003</v>
      </c>
    </row>
    <row r="26" spans="1:16">
      <c r="A26" t="s">
        <v>28</v>
      </c>
      <c r="B26">
        <v>0.11884019</v>
      </c>
    </row>
    <row r="27" spans="1:16">
      <c r="A27" t="s">
        <v>29</v>
      </c>
      <c r="B27">
        <v>0.49932130000000002</v>
      </c>
    </row>
    <row r="28" spans="1:16">
      <c r="A28" t="s">
        <v>30</v>
      </c>
      <c r="B28">
        <v>2.3658760000000001E-2</v>
      </c>
    </row>
    <row r="29" spans="1:16">
      <c r="A29" t="s">
        <v>20</v>
      </c>
      <c r="B29">
        <v>4.8362697000000003E-2</v>
      </c>
    </row>
    <row r="30" spans="1:16">
      <c r="A30" t="s">
        <v>13</v>
      </c>
      <c r="B30">
        <v>-0.10000299999999999</v>
      </c>
      <c r="L30">
        <f>L33*0.05*28.0134</f>
        <v>1.5035977993416301</v>
      </c>
    </row>
    <row r="32" spans="1:16">
      <c r="A32" s="2" t="s">
        <v>15</v>
      </c>
      <c r="B32" t="s">
        <v>19</v>
      </c>
      <c r="C32" t="s">
        <v>5</v>
      </c>
      <c r="D32" t="s">
        <v>6</v>
      </c>
      <c r="E32" t="s">
        <v>17</v>
      </c>
      <c r="F32" t="s">
        <v>18</v>
      </c>
      <c r="G32" t="s">
        <v>7</v>
      </c>
      <c r="H32" t="s">
        <v>16</v>
      </c>
      <c r="I32" t="s">
        <v>21</v>
      </c>
      <c r="J32" t="s">
        <v>22</v>
      </c>
      <c r="K32" s="2" t="s">
        <v>22</v>
      </c>
      <c r="L32" t="s">
        <v>8</v>
      </c>
      <c r="M32" t="s">
        <v>23</v>
      </c>
      <c r="N32" t="s">
        <v>24</v>
      </c>
      <c r="O32" s="2" t="s">
        <v>24</v>
      </c>
      <c r="P32" t="s">
        <v>46</v>
      </c>
    </row>
    <row r="33" spans="1:16">
      <c r="A33" t="s">
        <v>1</v>
      </c>
      <c r="B33">
        <v>19.776091940000001</v>
      </c>
      <c r="C33">
        <f>B33/1000</f>
        <v>1.9776091940000001E-2</v>
      </c>
      <c r="D33">
        <v>4.0399999999999998E-2</v>
      </c>
      <c r="E33">
        <v>0.38868080300000002</v>
      </c>
      <c r="F33">
        <v>6.0176092E-2</v>
      </c>
      <c r="G33">
        <v>0.328504711</v>
      </c>
      <c r="H33">
        <v>2.4768906E-2</v>
      </c>
      <c r="I33">
        <f>(($B$19*2)/$B$21)*H33</f>
        <v>1.5765254190443733E-2</v>
      </c>
      <c r="J33">
        <f>I33*$B$19</f>
        <v>0.22082391544554536</v>
      </c>
      <c r="K33">
        <f>((($B$19*2)/$B$21)*H33)*$B$19</f>
        <v>0.22082391544554536</v>
      </c>
      <c r="L33">
        <v>1.073484689</v>
      </c>
      <c r="M33">
        <f>L33*2</f>
        <v>2.1469693780000001</v>
      </c>
      <c r="N33">
        <f>M33*$B$19</f>
        <v>30.072600077646001</v>
      </c>
      <c r="O33">
        <f>(L33*2)*$B$19</f>
        <v>30.072600077646001</v>
      </c>
      <c r="P33">
        <f>(L33)*$B$19</f>
        <v>15.036300038823001</v>
      </c>
    </row>
    <row r="34" spans="1:16">
      <c r="A34" t="s">
        <v>4</v>
      </c>
      <c r="B34">
        <v>23.233865640000001</v>
      </c>
      <c r="C34">
        <f>B34/1000</f>
        <v>2.323386564E-2</v>
      </c>
      <c r="D34">
        <v>1.0488999999999999</v>
      </c>
      <c r="E34">
        <v>1.133860562</v>
      </c>
      <c r="F34">
        <v>1.0721338659999999</v>
      </c>
      <c r="G34">
        <v>6.1726696000000025E-2</v>
      </c>
      <c r="H34">
        <v>3.8691965000000002E-2</v>
      </c>
      <c r="I34">
        <f t="shared" ref="I34:I35" si="5">(($B$19*2)/$B$21)*H34</f>
        <v>2.4627194408697432E-2</v>
      </c>
      <c r="J34">
        <f t="shared" ref="J34:J35" si="6">I34*$B$19</f>
        <v>0.34495311208262491</v>
      </c>
      <c r="K34">
        <f t="shared" ref="K34:K35" si="7">((($B$19*2)/$B$21)*H34)*$B$19</f>
        <v>0.34495311208262491</v>
      </c>
      <c r="L34">
        <v>1.1149531340000001</v>
      </c>
      <c r="M34">
        <f t="shared" ref="M34:M35" si="8">L34*2</f>
        <v>2.2299062680000001</v>
      </c>
      <c r="N34">
        <f t="shared" ref="N34:N35" si="9">M34*$B$19</f>
        <v>31.234297095876002</v>
      </c>
      <c r="O34">
        <f t="shared" ref="O34:P35" si="10">(L34*2)*$B$19</f>
        <v>31.234297095876002</v>
      </c>
      <c r="P34">
        <f t="shared" ref="P34:P35" si="11">(L34)*$B$19</f>
        <v>15.617148547938001</v>
      </c>
    </row>
    <row r="35" spans="1:16">
      <c r="A35" t="s">
        <v>3</v>
      </c>
      <c r="B35">
        <v>13.292766240000001</v>
      </c>
      <c r="C35">
        <f>B35/1000</f>
        <v>1.329276624E-2</v>
      </c>
      <c r="D35">
        <v>9.1000000000000004E-3</v>
      </c>
      <c r="E35">
        <v>0.38389971899999997</v>
      </c>
      <c r="F35">
        <v>2.2392766000000001E-2</v>
      </c>
      <c r="G35">
        <v>0.36150695299999996</v>
      </c>
      <c r="H35">
        <v>2.5691500999999999E-2</v>
      </c>
      <c r="I35">
        <f t="shared" si="5"/>
        <v>1.6352480153909072E-2</v>
      </c>
      <c r="J35">
        <f t="shared" si="6"/>
        <v>0.22904918951580436</v>
      </c>
      <c r="K35">
        <f t="shared" si="7"/>
        <v>0.22904918951580436</v>
      </c>
      <c r="L35">
        <v>0.99945804000000005</v>
      </c>
      <c r="M35">
        <f t="shared" si="8"/>
        <v>1.9989160800000001</v>
      </c>
      <c r="N35">
        <f t="shared" si="9"/>
        <v>27.99881753256</v>
      </c>
      <c r="O35">
        <f t="shared" si="10"/>
        <v>27.99881753256</v>
      </c>
      <c r="P35">
        <f t="shared" si="11"/>
        <v>13.99940876628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8FFC-1464-CD42-9512-D35DAD18BB4D}">
  <dimension ref="A1:P34"/>
  <sheetViews>
    <sheetView topLeftCell="A5" workbookViewId="0">
      <selection activeCell="D24" sqref="D24"/>
    </sheetView>
  </sheetViews>
  <sheetFormatPr baseColWidth="10" defaultRowHeight="16"/>
  <cols>
    <col min="1" max="1" width="21" customWidth="1"/>
    <col min="5" max="5" width="18.1640625" bestFit="1" customWidth="1"/>
  </cols>
  <sheetData>
    <row r="1" spans="1:13" ht="17" thickBot="1">
      <c r="A1" t="s">
        <v>31</v>
      </c>
    </row>
    <row r="2" spans="1:13">
      <c r="E2" s="13" t="s">
        <v>36</v>
      </c>
      <c r="F2" s="14" t="s">
        <v>26</v>
      </c>
      <c r="G2" s="14" t="s">
        <v>27</v>
      </c>
      <c r="H2" s="4" t="s">
        <v>28</v>
      </c>
      <c r="I2" s="4" t="s">
        <v>29</v>
      </c>
      <c r="J2" s="14" t="s">
        <v>30</v>
      </c>
      <c r="K2" s="14" t="s">
        <v>32</v>
      </c>
      <c r="L2" s="15" t="s">
        <v>33</v>
      </c>
      <c r="M2" s="15" t="s">
        <v>33</v>
      </c>
    </row>
    <row r="3" spans="1:13">
      <c r="A3" t="s">
        <v>0</v>
      </c>
      <c r="B3" t="s">
        <v>43</v>
      </c>
      <c r="E3" s="9"/>
      <c r="F3" s="7"/>
      <c r="G3" s="7"/>
      <c r="H3" s="7"/>
      <c r="I3" s="7"/>
      <c r="J3" s="7"/>
      <c r="K3" s="7"/>
      <c r="L3" s="8"/>
      <c r="M3" s="8"/>
    </row>
    <row r="4" spans="1:13">
      <c r="A4" t="s">
        <v>2</v>
      </c>
      <c r="B4" s="1">
        <v>43228</v>
      </c>
      <c r="E4" s="9" t="s">
        <v>44</v>
      </c>
      <c r="F4" s="7">
        <f>(C34*($B$15*1000)*86400)/1000</f>
        <v>492.74482747586967</v>
      </c>
      <c r="G4" s="7">
        <f>(D34*($B$15*1000)*86400)/1000</f>
        <v>2779.0808269639047</v>
      </c>
      <c r="H4" s="7">
        <f t="shared" ref="G4:J4" si="0">(E34*($B$15*1000)*86400)/1000</f>
        <v>100788.66812418964</v>
      </c>
      <c r="I4" s="7">
        <f t="shared" si="0"/>
        <v>3271.8256544397746</v>
      </c>
      <c r="J4" s="7">
        <f t="shared" si="0"/>
        <v>97516.842469749885</v>
      </c>
      <c r="K4" s="7">
        <f>(K34*($B$15*1000)*86400)/1000</f>
        <v>49700.46889280311</v>
      </c>
      <c r="L4" s="8">
        <f>(O34*($B$15*1000)*86400)/1000</f>
        <v>6418122.0450502541</v>
      </c>
      <c r="M4" s="8">
        <f>(P34*($B$15*1000)*86400)/1000</f>
        <v>3209061.022525127</v>
      </c>
    </row>
    <row r="5" spans="1:13">
      <c r="B5" s="1"/>
      <c r="E5" s="5" t="s">
        <v>34</v>
      </c>
      <c r="F5" s="6">
        <f t="shared" ref="F5:M5" si="1">SUM(F3:F4)</f>
        <v>492.74482747586967</v>
      </c>
      <c r="G5" s="6">
        <f t="shared" si="1"/>
        <v>2779.0808269639047</v>
      </c>
      <c r="H5" s="6">
        <f t="shared" si="1"/>
        <v>100788.66812418964</v>
      </c>
      <c r="I5" s="6">
        <f t="shared" si="1"/>
        <v>3271.8256544397746</v>
      </c>
      <c r="J5" s="6">
        <f t="shared" si="1"/>
        <v>97516.842469749885</v>
      </c>
      <c r="K5" s="6">
        <f t="shared" si="1"/>
        <v>49700.46889280311</v>
      </c>
      <c r="L5" s="16">
        <f t="shared" si="1"/>
        <v>6418122.0450502541</v>
      </c>
      <c r="M5" s="16">
        <f t="shared" si="1"/>
        <v>3209061.022525127</v>
      </c>
    </row>
    <row r="6" spans="1:13">
      <c r="A6" s="2" t="s">
        <v>9</v>
      </c>
      <c r="B6" s="1"/>
      <c r="E6" s="9"/>
      <c r="F6" s="7"/>
      <c r="G6" s="7"/>
      <c r="H6" s="7"/>
      <c r="I6" s="7"/>
      <c r="J6" s="7"/>
      <c r="K6" s="7"/>
      <c r="L6" s="8"/>
    </row>
    <row r="7" spans="1:13">
      <c r="A7" t="s">
        <v>10</v>
      </c>
      <c r="B7">
        <v>115.25449999999999</v>
      </c>
      <c r="E7" s="9"/>
      <c r="F7" s="7"/>
      <c r="G7" s="7"/>
      <c r="H7" s="7"/>
      <c r="I7" s="7"/>
      <c r="J7" s="7"/>
      <c r="K7" s="7"/>
      <c r="L7" s="8"/>
    </row>
    <row r="8" spans="1:13">
      <c r="A8" t="s">
        <v>44</v>
      </c>
      <c r="B8">
        <v>98.160550000000001</v>
      </c>
      <c r="E8" s="5" t="s">
        <v>37</v>
      </c>
      <c r="F8" s="6" t="s">
        <v>26</v>
      </c>
      <c r="G8" s="6" t="s">
        <v>27</v>
      </c>
      <c r="H8" s="7" t="s">
        <v>28</v>
      </c>
      <c r="I8" s="7" t="s">
        <v>29</v>
      </c>
      <c r="J8" s="6" t="s">
        <v>30</v>
      </c>
      <c r="K8" s="6" t="s">
        <v>32</v>
      </c>
      <c r="L8" s="16" t="s">
        <v>33</v>
      </c>
      <c r="M8" s="16" t="s">
        <v>33</v>
      </c>
    </row>
    <row r="9" spans="1:13">
      <c r="A9" t="s">
        <v>45</v>
      </c>
      <c r="B9">
        <v>104.443153</v>
      </c>
      <c r="E9" s="9" t="s">
        <v>45</v>
      </c>
      <c r="F9" s="7">
        <f>(C33*($B$15*1000)*86400)/1000</f>
        <v>1938.4567716045544</v>
      </c>
      <c r="G9" s="7">
        <f t="shared" ref="G9:M9" si="2">(D33*($B$15*1000)*86400)/1000</f>
        <v>7036.3961363554199</v>
      </c>
      <c r="H9" s="7">
        <f t="shared" si="2"/>
        <v>101731.01304204761</v>
      </c>
      <c r="I9" s="7">
        <f t="shared" si="2"/>
        <v>8974.8523166661798</v>
      </c>
      <c r="J9" s="7">
        <f t="shared" si="2"/>
        <v>92756.158754402131</v>
      </c>
      <c r="K9" s="7">
        <f t="shared" si="2"/>
        <v>5915.0527905099616</v>
      </c>
      <c r="L9" s="7">
        <f t="shared" si="2"/>
        <v>3764.8942101957628</v>
      </c>
      <c r="M9" s="7">
        <f t="shared" si="2"/>
        <v>52734.873202212053</v>
      </c>
    </row>
    <row r="10" spans="1:13">
      <c r="E10" s="9"/>
      <c r="F10" s="7"/>
      <c r="G10" s="7"/>
      <c r="H10" s="7"/>
      <c r="I10" s="7"/>
      <c r="J10" s="7"/>
      <c r="K10" s="7"/>
      <c r="L10" s="8"/>
      <c r="M10" s="8"/>
    </row>
    <row r="11" spans="1:13">
      <c r="E11" s="5" t="s">
        <v>35</v>
      </c>
      <c r="F11" s="7">
        <f>F5-F9</f>
        <v>-1445.7119441286848</v>
      </c>
      <c r="G11" s="7">
        <f t="shared" ref="G11:K11" si="3">G5-G9</f>
        <v>-4257.3153093915153</v>
      </c>
      <c r="H11" s="7">
        <f t="shared" si="3"/>
        <v>-942.34491785796126</v>
      </c>
      <c r="I11" s="7">
        <f t="shared" si="3"/>
        <v>-5703.0266622264053</v>
      </c>
      <c r="J11" s="7">
        <f t="shared" si="3"/>
        <v>4760.6837153477536</v>
      </c>
      <c r="K11" s="7">
        <f t="shared" si="3"/>
        <v>43785.416102293151</v>
      </c>
      <c r="L11" s="8">
        <f>(L5-L9)</f>
        <v>6414357.150840058</v>
      </c>
      <c r="M11" s="8">
        <f>(M5-M9)</f>
        <v>3156326.1493229149</v>
      </c>
    </row>
    <row r="12" spans="1:13">
      <c r="A12" s="2" t="s">
        <v>11</v>
      </c>
      <c r="E12" s="17" t="s">
        <v>41</v>
      </c>
      <c r="F12" s="7"/>
      <c r="G12" s="7"/>
      <c r="H12" s="7"/>
      <c r="I12" s="7"/>
      <c r="J12" s="7"/>
      <c r="K12" s="7"/>
      <c r="L12" s="8"/>
    </row>
    <row r="13" spans="1:13">
      <c r="A13" t="s">
        <v>10</v>
      </c>
      <c r="B13">
        <v>2.5173652899999999</v>
      </c>
      <c r="E13" s="17" t="s">
        <v>42</v>
      </c>
      <c r="F13" s="7"/>
      <c r="G13" s="7"/>
      <c r="H13" s="7"/>
      <c r="I13" s="7"/>
      <c r="J13" s="7"/>
      <c r="K13" s="7"/>
      <c r="L13" s="8"/>
    </row>
    <row r="14" spans="1:13">
      <c r="A14" t="s">
        <v>44</v>
      </c>
      <c r="B14">
        <f>(B8/B7)*B13</f>
        <v>2.144002719349869</v>
      </c>
      <c r="E14" s="9"/>
      <c r="F14" s="7"/>
      <c r="G14" s="7"/>
      <c r="H14" s="7"/>
      <c r="I14" s="7"/>
      <c r="J14" s="7"/>
      <c r="K14" s="7"/>
      <c r="L14" s="8"/>
    </row>
    <row r="15" spans="1:13">
      <c r="A15" t="s">
        <v>45</v>
      </c>
      <c r="B15">
        <f>(B9/B7)*B13</f>
        <v>2.2812260531290263</v>
      </c>
      <c r="E15" s="5" t="s">
        <v>38</v>
      </c>
      <c r="F15" s="7">
        <f>SUM(F5,G5,J5,K5,M5)</f>
        <v>3359550.1595421201</v>
      </c>
      <c r="G15" s="7"/>
      <c r="H15" s="7"/>
      <c r="I15" s="7"/>
      <c r="J15" s="7"/>
      <c r="K15" s="7"/>
      <c r="L15" s="8"/>
    </row>
    <row r="16" spans="1:13">
      <c r="E16" s="5" t="s">
        <v>39</v>
      </c>
      <c r="F16" s="7">
        <f>SUM(F9,G9,J9,K9,M5)</f>
        <v>3316707.0869779992</v>
      </c>
      <c r="G16" s="7"/>
      <c r="H16" s="7"/>
      <c r="I16" s="7"/>
      <c r="J16" s="7"/>
      <c r="K16" s="7"/>
      <c r="L16" s="8"/>
    </row>
    <row r="17" spans="1:16">
      <c r="E17" s="9"/>
      <c r="F17" s="7"/>
      <c r="G17" s="7"/>
      <c r="H17" s="7"/>
      <c r="I17" s="7"/>
      <c r="J17" s="7"/>
      <c r="K17" s="7"/>
      <c r="L17" s="8"/>
    </row>
    <row r="18" spans="1:16" ht="17" thickBot="1">
      <c r="A18" s="2" t="s">
        <v>12</v>
      </c>
      <c r="E18" s="10" t="s">
        <v>35</v>
      </c>
      <c r="F18" s="11">
        <f>F15-F16</f>
        <v>42843.07256412087</v>
      </c>
      <c r="G18" s="11" t="s">
        <v>40</v>
      </c>
      <c r="H18" s="11"/>
      <c r="I18" s="11"/>
      <c r="J18" s="11"/>
      <c r="K18" s="11"/>
      <c r="L18" s="12"/>
    </row>
    <row r="19" spans="1:16">
      <c r="A19" t="s">
        <v>14</v>
      </c>
      <c r="B19">
        <v>14.007</v>
      </c>
      <c r="F19">
        <f>(F18/F15)*100</f>
        <v>1.2752621788495648</v>
      </c>
    </row>
    <row r="20" spans="1:16">
      <c r="A20" s="3" t="s">
        <v>13</v>
      </c>
      <c r="B20">
        <v>28.013400000000001</v>
      </c>
    </row>
    <row r="21" spans="1:16">
      <c r="A21" s="3" t="s">
        <v>20</v>
      </c>
      <c r="B21">
        <v>44.012999999999998</v>
      </c>
    </row>
    <row r="23" spans="1:16">
      <c r="A23" s="2" t="s">
        <v>25</v>
      </c>
    </row>
    <row r="24" spans="1:16">
      <c r="A24" t="s">
        <v>26</v>
      </c>
      <c r="B24">
        <v>-3.18578596</v>
      </c>
      <c r="D24">
        <f>F11/F4</f>
        <v>-2.9339972000000003</v>
      </c>
    </row>
    <row r="25" spans="1:16">
      <c r="A25" t="s">
        <v>27</v>
      </c>
      <c r="B25">
        <v>-1.693965902</v>
      </c>
    </row>
    <row r="26" spans="1:16">
      <c r="A26" t="s">
        <v>28</v>
      </c>
      <c r="B26" s="18">
        <v>-7.3951429999999999E-2</v>
      </c>
    </row>
    <row r="27" spans="1:16">
      <c r="A27" t="s">
        <v>29</v>
      </c>
      <c r="B27">
        <v>-2.1823182700000001</v>
      </c>
    </row>
    <row r="28" spans="1:16">
      <c r="A28" t="s">
        <v>30</v>
      </c>
      <c r="B28">
        <v>4.8031411000000003E-2</v>
      </c>
    </row>
    <row r="29" spans="1:16">
      <c r="A29" t="s">
        <v>20</v>
      </c>
      <c r="B29">
        <v>-5.5387448999999998E-2</v>
      </c>
    </row>
    <row r="30" spans="1:16">
      <c r="A30" t="s">
        <v>13</v>
      </c>
      <c r="B30">
        <v>2.2463917E-2</v>
      </c>
      <c r="L30">
        <f>L33*0.05*28.0134</f>
        <v>1.5055647756299999</v>
      </c>
    </row>
    <row r="32" spans="1:16">
      <c r="A32" s="2" t="s">
        <v>15</v>
      </c>
      <c r="B32" t="s">
        <v>19</v>
      </c>
      <c r="C32" t="s">
        <v>5</v>
      </c>
      <c r="D32" t="s">
        <v>6</v>
      </c>
      <c r="E32" t="s">
        <v>17</v>
      </c>
      <c r="F32" t="s">
        <v>18</v>
      </c>
      <c r="G32" t="s">
        <v>7</v>
      </c>
      <c r="H32" t="s">
        <v>16</v>
      </c>
      <c r="I32" t="s">
        <v>21</v>
      </c>
      <c r="J32" t="s">
        <v>22</v>
      </c>
      <c r="K32" s="2" t="s">
        <v>22</v>
      </c>
      <c r="L32" t="s">
        <v>8</v>
      </c>
      <c r="M32" t="s">
        <v>23</v>
      </c>
      <c r="N32" t="s">
        <v>24</v>
      </c>
      <c r="O32" s="2" t="s">
        <v>24</v>
      </c>
      <c r="P32" s="2" t="s">
        <v>46</v>
      </c>
    </row>
    <row r="33" spans="1:16">
      <c r="A33" t="s">
        <v>45</v>
      </c>
      <c r="B33">
        <v>9.8349930000000008</v>
      </c>
      <c r="C33">
        <f>B33/1000</f>
        <v>9.8349930000000002E-3</v>
      </c>
      <c r="D33">
        <v>3.5700000000000003E-2</v>
      </c>
      <c r="E33">
        <v>0.51614450000000001</v>
      </c>
      <c r="F33">
        <v>4.5534989999999997E-2</v>
      </c>
      <c r="G33">
        <v>0.47060950000000001</v>
      </c>
      <c r="H33">
        <v>3.0010729999999999E-2</v>
      </c>
      <c r="I33">
        <f>(($B$19*2)/$B$21)*H33</f>
        <v>1.9101642474268966E-2</v>
      </c>
      <c r="J33">
        <f>I33*$B$19</f>
        <v>0.26755670613708543</v>
      </c>
      <c r="K33">
        <f>((($B$19*2)/$B$21)*H33)*$B$19</f>
        <v>0.26755670613708543</v>
      </c>
      <c r="L33">
        <v>1.074889</v>
      </c>
      <c r="M33">
        <f>L33*2</f>
        <v>2.149778</v>
      </c>
      <c r="N33">
        <f>M33*$B$19</f>
        <v>30.111940445999998</v>
      </c>
      <c r="O33">
        <f>(L33*2)*$B$19</f>
        <v>30.111940445999998</v>
      </c>
      <c r="P33">
        <f>(L33)*$B$19</f>
        <v>15.055970222999999</v>
      </c>
    </row>
    <row r="34" spans="1:16">
      <c r="A34" t="s">
        <v>44</v>
      </c>
      <c r="B34">
        <v>2.5</v>
      </c>
      <c r="C34">
        <f>B34/1000</f>
        <v>2.5000000000000001E-3</v>
      </c>
      <c r="D34">
        <v>1.41E-2</v>
      </c>
      <c r="E34">
        <v>0.51136340000000002</v>
      </c>
      <c r="F34">
        <v>1.66E-2</v>
      </c>
      <c r="G34">
        <v>0.49476340000000002</v>
      </c>
      <c r="H34">
        <v>2.8283889999999999E-2</v>
      </c>
      <c r="I34">
        <f t="shared" ref="I34:I35" si="4">(($B$19*2)/$B$21)*H34</f>
        <v>1.8002519584213755E-2</v>
      </c>
      <c r="J34">
        <f t="shared" ref="J34:J35" si="5">I34*$B$19</f>
        <v>0.25216129181608204</v>
      </c>
      <c r="K34">
        <f t="shared" ref="K34:K35" si="6">((($B$19*2)/$B$21)*H34)*$B$19</f>
        <v>0.25216129181608204</v>
      </c>
      <c r="L34">
        <v>1.1623870999999999</v>
      </c>
      <c r="M34">
        <f t="shared" ref="M34:M35" si="7">L34*2</f>
        <v>2.3247741999999998</v>
      </c>
      <c r="N34">
        <f t="shared" ref="N34:N35" si="8">M34*$B$19</f>
        <v>32.563112219399997</v>
      </c>
      <c r="O34">
        <f t="shared" ref="O34:P35" si="9">(L34*2)*$B$19</f>
        <v>32.563112219399997</v>
      </c>
      <c r="P34">
        <f>(L34)*$B$19</f>
        <v>16.281556109699999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PD_2018-05-08</vt:lpstr>
      <vt:lpstr>IP_2018-05-08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Whitney</dc:creator>
  <cp:lastModifiedBy>Christopher Whitney</cp:lastModifiedBy>
  <dcterms:created xsi:type="dcterms:W3CDTF">2020-07-14T19:05:39Z</dcterms:created>
  <dcterms:modified xsi:type="dcterms:W3CDTF">2020-09-09T16:50:45Z</dcterms:modified>
</cp:coreProperties>
</file>