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 YEAR MODEL" sheetId="1" r:id="rId4"/>
    <sheet state="visible" name="Cashflow" sheetId="2" r:id="rId5"/>
    <sheet state="visible" name="Potential Usage &amp; Market Share " sheetId="3" r:id="rId6"/>
    <sheet state="visible" name="Workings" sheetId="4" r:id="rId7"/>
    <sheet state="visible" name="Sources" sheetId="5" r:id="rId8"/>
    <sheet state="visible" name="Consolidated 5 year model" sheetId="6" r:id="rId9"/>
  </sheets>
  <definedNames/>
  <calcPr/>
</workbook>
</file>

<file path=xl/sharedStrings.xml><?xml version="1.0" encoding="utf-8"?>
<sst xmlns="http://schemas.openxmlformats.org/spreadsheetml/2006/main" count="659" uniqueCount="141">
  <si>
    <t>YEAR 1 (2020)</t>
  </si>
  <si>
    <t>Population Variables</t>
  </si>
  <si>
    <t>Yr1</t>
  </si>
  <si>
    <t>Population Stats (2018)</t>
  </si>
  <si>
    <t>[Source 1]</t>
  </si>
  <si>
    <t>Jun</t>
  </si>
  <si>
    <t>Yr2</t>
  </si>
  <si>
    <t>Yr3</t>
  </si>
  <si>
    <t>Yr4</t>
  </si>
  <si>
    <t>Yr5</t>
  </si>
  <si>
    <t>Year</t>
  </si>
  <si>
    <t>Profit &amp; Loss</t>
  </si>
  <si>
    <t>Target Market Share</t>
  </si>
  <si>
    <t>Expected TutorPoint Revenue</t>
  </si>
  <si>
    <t>Percentage of students recieving private tuition</t>
  </si>
  <si>
    <t>Jul</t>
  </si>
  <si>
    <t>Aug</t>
  </si>
  <si>
    <t>Sep</t>
  </si>
  <si>
    <t>December</t>
  </si>
  <si>
    <t>Oct</t>
  </si>
  <si>
    <t>Nov</t>
  </si>
  <si>
    <t>Dec</t>
  </si>
  <si>
    <t>£</t>
  </si>
  <si>
    <t>Age</t>
  </si>
  <si>
    <t>Population</t>
  </si>
  <si>
    <t>Income</t>
  </si>
  <si>
    <t>TutorPoint Revenue</t>
  </si>
  <si>
    <t>Cash Inflows</t>
  </si>
  <si>
    <t>Contracts</t>
  </si>
  <si>
    <t>Capital injection</t>
  </si>
  <si>
    <t>[Source 2]</t>
  </si>
  <si>
    <t>Total Income</t>
  </si>
  <si>
    <t>Hour Variables</t>
  </si>
  <si>
    <t>Average tuition recieved [Hours / Week]</t>
  </si>
  <si>
    <t>Less Cost of Sales</t>
  </si>
  <si>
    <t>Payment Processing Cost</t>
  </si>
  <si>
    <t>Average academic weeks where tuition is given [%]</t>
  </si>
  <si>
    <t>Tutors / Student</t>
  </si>
  <si>
    <t>Total Inflows</t>
  </si>
  <si>
    <t>Hosting &amp; Infrastructure</t>
  </si>
  <si>
    <t>Money Variables</t>
  </si>
  <si>
    <t>Average cost per hour of tuition</t>
  </si>
  <si>
    <t>Cash Outflows</t>
  </si>
  <si>
    <t>Rent</t>
  </si>
  <si>
    <t>TutorPoint platform cut</t>
  </si>
  <si>
    <t>TOTAL</t>
  </si>
  <si>
    <t>Total Cost of Sales</t>
  </si>
  <si>
    <t>Fixed Variables</t>
  </si>
  <si>
    <t>Gross Profit</t>
  </si>
  <si>
    <t>Academic Weeks</t>
  </si>
  <si>
    <t>Utilities</t>
  </si>
  <si>
    <t>Resultant Variables</t>
  </si>
  <si>
    <t>Education Stats (2019)</t>
  </si>
  <si>
    <t>Less Operating Expenses</t>
  </si>
  <si>
    <t>Average total hours a year of tuition / student</t>
  </si>
  <si>
    <t>Advertising</t>
  </si>
  <si>
    <t>TOTAL CHILDREN IN EDUCATION 11-15:</t>
  </si>
  <si>
    <t>Total students recieving private tuition</t>
  </si>
  <si>
    <t>[Source 3]</t>
  </si>
  <si>
    <t>Gross wages</t>
  </si>
  <si>
    <t>IT Infrastructure</t>
  </si>
  <si>
    <t>Seasonality Split (must total 100%)</t>
  </si>
  <si>
    <t>Busy Season</t>
  </si>
  <si>
    <t>Market share</t>
  </si>
  <si>
    <t>Students Aged 11-15</t>
  </si>
  <si>
    <t>Revenue / Year</t>
  </si>
  <si>
    <t>TutorPoint Revenue / Year</t>
  </si>
  <si>
    <t>Tutors Needed</t>
  </si>
  <si>
    <t>Quiet Season</t>
  </si>
  <si>
    <t>Wages</t>
  </si>
  <si>
    <t>Loan APR Payment</t>
  </si>
  <si>
    <t>Total Operating Expenses</t>
  </si>
  <si>
    <t>Net Profit</t>
  </si>
  <si>
    <t>Transaction Fees</t>
  </si>
  <si>
    <t>Jan</t>
  </si>
  <si>
    <t>Feb</t>
  </si>
  <si>
    <t>Mar</t>
  </si>
  <si>
    <t>Apr</t>
  </si>
  <si>
    <t>May</t>
  </si>
  <si>
    <t>Misc Variables</t>
  </si>
  <si>
    <t>Assumptions</t>
  </si>
  <si>
    <t>Server Hosting</t>
  </si>
  <si>
    <t>- All values in green boxes are assumptions or variables which can be changed.</t>
  </si>
  <si>
    <t>Monthly Revenue from TutorPoint Platform</t>
  </si>
  <si>
    <t>Charity Budget</t>
  </si>
  <si>
    <t>- Tax has not been calculated or accounted for. Assuming Tax will be net zero.</t>
  </si>
  <si>
    <t>- PAYE or NI has not been taken into account for projections.</t>
  </si>
  <si>
    <t>Overheads / Year</t>
  </si>
  <si>
    <t>- There has been no company pension scheme accounted for.</t>
  </si>
  <si>
    <t>Total Outflow</t>
  </si>
  <si>
    <t xml:space="preserve"> </t>
  </si>
  <si>
    <t>Total Inflow/Outflow</t>
  </si>
  <si>
    <t>Loan Repayments</t>
  </si>
  <si>
    <t>Total repaid at end of dev</t>
  </si>
  <si>
    <t>Opening Balance</t>
  </si>
  <si>
    <t>Total Loaned</t>
  </si>
  <si>
    <t>Loan Repayment total in 2024</t>
  </si>
  <si>
    <t>Closing Balance</t>
  </si>
  <si>
    <t>Loan Repayment total in 2025</t>
  </si>
  <si>
    <t>YEAR 2 (2021)</t>
  </si>
  <si>
    <t>Loan</t>
  </si>
  <si>
    <t>Sources</t>
  </si>
  <si>
    <r>
      <t>1 - Population Statistics [</t>
    </r>
    <r>
      <rPr>
        <color rgb="FF1155CC"/>
        <u/>
      </rPr>
      <t>https://www.ons.gov.uk/peoplepopulationandcommunity/populationandmigration/populationestimates/articles/overviewoftheukpopulation/august2019</t>
    </r>
    <r>
      <t>]</t>
    </r>
  </si>
  <si>
    <t>Total Paid Back</t>
  </si>
  <si>
    <r>
      <t>2 - Tuition Statistics 2019 [</t>
    </r>
    <r>
      <rPr>
        <color rgb="FF1155CC"/>
        <u/>
      </rPr>
      <t>https://www.suttontrust.com/our-research/private-tuition-polling-2019/</t>
    </r>
    <r>
      <t>]</t>
    </r>
  </si>
  <si>
    <r>
      <t>3 - Educational Statistics 2019 [</t>
    </r>
    <r>
      <rPr>
        <color rgb="FF1155CC"/>
        <u/>
      </rPr>
      <t>https://www.gov.uk/government/statistics/schools-pupils-and-their-characteristics-january-2019</t>
    </r>
    <r>
      <t>]</t>
    </r>
  </si>
  <si>
    <t>Year 1</t>
  </si>
  <si>
    <t>Year 2</t>
  </si>
  <si>
    <t>Year 3</t>
  </si>
  <si>
    <t>Year 4</t>
  </si>
  <si>
    <t>Year 5</t>
  </si>
  <si>
    <t>2020</t>
  </si>
  <si>
    <t>2021</t>
  </si>
  <si>
    <t>2022</t>
  </si>
  <si>
    <t>2023</t>
  </si>
  <si>
    <t>2024</t>
  </si>
  <si>
    <t>Cost of Sales</t>
  </si>
  <si>
    <t>Transaction Cost</t>
  </si>
  <si>
    <t>Development Costs &amp; Intellectual Value</t>
  </si>
  <si>
    <t>Hours programming</t>
  </si>
  <si>
    <t>Hours testing &amp; integration</t>
  </si>
  <si>
    <t>Hours research</t>
  </si>
  <si>
    <t>Value of program</t>
  </si>
  <si>
    <t>Desired Ratio Percentages for Budgets</t>
  </si>
  <si>
    <t>Marketing</t>
  </si>
  <si>
    <t>Salaries / Revenue</t>
  </si>
  <si>
    <t>Team Manager</t>
  </si>
  <si>
    <t>Marketing Manager</t>
  </si>
  <si>
    <t>Finance Manager</t>
  </si>
  <si>
    <t>Programming Manager</t>
  </si>
  <si>
    <t>Maintenance Manager</t>
  </si>
  <si>
    <t>HR Manager</t>
  </si>
  <si>
    <t>Customer Support Salaries</t>
  </si>
  <si>
    <t>Customer Support</t>
  </si>
  <si>
    <t>Number of CS Agents Yrs 1 &amp; 2</t>
  </si>
  <si>
    <t>Number of CS Agents Yrs 3 &amp; 4</t>
  </si>
  <si>
    <t>YEAR 3 (2022)</t>
  </si>
  <si>
    <t>YEAR 4 (2023)</t>
  </si>
  <si>
    <t>Customer Support Agents</t>
  </si>
  <si>
    <t>Total Wages</t>
  </si>
  <si>
    <t>YEAR 5 (2024)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</si>
</sst>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[$£-809]#,##0"/>
    <numFmt numFmtId="166" formatCode="[$£-809]#,##0.00"/>
  </numFmts>
  <fonts count="22">
    <font>
      <sz val="10.0"/>
      <color rgb="FF000000"/>
      <name val="Arial"/>
    </font>
    <font>
      <color theme="1"/>
      <name val="Calibri"/>
    </font>
    <font>
      <color rgb="FF000000"/>
      <name val="Calibri"/>
    </font>
    <font>
      <color theme="1"/>
      <name val="Arial"/>
    </font>
    <font>
      <b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color rgb="FFFF0000"/>
      <name val="Calibri"/>
    </font>
    <font>
      <sz val="11.0"/>
      <color rgb="FF000000"/>
      <name val="Calibri"/>
    </font>
    <font>
      <color rgb="FF999999"/>
      <name val="Calibri"/>
    </font>
    <font>
      <b/>
      <color rgb="FF000000"/>
      <name val="Calibri"/>
    </font>
    <font>
      <b/>
      <sz val="9.0"/>
      <color theme="1"/>
      <name val="Calibri"/>
    </font>
    <font>
      <sz val="11.0"/>
      <color theme="1"/>
      <name val="Calibri"/>
    </font>
    <font>
      <color rgb="FFFF0000"/>
      <name val="Calibri"/>
    </font>
    <font>
      <b/>
      <sz val="11.0"/>
      <color rgb="FF000000"/>
      <name val="Calibri"/>
    </font>
    <font>
      <b/>
      <sz val="12.0"/>
      <color rgb="FFFF9900"/>
      <name val="Calibri"/>
    </font>
    <font>
      <u/>
      <color rgb="FF0000FF"/>
    </font>
    <font>
      <b/>
      <sz val="11.0"/>
      <color rgb="FFEB4CE6"/>
      <name val="Calibri"/>
    </font>
    <font>
      <b/>
      <color rgb="FF02225C"/>
      <name val="Calibri"/>
    </font>
    <font>
      <sz val="11.0"/>
      <color rgb="FF02225C"/>
      <name val="Calibri"/>
    </font>
    <font>
      <color rgb="FF02225C"/>
      <name val="Calibri"/>
    </font>
    <font>
      <b/>
      <color rgb="FFEB4CE6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</fills>
  <borders count="8">
    <border/>
    <border>
      <right style="double">
        <color rgb="FF000000"/>
      </right>
    </border>
    <border>
      <bottom style="thin">
        <color rgb="FF000000"/>
      </bottom>
    </border>
    <border>
      <bottom style="double">
        <color rgb="FF000000"/>
      </bottom>
    </border>
    <border>
      <bottom style="medium">
        <color rgb="FF000000"/>
      </bottom>
    </border>
    <border>
      <bottom style="thin">
        <color rgb="FF02225C"/>
      </bottom>
    </border>
    <border>
      <bottom style="medium">
        <color rgb="FF02225C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center" vertical="center"/>
    </xf>
    <xf borderId="0" fillId="0" fontId="3" numFmtId="0" xfId="0" applyAlignment="1" applyFont="1">
      <alignment horizontal="center"/>
    </xf>
    <xf borderId="0" fillId="0" fontId="1" numFmtId="0" xfId="0" applyFont="1"/>
    <xf borderId="0" fillId="0" fontId="4" numFmtId="0" xfId="0" applyAlignment="1" applyFont="1">
      <alignment readingOrder="0" vertical="center"/>
    </xf>
    <xf borderId="1" fillId="0" fontId="1" numFmtId="0" xfId="0" applyAlignment="1" applyBorder="1" applyFont="1">
      <alignment vertical="center"/>
    </xf>
    <xf borderId="0" fillId="0" fontId="5" numFmtId="0" xfId="0" applyAlignment="1" applyFont="1">
      <alignment horizontal="left" readingOrder="0" vertical="center"/>
    </xf>
    <xf borderId="0" fillId="3" fontId="4" numFmtId="0" xfId="0" applyAlignment="1" applyFill="1" applyFont="1">
      <alignment readingOrder="0"/>
    </xf>
    <xf borderId="0" fillId="0" fontId="4" numFmtId="0" xfId="0" applyAlignment="1" applyFont="1">
      <alignment shrinkToFit="0" vertical="center" wrapText="0"/>
    </xf>
    <xf borderId="0" fillId="3" fontId="1" numFmtId="0" xfId="0" applyFont="1"/>
    <xf borderId="0" fillId="0" fontId="6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vertical="center"/>
    </xf>
    <xf borderId="1" fillId="2" fontId="8" numFmtId="0" xfId="0" applyAlignment="1" applyBorder="1" applyFont="1">
      <alignment shrinkToFit="0" vertical="center" wrapText="0"/>
    </xf>
    <xf borderId="0" fillId="4" fontId="4" numFmtId="0" xfId="0" applyAlignment="1" applyFill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center" wrapText="0"/>
    </xf>
    <xf borderId="0" fillId="3" fontId="10" numFmtId="0" xfId="0" applyAlignment="1" applyFont="1">
      <alignment readingOrder="0" shrinkToFit="0" wrapText="0"/>
    </xf>
    <xf borderId="0" fillId="0" fontId="6" numFmtId="0" xfId="0" applyAlignment="1" applyFont="1">
      <alignment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0" fillId="5" fontId="1" numFmtId="0" xfId="0" applyAlignment="1" applyFill="1" applyFont="1">
      <alignment horizontal="right" readingOrder="0" vertical="center"/>
    </xf>
    <xf borderId="0" fillId="0" fontId="12" numFmtId="0" xfId="0" applyAlignment="1" applyFont="1">
      <alignment shrinkToFit="0" vertical="center" wrapText="0"/>
    </xf>
    <xf borderId="0" fillId="5" fontId="1" numFmtId="9" xfId="0" applyAlignment="1" applyFont="1" applyNumberFormat="1">
      <alignment readingOrder="0" vertical="center"/>
    </xf>
    <xf borderId="0" fillId="0" fontId="10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6" numFmtId="0" xfId="0" applyAlignment="1" applyFont="1">
      <alignment readingOrder="0" shrinkToFit="0" vertical="center" wrapText="0"/>
    </xf>
    <xf borderId="0" fillId="3" fontId="10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right" readingOrder="0" shrinkToFit="0" vertical="center" wrapText="0"/>
    </xf>
    <xf borderId="0" fillId="3" fontId="10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3" fontId="1" numFmtId="43" xfId="0" applyAlignment="1" applyFont="1" applyNumberFormat="1">
      <alignment vertical="bottom"/>
    </xf>
    <xf borderId="0" fillId="3" fontId="2" numFmtId="43" xfId="0" applyAlignment="1" applyFont="1" applyNumberFormat="1">
      <alignment horizontal="right" readingOrder="0" vertical="bottom"/>
    </xf>
    <xf borderId="0" fillId="3" fontId="2" numFmtId="43" xfId="0" applyAlignment="1" applyFont="1" applyNumberFormat="1">
      <alignment horizontal="right" vertical="bottom"/>
    </xf>
    <xf borderId="0" fillId="6" fontId="13" numFmtId="43" xfId="0" applyAlignment="1" applyFill="1" applyFont="1" applyNumberFormat="1">
      <alignment horizontal="right" readingOrder="0" vertical="bottom"/>
    </xf>
    <xf borderId="0" fillId="0" fontId="1" numFmtId="164" xfId="0" applyAlignment="1" applyFont="1" applyNumberFormat="1">
      <alignment horizontal="center" readingOrder="0" vertical="center"/>
    </xf>
    <xf borderId="0" fillId="0" fontId="2" numFmtId="43" xfId="0" applyAlignment="1" applyFont="1" applyNumberFormat="1">
      <alignment horizontal="right" readingOrder="0" vertical="center"/>
    </xf>
    <xf borderId="0" fillId="0" fontId="1" numFmtId="165" xfId="0" applyAlignment="1" applyFont="1" applyNumberFormat="1">
      <alignment horizontal="center" vertical="center"/>
    </xf>
    <xf borderId="0" fillId="0" fontId="10" numFmtId="0" xfId="0" applyAlignment="1" applyFont="1">
      <alignment readingOrder="0" shrinkToFit="0" vertical="center" wrapText="0"/>
    </xf>
    <xf borderId="0" fillId="5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2" fillId="0" fontId="14" numFmtId="0" xfId="0" applyAlignment="1" applyBorder="1" applyFont="1">
      <alignment readingOrder="0" shrinkToFit="0" vertical="center" wrapText="0"/>
    </xf>
    <xf borderId="0" fillId="0" fontId="1" numFmtId="9" xfId="0" applyAlignment="1" applyFont="1" applyNumberFormat="1">
      <alignment horizontal="center" readingOrder="0" vertical="center"/>
    </xf>
    <xf borderId="2" fillId="0" fontId="14" numFmtId="3" xfId="0" applyAlignment="1" applyBorder="1" applyFont="1" applyNumberFormat="1">
      <alignment horizontal="right" readingOrder="0" shrinkToFit="0" vertical="center" wrapText="0"/>
    </xf>
    <xf borderId="0" fillId="7" fontId="1" numFmtId="0" xfId="0" applyAlignment="1" applyFill="1" applyFont="1">
      <alignment horizontal="right" readingOrder="0" vertical="center"/>
    </xf>
    <xf borderId="0" fillId="0" fontId="14" numFmtId="0" xfId="0" applyAlignment="1" applyFont="1">
      <alignment readingOrder="0" shrinkToFit="0" vertical="center" wrapText="0"/>
    </xf>
    <xf borderId="0" fillId="0" fontId="8" numFmtId="0" xfId="0" applyAlignment="1" applyFont="1">
      <alignment horizontal="right" readingOrder="0" shrinkToFit="0" vertical="center" wrapText="0"/>
    </xf>
    <xf borderId="0" fillId="7" fontId="1" numFmtId="0" xfId="0" applyAlignment="1" applyFont="1">
      <alignment readingOrder="0" vertical="center"/>
    </xf>
    <xf borderId="0" fillId="7" fontId="1" numFmtId="9" xfId="0" applyAlignment="1" applyFont="1" applyNumberFormat="1">
      <alignment readingOrder="0" vertical="center"/>
    </xf>
    <xf borderId="0" fillId="3" fontId="10" numFmtId="43" xfId="0" applyAlignment="1" applyFont="1" applyNumberFormat="1">
      <alignment horizontal="right" vertical="bottom"/>
    </xf>
    <xf borderId="0" fillId="0" fontId="2" numFmtId="43" xfId="0" applyAlignment="1" applyFont="1" applyNumberFormat="1">
      <alignment horizontal="right" vertical="center"/>
    </xf>
    <xf borderId="0" fillId="8" fontId="1" numFmtId="0" xfId="0" applyAlignment="1" applyFill="1" applyFont="1">
      <alignment horizontal="right" readingOrder="0" vertical="center"/>
    </xf>
    <xf borderId="0" fillId="8" fontId="1" numFmtId="166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8" fontId="1" numFmtId="9" xfId="0" applyAlignment="1" applyFont="1" applyNumberFormat="1">
      <alignment readingOrder="0" vertical="center"/>
    </xf>
    <xf borderId="0" fillId="0" fontId="4" numFmtId="0" xfId="0" applyAlignment="1" applyFont="1">
      <alignment horizontal="center" vertical="center"/>
    </xf>
    <xf borderId="3" fillId="0" fontId="6" numFmtId="0" xfId="0" applyAlignment="1" applyBorder="1" applyFont="1">
      <alignment readingOrder="0" shrinkToFit="0" vertical="center" wrapText="0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3" fillId="0" fontId="14" numFmtId="3" xfId="0" applyAlignment="1" applyBorder="1" applyFont="1" applyNumberFormat="1">
      <alignment horizontal="right" readingOrder="0" shrinkToFit="0" vertical="center" wrapText="0"/>
    </xf>
    <xf borderId="0" fillId="0" fontId="8" numFmtId="0" xfId="0" applyAlignment="1" applyFont="1">
      <alignment shrinkToFit="0" vertical="center" wrapText="0"/>
    </xf>
    <xf borderId="0" fillId="10" fontId="1" numFmtId="0" xfId="0" applyAlignment="1" applyFill="1" applyFont="1">
      <alignment horizontal="right" readingOrder="0" vertical="center"/>
    </xf>
    <xf borderId="0" fillId="10" fontId="1" numFmtId="1" xfId="0" applyAlignment="1" applyFont="1" applyNumberFormat="1">
      <alignment readingOrder="0" vertical="center"/>
    </xf>
    <xf borderId="0" fillId="4" fontId="4" numFmtId="0" xfId="0" applyAlignment="1" applyFont="1">
      <alignment horizontal="center" vertical="center"/>
    </xf>
    <xf borderId="0" fillId="10" fontId="1" numFmtId="0" xfId="0" applyAlignment="1" applyFont="1">
      <alignment vertical="center"/>
    </xf>
    <xf borderId="0" fillId="11" fontId="1" numFmtId="0" xfId="0" applyAlignment="1" applyFill="1" applyFont="1">
      <alignment horizontal="right" readingOrder="0" vertical="center"/>
    </xf>
    <xf borderId="0" fillId="11" fontId="1" numFmtId="9" xfId="0" applyAlignment="1" applyFont="1" applyNumberFormat="1">
      <alignment readingOrder="0" vertical="center"/>
    </xf>
    <xf borderId="2" fillId="4" fontId="4" numFmtId="0" xfId="0" applyAlignment="1" applyBorder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1" xfId="0" applyAlignment="1" applyFont="1" applyNumberFormat="1">
      <alignment horizontal="center" vertical="center"/>
    </xf>
    <xf borderId="0" fillId="0" fontId="1" numFmtId="165" xfId="0" applyAlignment="1" applyFont="1" applyNumberFormat="1">
      <alignment vertical="center"/>
    </xf>
    <xf borderId="0" fillId="0" fontId="1" numFmtId="9" xfId="0" applyAlignment="1" applyFont="1" applyNumberFormat="1">
      <alignment horizontal="center" readingOrder="0" vertical="center"/>
    </xf>
    <xf borderId="2" fillId="0" fontId="6" numFmtId="0" xfId="0" applyAlignment="1" applyBorder="1" applyFont="1">
      <alignment readingOrder="0" shrinkToFit="0" vertical="center" wrapText="0"/>
    </xf>
    <xf borderId="0" fillId="3" fontId="2" numFmtId="0" xfId="0" applyAlignment="1" applyFont="1">
      <alignment horizontal="right" readingOrder="0" vertical="bottom"/>
    </xf>
    <xf borderId="2" fillId="0" fontId="2" numFmtId="43" xfId="0" applyAlignment="1" applyBorder="1" applyFont="1" applyNumberFormat="1">
      <alignment horizontal="right" readingOrder="0" vertical="center"/>
    </xf>
    <xf borderId="4" fillId="0" fontId="2" numFmtId="43" xfId="0" applyAlignment="1" applyBorder="1" applyFont="1" applyNumberFormat="1">
      <alignment horizontal="right" readingOrder="0" vertical="center"/>
    </xf>
    <xf borderId="0" fillId="0" fontId="1" numFmtId="0" xfId="0" applyAlignment="1" applyFont="1">
      <alignment horizontal="left" vertical="center"/>
    </xf>
    <xf borderId="0" fillId="12" fontId="4" numFmtId="0" xfId="0" applyAlignment="1" applyFill="1" applyFont="1">
      <alignment horizontal="center" readingOrder="0" vertical="center"/>
    </xf>
    <xf borderId="0" fillId="5" fontId="4" numFmtId="0" xfId="0" applyAlignment="1" applyFont="1">
      <alignment horizontal="center" readingOrder="0" vertical="center"/>
    </xf>
    <xf borderId="0" fillId="13" fontId="4" numFmtId="0" xfId="0" applyAlignment="1" applyFill="1" applyFont="1">
      <alignment horizontal="center" readingOrder="0" vertical="center"/>
    </xf>
    <xf borderId="0" fillId="11" fontId="10" numFmtId="0" xfId="0" applyAlignment="1" applyFont="1">
      <alignment readingOrder="0" shrinkToFit="0" vertical="center" wrapText="0"/>
    </xf>
    <xf borderId="0" fillId="14" fontId="3" numFmtId="0" xfId="0" applyFill="1" applyFont="1"/>
    <xf borderId="0" fillId="14" fontId="15" numFmtId="0" xfId="0" applyAlignment="1" applyFont="1">
      <alignment horizontal="left" readingOrder="0" vertical="center"/>
    </xf>
    <xf borderId="0" fillId="14" fontId="1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1" numFmtId="43" xfId="0" applyAlignment="1" applyFont="1" applyNumberFormat="1">
      <alignment vertical="center"/>
    </xf>
    <xf borderId="0" fillId="14" fontId="1" numFmtId="0" xfId="0" applyAlignment="1" applyFont="1">
      <alignment readingOrder="0" vertical="center"/>
    </xf>
    <xf borderId="0" fillId="0" fontId="4" numFmtId="0" xfId="0" applyAlignment="1" applyFont="1">
      <alignment horizontal="right" readingOrder="0" vertical="center"/>
    </xf>
    <xf borderId="0" fillId="7" fontId="1" numFmtId="166" xfId="0" applyAlignment="1" applyFont="1" applyNumberFormat="1">
      <alignment readingOrder="0" vertical="center"/>
    </xf>
    <xf borderId="0" fillId="2" fontId="1" numFmtId="4" xfId="0" applyAlignment="1" applyFont="1" applyNumberFormat="1">
      <alignment readingOrder="0" vertical="center"/>
    </xf>
    <xf borderId="0" fillId="15" fontId="1" numFmtId="0" xfId="0" applyAlignment="1" applyFill="1" applyFont="1">
      <alignment horizontal="right" readingOrder="0" vertical="center"/>
    </xf>
    <xf borderId="0" fillId="15" fontId="1" numFmtId="166" xfId="0" applyAlignment="1" applyFont="1" applyNumberFormat="1">
      <alignment readingOrder="0" vertical="center"/>
    </xf>
    <xf borderId="0" fillId="15" fontId="4" numFmtId="0" xfId="0" applyAlignment="1" applyFont="1">
      <alignment horizontal="center" readingOrder="0" vertical="center"/>
    </xf>
    <xf borderId="0" fillId="0" fontId="10" numFmtId="0" xfId="0" applyAlignment="1" applyFont="1">
      <alignment vertical="center"/>
    </xf>
    <xf borderId="0" fillId="3" fontId="4" numFmtId="0" xfId="0" applyAlignment="1" applyFont="1">
      <alignment horizontal="center" readingOrder="0" vertical="center"/>
    </xf>
    <xf borderId="0" fillId="11" fontId="4" numFmtId="0" xfId="0" applyAlignment="1" applyFont="1">
      <alignment readingOrder="0"/>
    </xf>
    <xf borderId="0" fillId="11" fontId="1" numFmtId="0" xfId="0" applyFont="1"/>
    <xf borderId="0" fillId="11" fontId="10" numFmtId="0" xfId="0" applyAlignment="1" applyFont="1">
      <alignment readingOrder="0" shrinkToFit="0" wrapText="0"/>
    </xf>
    <xf borderId="0" fillId="11" fontId="10" numFmtId="0" xfId="0" applyAlignment="1" applyFont="1">
      <alignment horizontal="center" readingOrder="0" shrinkToFit="0" vertical="bottom" wrapText="0"/>
    </xf>
    <xf borderId="0" fillId="11" fontId="10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0" fontId="10" numFmtId="43" xfId="0" applyAlignment="1" applyFont="1" applyNumberFormat="1">
      <alignment horizontal="right" vertical="center"/>
    </xf>
    <xf borderId="0" fillId="11" fontId="2" numFmtId="0" xfId="0" applyAlignment="1" applyFont="1">
      <alignment horizontal="right" vertical="bottom"/>
    </xf>
    <xf borderId="0" fillId="11" fontId="1" numFmtId="43" xfId="0" applyAlignment="1" applyFont="1" applyNumberFormat="1">
      <alignment vertical="bottom"/>
    </xf>
    <xf borderId="0" fillId="0" fontId="1" numFmtId="0" xfId="0" applyAlignment="1" applyFont="1">
      <alignment horizontal="right" vertical="center"/>
    </xf>
    <xf borderId="0" fillId="11" fontId="2" numFmtId="43" xfId="0" applyAlignment="1" applyFont="1" applyNumberFormat="1">
      <alignment horizontal="right" readingOrder="0" vertical="bottom"/>
    </xf>
    <xf borderId="0" fillId="11" fontId="2" numFmtId="43" xfId="0" applyAlignment="1" applyFont="1" applyNumberFormat="1">
      <alignment horizontal="right" vertical="bottom"/>
    </xf>
    <xf borderId="0" fillId="0" fontId="3" numFmtId="0" xfId="0" applyAlignment="1" applyFont="1">
      <alignment vertical="center"/>
    </xf>
    <xf borderId="0" fillId="14" fontId="5" numFmtId="0" xfId="0" applyAlignment="1" applyFont="1">
      <alignment horizontal="left" readingOrder="0" vertical="center"/>
    </xf>
    <xf borderId="0" fillId="14" fontId="16" numFmtId="0" xfId="0" applyAlignment="1" applyFont="1">
      <alignment readingOrder="0"/>
    </xf>
    <xf borderId="0" fillId="11" fontId="10" numFmtId="43" xfId="0" applyAlignment="1" applyFont="1" applyNumberFormat="1">
      <alignment horizontal="right" vertical="bottom"/>
    </xf>
    <xf borderId="0" fillId="16" fontId="4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4" numFmtId="165" xfId="0" applyAlignment="1" applyFont="1" applyNumberFormat="1">
      <alignment shrinkToFit="0" vertical="center" wrapText="0"/>
    </xf>
    <xf borderId="0" fillId="0" fontId="17" numFmtId="165" xfId="0" applyAlignment="1" applyFont="1" applyNumberFormat="1">
      <alignment horizontal="center" readingOrder="0" shrinkToFit="0" vertical="center" wrapText="0"/>
    </xf>
    <xf borderId="0" fillId="0" fontId="3" numFmtId="165" xfId="0" applyFont="1" applyNumberFormat="1"/>
    <xf borderId="0" fillId="0" fontId="9" numFmtId="49" xfId="0" applyAlignment="1" applyFont="1" applyNumberFormat="1">
      <alignment horizontal="center" readingOrder="0" shrinkToFit="0" vertical="center" wrapText="0"/>
    </xf>
    <xf borderId="0" fillId="0" fontId="12" numFmtId="165" xfId="0" applyAlignment="1" applyFont="1" applyNumberFormat="1">
      <alignment shrinkToFit="0" vertical="center" wrapText="0"/>
    </xf>
    <xf borderId="0" fillId="0" fontId="18" numFmtId="165" xfId="0" applyAlignment="1" applyFont="1" applyNumberFormat="1">
      <alignment horizontal="center" readingOrder="0" shrinkToFit="0" vertical="center" wrapText="0"/>
    </xf>
    <xf borderId="0" fillId="0" fontId="12" numFmtId="165" xfId="0" applyAlignment="1" applyFont="1" applyNumberFormat="1">
      <alignment horizontal="center" shrinkToFit="0" vertical="center" wrapText="0"/>
    </xf>
    <xf borderId="5" fillId="0" fontId="19" numFmtId="165" xfId="0" applyAlignment="1" applyBorder="1" applyFont="1" applyNumberFormat="1">
      <alignment horizontal="left" readingOrder="0" shrinkToFit="0" vertical="center" wrapText="0"/>
    </xf>
    <xf borderId="5" fillId="0" fontId="19" numFmtId="165" xfId="0" applyAlignment="1" applyBorder="1" applyFont="1" applyNumberFormat="1">
      <alignment horizontal="center" readingOrder="0" shrinkToFit="0" vertical="center" wrapText="0"/>
    </xf>
    <xf borderId="0" fillId="0" fontId="3" numFmtId="4" xfId="0" applyFont="1" applyNumberFormat="1"/>
    <xf borderId="0" fillId="0" fontId="19" numFmtId="165" xfId="0" applyAlignment="1" applyFont="1" applyNumberFormat="1">
      <alignment horizontal="left" shrinkToFit="0" vertical="center" wrapText="0"/>
    </xf>
    <xf borderId="0" fillId="0" fontId="19" numFmtId="165" xfId="0" applyAlignment="1" applyFont="1" applyNumberFormat="1">
      <alignment horizontal="center" shrinkToFit="0" vertical="center" wrapText="0"/>
    </xf>
    <xf borderId="0" fillId="7" fontId="1" numFmtId="164" xfId="0" applyAlignment="1" applyFont="1" applyNumberFormat="1">
      <alignment readingOrder="0" vertical="center"/>
    </xf>
    <xf borderId="0" fillId="0" fontId="8" numFmtId="165" xfId="0" applyAlignment="1" applyFont="1" applyNumberFormat="1">
      <alignment horizontal="left" readingOrder="0" shrinkToFit="0" vertical="center" wrapText="0"/>
    </xf>
    <xf borderId="0" fillId="0" fontId="2" numFmtId="165" xfId="0" applyAlignment="1" applyFont="1" applyNumberFormat="1">
      <alignment horizontal="center" vertical="center"/>
    </xf>
    <xf borderId="0" fillId="7" fontId="1" numFmtId="4" xfId="0" applyAlignment="1" applyFont="1" applyNumberFormat="1">
      <alignment readingOrder="0" vertical="center"/>
    </xf>
    <xf borderId="6" fillId="0" fontId="17" numFmtId="165" xfId="0" applyAlignment="1" applyBorder="1" applyFont="1" applyNumberFormat="1">
      <alignment horizontal="left" readingOrder="0" shrinkToFit="0" vertical="center" wrapText="0"/>
    </xf>
    <xf borderId="0" fillId="8" fontId="4" numFmtId="0" xfId="0" applyAlignment="1" applyFont="1">
      <alignment horizontal="right" readingOrder="0" vertical="center"/>
    </xf>
    <xf borderId="6" fillId="0" fontId="17" numFmtId="165" xfId="0" applyAlignment="1" applyBorder="1" applyFont="1" applyNumberFormat="1">
      <alignment horizontal="center" readingOrder="0" shrinkToFit="0" vertical="center" wrapText="0"/>
    </xf>
    <xf borderId="0" fillId="8" fontId="4" numFmtId="4" xfId="0" applyAlignment="1" applyFont="1" applyNumberFormat="1">
      <alignment horizontal="left" readingOrder="0" vertical="center"/>
    </xf>
    <xf borderId="0" fillId="0" fontId="12" numFmtId="165" xfId="0" applyAlignment="1" applyFont="1" applyNumberFormat="1">
      <alignment horizontal="left" shrinkToFit="0" vertical="center" wrapText="0"/>
    </xf>
    <xf borderId="0" fillId="10" fontId="1" numFmtId="166" xfId="0" applyAlignment="1" applyFont="1" applyNumberFormat="1">
      <alignment readingOrder="0" vertical="center"/>
    </xf>
    <xf borderId="5" fillId="0" fontId="20" numFmtId="165" xfId="0" applyAlignment="1" applyBorder="1" applyFont="1" applyNumberFormat="1">
      <alignment horizontal="center" readingOrder="0" vertical="center"/>
    </xf>
    <xf borderId="0" fillId="9" fontId="1" numFmtId="9" xfId="0" applyAlignment="1" applyFont="1" applyNumberFormat="1">
      <alignment readingOrder="0" vertical="center"/>
    </xf>
    <xf borderId="0" fillId="0" fontId="6" numFmtId="165" xfId="0" applyAlignment="1" applyFont="1" applyNumberFormat="1">
      <alignment horizontal="left" shrinkToFit="0" vertical="center" wrapText="0"/>
    </xf>
    <xf borderId="0" fillId="0" fontId="6" numFmtId="165" xfId="0" applyAlignment="1" applyFont="1" applyNumberFormat="1">
      <alignment horizontal="center" shrinkToFit="0" vertical="center" wrapText="0"/>
    </xf>
    <xf borderId="0" fillId="0" fontId="10" numFmtId="0" xfId="0" applyAlignment="1" applyFont="1">
      <alignment readingOrder="0" vertical="center"/>
    </xf>
    <xf borderId="6" fillId="0" fontId="21" numFmtId="165" xfId="0" applyAlignment="1" applyBorder="1" applyFont="1" applyNumberFormat="1">
      <alignment horizontal="center" readingOrder="0" vertical="center"/>
    </xf>
    <xf borderId="0" fillId="7" fontId="1" numFmtId="10" xfId="0" applyAlignment="1" applyFont="1" applyNumberFormat="1">
      <alignment readingOrder="0" vertical="center"/>
    </xf>
    <xf borderId="0" fillId="7" fontId="1" numFmtId="3" xfId="0" applyAlignment="1" applyFont="1" applyNumberFormat="1">
      <alignment readingOrder="0" vertical="center"/>
    </xf>
    <xf borderId="0" fillId="17" fontId="4" numFmtId="0" xfId="0" applyAlignment="1" applyFill="1" applyFont="1">
      <alignment readingOrder="0"/>
    </xf>
    <xf borderId="0" fillId="17" fontId="1" numFmtId="0" xfId="0" applyFont="1"/>
    <xf borderId="0" fillId="17" fontId="10" numFmtId="0" xfId="0" applyAlignment="1" applyFont="1">
      <alignment readingOrder="0" shrinkToFit="0" wrapText="0"/>
    </xf>
    <xf borderId="0" fillId="17" fontId="10" numFmtId="0" xfId="0" applyAlignment="1" applyFont="1">
      <alignment horizontal="center" readingOrder="0" shrinkToFit="0" vertical="bottom" wrapText="0"/>
    </xf>
    <xf borderId="0" fillId="17" fontId="10" numFmtId="0" xfId="0" applyAlignment="1" applyFont="1">
      <alignment vertical="bottom"/>
    </xf>
    <xf borderId="0" fillId="17" fontId="1" numFmtId="0" xfId="0" applyAlignment="1" applyFont="1">
      <alignment vertical="bottom"/>
    </xf>
    <xf borderId="0" fillId="17" fontId="2" numFmtId="0" xfId="0" applyAlignment="1" applyFont="1">
      <alignment horizontal="right" vertical="bottom"/>
    </xf>
    <xf borderId="0" fillId="17" fontId="1" numFmtId="43" xfId="0" applyAlignment="1" applyFont="1" applyNumberFormat="1">
      <alignment vertical="bottom"/>
    </xf>
    <xf borderId="0" fillId="17" fontId="2" numFmtId="43" xfId="0" applyAlignment="1" applyFont="1" applyNumberFormat="1">
      <alignment horizontal="right" readingOrder="0" vertical="bottom"/>
    </xf>
    <xf borderId="0" fillId="17" fontId="2" numFmtId="43" xfId="0" applyAlignment="1" applyFont="1" applyNumberFormat="1">
      <alignment horizontal="right" vertical="bottom"/>
    </xf>
    <xf borderId="0" fillId="17" fontId="10" numFmtId="43" xfId="0" applyAlignment="1" applyFont="1" applyNumberFormat="1">
      <alignment horizontal="right" vertical="bottom"/>
    </xf>
    <xf borderId="0" fillId="9" fontId="4" numFmtId="0" xfId="0" applyAlignment="1" applyFont="1">
      <alignment readingOrder="0"/>
    </xf>
    <xf borderId="0" fillId="9" fontId="1" numFmtId="0" xfId="0" applyFont="1"/>
    <xf borderId="0" fillId="9" fontId="10" numFmtId="0" xfId="0" applyAlignment="1" applyFont="1">
      <alignment readingOrder="0" shrinkToFit="0" wrapText="0"/>
    </xf>
    <xf borderId="0" fillId="9" fontId="10" numFmtId="0" xfId="0" applyAlignment="1" applyFont="1">
      <alignment horizontal="center" readingOrder="0" shrinkToFit="0" vertical="bottom" wrapText="0"/>
    </xf>
    <xf borderId="0" fillId="9" fontId="10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9" fontId="2" numFmtId="0" xfId="0" applyAlignment="1" applyFont="1">
      <alignment horizontal="right" vertical="bottom"/>
    </xf>
    <xf borderId="0" fillId="9" fontId="1" numFmtId="43" xfId="0" applyAlignment="1" applyFont="1" applyNumberFormat="1">
      <alignment vertical="bottom"/>
    </xf>
    <xf borderId="0" fillId="9" fontId="2" numFmtId="43" xfId="0" applyAlignment="1" applyFont="1" applyNumberFormat="1">
      <alignment horizontal="right" readingOrder="0" vertical="bottom"/>
    </xf>
    <xf borderId="0" fillId="9" fontId="2" numFmtId="43" xfId="0" applyAlignment="1" applyFont="1" applyNumberFormat="1">
      <alignment horizontal="right" vertical="bottom"/>
    </xf>
    <xf borderId="0" fillId="9" fontId="10" numFmtId="43" xfId="0" applyAlignment="1" applyFont="1" applyNumberFormat="1">
      <alignment horizontal="right" vertical="bottom"/>
    </xf>
    <xf borderId="7" fillId="0" fontId="1" numFmtId="4" xfId="0" applyAlignment="1" applyBorder="1" applyFont="1" applyNumberFormat="1">
      <alignment vertical="center"/>
    </xf>
    <xf borderId="0" fillId="18" fontId="4" numFmtId="0" xfId="0" applyAlignment="1" applyFill="1" applyFont="1">
      <alignment readingOrder="0"/>
    </xf>
    <xf borderId="0" fillId="18" fontId="1" numFmtId="0" xfId="0" applyFont="1"/>
    <xf borderId="0" fillId="18" fontId="10" numFmtId="0" xfId="0" applyAlignment="1" applyFont="1">
      <alignment readingOrder="0" shrinkToFit="0" wrapText="0"/>
    </xf>
    <xf borderId="0" fillId="18" fontId="10" numFmtId="0" xfId="0" applyAlignment="1" applyFont="1">
      <alignment horizontal="center" readingOrder="0" shrinkToFit="0" vertical="bottom" wrapText="0"/>
    </xf>
    <xf borderId="0" fillId="18" fontId="10" numFmtId="0" xfId="0" applyAlignment="1" applyFont="1">
      <alignment vertical="bottom"/>
    </xf>
    <xf borderId="0" fillId="18" fontId="1" numFmtId="0" xfId="0" applyAlignment="1" applyFont="1">
      <alignment vertical="bottom"/>
    </xf>
    <xf borderId="0" fillId="18" fontId="2" numFmtId="0" xfId="0" applyAlignment="1" applyFont="1">
      <alignment horizontal="right" vertical="bottom"/>
    </xf>
    <xf borderId="0" fillId="18" fontId="1" numFmtId="43" xfId="0" applyAlignment="1" applyFont="1" applyNumberFormat="1">
      <alignment vertical="bottom"/>
    </xf>
    <xf borderId="0" fillId="18" fontId="2" numFmtId="43" xfId="0" applyAlignment="1" applyFont="1" applyNumberFormat="1">
      <alignment horizontal="right" readingOrder="0" vertical="bottom"/>
    </xf>
    <xf borderId="0" fillId="18" fontId="2" numFmtId="43" xfId="0" applyAlignment="1" applyFont="1" applyNumberFormat="1">
      <alignment horizontal="right" vertical="bottom"/>
    </xf>
    <xf borderId="0" fillId="18" fontId="10" numFmtId="43" xfId="0" applyAlignment="1" applyFont="1" applyNumberFormat="1">
      <alignment horizontal="right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Potential Usage &amp; Market Share 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24:I34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Potential Usage &amp; Market Share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ns.gov.uk/peoplepopulationandcommunity/populationandmigration/populationestimates/articles/overviewoftheukpopulation/august2019" TargetMode="External"/><Relationship Id="rId2" Type="http://schemas.openxmlformats.org/officeDocument/2006/relationships/hyperlink" Target="https://www.suttontrust.com/our-research/private-tuition-polling-2019/" TargetMode="External"/><Relationship Id="rId3" Type="http://schemas.openxmlformats.org/officeDocument/2006/relationships/hyperlink" Target="https://www.gov.uk/government/statistics/schools-pupils-and-their-characteristics-january-2019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1.0"/>
    <col customWidth="1" min="8" max="8" width="15.0"/>
  </cols>
  <sheetData>
    <row r="1" ht="48.75" customHeight="1">
      <c r="A1" s="1"/>
      <c r="B1" s="3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6"/>
    </row>
    <row r="3">
      <c r="A3" s="1"/>
      <c r="B3" s="9"/>
      <c r="C3" s="11" t="s">
        <v>2</v>
      </c>
      <c r="D3" s="11" t="s">
        <v>6</v>
      </c>
      <c r="E3" s="11" t="s">
        <v>7</v>
      </c>
      <c r="F3" s="11" t="s">
        <v>8</v>
      </c>
      <c r="G3" s="11" t="s">
        <v>9</v>
      </c>
      <c r="H3" s="13"/>
    </row>
    <row r="4">
      <c r="A4" s="1"/>
      <c r="B4" s="7" t="s">
        <v>11</v>
      </c>
      <c r="C4" s="15">
        <v>2020.0</v>
      </c>
      <c r="D4" s="15">
        <v>2021.0</v>
      </c>
      <c r="E4" s="15">
        <v>2022.0</v>
      </c>
      <c r="F4" s="15">
        <v>2023.0</v>
      </c>
      <c r="G4" s="15">
        <v>2024.0</v>
      </c>
      <c r="H4" s="13"/>
    </row>
    <row r="5">
      <c r="A5" s="1"/>
      <c r="B5" s="17"/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3"/>
    </row>
    <row r="6">
      <c r="A6" s="1"/>
      <c r="B6" s="20"/>
      <c r="C6" s="22" t="s">
        <v>22</v>
      </c>
      <c r="D6" s="22" t="s">
        <v>22</v>
      </c>
      <c r="E6" s="22" t="s">
        <v>22</v>
      </c>
      <c r="F6" s="22" t="s">
        <v>22</v>
      </c>
      <c r="G6" s="22" t="s">
        <v>22</v>
      </c>
      <c r="H6" s="13"/>
    </row>
    <row r="7">
      <c r="A7" s="1"/>
      <c r="B7" s="20"/>
      <c r="C7" s="20"/>
      <c r="D7" s="20"/>
      <c r="E7" s="20"/>
      <c r="F7" s="20"/>
      <c r="G7" s="20"/>
      <c r="H7" s="13"/>
    </row>
    <row r="8">
      <c r="A8" s="1"/>
      <c r="B8" s="25" t="s">
        <v>25</v>
      </c>
      <c r="C8" s="20"/>
      <c r="D8" s="20"/>
      <c r="E8" s="20"/>
      <c r="F8" s="20"/>
      <c r="G8" s="20"/>
      <c r="H8" s="13"/>
    </row>
    <row r="9">
      <c r="A9" s="1"/>
      <c r="B9" s="27" t="s">
        <v>26</v>
      </c>
      <c r="C9" s="36">
        <f>SUM(Cashflow!D9:J9)</f>
        <v>9635.028541</v>
      </c>
      <c r="D9" s="36">
        <f>SUM(Cashflow!D40:O40)</f>
        <v>165171.9178</v>
      </c>
      <c r="E9" s="36">
        <f>'Potential Usage &amp; Market Share '!J6</f>
        <v>330343.8357</v>
      </c>
      <c r="F9" s="36">
        <f>'Potential Usage &amp; Market Share '!J7</f>
        <v>660687.6714</v>
      </c>
      <c r="G9" s="36">
        <f>'Potential Usage &amp; Market Share '!J8</f>
        <v>1651719.178</v>
      </c>
      <c r="H9" s="13"/>
    </row>
    <row r="10">
      <c r="A10" s="1"/>
      <c r="B10" s="27" t="s">
        <v>28</v>
      </c>
      <c r="C10" s="36">
        <v>287.36</v>
      </c>
      <c r="D10" s="36">
        <v>0.0</v>
      </c>
      <c r="E10" s="36">
        <v>0.0</v>
      </c>
      <c r="F10" s="36">
        <v>0.0</v>
      </c>
      <c r="G10" s="36">
        <v>0.0</v>
      </c>
      <c r="H10" s="13"/>
    </row>
    <row r="11">
      <c r="A11" s="1"/>
      <c r="H11" s="13"/>
    </row>
    <row r="12">
      <c r="A12" s="1"/>
      <c r="B12" s="41" t="s">
        <v>31</v>
      </c>
      <c r="C12" s="43">
        <f t="shared" ref="C12:G12" si="1">SUM(C9:C10)</f>
        <v>9922.388541</v>
      </c>
      <c r="D12" s="43">
        <f t="shared" si="1"/>
        <v>165171.9178</v>
      </c>
      <c r="E12" s="43">
        <f t="shared" si="1"/>
        <v>330343.8357</v>
      </c>
      <c r="F12" s="43">
        <f t="shared" si="1"/>
        <v>660687.6714</v>
      </c>
      <c r="G12" s="43">
        <f t="shared" si="1"/>
        <v>1651719.178</v>
      </c>
      <c r="H12" s="13"/>
    </row>
    <row r="13">
      <c r="A13" s="1"/>
      <c r="B13" s="20"/>
      <c r="C13" s="20"/>
      <c r="D13" s="20"/>
      <c r="E13" s="20"/>
      <c r="F13" s="20"/>
      <c r="G13" s="20"/>
      <c r="H13" s="13"/>
    </row>
    <row r="14">
      <c r="A14" s="1"/>
      <c r="B14" s="45" t="s">
        <v>34</v>
      </c>
      <c r="C14" s="20"/>
      <c r="D14" s="20"/>
      <c r="E14" s="20"/>
      <c r="F14" s="20"/>
      <c r="G14" s="20"/>
      <c r="H14" s="13"/>
    </row>
    <row r="15">
      <c r="A15" s="1"/>
      <c r="B15" s="46" t="s">
        <v>35</v>
      </c>
      <c r="C15" s="36">
        <f>SUM(Cashflow!D21:J21)</f>
        <v>183.0655423</v>
      </c>
      <c r="D15" s="36">
        <f>SUM(Cashflow!D52:O52)</f>
        <v>3138.266439</v>
      </c>
      <c r="E15" s="36">
        <f>E9*Workings!$C$41</f>
        <v>6276.532878</v>
      </c>
      <c r="F15" s="36">
        <f>F9*Workings!$C$41</f>
        <v>12553.06576</v>
      </c>
      <c r="G15" s="36">
        <f>G9*Workings!$C$41</f>
        <v>31382.66439</v>
      </c>
      <c r="H15" s="13"/>
    </row>
    <row r="16">
      <c r="A16" s="1"/>
      <c r="B16" s="46" t="s">
        <v>39</v>
      </c>
      <c r="C16" s="50">
        <f>Workings!$C$12</f>
        <v>1080</v>
      </c>
      <c r="D16" s="50">
        <f>Workings!$C$12</f>
        <v>1080</v>
      </c>
      <c r="E16" s="50">
        <f>Workings!$C$12</f>
        <v>1080</v>
      </c>
      <c r="F16" s="50">
        <f>Workings!$C$12</f>
        <v>1080</v>
      </c>
      <c r="G16" s="50">
        <f>Workings!$C$12</f>
        <v>1080</v>
      </c>
      <c r="H16" s="13"/>
    </row>
    <row r="17">
      <c r="A17" s="1"/>
      <c r="H17" s="13"/>
    </row>
    <row r="18">
      <c r="A18" s="1"/>
      <c r="B18" s="41" t="s">
        <v>46</v>
      </c>
      <c r="C18" s="43">
        <f t="shared" ref="C18:G18" si="2">SUM(C15:C16)</f>
        <v>1263.065542</v>
      </c>
      <c r="D18" s="43">
        <f t="shared" si="2"/>
        <v>4218.266439</v>
      </c>
      <c r="E18" s="43">
        <f t="shared" si="2"/>
        <v>7356.532878</v>
      </c>
      <c r="F18" s="43">
        <f t="shared" si="2"/>
        <v>13633.06576</v>
      </c>
      <c r="G18" s="43">
        <f t="shared" si="2"/>
        <v>32462.66439</v>
      </c>
      <c r="H18" s="13"/>
    </row>
    <row r="19">
      <c r="A19" s="1"/>
      <c r="B19" s="46"/>
      <c r="C19" s="50"/>
      <c r="D19" s="50"/>
      <c r="E19" s="50"/>
      <c r="F19" s="50"/>
      <c r="G19" s="50"/>
      <c r="H19" s="13"/>
    </row>
    <row r="20">
      <c r="A20" s="1"/>
      <c r="B20" s="56" t="s">
        <v>48</v>
      </c>
      <c r="C20" s="59">
        <f t="shared" ref="C20:G20" si="3">C12-C18</f>
        <v>8659.322998</v>
      </c>
      <c r="D20" s="59">
        <f t="shared" si="3"/>
        <v>160953.6514</v>
      </c>
      <c r="E20" s="59">
        <f t="shared" si="3"/>
        <v>322987.3028</v>
      </c>
      <c r="F20" s="59">
        <f t="shared" si="3"/>
        <v>647054.6056</v>
      </c>
      <c r="G20" s="59">
        <f t="shared" si="3"/>
        <v>1619256.514</v>
      </c>
      <c r="H20" s="13"/>
    </row>
    <row r="21">
      <c r="A21" s="1"/>
      <c r="B21" s="20"/>
      <c r="C21" s="20"/>
      <c r="D21" s="20"/>
      <c r="E21" s="20"/>
      <c r="F21" s="20"/>
      <c r="G21" s="20"/>
      <c r="H21" s="13"/>
    </row>
    <row r="22">
      <c r="A22" s="1"/>
      <c r="B22" s="25" t="s">
        <v>53</v>
      </c>
      <c r="C22" s="60"/>
      <c r="D22" s="20"/>
      <c r="E22" s="20"/>
      <c r="F22" s="20"/>
      <c r="G22" s="20"/>
      <c r="H22" s="13"/>
    </row>
    <row r="23">
      <c r="A23" s="1"/>
      <c r="B23" s="27" t="s">
        <v>55</v>
      </c>
      <c r="C23" s="36">
        <f>Workings!$C$52*C9</f>
        <v>481.751427</v>
      </c>
      <c r="D23" s="36">
        <f>Workings!$C$52*D9</f>
        <v>8258.595892</v>
      </c>
      <c r="E23" s="36">
        <f>Workings!$C$52*E9</f>
        <v>16517.19178</v>
      </c>
      <c r="F23" s="36">
        <f>Workings!$C$52*F9</f>
        <v>33034.38357</v>
      </c>
      <c r="G23" s="36">
        <f>Workings!$C$52*G9</f>
        <v>82585.95892</v>
      </c>
      <c r="H23" s="13"/>
    </row>
    <row r="24">
      <c r="A24" s="1"/>
      <c r="B24" s="27" t="s">
        <v>59</v>
      </c>
      <c r="C24" s="36">
        <f>SUM(Cashflow!D18:J18)</f>
        <v>15782.48028</v>
      </c>
      <c r="D24" s="36">
        <f>SUM(Cashflow!D49:O49)</f>
        <v>54556.8048</v>
      </c>
      <c r="E24" s="36">
        <f>SUM(Cashflow!D80:O80)</f>
        <v>109113.6096</v>
      </c>
      <c r="F24" s="36">
        <f>Workings!AH82</f>
        <v>170227.2192</v>
      </c>
      <c r="G24" s="36">
        <f>Workings!AI82</f>
        <v>353568.048</v>
      </c>
      <c r="H24" s="13"/>
    </row>
    <row r="25">
      <c r="A25" s="1"/>
      <c r="B25" s="27" t="s">
        <v>50</v>
      </c>
      <c r="C25" s="36">
        <f>Workings!$C$10</f>
        <v>2600</v>
      </c>
      <c r="D25" s="36">
        <f>Workings!$C$10</f>
        <v>2600</v>
      </c>
      <c r="E25" s="36">
        <f>Workings!$C$10</f>
        <v>2600</v>
      </c>
      <c r="F25" s="36">
        <f>Workings!$C$10</f>
        <v>2600</v>
      </c>
      <c r="G25" s="36">
        <f>Workings!$C$10</f>
        <v>2600</v>
      </c>
      <c r="H25" s="13"/>
    </row>
    <row r="26">
      <c r="A26" s="1"/>
      <c r="B26" s="27" t="s">
        <v>60</v>
      </c>
      <c r="C26" s="36">
        <f>Workings!$C$11</f>
        <v>5200</v>
      </c>
      <c r="D26" s="36">
        <f>Workings!$C$11</f>
        <v>5200</v>
      </c>
      <c r="E26" s="36">
        <f>Workings!$C$11</f>
        <v>5200</v>
      </c>
      <c r="F26" s="36">
        <f>Workings!$C$11</f>
        <v>5200</v>
      </c>
      <c r="G26" s="36">
        <f>Workings!$C$11</f>
        <v>5200</v>
      </c>
      <c r="H26" s="13"/>
    </row>
    <row r="27">
      <c r="A27" s="1"/>
      <c r="B27" s="27" t="s">
        <v>43</v>
      </c>
      <c r="C27" s="36">
        <f>Workings!$C$9</f>
        <v>32900</v>
      </c>
      <c r="D27" s="36">
        <f>Workings!$C$9</f>
        <v>32900</v>
      </c>
      <c r="E27" s="36">
        <f>Workings!$C$9</f>
        <v>32900</v>
      </c>
      <c r="F27" s="36">
        <f>Workings!$C$9</f>
        <v>32900</v>
      </c>
      <c r="G27" s="36">
        <f>Workings!$C$9</f>
        <v>32900</v>
      </c>
      <c r="H27" s="13"/>
    </row>
    <row r="28">
      <c r="A28" s="1"/>
      <c r="B28" s="27" t="s">
        <v>70</v>
      </c>
      <c r="C28" s="36">
        <f>SUM(Cashflow!D19:J19)</f>
        <v>5031.290828</v>
      </c>
      <c r="D28" s="36">
        <f>SUM(Cashflow!D50:O50)</f>
        <v>7546.197477</v>
      </c>
      <c r="E28" s="36">
        <f>SUM(Cashflow!D81:O81)</f>
        <v>6367.762575</v>
      </c>
      <c r="F28" s="36">
        <f>SUM(Workings!C34:N34)</f>
        <v>5373.3553</v>
      </c>
      <c r="G28" s="36">
        <f>SUM(Workings!O34:Z34)</f>
        <v>4534.237393</v>
      </c>
      <c r="H28" s="13"/>
    </row>
    <row r="29">
      <c r="A29" s="1"/>
      <c r="B29" s="27"/>
      <c r="H29" s="13"/>
    </row>
    <row r="30">
      <c r="A30" s="1"/>
      <c r="B30" s="72" t="s">
        <v>71</v>
      </c>
      <c r="C30" s="74">
        <f t="shared" ref="C30:G30" si="4">SUM(C23:C28)</f>
        <v>61995.52253</v>
      </c>
      <c r="D30" s="74">
        <f t="shared" si="4"/>
        <v>111061.5982</v>
      </c>
      <c r="E30" s="74">
        <f t="shared" si="4"/>
        <v>172698.564</v>
      </c>
      <c r="F30" s="74">
        <f t="shared" si="4"/>
        <v>249334.9581</v>
      </c>
      <c r="G30" s="74">
        <f t="shared" si="4"/>
        <v>481388.2443</v>
      </c>
      <c r="H30" s="13"/>
    </row>
    <row r="31">
      <c r="A31" s="1"/>
      <c r="B31" s="17"/>
      <c r="C31" s="17"/>
      <c r="D31" s="17"/>
      <c r="E31" s="17"/>
      <c r="F31" s="17"/>
      <c r="G31" s="17"/>
      <c r="H31" s="13"/>
    </row>
    <row r="32">
      <c r="A32" s="1"/>
      <c r="B32" s="56" t="s">
        <v>72</v>
      </c>
      <c r="C32" s="75">
        <f t="shared" ref="C32:G32" si="5">C20-C30</f>
        <v>-53336.19954</v>
      </c>
      <c r="D32" s="75">
        <f t="shared" si="5"/>
        <v>49892.05323</v>
      </c>
      <c r="E32" s="75">
        <f t="shared" si="5"/>
        <v>150288.7388</v>
      </c>
      <c r="F32" s="75">
        <f t="shared" si="5"/>
        <v>397719.6475</v>
      </c>
      <c r="G32" s="75">
        <f t="shared" si="5"/>
        <v>1137868.27</v>
      </c>
      <c r="H32" s="13"/>
    </row>
    <row r="33">
      <c r="A33" s="1"/>
      <c r="H33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7.0"/>
    <col customWidth="1" min="2" max="2" width="19.71"/>
  </cols>
  <sheetData>
    <row r="1" ht="32.2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>
      <c r="A3" s="4"/>
      <c r="B3" s="8" t="s">
        <v>0</v>
      </c>
      <c r="C3" s="10"/>
      <c r="D3" s="16" t="s">
        <v>5</v>
      </c>
      <c r="E3" s="16" t="s">
        <v>15</v>
      </c>
      <c r="F3" s="16" t="s">
        <v>16</v>
      </c>
      <c r="G3" s="16" t="s">
        <v>17</v>
      </c>
      <c r="H3" s="16" t="s">
        <v>19</v>
      </c>
      <c r="I3" s="16" t="s">
        <v>20</v>
      </c>
      <c r="J3" s="16" t="s">
        <v>21</v>
      </c>
      <c r="K3" s="4"/>
      <c r="L3" s="4"/>
      <c r="M3" s="4"/>
      <c r="N3" s="4"/>
      <c r="O3" s="4"/>
      <c r="P3" s="4"/>
    </row>
    <row r="4">
      <c r="A4" s="4"/>
      <c r="B4" s="10"/>
      <c r="C4" s="10"/>
      <c r="D4" s="26" t="s">
        <v>22</v>
      </c>
      <c r="E4" s="26" t="s">
        <v>22</v>
      </c>
      <c r="F4" s="26" t="s">
        <v>22</v>
      </c>
      <c r="G4" s="26" t="s">
        <v>22</v>
      </c>
      <c r="H4" s="26" t="s">
        <v>22</v>
      </c>
      <c r="I4" s="26" t="s">
        <v>22</v>
      </c>
      <c r="J4" s="26" t="s">
        <v>22</v>
      </c>
      <c r="K4" s="4"/>
      <c r="L4" s="4"/>
      <c r="M4" s="4"/>
      <c r="N4" s="4"/>
      <c r="O4" s="4"/>
      <c r="P4" s="4"/>
    </row>
    <row r="5">
      <c r="A5" s="4"/>
      <c r="B5" s="10"/>
      <c r="C5" s="10"/>
      <c r="D5" s="10"/>
      <c r="E5" s="10"/>
      <c r="F5" s="10"/>
      <c r="G5" s="10"/>
      <c r="H5" s="10"/>
      <c r="I5" s="10"/>
      <c r="J5" s="10"/>
      <c r="K5" s="4"/>
      <c r="L5" s="4"/>
      <c r="M5" s="4"/>
      <c r="N5" s="4"/>
      <c r="O5" s="4"/>
      <c r="P5" s="4"/>
    </row>
    <row r="6">
      <c r="A6" s="4"/>
      <c r="B6" s="28" t="s">
        <v>27</v>
      </c>
      <c r="C6" s="29"/>
      <c r="D6" s="29"/>
      <c r="E6" s="29"/>
      <c r="F6" s="29"/>
      <c r="G6" s="29"/>
      <c r="H6" s="29"/>
      <c r="I6" s="10"/>
      <c r="J6" s="10"/>
      <c r="K6" s="4"/>
      <c r="L6" s="4"/>
      <c r="M6" s="4"/>
      <c r="N6" s="4"/>
      <c r="O6" s="4"/>
      <c r="P6" s="4"/>
    </row>
    <row r="7">
      <c r="A7" s="4"/>
      <c r="B7" s="30" t="s">
        <v>28</v>
      </c>
      <c r="C7" s="31"/>
      <c r="D7" s="32">
        <v>0.0</v>
      </c>
      <c r="E7" s="33">
        <f t="shared" ref="E7:J7" si="1">0</f>
        <v>0</v>
      </c>
      <c r="F7" s="33">
        <f t="shared" si="1"/>
        <v>0</v>
      </c>
      <c r="G7" s="33">
        <f t="shared" si="1"/>
        <v>0</v>
      </c>
      <c r="H7" s="33">
        <f t="shared" si="1"/>
        <v>0</v>
      </c>
      <c r="I7" s="33">
        <f t="shared" si="1"/>
        <v>0</v>
      </c>
      <c r="J7" s="33">
        <f t="shared" si="1"/>
        <v>0</v>
      </c>
      <c r="K7" s="4"/>
      <c r="L7" s="4"/>
      <c r="M7" s="4"/>
      <c r="N7" s="4"/>
      <c r="O7" s="4"/>
      <c r="P7" s="4"/>
    </row>
    <row r="8">
      <c r="A8" s="4"/>
      <c r="B8" s="30" t="s">
        <v>29</v>
      </c>
      <c r="C8" s="31"/>
      <c r="D8" s="34">
        <v>50000.0</v>
      </c>
      <c r="E8" s="33">
        <f t="shared" ref="E8:J8" si="2">0</f>
        <v>0</v>
      </c>
      <c r="F8" s="33">
        <f t="shared" si="2"/>
        <v>0</v>
      </c>
      <c r="G8" s="33">
        <f t="shared" si="2"/>
        <v>0</v>
      </c>
      <c r="H8" s="33">
        <f t="shared" si="2"/>
        <v>0</v>
      </c>
      <c r="I8" s="33">
        <f t="shared" si="2"/>
        <v>0</v>
      </c>
      <c r="J8" s="33">
        <f t="shared" si="2"/>
        <v>0</v>
      </c>
      <c r="K8" s="4"/>
      <c r="L8" s="4"/>
      <c r="M8" s="4"/>
      <c r="N8" s="4"/>
      <c r="O8" s="4"/>
      <c r="P8" s="4"/>
    </row>
    <row r="9">
      <c r="A9" s="4"/>
      <c r="B9" s="30" t="s">
        <v>26</v>
      </c>
      <c r="C9" s="31"/>
      <c r="D9" s="32">
        <f>'Potential Usage &amp; Market Share '!E48</f>
        <v>1376.432649</v>
      </c>
      <c r="E9" s="32">
        <f>'Potential Usage &amp; Market Share '!F48</f>
        <v>1376.432649</v>
      </c>
      <c r="F9" s="32">
        <f>'Potential Usage &amp; Market Share '!G48</f>
        <v>1376.432649</v>
      </c>
      <c r="G9" s="32">
        <f>'Potential Usage &amp; Market Share '!H48</f>
        <v>1376.432649</v>
      </c>
      <c r="H9" s="32">
        <f>'Potential Usage &amp; Market Share '!I48</f>
        <v>1376.432649</v>
      </c>
      <c r="I9" s="32">
        <f>'Potential Usage &amp; Market Share '!J48</f>
        <v>1376.432649</v>
      </c>
      <c r="J9" s="32">
        <f>'Potential Usage &amp; Market Share '!K48</f>
        <v>1376.432649</v>
      </c>
      <c r="K9" s="4"/>
      <c r="L9" s="4"/>
      <c r="M9" s="4"/>
      <c r="N9" s="4"/>
      <c r="O9" s="4"/>
      <c r="P9" s="4"/>
    </row>
    <row r="10">
      <c r="A10" s="4"/>
      <c r="B10" s="29"/>
      <c r="C10" s="31"/>
      <c r="D10" s="31"/>
      <c r="E10" s="31"/>
      <c r="F10" s="31"/>
      <c r="G10" s="31"/>
      <c r="H10" s="31"/>
      <c r="I10" s="31"/>
      <c r="J10" s="31"/>
      <c r="K10" s="4"/>
      <c r="L10" s="4"/>
      <c r="M10" s="4"/>
      <c r="N10" s="4"/>
      <c r="O10" s="4"/>
      <c r="P10" s="4"/>
    </row>
    <row r="11">
      <c r="A11" s="4"/>
      <c r="B11" s="28" t="s">
        <v>38</v>
      </c>
      <c r="C11" s="31"/>
      <c r="D11" s="49">
        <f t="shared" ref="D11:J11" si="3">SUM(D7:D9)</f>
        <v>51376.43265</v>
      </c>
      <c r="E11" s="49">
        <f t="shared" si="3"/>
        <v>1376.432649</v>
      </c>
      <c r="F11" s="49">
        <f t="shared" si="3"/>
        <v>1376.432649</v>
      </c>
      <c r="G11" s="49">
        <f t="shared" si="3"/>
        <v>1376.432649</v>
      </c>
      <c r="H11" s="49">
        <f t="shared" si="3"/>
        <v>1376.432649</v>
      </c>
      <c r="I11" s="49">
        <f t="shared" si="3"/>
        <v>1376.432649</v>
      </c>
      <c r="J11" s="49">
        <f t="shared" si="3"/>
        <v>1376.432649</v>
      </c>
      <c r="K11" s="4"/>
      <c r="L11" s="4"/>
      <c r="M11" s="4"/>
      <c r="N11" s="4"/>
      <c r="O11" s="4"/>
      <c r="P11" s="4"/>
    </row>
    <row r="12">
      <c r="A12" s="4"/>
      <c r="B12" s="29"/>
      <c r="C12" s="31"/>
      <c r="D12" s="31"/>
      <c r="E12" s="31"/>
      <c r="F12" s="31"/>
      <c r="G12" s="31"/>
      <c r="H12" s="31"/>
      <c r="I12" s="10"/>
      <c r="J12" s="10"/>
      <c r="K12" s="4"/>
      <c r="L12" s="4"/>
      <c r="M12" s="4"/>
      <c r="N12" s="4"/>
      <c r="O12" s="4"/>
      <c r="P12" s="4"/>
    </row>
    <row r="13">
      <c r="A13" s="4"/>
      <c r="B13" s="28" t="s">
        <v>42</v>
      </c>
      <c r="C13" s="31"/>
      <c r="D13" s="31"/>
      <c r="E13" s="31"/>
      <c r="F13" s="31"/>
      <c r="G13" s="31"/>
      <c r="H13" s="31"/>
      <c r="I13" s="10"/>
      <c r="J13" s="10"/>
      <c r="K13" s="4"/>
      <c r="L13" s="4"/>
      <c r="M13" s="4"/>
      <c r="N13" s="4"/>
      <c r="O13" s="4"/>
      <c r="P13" s="4"/>
    </row>
    <row r="14">
      <c r="A14" s="4"/>
      <c r="B14" s="30" t="s">
        <v>28</v>
      </c>
      <c r="C14" s="31"/>
      <c r="D14" s="33">
        <v>0.0</v>
      </c>
      <c r="E14" s="33">
        <v>0.0</v>
      </c>
      <c r="F14" s="33">
        <v>0.0</v>
      </c>
      <c r="G14" s="33">
        <v>0.0</v>
      </c>
      <c r="H14" s="33">
        <v>0.0</v>
      </c>
      <c r="I14" s="33">
        <v>0.0</v>
      </c>
      <c r="J14" s="33">
        <v>0.0</v>
      </c>
      <c r="K14" s="4"/>
      <c r="L14" s="4"/>
      <c r="M14" s="4"/>
      <c r="N14" s="4"/>
      <c r="O14" s="4"/>
      <c r="P14" s="4"/>
    </row>
    <row r="15">
      <c r="A15" s="4"/>
      <c r="B15" s="30" t="s">
        <v>43</v>
      </c>
      <c r="C15" s="31"/>
      <c r="D15" s="33">
        <f>Workings!$C$9/12</f>
        <v>2741.666667</v>
      </c>
      <c r="E15" s="33">
        <f>Workings!$C$9/12</f>
        <v>2741.666667</v>
      </c>
      <c r="F15" s="33">
        <f>Workings!$C$9/12</f>
        <v>2741.666667</v>
      </c>
      <c r="G15" s="33">
        <f>Workings!$C$9/12</f>
        <v>2741.666667</v>
      </c>
      <c r="H15" s="33">
        <f>Workings!$C$9/12</f>
        <v>2741.666667</v>
      </c>
      <c r="I15" s="33">
        <f>Workings!$C$9/12</f>
        <v>2741.666667</v>
      </c>
      <c r="J15" s="33">
        <f>Workings!$C$9/12</f>
        <v>2741.666667</v>
      </c>
      <c r="K15" s="4"/>
      <c r="L15" s="4"/>
      <c r="M15" s="4"/>
      <c r="N15" s="4"/>
      <c r="O15" s="4"/>
      <c r="P15" s="4"/>
    </row>
    <row r="16">
      <c r="A16" s="4"/>
      <c r="B16" s="30" t="s">
        <v>50</v>
      </c>
      <c r="C16" s="31"/>
      <c r="D16" s="33">
        <f>Workings!$C$10/12</f>
        <v>216.6666667</v>
      </c>
      <c r="E16" s="33">
        <f>Workings!$C$10/12</f>
        <v>216.6666667</v>
      </c>
      <c r="F16" s="33">
        <f>Workings!$C$10/12</f>
        <v>216.6666667</v>
      </c>
      <c r="G16" s="33">
        <f>Workings!$C$10/12</f>
        <v>216.6666667</v>
      </c>
      <c r="H16" s="33">
        <f>Workings!$C$10/12</f>
        <v>216.6666667</v>
      </c>
      <c r="I16" s="33">
        <f>Workings!$C$10/12</f>
        <v>216.6666667</v>
      </c>
      <c r="J16" s="33">
        <f>Workings!$C$10/12</f>
        <v>216.6666667</v>
      </c>
      <c r="K16" s="4"/>
      <c r="L16" s="4"/>
      <c r="M16" s="4"/>
      <c r="N16" s="4"/>
      <c r="O16" s="4"/>
      <c r="P16" s="4"/>
    </row>
    <row r="17">
      <c r="A17" s="4"/>
      <c r="B17" s="30" t="s">
        <v>60</v>
      </c>
      <c r="C17" s="31"/>
      <c r="D17" s="33">
        <f>Workings!$C$9/12</f>
        <v>2741.666667</v>
      </c>
      <c r="E17" s="33">
        <f>Workings!$C$9/12</f>
        <v>2741.666667</v>
      </c>
      <c r="F17" s="33">
        <f>Workings!$C$9/12</f>
        <v>2741.666667</v>
      </c>
      <c r="G17" s="33">
        <f>Workings!$C$9/12</f>
        <v>2741.666667</v>
      </c>
      <c r="H17" s="33">
        <f>Workings!$C$9/12</f>
        <v>2741.666667</v>
      </c>
      <c r="I17" s="33">
        <f>Workings!$C$9/12</f>
        <v>2741.666667</v>
      </c>
      <c r="J17" s="33">
        <f>Workings!$C$9/12</f>
        <v>2741.666667</v>
      </c>
      <c r="K17" s="4"/>
      <c r="L17" s="4"/>
      <c r="M17" s="4"/>
      <c r="N17" s="4"/>
      <c r="O17" s="4"/>
      <c r="P17" s="4"/>
    </row>
    <row r="18">
      <c r="A18" s="4"/>
      <c r="B18" s="30" t="s">
        <v>69</v>
      </c>
      <c r="C18" s="31"/>
      <c r="D18" s="33">
        <f>Workings!C82</f>
        <v>2254.64004</v>
      </c>
      <c r="E18" s="33">
        <f>Workings!D82</f>
        <v>2254.64004</v>
      </c>
      <c r="F18" s="33">
        <f>Workings!E82</f>
        <v>2254.64004</v>
      </c>
      <c r="G18" s="33">
        <f>Workings!F82</f>
        <v>2254.64004</v>
      </c>
      <c r="H18" s="33">
        <f>Workings!G82</f>
        <v>2254.64004</v>
      </c>
      <c r="I18" s="33">
        <f>Workings!H82</f>
        <v>2254.64004</v>
      </c>
      <c r="J18" s="33">
        <f>Workings!I82</f>
        <v>2254.64004</v>
      </c>
      <c r="K18" s="4"/>
      <c r="L18" s="4"/>
      <c r="M18" s="4"/>
      <c r="N18" s="4"/>
      <c r="O18" s="4"/>
      <c r="P18" s="4"/>
    </row>
    <row r="19">
      <c r="A19" s="4"/>
      <c r="B19" s="30" t="s">
        <v>70</v>
      </c>
      <c r="C19" s="31"/>
      <c r="D19" s="33">
        <f>Workings!C26</f>
        <v>749.622857</v>
      </c>
      <c r="E19" s="33">
        <f>Workings!D26</f>
        <v>739.0906559</v>
      </c>
      <c r="F19" s="33">
        <f>Workings!E26</f>
        <v>728.7064321</v>
      </c>
      <c r="G19" s="33">
        <f>Workings!F26</f>
        <v>718.4681068</v>
      </c>
      <c r="H19" s="33">
        <f>Workings!G26</f>
        <v>708.3736299</v>
      </c>
      <c r="I19" s="33">
        <f>Workings!H26</f>
        <v>698.4209804</v>
      </c>
      <c r="J19" s="33">
        <f>Workings!I26</f>
        <v>688.6081656</v>
      </c>
      <c r="K19" s="4"/>
      <c r="L19" s="4"/>
      <c r="M19" s="4"/>
      <c r="N19" s="4"/>
      <c r="O19" s="4"/>
      <c r="P19" s="4"/>
    </row>
    <row r="20">
      <c r="A20" s="4"/>
      <c r="B20" s="73" t="s">
        <v>55</v>
      </c>
      <c r="C20" s="31"/>
      <c r="D20" s="33">
        <f>(Workings!$C$52*'Potential Usage &amp; Market Share '!$J$4)/12</f>
        <v>68.82163243</v>
      </c>
      <c r="E20" s="33">
        <f>(Workings!$C$52*'Potential Usage &amp; Market Share '!$J$4)/12</f>
        <v>68.82163243</v>
      </c>
      <c r="F20" s="33">
        <f>(Workings!$C$52*'Potential Usage &amp; Market Share '!$J$4)/12</f>
        <v>68.82163243</v>
      </c>
      <c r="G20" s="33">
        <f>(Workings!$C$52*'Potential Usage &amp; Market Share '!$J$4)/12</f>
        <v>68.82163243</v>
      </c>
      <c r="H20" s="33">
        <f>(Workings!$C$52*'Potential Usage &amp; Market Share '!$J$4)/12</f>
        <v>68.82163243</v>
      </c>
      <c r="I20" s="33">
        <f>(Workings!$C$52*'Potential Usage &amp; Market Share '!$J$4)/12</f>
        <v>68.82163243</v>
      </c>
      <c r="J20" s="33">
        <f>(Workings!$C$52*'Potential Usage &amp; Market Share '!$J$4)/12</f>
        <v>68.82163243</v>
      </c>
      <c r="K20" s="4"/>
      <c r="L20" s="4"/>
      <c r="M20" s="4"/>
      <c r="N20" s="4"/>
      <c r="O20" s="4"/>
      <c r="P20" s="4"/>
    </row>
    <row r="21">
      <c r="A21" s="4"/>
      <c r="B21" s="30" t="s">
        <v>73</v>
      </c>
      <c r="C21" s="31"/>
      <c r="D21" s="33">
        <f>D9*Workings!$C$41</f>
        <v>26.15222032</v>
      </c>
      <c r="E21" s="33">
        <f>E9*Workings!$C$41</f>
        <v>26.15222032</v>
      </c>
      <c r="F21" s="33">
        <f>F9*Workings!$C$41</f>
        <v>26.15222032</v>
      </c>
      <c r="G21" s="33">
        <f>G9*Workings!$C$41</f>
        <v>26.15222032</v>
      </c>
      <c r="H21" s="33">
        <f>H9*Workings!$C$41</f>
        <v>26.15222032</v>
      </c>
      <c r="I21" s="33">
        <f>I9*Workings!$C$41</f>
        <v>26.15222032</v>
      </c>
      <c r="J21" s="33">
        <f>J9*Workings!$C$41</f>
        <v>26.15222032</v>
      </c>
      <c r="K21" s="4"/>
      <c r="L21" s="4"/>
      <c r="M21" s="4"/>
      <c r="N21" s="4"/>
      <c r="O21" s="4"/>
      <c r="P21" s="4"/>
    </row>
    <row r="22">
      <c r="A22" s="4"/>
      <c r="B22" s="30" t="s">
        <v>81</v>
      </c>
      <c r="C22" s="31"/>
      <c r="D22" s="33">
        <f>Workings!$C$12/12</f>
        <v>90</v>
      </c>
      <c r="E22" s="33">
        <f>Workings!$C$12/12</f>
        <v>90</v>
      </c>
      <c r="F22" s="33">
        <f>Workings!$C$12/12</f>
        <v>90</v>
      </c>
      <c r="G22" s="33">
        <f>Workings!$C$12/12</f>
        <v>90</v>
      </c>
      <c r="H22" s="33">
        <f>Workings!$C$12/12</f>
        <v>90</v>
      </c>
      <c r="I22" s="33">
        <f>Workings!$C$12/12</f>
        <v>90</v>
      </c>
      <c r="J22" s="33">
        <f>Workings!$C$12/12</f>
        <v>90</v>
      </c>
      <c r="K22" s="4"/>
      <c r="L22" s="4"/>
      <c r="M22" s="4"/>
      <c r="N22" s="4"/>
      <c r="O22" s="4"/>
      <c r="P22" s="4"/>
    </row>
    <row r="23">
      <c r="A23" s="4"/>
      <c r="B23" s="30"/>
      <c r="C23" s="31"/>
      <c r="D23" s="31"/>
      <c r="E23" s="31"/>
      <c r="F23" s="31"/>
      <c r="G23" s="31"/>
      <c r="H23" s="31"/>
      <c r="I23" s="31"/>
      <c r="J23" s="31"/>
      <c r="K23" s="4"/>
      <c r="L23" s="4"/>
      <c r="M23" s="4"/>
      <c r="N23" s="4"/>
      <c r="O23" s="4"/>
      <c r="P23" s="4"/>
    </row>
    <row r="24">
      <c r="A24" s="4"/>
      <c r="B24" s="28" t="s">
        <v>89</v>
      </c>
      <c r="C24" s="31"/>
      <c r="D24" s="49">
        <f t="shared" ref="D24:J24" si="4">SUM(D14:D22)</f>
        <v>8889.23675</v>
      </c>
      <c r="E24" s="49">
        <f t="shared" si="4"/>
        <v>8878.704549</v>
      </c>
      <c r="F24" s="49">
        <f t="shared" si="4"/>
        <v>8868.320325</v>
      </c>
      <c r="G24" s="49">
        <f t="shared" si="4"/>
        <v>8858.082</v>
      </c>
      <c r="H24" s="49">
        <f t="shared" si="4"/>
        <v>8847.987523</v>
      </c>
      <c r="I24" s="49">
        <f t="shared" si="4"/>
        <v>8838.034873</v>
      </c>
      <c r="J24" s="49">
        <f t="shared" si="4"/>
        <v>8828.222058</v>
      </c>
      <c r="K24" s="4"/>
      <c r="L24" s="4"/>
      <c r="M24" s="4"/>
      <c r="N24" s="4"/>
      <c r="O24" s="4"/>
      <c r="P24" s="4"/>
    </row>
    <row r="25">
      <c r="A25" s="4"/>
      <c r="B25" s="29"/>
      <c r="C25" s="31"/>
      <c r="D25" s="31"/>
      <c r="E25" s="31"/>
      <c r="F25" s="31"/>
      <c r="G25" s="31"/>
      <c r="H25" s="31"/>
      <c r="I25" s="31"/>
      <c r="J25" s="31"/>
      <c r="K25" s="4"/>
      <c r="L25" s="4"/>
      <c r="M25" s="4"/>
      <c r="N25" s="4"/>
      <c r="O25" s="4"/>
      <c r="P25" s="4"/>
    </row>
    <row r="26">
      <c r="A26" s="4"/>
      <c r="B26" s="29"/>
      <c r="C26" s="31"/>
      <c r="D26" s="31"/>
      <c r="E26" s="31"/>
      <c r="F26" s="31"/>
      <c r="G26" s="31"/>
      <c r="H26" s="31"/>
      <c r="I26" s="31"/>
      <c r="J26" s="31"/>
      <c r="K26" s="4"/>
      <c r="L26" s="4"/>
      <c r="M26" s="4"/>
      <c r="N26" s="4"/>
      <c r="O26" s="4"/>
      <c r="P26" s="4"/>
    </row>
    <row r="27">
      <c r="A27" s="4"/>
      <c r="B27" s="28" t="s">
        <v>91</v>
      </c>
      <c r="C27" s="31"/>
      <c r="D27" s="49">
        <f t="shared" ref="D27:J27" si="5">D11-D24</f>
        <v>42487.1959</v>
      </c>
      <c r="E27" s="49">
        <f t="shared" si="5"/>
        <v>-7502.2719</v>
      </c>
      <c r="F27" s="49">
        <f t="shared" si="5"/>
        <v>-7491.887676</v>
      </c>
      <c r="G27" s="49">
        <f t="shared" si="5"/>
        <v>-7481.649351</v>
      </c>
      <c r="H27" s="49">
        <f t="shared" si="5"/>
        <v>-7471.554874</v>
      </c>
      <c r="I27" s="49">
        <f t="shared" si="5"/>
        <v>-7461.602224</v>
      </c>
      <c r="J27" s="49">
        <f t="shared" si="5"/>
        <v>-7451.78941</v>
      </c>
      <c r="K27" s="4"/>
      <c r="L27" s="4"/>
      <c r="M27" s="4"/>
      <c r="N27" s="4"/>
      <c r="O27" s="4"/>
      <c r="P27" s="4"/>
    </row>
    <row r="28">
      <c r="A28" s="4"/>
      <c r="B28" s="29"/>
      <c r="C28" s="31"/>
      <c r="D28" s="31"/>
      <c r="E28" s="31"/>
      <c r="F28" s="31"/>
      <c r="G28" s="31"/>
      <c r="H28" s="31"/>
      <c r="I28" s="31"/>
      <c r="J28" s="31"/>
      <c r="K28" s="4"/>
      <c r="L28" s="4"/>
      <c r="M28" s="4"/>
      <c r="N28" s="4"/>
      <c r="O28" s="4"/>
      <c r="P28" s="4"/>
    </row>
    <row r="29">
      <c r="A29" s="4"/>
      <c r="B29" s="30" t="s">
        <v>94</v>
      </c>
      <c r="C29" s="31"/>
      <c r="D29" s="32">
        <v>4558.08</v>
      </c>
      <c r="E29" s="32">
        <f t="shared" ref="E29:J29" si="6">D31</f>
        <v>47045.2759</v>
      </c>
      <c r="F29" s="32">
        <f t="shared" si="6"/>
        <v>39543.004</v>
      </c>
      <c r="G29" s="32">
        <f t="shared" si="6"/>
        <v>32051.11632</v>
      </c>
      <c r="H29" s="32">
        <f t="shared" si="6"/>
        <v>24569.46697</v>
      </c>
      <c r="I29" s="32">
        <f t="shared" si="6"/>
        <v>17097.9121</v>
      </c>
      <c r="J29" s="32">
        <f t="shared" si="6"/>
        <v>9636.309873</v>
      </c>
      <c r="K29" s="4"/>
      <c r="L29" s="4"/>
      <c r="M29" s="4"/>
      <c r="N29" s="4"/>
      <c r="O29" s="4"/>
      <c r="P29" s="4"/>
    </row>
    <row r="30">
      <c r="A30" s="4"/>
      <c r="B30" s="30" t="s">
        <v>91</v>
      </c>
      <c r="C30" s="31"/>
      <c r="D30" s="33">
        <f t="shared" ref="D30:J30" si="7">D27</f>
        <v>42487.1959</v>
      </c>
      <c r="E30" s="33">
        <f t="shared" si="7"/>
        <v>-7502.2719</v>
      </c>
      <c r="F30" s="33">
        <f t="shared" si="7"/>
        <v>-7491.887676</v>
      </c>
      <c r="G30" s="33">
        <f t="shared" si="7"/>
        <v>-7481.649351</v>
      </c>
      <c r="H30" s="33">
        <f t="shared" si="7"/>
        <v>-7471.554874</v>
      </c>
      <c r="I30" s="33">
        <f t="shared" si="7"/>
        <v>-7461.602224</v>
      </c>
      <c r="J30" s="33">
        <f t="shared" si="7"/>
        <v>-7451.78941</v>
      </c>
      <c r="K30" s="4"/>
      <c r="L30" s="4"/>
      <c r="M30" s="4"/>
      <c r="N30" s="4"/>
      <c r="O30" s="4"/>
      <c r="P30" s="4"/>
    </row>
    <row r="31">
      <c r="A31" s="4"/>
      <c r="B31" s="28" t="s">
        <v>97</v>
      </c>
      <c r="C31" s="31"/>
      <c r="D31" s="49">
        <f t="shared" ref="D31:J31" si="8">D30+D29</f>
        <v>47045.2759</v>
      </c>
      <c r="E31" s="49">
        <f t="shared" si="8"/>
        <v>39543.004</v>
      </c>
      <c r="F31" s="49">
        <f t="shared" si="8"/>
        <v>32051.11632</v>
      </c>
      <c r="G31" s="49">
        <f t="shared" si="8"/>
        <v>24569.46697</v>
      </c>
      <c r="H31" s="49">
        <f t="shared" si="8"/>
        <v>17097.9121</v>
      </c>
      <c r="I31" s="49">
        <f t="shared" si="8"/>
        <v>9636.309873</v>
      </c>
      <c r="J31" s="49">
        <f t="shared" si="8"/>
        <v>2184.520464</v>
      </c>
      <c r="P31" s="4"/>
    </row>
    <row r="32">
      <c r="A32" s="4"/>
      <c r="P32" s="4"/>
    </row>
    <row r="33">
      <c r="A33" s="4"/>
      <c r="P33" s="4"/>
    </row>
    <row r="34">
      <c r="A34" s="4"/>
      <c r="B34" s="95" t="s">
        <v>99</v>
      </c>
      <c r="C34" s="96"/>
      <c r="D34" s="97" t="s">
        <v>74</v>
      </c>
      <c r="E34" s="97" t="s">
        <v>75</v>
      </c>
      <c r="F34" s="97" t="s">
        <v>76</v>
      </c>
      <c r="G34" s="97" t="s">
        <v>77</v>
      </c>
      <c r="H34" s="97" t="s">
        <v>78</v>
      </c>
      <c r="I34" s="97" t="s">
        <v>5</v>
      </c>
      <c r="J34" s="97" t="s">
        <v>15</v>
      </c>
      <c r="K34" s="97" t="s">
        <v>16</v>
      </c>
      <c r="L34" s="97" t="s">
        <v>17</v>
      </c>
      <c r="M34" s="97" t="s">
        <v>19</v>
      </c>
      <c r="N34" s="97" t="s">
        <v>20</v>
      </c>
      <c r="O34" s="97" t="s">
        <v>21</v>
      </c>
      <c r="P34" s="4"/>
    </row>
    <row r="35">
      <c r="A35" s="4"/>
      <c r="B35" s="96"/>
      <c r="C35" s="96"/>
      <c r="D35" s="98" t="s">
        <v>22</v>
      </c>
      <c r="E35" s="98" t="s">
        <v>22</v>
      </c>
      <c r="F35" s="98" t="s">
        <v>22</v>
      </c>
      <c r="G35" s="98" t="s">
        <v>22</v>
      </c>
      <c r="H35" s="98" t="s">
        <v>22</v>
      </c>
      <c r="I35" s="98" t="s">
        <v>22</v>
      </c>
      <c r="J35" s="98" t="s">
        <v>22</v>
      </c>
      <c r="K35" s="98" t="s">
        <v>22</v>
      </c>
      <c r="L35" s="98" t="s">
        <v>22</v>
      </c>
      <c r="M35" s="98" t="s">
        <v>22</v>
      </c>
      <c r="N35" s="98" t="s">
        <v>22</v>
      </c>
      <c r="O35" s="98" t="s">
        <v>22</v>
      </c>
      <c r="P35" s="4"/>
    </row>
    <row r="36">
      <c r="A36" s="4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4"/>
    </row>
    <row r="37">
      <c r="A37" s="4"/>
      <c r="B37" s="99" t="s">
        <v>27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96"/>
      <c r="O37" s="96"/>
      <c r="P37" s="4"/>
    </row>
    <row r="38">
      <c r="A38" s="4"/>
      <c r="B38" s="102" t="s">
        <v>28</v>
      </c>
      <c r="C38" s="103"/>
      <c r="D38" s="105">
        <v>0.0</v>
      </c>
      <c r="E38" s="106">
        <f t="shared" ref="E38:O38" si="9">0</f>
        <v>0</v>
      </c>
      <c r="F38" s="106">
        <f t="shared" si="9"/>
        <v>0</v>
      </c>
      <c r="G38" s="106">
        <f t="shared" si="9"/>
        <v>0</v>
      </c>
      <c r="H38" s="106">
        <f t="shared" si="9"/>
        <v>0</v>
      </c>
      <c r="I38" s="106">
        <f t="shared" si="9"/>
        <v>0</v>
      </c>
      <c r="J38" s="106">
        <f t="shared" si="9"/>
        <v>0</v>
      </c>
      <c r="K38" s="106">
        <f t="shared" si="9"/>
        <v>0</v>
      </c>
      <c r="L38" s="106">
        <f t="shared" si="9"/>
        <v>0</v>
      </c>
      <c r="M38" s="106">
        <f t="shared" si="9"/>
        <v>0</v>
      </c>
      <c r="N38" s="106">
        <f t="shared" si="9"/>
        <v>0</v>
      </c>
      <c r="O38" s="106">
        <f t="shared" si="9"/>
        <v>0</v>
      </c>
      <c r="P38" s="4"/>
    </row>
    <row r="39">
      <c r="A39" s="4"/>
      <c r="B39" s="102" t="s">
        <v>29</v>
      </c>
      <c r="C39" s="103"/>
      <c r="D39" s="106">
        <f t="shared" ref="D39:O39" si="10">0</f>
        <v>0</v>
      </c>
      <c r="E39" s="106">
        <f t="shared" si="10"/>
        <v>0</v>
      </c>
      <c r="F39" s="106">
        <f t="shared" si="10"/>
        <v>0</v>
      </c>
      <c r="G39" s="106">
        <f t="shared" si="10"/>
        <v>0</v>
      </c>
      <c r="H39" s="106">
        <f t="shared" si="10"/>
        <v>0</v>
      </c>
      <c r="I39" s="106">
        <f t="shared" si="10"/>
        <v>0</v>
      </c>
      <c r="J39" s="106">
        <f t="shared" si="10"/>
        <v>0</v>
      </c>
      <c r="K39" s="106">
        <f t="shared" si="10"/>
        <v>0</v>
      </c>
      <c r="L39" s="106">
        <f t="shared" si="10"/>
        <v>0</v>
      </c>
      <c r="M39" s="106">
        <f t="shared" si="10"/>
        <v>0</v>
      </c>
      <c r="N39" s="106">
        <f t="shared" si="10"/>
        <v>0</v>
      </c>
      <c r="O39" s="106">
        <f t="shared" si="10"/>
        <v>0</v>
      </c>
      <c r="P39" s="4"/>
    </row>
    <row r="40">
      <c r="A40" s="4"/>
      <c r="B40" s="102" t="s">
        <v>26</v>
      </c>
      <c r="C40" s="103"/>
      <c r="D40" s="105">
        <f>'Potential Usage &amp; Market Share '!L48</f>
        <v>23124.0685</v>
      </c>
      <c r="E40" s="105">
        <f>'Potential Usage &amp; Market Share '!M48</f>
        <v>23124.0685</v>
      </c>
      <c r="F40" s="105">
        <f>'Potential Usage &amp; Market Share '!N48</f>
        <v>23124.0685</v>
      </c>
      <c r="G40" s="105">
        <f>'Potential Usage &amp; Market Share '!O48</f>
        <v>23124.0685</v>
      </c>
      <c r="H40" s="105">
        <f>'Potential Usage &amp; Market Share '!P48</f>
        <v>23124.0685</v>
      </c>
      <c r="I40" s="105">
        <f>'Potential Usage &amp; Market Share '!Q48</f>
        <v>7078.796479</v>
      </c>
      <c r="J40" s="105">
        <f>'Potential Usage &amp; Market Share '!R48</f>
        <v>7078.796479</v>
      </c>
      <c r="K40" s="105">
        <f>'Potential Usage &amp; Market Share '!S48</f>
        <v>7078.796479</v>
      </c>
      <c r="L40" s="105">
        <f>'Potential Usage &amp; Market Share '!T48</f>
        <v>7078.796479</v>
      </c>
      <c r="M40" s="105">
        <f>'Potential Usage &amp; Market Share '!U48</f>
        <v>7078.796479</v>
      </c>
      <c r="N40" s="105">
        <f>'Potential Usage &amp; Market Share '!V48</f>
        <v>7078.796479</v>
      </c>
      <c r="O40" s="105">
        <f>'Potential Usage &amp; Market Share '!W48</f>
        <v>7078.796479</v>
      </c>
      <c r="P40" s="4"/>
    </row>
    <row r="41">
      <c r="A41" s="4"/>
      <c r="B41" s="100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4"/>
    </row>
    <row r="42">
      <c r="A42" s="4"/>
      <c r="B42" s="99" t="s">
        <v>38</v>
      </c>
      <c r="C42" s="103"/>
      <c r="D42" s="110">
        <f t="shared" ref="D42:O42" si="11">SUM(D38:D40)</f>
        <v>23124.0685</v>
      </c>
      <c r="E42" s="110">
        <f t="shared" si="11"/>
        <v>23124.0685</v>
      </c>
      <c r="F42" s="110">
        <f t="shared" si="11"/>
        <v>23124.0685</v>
      </c>
      <c r="G42" s="110">
        <f t="shared" si="11"/>
        <v>23124.0685</v>
      </c>
      <c r="H42" s="110">
        <f t="shared" si="11"/>
        <v>23124.0685</v>
      </c>
      <c r="I42" s="110">
        <f t="shared" si="11"/>
        <v>7078.796479</v>
      </c>
      <c r="J42" s="110">
        <f t="shared" si="11"/>
        <v>7078.796479</v>
      </c>
      <c r="K42" s="110">
        <f t="shared" si="11"/>
        <v>7078.796479</v>
      </c>
      <c r="L42" s="110">
        <f t="shared" si="11"/>
        <v>7078.796479</v>
      </c>
      <c r="M42" s="110">
        <f t="shared" si="11"/>
        <v>7078.796479</v>
      </c>
      <c r="N42" s="110">
        <f t="shared" si="11"/>
        <v>7078.796479</v>
      </c>
      <c r="O42" s="110">
        <f t="shared" si="11"/>
        <v>7078.796479</v>
      </c>
      <c r="P42" s="4"/>
    </row>
    <row r="43">
      <c r="A43" s="4"/>
      <c r="B43" s="100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96"/>
      <c r="O43" s="96"/>
      <c r="P43" s="4"/>
    </row>
    <row r="44">
      <c r="A44" s="4"/>
      <c r="B44" s="99" t="s">
        <v>42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96"/>
      <c r="O44" s="96"/>
      <c r="P44" s="4"/>
    </row>
    <row r="45">
      <c r="A45" s="4"/>
      <c r="B45" s="102" t="s">
        <v>28</v>
      </c>
      <c r="C45" s="103"/>
      <c r="D45" s="106">
        <v>0.0</v>
      </c>
      <c r="E45" s="106">
        <v>0.0</v>
      </c>
      <c r="F45" s="106">
        <v>0.0</v>
      </c>
      <c r="G45" s="106">
        <v>0.0</v>
      </c>
      <c r="H45" s="106">
        <v>0.0</v>
      </c>
      <c r="I45" s="106">
        <v>0.0</v>
      </c>
      <c r="J45" s="106">
        <v>0.0</v>
      </c>
      <c r="K45" s="106">
        <v>0.0</v>
      </c>
      <c r="L45" s="106">
        <v>0.0</v>
      </c>
      <c r="M45" s="106">
        <v>0.0</v>
      </c>
      <c r="N45" s="106">
        <v>0.0</v>
      </c>
      <c r="O45" s="106">
        <v>0.0</v>
      </c>
      <c r="P45" s="4"/>
    </row>
    <row r="46">
      <c r="A46" s="4"/>
      <c r="B46" s="102" t="s">
        <v>43</v>
      </c>
      <c r="C46" s="103"/>
      <c r="D46" s="106">
        <f>Workings!$C$9/12</f>
        <v>2741.666667</v>
      </c>
      <c r="E46" s="106">
        <f>Workings!$C$9/12</f>
        <v>2741.666667</v>
      </c>
      <c r="F46" s="106">
        <f>Workings!$C$9/12</f>
        <v>2741.666667</v>
      </c>
      <c r="G46" s="106">
        <f>Workings!$C$9/12</f>
        <v>2741.666667</v>
      </c>
      <c r="H46" s="106">
        <f>Workings!$C$9/12</f>
        <v>2741.666667</v>
      </c>
      <c r="I46" s="106">
        <f>Workings!$C$9/12</f>
        <v>2741.666667</v>
      </c>
      <c r="J46" s="106">
        <f>Workings!$C$9/12</f>
        <v>2741.666667</v>
      </c>
      <c r="K46" s="106">
        <f>Workings!$C$9/12</f>
        <v>2741.666667</v>
      </c>
      <c r="L46" s="106">
        <f>Workings!$C$9/12</f>
        <v>2741.666667</v>
      </c>
      <c r="M46" s="106">
        <f>Workings!$C$9/12</f>
        <v>2741.666667</v>
      </c>
      <c r="N46" s="106">
        <f>Workings!$C$9/12</f>
        <v>2741.666667</v>
      </c>
      <c r="O46" s="106">
        <f>Workings!$C$9/12</f>
        <v>2741.666667</v>
      </c>
      <c r="P46" s="4"/>
    </row>
    <row r="47">
      <c r="A47" s="4"/>
      <c r="B47" s="102" t="s">
        <v>50</v>
      </c>
      <c r="C47" s="103"/>
      <c r="D47" s="106">
        <f>Workings!$C$10/12</f>
        <v>216.6666667</v>
      </c>
      <c r="E47" s="106">
        <f>Workings!$C$10/12</f>
        <v>216.6666667</v>
      </c>
      <c r="F47" s="106">
        <f>Workings!$C$10/12</f>
        <v>216.6666667</v>
      </c>
      <c r="G47" s="106">
        <f>Workings!$C$10/12</f>
        <v>216.6666667</v>
      </c>
      <c r="H47" s="106">
        <f>Workings!$C$10/12</f>
        <v>216.6666667</v>
      </c>
      <c r="I47" s="106">
        <f>Workings!$C$10/12</f>
        <v>216.6666667</v>
      </c>
      <c r="J47" s="106">
        <f>Workings!$C$10/12</f>
        <v>216.6666667</v>
      </c>
      <c r="K47" s="106">
        <f>Workings!$C$10/12</f>
        <v>216.6666667</v>
      </c>
      <c r="L47" s="106">
        <f>Workings!$C$10/12</f>
        <v>216.6666667</v>
      </c>
      <c r="M47" s="106">
        <f>Workings!$C$10/12</f>
        <v>216.6666667</v>
      </c>
      <c r="N47" s="106">
        <f>Workings!$C$10/12</f>
        <v>216.6666667</v>
      </c>
      <c r="O47" s="106">
        <f>Workings!$C$10/12</f>
        <v>216.6666667</v>
      </c>
      <c r="P47" s="4"/>
    </row>
    <row r="48">
      <c r="A48" s="4"/>
      <c r="B48" s="102" t="s">
        <v>60</v>
      </c>
      <c r="C48" s="103"/>
      <c r="D48" s="106">
        <f>Workings!$C$9/12</f>
        <v>2741.666667</v>
      </c>
      <c r="E48" s="106">
        <f>Workings!$C$9/12</f>
        <v>2741.666667</v>
      </c>
      <c r="F48" s="106">
        <f>Workings!$C$9/12</f>
        <v>2741.666667</v>
      </c>
      <c r="G48" s="106">
        <f>Workings!$C$9/12</f>
        <v>2741.666667</v>
      </c>
      <c r="H48" s="106">
        <f>Workings!$C$9/12</f>
        <v>2741.666667</v>
      </c>
      <c r="I48" s="106">
        <f>Workings!$C$9/12</f>
        <v>2741.666667</v>
      </c>
      <c r="J48" s="106">
        <f>Workings!$C$9/12</f>
        <v>2741.666667</v>
      </c>
      <c r="K48" s="106">
        <f>Workings!$C$9/12</f>
        <v>2741.666667</v>
      </c>
      <c r="L48" s="106">
        <f>Workings!$C$9/12</f>
        <v>2741.666667</v>
      </c>
      <c r="M48" s="106">
        <f>Workings!$C$9/12</f>
        <v>2741.666667</v>
      </c>
      <c r="N48" s="106">
        <f>Workings!$C$9/12</f>
        <v>2741.666667</v>
      </c>
      <c r="O48" s="106">
        <f>Workings!$C$9/12</f>
        <v>2741.666667</v>
      </c>
      <c r="P48" s="4"/>
    </row>
    <row r="49">
      <c r="A49" s="4"/>
      <c r="B49" s="102" t="s">
        <v>69</v>
      </c>
      <c r="C49" s="103"/>
      <c r="D49" s="106">
        <f>Workings!J82</f>
        <v>4546.4004</v>
      </c>
      <c r="E49" s="106">
        <f>Workings!K82</f>
        <v>4546.4004</v>
      </c>
      <c r="F49" s="106">
        <f>Workings!L82</f>
        <v>4546.4004</v>
      </c>
      <c r="G49" s="106">
        <f>Workings!M82</f>
        <v>4546.4004</v>
      </c>
      <c r="H49" s="106">
        <f>Workings!N82</f>
        <v>4546.4004</v>
      </c>
      <c r="I49" s="106">
        <f>Workings!O82</f>
        <v>4546.4004</v>
      </c>
      <c r="J49" s="106">
        <f>Workings!P82</f>
        <v>4546.4004</v>
      </c>
      <c r="K49" s="106">
        <f>Workings!Q82</f>
        <v>4546.4004</v>
      </c>
      <c r="L49" s="106">
        <f>Workings!R82</f>
        <v>4546.4004</v>
      </c>
      <c r="M49" s="106">
        <f>Workings!S82</f>
        <v>4546.4004</v>
      </c>
      <c r="N49" s="106">
        <f>Workings!T82</f>
        <v>4546.4004</v>
      </c>
      <c r="O49" s="106">
        <f>Workings!U82</f>
        <v>4546.4004</v>
      </c>
      <c r="P49" s="4"/>
    </row>
    <row r="50">
      <c r="A50" s="4"/>
      <c r="B50" s="102" t="s">
        <v>70</v>
      </c>
      <c r="C50" s="103"/>
      <c r="D50" s="106">
        <f>Workings!J26</f>
        <v>678.9332209</v>
      </c>
      <c r="E50" s="106">
        <f>Workings!K26</f>
        <v>669.3942091</v>
      </c>
      <c r="F50" s="106">
        <f>Workings!L26</f>
        <v>659.9892205</v>
      </c>
      <c r="G50" s="106">
        <f>Workings!M26</f>
        <v>650.7163719</v>
      </c>
      <c r="H50" s="106">
        <f>Workings!N26</f>
        <v>641.5738069</v>
      </c>
      <c r="I50" s="106">
        <f>Workings!O26</f>
        <v>632.5596949</v>
      </c>
      <c r="J50" s="106">
        <f>Workings!P26</f>
        <v>623.6722312</v>
      </c>
      <c r="K50" s="106">
        <f>Workings!Q26</f>
        <v>614.9096364</v>
      </c>
      <c r="L50" s="106">
        <f>Workings!R26</f>
        <v>606.270156</v>
      </c>
      <c r="M50" s="106">
        <f>Workings!S26</f>
        <v>597.7520603</v>
      </c>
      <c r="N50" s="106">
        <f>Workings!T26</f>
        <v>589.3536438</v>
      </c>
      <c r="O50" s="106">
        <f>Workings!U26</f>
        <v>581.0732251</v>
      </c>
      <c r="P50" s="4"/>
    </row>
    <row r="51">
      <c r="A51" s="4"/>
      <c r="B51" s="102" t="s">
        <v>55</v>
      </c>
      <c r="C51" s="103"/>
      <c r="D51" s="106">
        <f>(Workings!$C$52*'Potential Usage &amp; Market Share '!$J$5)/12</f>
        <v>688.2163243</v>
      </c>
      <c r="E51" s="106">
        <f>(Workings!$C$52*'Potential Usage &amp; Market Share '!$J$5)/12</f>
        <v>688.2163243</v>
      </c>
      <c r="F51" s="106">
        <f>(Workings!$C$52*'Potential Usage &amp; Market Share '!$J$5)/12</f>
        <v>688.2163243</v>
      </c>
      <c r="G51" s="106">
        <f>(Workings!$C$52*'Potential Usage &amp; Market Share '!$J$5)/12</f>
        <v>688.2163243</v>
      </c>
      <c r="H51" s="106">
        <f>(Workings!$C$52*'Potential Usage &amp; Market Share '!$J$5)/12</f>
        <v>688.2163243</v>
      </c>
      <c r="I51" s="106">
        <f>(Workings!$C$52*'Potential Usage &amp; Market Share '!$J$5)/12</f>
        <v>688.2163243</v>
      </c>
      <c r="J51" s="106">
        <f>(Workings!$C$52*'Potential Usage &amp; Market Share '!$J$5)/12</f>
        <v>688.2163243</v>
      </c>
      <c r="K51" s="106">
        <f>(Workings!$C$52*'Potential Usage &amp; Market Share '!$J$5)/12</f>
        <v>688.2163243</v>
      </c>
      <c r="L51" s="106">
        <f>(Workings!$C$52*'Potential Usage &amp; Market Share '!$J$5)/12</f>
        <v>688.2163243</v>
      </c>
      <c r="M51" s="106">
        <f>(Workings!$C$52*'Potential Usage &amp; Market Share '!$J$5)/12</f>
        <v>688.2163243</v>
      </c>
      <c r="N51" s="106">
        <f>(Workings!$C$52*'Potential Usage &amp; Market Share '!$J$5)/12</f>
        <v>688.2163243</v>
      </c>
      <c r="O51" s="106">
        <f>(Workings!$C$52*'Potential Usage &amp; Market Share '!$J$5)/12</f>
        <v>688.2163243</v>
      </c>
      <c r="P51" s="4"/>
    </row>
    <row r="52">
      <c r="A52" s="4"/>
      <c r="B52" s="102" t="s">
        <v>73</v>
      </c>
      <c r="C52" s="103"/>
      <c r="D52" s="106">
        <f>D40*Workings!$C$41</f>
        <v>439.3573015</v>
      </c>
      <c r="E52" s="106">
        <f>E40*Workings!$C$41</f>
        <v>439.3573015</v>
      </c>
      <c r="F52" s="106">
        <f>F40*Workings!$C$41</f>
        <v>439.3573015</v>
      </c>
      <c r="G52" s="106">
        <f>G40*Workings!$C$41</f>
        <v>439.3573015</v>
      </c>
      <c r="H52" s="106">
        <f>H40*Workings!$C$41</f>
        <v>439.3573015</v>
      </c>
      <c r="I52" s="106">
        <f>I40*Workings!$C$41</f>
        <v>134.4971331</v>
      </c>
      <c r="J52" s="106">
        <f>J40*Workings!$C$41</f>
        <v>134.4971331</v>
      </c>
      <c r="K52" s="106">
        <f>K40*Workings!$C$41</f>
        <v>134.4971331</v>
      </c>
      <c r="L52" s="106">
        <f>L40*Workings!$C$41</f>
        <v>134.4971331</v>
      </c>
      <c r="M52" s="106">
        <f>M40*Workings!$C$41</f>
        <v>134.4971331</v>
      </c>
      <c r="N52" s="106">
        <f>N40*Workings!$C$41</f>
        <v>134.4971331</v>
      </c>
      <c r="O52" s="106">
        <f>O40*Workings!$C$41</f>
        <v>134.4971331</v>
      </c>
      <c r="P52" s="4"/>
    </row>
    <row r="53">
      <c r="A53" s="4"/>
      <c r="B53" s="102" t="s">
        <v>81</v>
      </c>
      <c r="C53" s="103"/>
      <c r="D53" s="106">
        <f>Workings!$C$12/12</f>
        <v>90</v>
      </c>
      <c r="E53" s="106">
        <f>Workings!$C$12/12</f>
        <v>90</v>
      </c>
      <c r="F53" s="106">
        <f>Workings!$C$12/12</f>
        <v>90</v>
      </c>
      <c r="G53" s="106">
        <f>Workings!$C$12/12</f>
        <v>90</v>
      </c>
      <c r="H53" s="106">
        <f>Workings!$C$12/12</f>
        <v>90</v>
      </c>
      <c r="I53" s="106">
        <f>Workings!$C$12/12</f>
        <v>90</v>
      </c>
      <c r="J53" s="106">
        <f>Workings!$C$12/12</f>
        <v>90</v>
      </c>
      <c r="K53" s="106">
        <f>Workings!$C$12/12</f>
        <v>90</v>
      </c>
      <c r="L53" s="106">
        <f>Workings!$C$12/12</f>
        <v>90</v>
      </c>
      <c r="M53" s="106">
        <f>Workings!$C$12/12</f>
        <v>90</v>
      </c>
      <c r="N53" s="106">
        <f>Workings!$C$12/12</f>
        <v>90</v>
      </c>
      <c r="O53" s="106">
        <f>Workings!$C$12/12</f>
        <v>90</v>
      </c>
      <c r="P53" s="4"/>
    </row>
    <row r="54">
      <c r="A54" s="4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4"/>
    </row>
    <row r="55">
      <c r="A55" s="4"/>
      <c r="B55" s="99" t="s">
        <v>89</v>
      </c>
      <c r="C55" s="103"/>
      <c r="D55" s="110">
        <f t="shared" ref="D55:O55" si="12">SUM(D45:D53)</f>
        <v>12142.90725</v>
      </c>
      <c r="E55" s="110">
        <f t="shared" si="12"/>
        <v>12133.36823</v>
      </c>
      <c r="F55" s="110">
        <f t="shared" si="12"/>
        <v>12123.96325</v>
      </c>
      <c r="G55" s="110">
        <f t="shared" si="12"/>
        <v>12114.6904</v>
      </c>
      <c r="H55" s="110">
        <f t="shared" si="12"/>
        <v>12105.54783</v>
      </c>
      <c r="I55" s="110">
        <f t="shared" si="12"/>
        <v>11791.67355</v>
      </c>
      <c r="J55" s="110">
        <f t="shared" si="12"/>
        <v>11782.78609</v>
      </c>
      <c r="K55" s="110">
        <f t="shared" si="12"/>
        <v>11774.02349</v>
      </c>
      <c r="L55" s="110">
        <f t="shared" si="12"/>
        <v>11765.38401</v>
      </c>
      <c r="M55" s="110">
        <f t="shared" si="12"/>
        <v>11756.86592</v>
      </c>
      <c r="N55" s="110">
        <f t="shared" si="12"/>
        <v>11748.4675</v>
      </c>
      <c r="O55" s="110">
        <f t="shared" si="12"/>
        <v>11740.18708</v>
      </c>
      <c r="P55" s="4"/>
    </row>
    <row r="56">
      <c r="A56" s="4"/>
      <c r="B56" s="100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4"/>
    </row>
    <row r="57">
      <c r="A57" s="4"/>
      <c r="B57" s="100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4"/>
    </row>
    <row r="58">
      <c r="A58" s="4"/>
      <c r="B58" s="99" t="s">
        <v>91</v>
      </c>
      <c r="C58" s="103"/>
      <c r="D58" s="110">
        <f t="shared" ref="D58:O58" si="13">D42-D55</f>
        <v>10981.16125</v>
      </c>
      <c r="E58" s="110">
        <f t="shared" si="13"/>
        <v>10990.70026</v>
      </c>
      <c r="F58" s="110">
        <f t="shared" si="13"/>
        <v>11000.10525</v>
      </c>
      <c r="G58" s="110">
        <f t="shared" si="13"/>
        <v>11009.3781</v>
      </c>
      <c r="H58" s="110">
        <f t="shared" si="13"/>
        <v>11018.52066</v>
      </c>
      <c r="I58" s="110">
        <f t="shared" si="13"/>
        <v>-4712.877074</v>
      </c>
      <c r="J58" s="110">
        <f t="shared" si="13"/>
        <v>-4703.98961</v>
      </c>
      <c r="K58" s="110">
        <f t="shared" si="13"/>
        <v>-4695.227015</v>
      </c>
      <c r="L58" s="110">
        <f t="shared" si="13"/>
        <v>-4686.587535</v>
      </c>
      <c r="M58" s="110">
        <f t="shared" si="13"/>
        <v>-4678.069439</v>
      </c>
      <c r="N58" s="110">
        <f t="shared" si="13"/>
        <v>-4669.671022</v>
      </c>
      <c r="O58" s="110">
        <f t="shared" si="13"/>
        <v>-4661.390604</v>
      </c>
      <c r="P58" s="4"/>
    </row>
    <row r="59">
      <c r="A59" s="4"/>
      <c r="B59" s="100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4"/>
    </row>
    <row r="60">
      <c r="A60" s="4"/>
      <c r="B60" s="102" t="s">
        <v>94</v>
      </c>
      <c r="C60" s="103"/>
      <c r="D60" s="106">
        <f>J31</f>
        <v>2184.520464</v>
      </c>
      <c r="E60" s="106">
        <f t="shared" ref="E60:O60" si="14">D62</f>
        <v>13165.68171</v>
      </c>
      <c r="F60" s="106">
        <f t="shared" si="14"/>
        <v>24156.38198</v>
      </c>
      <c r="G60" s="106">
        <f t="shared" si="14"/>
        <v>35156.48723</v>
      </c>
      <c r="H60" s="106">
        <f t="shared" si="14"/>
        <v>46165.86533</v>
      </c>
      <c r="I60" s="106">
        <f t="shared" si="14"/>
        <v>57184.38599</v>
      </c>
      <c r="J60" s="106">
        <f t="shared" si="14"/>
        <v>52471.50892</v>
      </c>
      <c r="K60" s="106">
        <f t="shared" si="14"/>
        <v>47767.51931</v>
      </c>
      <c r="L60" s="106">
        <f t="shared" si="14"/>
        <v>43072.29229</v>
      </c>
      <c r="M60" s="106">
        <f t="shared" si="14"/>
        <v>38385.70476</v>
      </c>
      <c r="N60" s="106">
        <f t="shared" si="14"/>
        <v>33707.63532</v>
      </c>
      <c r="O60" s="106">
        <f t="shared" si="14"/>
        <v>29037.9643</v>
      </c>
      <c r="P60" s="4"/>
    </row>
    <row r="61">
      <c r="A61" s="4"/>
      <c r="B61" s="102" t="s">
        <v>91</v>
      </c>
      <c r="C61" s="103"/>
      <c r="D61" s="106">
        <f t="shared" ref="D61:O61" si="15">D58</f>
        <v>10981.16125</v>
      </c>
      <c r="E61" s="106">
        <f t="shared" si="15"/>
        <v>10990.70026</v>
      </c>
      <c r="F61" s="106">
        <f t="shared" si="15"/>
        <v>11000.10525</v>
      </c>
      <c r="G61" s="106">
        <f t="shared" si="15"/>
        <v>11009.3781</v>
      </c>
      <c r="H61" s="106">
        <f t="shared" si="15"/>
        <v>11018.52066</v>
      </c>
      <c r="I61" s="106">
        <f t="shared" si="15"/>
        <v>-4712.877074</v>
      </c>
      <c r="J61" s="106">
        <f t="shared" si="15"/>
        <v>-4703.98961</v>
      </c>
      <c r="K61" s="106">
        <f t="shared" si="15"/>
        <v>-4695.227015</v>
      </c>
      <c r="L61" s="106">
        <f t="shared" si="15"/>
        <v>-4686.587535</v>
      </c>
      <c r="M61" s="106">
        <f t="shared" si="15"/>
        <v>-4678.069439</v>
      </c>
      <c r="N61" s="106">
        <f t="shared" si="15"/>
        <v>-4669.671022</v>
      </c>
      <c r="O61" s="106">
        <f t="shared" si="15"/>
        <v>-4661.390604</v>
      </c>
      <c r="P61" s="4"/>
    </row>
    <row r="62">
      <c r="A62" s="4"/>
      <c r="B62" s="99" t="s">
        <v>97</v>
      </c>
      <c r="C62" s="103"/>
      <c r="D62" s="110">
        <f t="shared" ref="D62:O62" si="16">D61+D60</f>
        <v>13165.68171</v>
      </c>
      <c r="E62" s="110">
        <f t="shared" si="16"/>
        <v>24156.38198</v>
      </c>
      <c r="F62" s="110">
        <f t="shared" si="16"/>
        <v>35156.48723</v>
      </c>
      <c r="G62" s="110">
        <f t="shared" si="16"/>
        <v>46165.86533</v>
      </c>
      <c r="H62" s="110">
        <f t="shared" si="16"/>
        <v>57184.38599</v>
      </c>
      <c r="I62" s="110">
        <f t="shared" si="16"/>
        <v>52471.50892</v>
      </c>
      <c r="J62" s="110">
        <f t="shared" si="16"/>
        <v>47767.51931</v>
      </c>
      <c r="K62" s="110">
        <f t="shared" si="16"/>
        <v>43072.29229</v>
      </c>
      <c r="L62" s="110">
        <f t="shared" si="16"/>
        <v>38385.70476</v>
      </c>
      <c r="M62" s="110">
        <f t="shared" si="16"/>
        <v>33707.63532</v>
      </c>
      <c r="N62" s="110">
        <f t="shared" si="16"/>
        <v>29037.9643</v>
      </c>
      <c r="O62" s="110">
        <f t="shared" si="16"/>
        <v>24376.57369</v>
      </c>
      <c r="P62" s="4"/>
    </row>
    <row r="63">
      <c r="A63" s="4"/>
      <c r="P63" s="4"/>
    </row>
    <row r="64">
      <c r="A64" s="4"/>
      <c r="P64" s="4"/>
    </row>
    <row r="65">
      <c r="A65" s="4"/>
      <c r="B65" s="143" t="s">
        <v>136</v>
      </c>
      <c r="C65" s="144"/>
      <c r="D65" s="145" t="s">
        <v>74</v>
      </c>
      <c r="E65" s="145" t="s">
        <v>75</v>
      </c>
      <c r="F65" s="145" t="s">
        <v>76</v>
      </c>
      <c r="G65" s="145" t="s">
        <v>77</v>
      </c>
      <c r="H65" s="145" t="s">
        <v>78</v>
      </c>
      <c r="I65" s="145" t="s">
        <v>5</v>
      </c>
      <c r="J65" s="145" t="s">
        <v>15</v>
      </c>
      <c r="K65" s="145" t="s">
        <v>16</v>
      </c>
      <c r="L65" s="145" t="s">
        <v>17</v>
      </c>
      <c r="M65" s="145" t="s">
        <v>19</v>
      </c>
      <c r="N65" s="145" t="s">
        <v>20</v>
      </c>
      <c r="O65" s="145" t="s">
        <v>21</v>
      </c>
      <c r="P65" s="4"/>
    </row>
    <row r="66">
      <c r="A66" s="4"/>
      <c r="B66" s="144"/>
      <c r="C66" s="144"/>
      <c r="D66" s="146" t="s">
        <v>22</v>
      </c>
      <c r="E66" s="146" t="s">
        <v>22</v>
      </c>
      <c r="F66" s="146" t="s">
        <v>22</v>
      </c>
      <c r="G66" s="146" t="s">
        <v>22</v>
      </c>
      <c r="H66" s="146" t="s">
        <v>22</v>
      </c>
      <c r="I66" s="146" t="s">
        <v>22</v>
      </c>
      <c r="J66" s="146" t="s">
        <v>22</v>
      </c>
      <c r="K66" s="146" t="s">
        <v>22</v>
      </c>
      <c r="L66" s="146" t="s">
        <v>22</v>
      </c>
      <c r="M66" s="146" t="s">
        <v>22</v>
      </c>
      <c r="N66" s="146" t="s">
        <v>22</v>
      </c>
      <c r="O66" s="146" t="s">
        <v>22</v>
      </c>
      <c r="P66" s="4"/>
    </row>
    <row r="67">
      <c r="A67" s="4"/>
      <c r="B67" s="144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4"/>
    </row>
    <row r="68">
      <c r="A68" s="4"/>
      <c r="B68" s="147" t="s">
        <v>27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4"/>
      <c r="O68" s="144"/>
      <c r="P68" s="4"/>
    </row>
    <row r="69">
      <c r="A69" s="4"/>
      <c r="B69" s="149" t="s">
        <v>28</v>
      </c>
      <c r="C69" s="150"/>
      <c r="D69" s="151">
        <v>0.0</v>
      </c>
      <c r="E69" s="152">
        <f t="shared" ref="E69:O69" si="17">0</f>
        <v>0</v>
      </c>
      <c r="F69" s="152">
        <f t="shared" si="17"/>
        <v>0</v>
      </c>
      <c r="G69" s="152">
        <f t="shared" si="17"/>
        <v>0</v>
      </c>
      <c r="H69" s="152">
        <f t="shared" si="17"/>
        <v>0</v>
      </c>
      <c r="I69" s="152">
        <f t="shared" si="17"/>
        <v>0</v>
      </c>
      <c r="J69" s="152">
        <f t="shared" si="17"/>
        <v>0</v>
      </c>
      <c r="K69" s="152">
        <f t="shared" si="17"/>
        <v>0</v>
      </c>
      <c r="L69" s="152">
        <f t="shared" si="17"/>
        <v>0</v>
      </c>
      <c r="M69" s="152">
        <f t="shared" si="17"/>
        <v>0</v>
      </c>
      <c r="N69" s="152">
        <f t="shared" si="17"/>
        <v>0</v>
      </c>
      <c r="O69" s="152">
        <f t="shared" si="17"/>
        <v>0</v>
      </c>
      <c r="P69" s="4"/>
    </row>
    <row r="70">
      <c r="A70" s="4"/>
      <c r="B70" s="149" t="s">
        <v>29</v>
      </c>
      <c r="C70" s="150"/>
      <c r="D70" s="152">
        <f t="shared" ref="D70:O70" si="18">0</f>
        <v>0</v>
      </c>
      <c r="E70" s="152">
        <f t="shared" si="18"/>
        <v>0</v>
      </c>
      <c r="F70" s="152">
        <f t="shared" si="18"/>
        <v>0</v>
      </c>
      <c r="G70" s="152">
        <f t="shared" si="18"/>
        <v>0</v>
      </c>
      <c r="H70" s="152">
        <f t="shared" si="18"/>
        <v>0</v>
      </c>
      <c r="I70" s="152">
        <f t="shared" si="18"/>
        <v>0</v>
      </c>
      <c r="J70" s="152">
        <f t="shared" si="18"/>
        <v>0</v>
      </c>
      <c r="K70" s="152">
        <f t="shared" si="18"/>
        <v>0</v>
      </c>
      <c r="L70" s="152">
        <f t="shared" si="18"/>
        <v>0</v>
      </c>
      <c r="M70" s="152">
        <f t="shared" si="18"/>
        <v>0</v>
      </c>
      <c r="N70" s="152">
        <f t="shared" si="18"/>
        <v>0</v>
      </c>
      <c r="O70" s="152">
        <f t="shared" si="18"/>
        <v>0</v>
      </c>
      <c r="P70" s="4"/>
    </row>
    <row r="71">
      <c r="A71" s="4"/>
      <c r="B71" s="149" t="s">
        <v>26</v>
      </c>
      <c r="C71" s="150"/>
      <c r="D71" s="151">
        <f>'Potential Usage &amp; Market Share '!X48</f>
        <v>46248.137</v>
      </c>
      <c r="E71" s="151">
        <f>'Potential Usage &amp; Market Share '!Y48</f>
        <v>46248.137</v>
      </c>
      <c r="F71" s="151">
        <f>'Potential Usage &amp; Market Share '!Z48</f>
        <v>46248.137</v>
      </c>
      <c r="G71" s="151">
        <f>'Potential Usage &amp; Market Share '!AA48</f>
        <v>46248.137</v>
      </c>
      <c r="H71" s="151">
        <f>'Potential Usage &amp; Market Share '!AB48</f>
        <v>46248.137</v>
      </c>
      <c r="I71" s="151">
        <f>'Potential Usage &amp; Market Share '!AC48</f>
        <v>14157.59296</v>
      </c>
      <c r="J71" s="151">
        <f>'Potential Usage &amp; Market Share '!AD48</f>
        <v>14157.59296</v>
      </c>
      <c r="K71" s="151">
        <f>'Potential Usage &amp; Market Share '!AE48</f>
        <v>14157.59296</v>
      </c>
      <c r="L71" s="151">
        <f>'Potential Usage &amp; Market Share '!AF48</f>
        <v>14157.59296</v>
      </c>
      <c r="M71" s="151">
        <f>'Potential Usage &amp; Market Share '!AG48</f>
        <v>14157.59296</v>
      </c>
      <c r="N71" s="151">
        <f>'Potential Usage &amp; Market Share '!AH48</f>
        <v>14157.59296</v>
      </c>
      <c r="O71" s="151">
        <f>'Potential Usage &amp; Market Share '!AI48</f>
        <v>14157.59296</v>
      </c>
      <c r="P71" s="4"/>
    </row>
    <row r="72">
      <c r="A72" s="4"/>
      <c r="B72" s="148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4"/>
    </row>
    <row r="73">
      <c r="A73" s="4"/>
      <c r="B73" s="147" t="s">
        <v>38</v>
      </c>
      <c r="C73" s="150"/>
      <c r="D73" s="153">
        <f t="shared" ref="D73:O73" si="19">SUm(D69:D71)</f>
        <v>46248.137</v>
      </c>
      <c r="E73" s="153">
        <f t="shared" si="19"/>
        <v>46248.137</v>
      </c>
      <c r="F73" s="153">
        <f t="shared" si="19"/>
        <v>46248.137</v>
      </c>
      <c r="G73" s="153">
        <f t="shared" si="19"/>
        <v>46248.137</v>
      </c>
      <c r="H73" s="153">
        <f t="shared" si="19"/>
        <v>46248.137</v>
      </c>
      <c r="I73" s="153">
        <f t="shared" si="19"/>
        <v>14157.59296</v>
      </c>
      <c r="J73" s="153">
        <f t="shared" si="19"/>
        <v>14157.59296</v>
      </c>
      <c r="K73" s="153">
        <f t="shared" si="19"/>
        <v>14157.59296</v>
      </c>
      <c r="L73" s="153">
        <f t="shared" si="19"/>
        <v>14157.59296</v>
      </c>
      <c r="M73" s="153">
        <f t="shared" si="19"/>
        <v>14157.59296</v>
      </c>
      <c r="N73" s="153">
        <f t="shared" si="19"/>
        <v>14157.59296</v>
      </c>
      <c r="O73" s="153">
        <f t="shared" si="19"/>
        <v>14157.59296</v>
      </c>
      <c r="P73" s="4"/>
    </row>
    <row r="74">
      <c r="A74" s="4"/>
      <c r="B74" s="148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44"/>
      <c r="O74" s="144"/>
      <c r="P74" s="4"/>
    </row>
    <row r="75">
      <c r="A75" s="4"/>
      <c r="B75" s="147" t="s">
        <v>42</v>
      </c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44"/>
      <c r="O75" s="144"/>
      <c r="P75" s="4"/>
    </row>
    <row r="76">
      <c r="A76" s="4"/>
      <c r="B76" s="149" t="s">
        <v>28</v>
      </c>
      <c r="C76" s="150"/>
      <c r="D76" s="152">
        <v>0.0</v>
      </c>
      <c r="E76" s="152">
        <v>0.0</v>
      </c>
      <c r="F76" s="152">
        <v>0.0</v>
      </c>
      <c r="G76" s="152">
        <v>0.0</v>
      </c>
      <c r="H76" s="152">
        <v>0.0</v>
      </c>
      <c r="I76" s="152">
        <v>0.0</v>
      </c>
      <c r="J76" s="152">
        <v>0.0</v>
      </c>
      <c r="K76" s="152">
        <v>0.0</v>
      </c>
      <c r="L76" s="152">
        <v>0.0</v>
      </c>
      <c r="M76" s="152">
        <v>0.0</v>
      </c>
      <c r="N76" s="152">
        <v>0.0</v>
      </c>
      <c r="O76" s="152">
        <v>0.0</v>
      </c>
      <c r="P76" s="4"/>
    </row>
    <row r="77">
      <c r="A77" s="4"/>
      <c r="B77" s="149" t="s">
        <v>43</v>
      </c>
      <c r="C77" s="150"/>
      <c r="D77" s="152">
        <f>Workings!$C$9/12</f>
        <v>2741.666667</v>
      </c>
      <c r="E77" s="152">
        <f>Workings!$C$9/12</f>
        <v>2741.666667</v>
      </c>
      <c r="F77" s="152">
        <f>Workings!$C$9/12</f>
        <v>2741.666667</v>
      </c>
      <c r="G77" s="152">
        <f>Workings!$C$9/12</f>
        <v>2741.666667</v>
      </c>
      <c r="H77" s="152">
        <f>Workings!$C$9/12</f>
        <v>2741.666667</v>
      </c>
      <c r="I77" s="152">
        <f>Workings!$C$9/12</f>
        <v>2741.666667</v>
      </c>
      <c r="J77" s="152">
        <f>Workings!$C$9/12</f>
        <v>2741.666667</v>
      </c>
      <c r="K77" s="152">
        <f>Workings!$C$9/12</f>
        <v>2741.666667</v>
      </c>
      <c r="L77" s="152">
        <f>Workings!$C$9/12</f>
        <v>2741.666667</v>
      </c>
      <c r="M77" s="152">
        <f>Workings!$C$9/12</f>
        <v>2741.666667</v>
      </c>
      <c r="N77" s="152">
        <f>Workings!$C$9/12</f>
        <v>2741.666667</v>
      </c>
      <c r="O77" s="152">
        <f>Workings!$C$9/12</f>
        <v>2741.666667</v>
      </c>
      <c r="P77" s="4"/>
    </row>
    <row r="78">
      <c r="A78" s="4"/>
      <c r="B78" s="149" t="s">
        <v>50</v>
      </c>
      <c r="C78" s="150"/>
      <c r="D78" s="152">
        <f>Workings!$C$10/12</f>
        <v>216.6666667</v>
      </c>
      <c r="E78" s="152">
        <f>Workings!$C$10/12</f>
        <v>216.6666667</v>
      </c>
      <c r="F78" s="152">
        <f>Workings!$C$10/12</f>
        <v>216.6666667</v>
      </c>
      <c r="G78" s="152">
        <f>Workings!$C$10/12</f>
        <v>216.6666667</v>
      </c>
      <c r="H78" s="152">
        <f>Workings!$C$10/12</f>
        <v>216.6666667</v>
      </c>
      <c r="I78" s="152">
        <f>Workings!$C$10/12</f>
        <v>216.6666667</v>
      </c>
      <c r="J78" s="152">
        <f>Workings!$C$10/12</f>
        <v>216.6666667</v>
      </c>
      <c r="K78" s="152">
        <f>Workings!$C$10/12</f>
        <v>216.6666667</v>
      </c>
      <c r="L78" s="152">
        <f>Workings!$C$10/12</f>
        <v>216.6666667</v>
      </c>
      <c r="M78" s="152">
        <f>Workings!$C$10/12</f>
        <v>216.6666667</v>
      </c>
      <c r="N78" s="152">
        <f>Workings!$C$10/12</f>
        <v>216.6666667</v>
      </c>
      <c r="O78" s="152">
        <f>Workings!$C$10/12</f>
        <v>216.6666667</v>
      </c>
      <c r="P78" s="4"/>
    </row>
    <row r="79">
      <c r="A79" s="4"/>
      <c r="B79" s="149" t="s">
        <v>60</v>
      </c>
      <c r="C79" s="150"/>
      <c r="D79" s="152">
        <f>Workings!$C$9/12</f>
        <v>2741.666667</v>
      </c>
      <c r="E79" s="152">
        <f>Workings!$C$9/12</f>
        <v>2741.666667</v>
      </c>
      <c r="F79" s="152">
        <f>Workings!$C$9/12</f>
        <v>2741.666667</v>
      </c>
      <c r="G79" s="152">
        <f>Workings!$C$9/12</f>
        <v>2741.666667</v>
      </c>
      <c r="H79" s="152">
        <f>Workings!$C$9/12</f>
        <v>2741.666667</v>
      </c>
      <c r="I79" s="152">
        <f>Workings!$C$9/12</f>
        <v>2741.666667</v>
      </c>
      <c r="J79" s="152">
        <f>Workings!$C$9/12</f>
        <v>2741.666667</v>
      </c>
      <c r="K79" s="152">
        <f>Workings!$C$9/12</f>
        <v>2741.666667</v>
      </c>
      <c r="L79" s="152">
        <f>Workings!$C$9/12</f>
        <v>2741.666667</v>
      </c>
      <c r="M79" s="152">
        <f>Workings!$C$9/12</f>
        <v>2741.666667</v>
      </c>
      <c r="N79" s="152">
        <f>Workings!$C$9/12</f>
        <v>2741.666667</v>
      </c>
      <c r="O79" s="152">
        <f>Workings!$C$9/12</f>
        <v>2741.666667</v>
      </c>
      <c r="P79" s="4"/>
    </row>
    <row r="80">
      <c r="A80" s="4"/>
      <c r="B80" s="149" t="s">
        <v>69</v>
      </c>
      <c r="C80" s="150"/>
      <c r="D80" s="152">
        <f>Workings!V82</f>
        <v>9092.8008</v>
      </c>
      <c r="E80" s="152">
        <f>Workings!W82</f>
        <v>9092.8008</v>
      </c>
      <c r="F80" s="152">
        <f>Workings!X82</f>
        <v>9092.8008</v>
      </c>
      <c r="G80" s="152">
        <f>Workings!Y82</f>
        <v>9092.8008</v>
      </c>
      <c r="H80" s="152">
        <f>Workings!Z82</f>
        <v>9092.8008</v>
      </c>
      <c r="I80" s="152">
        <f>Workings!AA82</f>
        <v>9092.8008</v>
      </c>
      <c r="J80" s="152">
        <f>Workings!AB82</f>
        <v>9092.8008</v>
      </c>
      <c r="K80" s="152">
        <f>Workings!AC82</f>
        <v>9092.8008</v>
      </c>
      <c r="L80" s="152">
        <f>Workings!AD82</f>
        <v>9092.8008</v>
      </c>
      <c r="M80" s="152">
        <f>Workings!AE82</f>
        <v>9092.8008</v>
      </c>
      <c r="N80" s="152">
        <f>Workings!AF82</f>
        <v>9092.8008</v>
      </c>
      <c r="O80" s="152">
        <f>Workings!AG82</f>
        <v>9092.8008</v>
      </c>
      <c r="P80" s="4"/>
    </row>
    <row r="81">
      <c r="A81" s="4"/>
      <c r="B81" s="149" t="s">
        <v>70</v>
      </c>
      <c r="C81" s="150"/>
      <c r="D81" s="152">
        <f>Workings!V26</f>
        <v>572.9091463</v>
      </c>
      <c r="E81" s="152">
        <f>Workings!W26</f>
        <v>564.8597728</v>
      </c>
      <c r="F81" s="152">
        <f>Workings!X26</f>
        <v>556.923493</v>
      </c>
      <c r="G81" s="152">
        <f>Workings!Y26</f>
        <v>549.0987179</v>
      </c>
      <c r="H81" s="152">
        <f>Workings!Z26</f>
        <v>541.3838809</v>
      </c>
      <c r="I81" s="152">
        <f>Workings!AA26</f>
        <v>533.7774374</v>
      </c>
      <c r="J81" s="152">
        <f>Workings!AB26</f>
        <v>526.2778644</v>
      </c>
      <c r="K81" s="152">
        <f>Workings!AC26</f>
        <v>518.8836604</v>
      </c>
      <c r="L81" s="152">
        <f>Workings!AD26</f>
        <v>511.593345</v>
      </c>
      <c r="M81" s="152">
        <f>Workings!AE26</f>
        <v>504.4054585</v>
      </c>
      <c r="N81" s="152">
        <f>Workings!AF26</f>
        <v>497.3185618</v>
      </c>
      <c r="O81" s="152">
        <f>Workings!AG26</f>
        <v>490.331236</v>
      </c>
      <c r="P81" s="4"/>
    </row>
    <row r="82">
      <c r="A82" s="4"/>
      <c r="B82" s="149" t="s">
        <v>55</v>
      </c>
      <c r="C82" s="152"/>
      <c r="D82" s="152">
        <f>(Workings!$C$52*'Potential Usage &amp; Market Share '!$J$6)/12</f>
        <v>1376.432649</v>
      </c>
      <c r="E82" s="152">
        <f>(Workings!$C$52*'Potential Usage &amp; Market Share '!$J$6)/12</f>
        <v>1376.432649</v>
      </c>
      <c r="F82" s="152">
        <f>(Workings!$C$52*'Potential Usage &amp; Market Share '!$J$6)/12</f>
        <v>1376.432649</v>
      </c>
      <c r="G82" s="152">
        <f>(Workings!$C$52*'Potential Usage &amp; Market Share '!$J$6)/12</f>
        <v>1376.432649</v>
      </c>
      <c r="H82" s="152">
        <f>(Workings!$C$52*'Potential Usage &amp; Market Share '!$J$6)/12</f>
        <v>1376.432649</v>
      </c>
      <c r="I82" s="152">
        <f>(Workings!$C$52*'Potential Usage &amp; Market Share '!$J$6)/12</f>
        <v>1376.432649</v>
      </c>
      <c r="J82" s="152">
        <f>(Workings!$C$52*'Potential Usage &amp; Market Share '!$J$6)/12</f>
        <v>1376.432649</v>
      </c>
      <c r="K82" s="152">
        <f>(Workings!$C$52*'Potential Usage &amp; Market Share '!$J$6)/12</f>
        <v>1376.432649</v>
      </c>
      <c r="L82" s="152">
        <f>(Workings!$C$52*'Potential Usage &amp; Market Share '!$J$6)/12</f>
        <v>1376.432649</v>
      </c>
      <c r="M82" s="152">
        <f>(Workings!$C$52*'Potential Usage &amp; Market Share '!$J$6)/12</f>
        <v>1376.432649</v>
      </c>
      <c r="N82" s="152">
        <f>(Workings!$C$52*'Potential Usage &amp; Market Share '!$J$6)/12</f>
        <v>1376.432649</v>
      </c>
      <c r="O82" s="152">
        <f>(Workings!$C$52*'Potential Usage &amp; Market Share '!$J$6)/12</f>
        <v>1376.432649</v>
      </c>
      <c r="P82" s="4"/>
    </row>
    <row r="83">
      <c r="A83" s="4"/>
      <c r="B83" s="149" t="s">
        <v>73</v>
      </c>
      <c r="C83" s="152"/>
      <c r="D83" s="152">
        <f>D71*Workings!$C$41</f>
        <v>878.7146029</v>
      </c>
      <c r="E83" s="152">
        <f>E71*Workings!$C$41</f>
        <v>878.7146029</v>
      </c>
      <c r="F83" s="152">
        <f>F71*Workings!$C$41</f>
        <v>878.7146029</v>
      </c>
      <c r="G83" s="152">
        <f>G71*Workings!$C$41</f>
        <v>878.7146029</v>
      </c>
      <c r="H83" s="152">
        <f>H71*Workings!$C$41</f>
        <v>878.7146029</v>
      </c>
      <c r="I83" s="152">
        <f>I71*Workings!$C$41</f>
        <v>268.9942662</v>
      </c>
      <c r="J83" s="152">
        <f>J71*Workings!$C$41</f>
        <v>268.9942662</v>
      </c>
      <c r="K83" s="152">
        <f>K71*Workings!$C$41</f>
        <v>268.9942662</v>
      </c>
      <c r="L83" s="152">
        <f>L71*Workings!$C$41</f>
        <v>268.9942662</v>
      </c>
      <c r="M83" s="152">
        <f>M71*Workings!$C$41</f>
        <v>268.9942662</v>
      </c>
      <c r="N83" s="152">
        <f>N71*Workings!$C$41</f>
        <v>268.9942662</v>
      </c>
      <c r="O83" s="152">
        <f>O71*Workings!$C$41</f>
        <v>268.9942662</v>
      </c>
      <c r="P83" s="4"/>
    </row>
    <row r="84">
      <c r="A84" s="4"/>
      <c r="B84" s="149" t="s">
        <v>81</v>
      </c>
      <c r="C84" s="152"/>
      <c r="D84" s="152">
        <f>Workings!$C$12/12</f>
        <v>90</v>
      </c>
      <c r="E84" s="152">
        <f>Workings!$C$12/12</f>
        <v>90</v>
      </c>
      <c r="F84" s="152">
        <f>Workings!$C$12/12</f>
        <v>90</v>
      </c>
      <c r="G84" s="152">
        <f>Workings!$C$12/12</f>
        <v>90</v>
      </c>
      <c r="H84" s="152">
        <f>Workings!$C$12/12</f>
        <v>90</v>
      </c>
      <c r="I84" s="152">
        <f>Workings!$C$12/12</f>
        <v>90</v>
      </c>
      <c r="J84" s="152">
        <f>Workings!$C$12/12</f>
        <v>90</v>
      </c>
      <c r="K84" s="152">
        <f>Workings!$C$12/12</f>
        <v>90</v>
      </c>
      <c r="L84" s="152">
        <f>Workings!$C$12/12</f>
        <v>90</v>
      </c>
      <c r="M84" s="152">
        <f>Workings!$C$12/12</f>
        <v>90</v>
      </c>
      <c r="N84" s="152">
        <f>Workings!$C$12/12</f>
        <v>90</v>
      </c>
      <c r="O84" s="152">
        <f>Workings!$C$12/12</f>
        <v>90</v>
      </c>
      <c r="P84" s="4"/>
    </row>
    <row r="85">
      <c r="A85" s="4"/>
      <c r="B85" s="148"/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4"/>
    </row>
    <row r="86">
      <c r="A86" s="4"/>
      <c r="B86" s="147" t="s">
        <v>89</v>
      </c>
      <c r="C86" s="150"/>
      <c r="D86" s="153">
        <f t="shared" ref="D86:O86" si="20">SUM(D76:D84)</f>
        <v>17710.8572</v>
      </c>
      <c r="E86" s="153">
        <f t="shared" si="20"/>
        <v>17702.80782</v>
      </c>
      <c r="F86" s="153">
        <f t="shared" si="20"/>
        <v>17694.87154</v>
      </c>
      <c r="G86" s="153">
        <f t="shared" si="20"/>
        <v>17687.04677</v>
      </c>
      <c r="H86" s="153">
        <f t="shared" si="20"/>
        <v>17679.33193</v>
      </c>
      <c r="I86" s="153">
        <f t="shared" si="20"/>
        <v>17062.00515</v>
      </c>
      <c r="J86" s="153">
        <f t="shared" si="20"/>
        <v>17054.50558</v>
      </c>
      <c r="K86" s="153">
        <f t="shared" si="20"/>
        <v>17047.11138</v>
      </c>
      <c r="L86" s="153">
        <f t="shared" si="20"/>
        <v>17039.82106</v>
      </c>
      <c r="M86" s="153">
        <f t="shared" si="20"/>
        <v>17032.63317</v>
      </c>
      <c r="N86" s="153">
        <f t="shared" si="20"/>
        <v>17025.54628</v>
      </c>
      <c r="O86" s="153">
        <f t="shared" si="20"/>
        <v>17018.55895</v>
      </c>
      <c r="P86" s="4"/>
    </row>
    <row r="87">
      <c r="A87" s="4"/>
      <c r="B87" s="148"/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4"/>
    </row>
    <row r="88">
      <c r="A88" s="4"/>
      <c r="B88" s="148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4"/>
    </row>
    <row r="89">
      <c r="A89" s="4"/>
      <c r="B89" s="147" t="s">
        <v>91</v>
      </c>
      <c r="C89" s="150"/>
      <c r="D89" s="153">
        <f t="shared" ref="D89:O89" si="21">D73-D86</f>
        <v>28537.2798</v>
      </c>
      <c r="E89" s="153">
        <f t="shared" si="21"/>
        <v>28545.32917</v>
      </c>
      <c r="F89" s="153">
        <f t="shared" si="21"/>
        <v>28553.26545</v>
      </c>
      <c r="G89" s="153">
        <f t="shared" si="21"/>
        <v>28561.09023</v>
      </c>
      <c r="H89" s="153">
        <f t="shared" si="21"/>
        <v>28568.80506</v>
      </c>
      <c r="I89" s="153">
        <f t="shared" si="21"/>
        <v>-2904.412195</v>
      </c>
      <c r="J89" s="153">
        <f t="shared" si="21"/>
        <v>-2896.912622</v>
      </c>
      <c r="K89" s="153">
        <f t="shared" si="21"/>
        <v>-2889.518418</v>
      </c>
      <c r="L89" s="153">
        <f t="shared" si="21"/>
        <v>-2882.228102</v>
      </c>
      <c r="M89" s="153">
        <f t="shared" si="21"/>
        <v>-2875.040216</v>
      </c>
      <c r="N89" s="153">
        <f t="shared" si="21"/>
        <v>-2867.953319</v>
      </c>
      <c r="O89" s="153">
        <f t="shared" si="21"/>
        <v>-2860.965993</v>
      </c>
      <c r="P89" s="4"/>
    </row>
    <row r="90">
      <c r="A90" s="4"/>
      <c r="B90" s="148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4"/>
    </row>
    <row r="91">
      <c r="A91" s="4"/>
      <c r="B91" s="149" t="s">
        <v>94</v>
      </c>
      <c r="C91" s="150"/>
      <c r="D91" s="152">
        <f>O62</f>
        <v>24376.57369</v>
      </c>
      <c r="E91" s="152">
        <f t="shared" ref="E91:O91" si="22">D93</f>
        <v>52913.85349</v>
      </c>
      <c r="F91" s="152">
        <f t="shared" si="22"/>
        <v>81459.18266</v>
      </c>
      <c r="G91" s="152">
        <f t="shared" si="22"/>
        <v>110012.4481</v>
      </c>
      <c r="H91" s="152">
        <f t="shared" si="22"/>
        <v>138573.5383</v>
      </c>
      <c r="I91" s="152">
        <f t="shared" si="22"/>
        <v>167142.3434</v>
      </c>
      <c r="J91" s="152">
        <f t="shared" si="22"/>
        <v>164237.9312</v>
      </c>
      <c r="K91" s="152">
        <f t="shared" si="22"/>
        <v>161341.0186</v>
      </c>
      <c r="L91" s="152">
        <f t="shared" si="22"/>
        <v>158451.5002</v>
      </c>
      <c r="M91" s="152">
        <f t="shared" si="22"/>
        <v>155569.2721</v>
      </c>
      <c r="N91" s="152">
        <f t="shared" si="22"/>
        <v>152694.2318</v>
      </c>
      <c r="O91" s="152">
        <f t="shared" si="22"/>
        <v>149826.2785</v>
      </c>
      <c r="P91" s="4"/>
    </row>
    <row r="92">
      <c r="A92" s="4"/>
      <c r="B92" s="149" t="s">
        <v>91</v>
      </c>
      <c r="C92" s="150"/>
      <c r="D92" s="152">
        <f t="shared" ref="D92:O92" si="23">D89</f>
        <v>28537.2798</v>
      </c>
      <c r="E92" s="152">
        <f t="shared" si="23"/>
        <v>28545.32917</v>
      </c>
      <c r="F92" s="152">
        <f t="shared" si="23"/>
        <v>28553.26545</v>
      </c>
      <c r="G92" s="152">
        <f t="shared" si="23"/>
        <v>28561.09023</v>
      </c>
      <c r="H92" s="152">
        <f t="shared" si="23"/>
        <v>28568.80506</v>
      </c>
      <c r="I92" s="152">
        <f t="shared" si="23"/>
        <v>-2904.412195</v>
      </c>
      <c r="J92" s="152">
        <f t="shared" si="23"/>
        <v>-2896.912622</v>
      </c>
      <c r="K92" s="152">
        <f t="shared" si="23"/>
        <v>-2889.518418</v>
      </c>
      <c r="L92" s="152">
        <f t="shared" si="23"/>
        <v>-2882.228102</v>
      </c>
      <c r="M92" s="152">
        <f t="shared" si="23"/>
        <v>-2875.040216</v>
      </c>
      <c r="N92" s="152">
        <f t="shared" si="23"/>
        <v>-2867.953319</v>
      </c>
      <c r="O92" s="152">
        <f t="shared" si="23"/>
        <v>-2860.965993</v>
      </c>
      <c r="P92" s="4"/>
    </row>
    <row r="93">
      <c r="A93" s="4"/>
      <c r="B93" s="147" t="s">
        <v>97</v>
      </c>
      <c r="C93" s="150"/>
      <c r="D93" s="153">
        <f t="shared" ref="D93:O93" si="24">D92+D91</f>
        <v>52913.85349</v>
      </c>
      <c r="E93" s="153">
        <f t="shared" si="24"/>
        <v>81459.18266</v>
      </c>
      <c r="F93" s="153">
        <f t="shared" si="24"/>
        <v>110012.4481</v>
      </c>
      <c r="G93" s="153">
        <f t="shared" si="24"/>
        <v>138573.5383</v>
      </c>
      <c r="H93" s="153">
        <f t="shared" si="24"/>
        <v>167142.3434</v>
      </c>
      <c r="I93" s="153">
        <f t="shared" si="24"/>
        <v>164237.9312</v>
      </c>
      <c r="J93" s="153">
        <f t="shared" si="24"/>
        <v>161341.0186</v>
      </c>
      <c r="K93" s="153">
        <f t="shared" si="24"/>
        <v>158451.5002</v>
      </c>
      <c r="L93" s="153">
        <f t="shared" si="24"/>
        <v>155569.2721</v>
      </c>
      <c r="M93" s="153">
        <f t="shared" si="24"/>
        <v>152694.2318</v>
      </c>
      <c r="N93" s="153">
        <f t="shared" si="24"/>
        <v>149826.2785</v>
      </c>
      <c r="O93" s="153">
        <f t="shared" si="24"/>
        <v>146965.3125</v>
      </c>
      <c r="P93" s="4"/>
    </row>
    <row r="94">
      <c r="A94" s="4"/>
      <c r="P94" s="4"/>
    </row>
    <row r="95">
      <c r="A95" s="4"/>
      <c r="P95" s="4"/>
    </row>
    <row r="96">
      <c r="A96" s="4"/>
      <c r="B96" s="154" t="s">
        <v>137</v>
      </c>
      <c r="C96" s="155"/>
      <c r="D96" s="156" t="s">
        <v>74</v>
      </c>
      <c r="E96" s="156" t="s">
        <v>75</v>
      </c>
      <c r="F96" s="156" t="s">
        <v>76</v>
      </c>
      <c r="G96" s="156" t="s">
        <v>77</v>
      </c>
      <c r="H96" s="156" t="s">
        <v>78</v>
      </c>
      <c r="I96" s="156" t="s">
        <v>5</v>
      </c>
      <c r="J96" s="156" t="s">
        <v>15</v>
      </c>
      <c r="K96" s="156" t="s">
        <v>16</v>
      </c>
      <c r="L96" s="156" t="s">
        <v>17</v>
      </c>
      <c r="M96" s="156" t="s">
        <v>19</v>
      </c>
      <c r="N96" s="156" t="s">
        <v>20</v>
      </c>
      <c r="O96" s="156" t="s">
        <v>21</v>
      </c>
      <c r="P96" s="4"/>
    </row>
    <row r="97">
      <c r="A97" s="4"/>
      <c r="B97" s="155"/>
      <c r="C97" s="155"/>
      <c r="D97" s="157" t="s">
        <v>22</v>
      </c>
      <c r="E97" s="157" t="s">
        <v>22</v>
      </c>
      <c r="F97" s="157" t="s">
        <v>22</v>
      </c>
      <c r="G97" s="157" t="s">
        <v>22</v>
      </c>
      <c r="H97" s="157" t="s">
        <v>22</v>
      </c>
      <c r="I97" s="157" t="s">
        <v>22</v>
      </c>
      <c r="J97" s="157" t="s">
        <v>22</v>
      </c>
      <c r="K97" s="157" t="s">
        <v>22</v>
      </c>
      <c r="L97" s="157" t="s">
        <v>22</v>
      </c>
      <c r="M97" s="157" t="s">
        <v>22</v>
      </c>
      <c r="N97" s="157" t="s">
        <v>22</v>
      </c>
      <c r="O97" s="157" t="s">
        <v>22</v>
      </c>
      <c r="P97" s="4"/>
    </row>
    <row r="98">
      <c r="A98" s="4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4"/>
    </row>
    <row r="99">
      <c r="A99" s="4"/>
      <c r="B99" s="158" t="s">
        <v>27</v>
      </c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5"/>
      <c r="O99" s="155"/>
      <c r="P99" s="4"/>
    </row>
    <row r="100">
      <c r="A100" s="4"/>
      <c r="B100" s="160" t="s">
        <v>28</v>
      </c>
      <c r="C100" s="161"/>
      <c r="D100" s="162">
        <v>0.0</v>
      </c>
      <c r="E100" s="163">
        <f t="shared" ref="E100:O100" si="25">0</f>
        <v>0</v>
      </c>
      <c r="F100" s="163">
        <f t="shared" si="25"/>
        <v>0</v>
      </c>
      <c r="G100" s="163">
        <f t="shared" si="25"/>
        <v>0</v>
      </c>
      <c r="H100" s="163">
        <f t="shared" si="25"/>
        <v>0</v>
      </c>
      <c r="I100" s="163">
        <f t="shared" si="25"/>
        <v>0</v>
      </c>
      <c r="J100" s="163">
        <f t="shared" si="25"/>
        <v>0</v>
      </c>
      <c r="K100" s="163">
        <f t="shared" si="25"/>
        <v>0</v>
      </c>
      <c r="L100" s="163">
        <f t="shared" si="25"/>
        <v>0</v>
      </c>
      <c r="M100" s="163">
        <f t="shared" si="25"/>
        <v>0</v>
      </c>
      <c r="N100" s="163">
        <f t="shared" si="25"/>
        <v>0</v>
      </c>
      <c r="O100" s="163">
        <f t="shared" si="25"/>
        <v>0</v>
      </c>
      <c r="P100" s="4"/>
    </row>
    <row r="101">
      <c r="A101" s="4"/>
      <c r="B101" s="160" t="s">
        <v>29</v>
      </c>
      <c r="C101" s="161"/>
      <c r="D101" s="163">
        <f t="shared" ref="D101:O101" si="26">0</f>
        <v>0</v>
      </c>
      <c r="E101" s="163">
        <f t="shared" si="26"/>
        <v>0</v>
      </c>
      <c r="F101" s="163">
        <f t="shared" si="26"/>
        <v>0</v>
      </c>
      <c r="G101" s="163">
        <f t="shared" si="26"/>
        <v>0</v>
      </c>
      <c r="H101" s="163">
        <f t="shared" si="26"/>
        <v>0</v>
      </c>
      <c r="I101" s="163">
        <f t="shared" si="26"/>
        <v>0</v>
      </c>
      <c r="J101" s="163">
        <f t="shared" si="26"/>
        <v>0</v>
      </c>
      <c r="K101" s="163">
        <f t="shared" si="26"/>
        <v>0</v>
      </c>
      <c r="L101" s="163">
        <f t="shared" si="26"/>
        <v>0</v>
      </c>
      <c r="M101" s="163">
        <f t="shared" si="26"/>
        <v>0</v>
      </c>
      <c r="N101" s="163">
        <f t="shared" si="26"/>
        <v>0</v>
      </c>
      <c r="O101" s="163">
        <f t="shared" si="26"/>
        <v>0</v>
      </c>
      <c r="P101" s="4"/>
    </row>
    <row r="102">
      <c r="A102" s="4"/>
      <c r="B102" s="160" t="s">
        <v>26</v>
      </c>
      <c r="C102" s="161"/>
      <c r="D102" s="162">
        <f>'Potential Usage &amp; Market Share '!E54</f>
        <v>92496.27399</v>
      </c>
      <c r="E102" s="162">
        <f>'Potential Usage &amp; Market Share '!F54</f>
        <v>92496.27399</v>
      </c>
      <c r="F102" s="162">
        <f>'Potential Usage &amp; Market Share '!G54</f>
        <v>92496.27399</v>
      </c>
      <c r="G102" s="162">
        <f>'Potential Usage &amp; Market Share '!H54</f>
        <v>92496.27399</v>
      </c>
      <c r="H102" s="162">
        <f>'Potential Usage &amp; Market Share '!I54</f>
        <v>92496.27399</v>
      </c>
      <c r="I102" s="162">
        <f>'Potential Usage &amp; Market Share '!J54</f>
        <v>28315.18592</v>
      </c>
      <c r="J102" s="162">
        <f>'Potential Usage &amp; Market Share '!K54</f>
        <v>28315.18592</v>
      </c>
      <c r="K102" s="162">
        <f>'Potential Usage &amp; Market Share '!L54</f>
        <v>28315.18592</v>
      </c>
      <c r="L102" s="162">
        <f>'Potential Usage &amp; Market Share '!M54</f>
        <v>28315.18592</v>
      </c>
      <c r="M102" s="162">
        <f>'Potential Usage &amp; Market Share '!N54</f>
        <v>28315.18592</v>
      </c>
      <c r="N102" s="162">
        <f>'Potential Usage &amp; Market Share '!O54</f>
        <v>28315.18592</v>
      </c>
      <c r="O102" s="162">
        <f>'Potential Usage &amp; Market Share '!P54</f>
        <v>28315.18592</v>
      </c>
      <c r="P102" s="4"/>
    </row>
    <row r="103">
      <c r="A103" s="4"/>
      <c r="B103" s="159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4"/>
    </row>
    <row r="104">
      <c r="A104" s="4"/>
      <c r="B104" s="158" t="s">
        <v>38</v>
      </c>
      <c r="C104" s="161"/>
      <c r="D104" s="164">
        <f t="shared" ref="D104:O104" si="27">SUm(D100:D102)</f>
        <v>92496.27399</v>
      </c>
      <c r="E104" s="164">
        <f t="shared" si="27"/>
        <v>92496.27399</v>
      </c>
      <c r="F104" s="164">
        <f t="shared" si="27"/>
        <v>92496.27399</v>
      </c>
      <c r="G104" s="164">
        <f t="shared" si="27"/>
        <v>92496.27399</v>
      </c>
      <c r="H104" s="164">
        <f t="shared" si="27"/>
        <v>92496.27399</v>
      </c>
      <c r="I104" s="164">
        <f t="shared" si="27"/>
        <v>28315.18592</v>
      </c>
      <c r="J104" s="164">
        <f t="shared" si="27"/>
        <v>28315.18592</v>
      </c>
      <c r="K104" s="164">
        <f t="shared" si="27"/>
        <v>28315.18592</v>
      </c>
      <c r="L104" s="164">
        <f t="shared" si="27"/>
        <v>28315.18592</v>
      </c>
      <c r="M104" s="164">
        <f t="shared" si="27"/>
        <v>28315.18592</v>
      </c>
      <c r="N104" s="164">
        <f t="shared" si="27"/>
        <v>28315.18592</v>
      </c>
      <c r="O104" s="164">
        <f t="shared" si="27"/>
        <v>28315.18592</v>
      </c>
      <c r="P104" s="4"/>
    </row>
    <row r="105">
      <c r="A105" s="4"/>
      <c r="B105" s="159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55"/>
      <c r="O105" s="155"/>
      <c r="P105" s="4"/>
    </row>
    <row r="106">
      <c r="A106" s="4"/>
      <c r="B106" s="158" t="s">
        <v>42</v>
      </c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55"/>
      <c r="O106" s="155"/>
      <c r="P106" s="4"/>
    </row>
    <row r="107">
      <c r="A107" s="4"/>
      <c r="B107" s="160" t="s">
        <v>28</v>
      </c>
      <c r="C107" s="161"/>
      <c r="D107" s="163">
        <v>0.0</v>
      </c>
      <c r="E107" s="163">
        <v>0.0</v>
      </c>
      <c r="F107" s="163">
        <v>0.0</v>
      </c>
      <c r="G107" s="163">
        <v>0.0</v>
      </c>
      <c r="H107" s="163">
        <v>0.0</v>
      </c>
      <c r="I107" s="163">
        <v>0.0</v>
      </c>
      <c r="J107" s="163">
        <v>0.0</v>
      </c>
      <c r="K107" s="163">
        <v>0.0</v>
      </c>
      <c r="L107" s="163">
        <v>0.0</v>
      </c>
      <c r="M107" s="163">
        <v>0.0</v>
      </c>
      <c r="N107" s="163">
        <v>0.0</v>
      </c>
      <c r="O107" s="163">
        <v>0.0</v>
      </c>
      <c r="P107" s="4"/>
    </row>
    <row r="108">
      <c r="A108" s="4"/>
      <c r="B108" s="160" t="s">
        <v>43</v>
      </c>
      <c r="C108" s="161"/>
      <c r="D108" s="163">
        <f>Workings!$C$9/12</f>
        <v>2741.666667</v>
      </c>
      <c r="E108" s="163">
        <f>Workings!$C$9/12</f>
        <v>2741.666667</v>
      </c>
      <c r="F108" s="163">
        <f>Workings!$C$9/12</f>
        <v>2741.666667</v>
      </c>
      <c r="G108" s="163">
        <f>Workings!$C$9/12</f>
        <v>2741.666667</v>
      </c>
      <c r="H108" s="163">
        <f>Workings!$C$9/12</f>
        <v>2741.666667</v>
      </c>
      <c r="I108" s="163">
        <f>Workings!$C$9/12</f>
        <v>2741.666667</v>
      </c>
      <c r="J108" s="163">
        <f>Workings!$C$9/12</f>
        <v>2741.666667</v>
      </c>
      <c r="K108" s="163">
        <f>Workings!$C$9/12</f>
        <v>2741.666667</v>
      </c>
      <c r="L108" s="163">
        <f>Workings!$C$9/12</f>
        <v>2741.666667</v>
      </c>
      <c r="M108" s="163">
        <f>Workings!$C$9/12</f>
        <v>2741.666667</v>
      </c>
      <c r="N108" s="163">
        <f>Workings!$C$9/12</f>
        <v>2741.666667</v>
      </c>
      <c r="O108" s="163">
        <f>Workings!$C$9/12</f>
        <v>2741.666667</v>
      </c>
      <c r="P108" s="4"/>
    </row>
    <row r="109">
      <c r="A109" s="4"/>
      <c r="B109" s="160" t="s">
        <v>50</v>
      </c>
      <c r="C109" s="161"/>
      <c r="D109" s="163">
        <f>Workings!$C$10/12</f>
        <v>216.6666667</v>
      </c>
      <c r="E109" s="163">
        <f>Workings!$C$10/12</f>
        <v>216.6666667</v>
      </c>
      <c r="F109" s="163">
        <f>Workings!$C$10/12</f>
        <v>216.6666667</v>
      </c>
      <c r="G109" s="163">
        <f>Workings!$C$10/12</f>
        <v>216.6666667</v>
      </c>
      <c r="H109" s="163">
        <f>Workings!$C$10/12</f>
        <v>216.6666667</v>
      </c>
      <c r="I109" s="163">
        <f>Workings!$C$10/12</f>
        <v>216.6666667</v>
      </c>
      <c r="J109" s="163">
        <f>Workings!$C$10/12</f>
        <v>216.6666667</v>
      </c>
      <c r="K109" s="163">
        <f>Workings!$C$10/12</f>
        <v>216.6666667</v>
      </c>
      <c r="L109" s="163">
        <f>Workings!$C$10/12</f>
        <v>216.6666667</v>
      </c>
      <c r="M109" s="163">
        <f>Workings!$C$10/12</f>
        <v>216.6666667</v>
      </c>
      <c r="N109" s="163">
        <f>Workings!$C$10/12</f>
        <v>216.6666667</v>
      </c>
      <c r="O109" s="163">
        <f>Workings!$C$10/12</f>
        <v>216.6666667</v>
      </c>
      <c r="P109" s="4"/>
    </row>
    <row r="110">
      <c r="A110" s="4"/>
      <c r="B110" s="160" t="s">
        <v>60</v>
      </c>
      <c r="C110" s="161"/>
      <c r="D110" s="163">
        <f>Workings!$C$9/12</f>
        <v>2741.666667</v>
      </c>
      <c r="E110" s="163">
        <f>Workings!$C$9/12</f>
        <v>2741.666667</v>
      </c>
      <c r="F110" s="163">
        <f>Workings!$C$9/12</f>
        <v>2741.666667</v>
      </c>
      <c r="G110" s="163">
        <f>Workings!$C$9/12</f>
        <v>2741.666667</v>
      </c>
      <c r="H110" s="163">
        <f>Workings!$C$9/12</f>
        <v>2741.666667</v>
      </c>
      <c r="I110" s="163">
        <f>Workings!$C$9/12</f>
        <v>2741.666667</v>
      </c>
      <c r="J110" s="163">
        <f>Workings!$C$9/12</f>
        <v>2741.666667</v>
      </c>
      <c r="K110" s="163">
        <f>Workings!$C$9/12</f>
        <v>2741.666667</v>
      </c>
      <c r="L110" s="163">
        <f>Workings!$C$9/12</f>
        <v>2741.666667</v>
      </c>
      <c r="M110" s="163">
        <f>Workings!$C$9/12</f>
        <v>2741.666667</v>
      </c>
      <c r="N110" s="163">
        <f>Workings!$C$9/12</f>
        <v>2741.666667</v>
      </c>
      <c r="O110" s="163">
        <f>Workings!$C$9/12</f>
        <v>2741.666667</v>
      </c>
      <c r="P110" s="4"/>
    </row>
    <row r="111">
      <c r="A111" s="4"/>
      <c r="B111" s="160" t="s">
        <v>69</v>
      </c>
      <c r="C111" s="161"/>
      <c r="D111" s="163">
        <f>Workings!$AH$82/12</f>
        <v>14185.6016</v>
      </c>
      <c r="E111" s="163">
        <f>Workings!$AH$82/12</f>
        <v>14185.6016</v>
      </c>
      <c r="F111" s="163">
        <f>Workings!$AH$82/12</f>
        <v>14185.6016</v>
      </c>
      <c r="G111" s="163">
        <f>Workings!$AH$82/12</f>
        <v>14185.6016</v>
      </c>
      <c r="H111" s="163">
        <f>Workings!$AH$82/12</f>
        <v>14185.6016</v>
      </c>
      <c r="I111" s="163">
        <f>Workings!$AH$82/12</f>
        <v>14185.6016</v>
      </c>
      <c r="J111" s="163">
        <f>Workings!$AH$82/12</f>
        <v>14185.6016</v>
      </c>
      <c r="K111" s="163">
        <f>Workings!$AH$82/12</f>
        <v>14185.6016</v>
      </c>
      <c r="L111" s="163">
        <f>Workings!$AH$82/12</f>
        <v>14185.6016</v>
      </c>
      <c r="M111" s="163">
        <f>Workings!$AH$82/12</f>
        <v>14185.6016</v>
      </c>
      <c r="N111" s="163">
        <f>Workings!$AH$82/12</f>
        <v>14185.6016</v>
      </c>
      <c r="O111" s="163">
        <f>Workings!$AH$82/12</f>
        <v>14185.6016</v>
      </c>
      <c r="P111" s="4"/>
    </row>
    <row r="112">
      <c r="A112" s="4"/>
      <c r="B112" s="160" t="s">
        <v>70</v>
      </c>
      <c r="C112" s="161"/>
      <c r="D112" s="163">
        <f>Workings!C34</f>
        <v>483.4420821</v>
      </c>
      <c r="E112" s="163">
        <f>Workings!D34</f>
        <v>476.6497209</v>
      </c>
      <c r="F112" s="163">
        <f>Workings!E34</f>
        <v>469.9527923</v>
      </c>
      <c r="G112" s="163">
        <f>Workings!F34</f>
        <v>463.3499556</v>
      </c>
      <c r="H112" s="163">
        <f>Workings!G34</f>
        <v>456.8398887</v>
      </c>
      <c r="I112" s="163">
        <f>Workings!H34</f>
        <v>450.4212883</v>
      </c>
      <c r="J112" s="163">
        <f>Workings!I34</f>
        <v>444.0928692</v>
      </c>
      <c r="K112" s="163">
        <f>Workings!J34</f>
        <v>437.8533644</v>
      </c>
      <c r="L112" s="163">
        <f>Workings!K34</f>
        <v>431.7015246</v>
      </c>
      <c r="M112" s="163">
        <f>Workings!L34</f>
        <v>425.6361182</v>
      </c>
      <c r="N112" s="163">
        <f>Workings!M34</f>
        <v>419.6559307</v>
      </c>
      <c r="O112" s="163">
        <f>Workings!N34</f>
        <v>413.7597649</v>
      </c>
      <c r="P112" s="4"/>
    </row>
    <row r="113">
      <c r="A113" s="4"/>
      <c r="B113" s="160" t="s">
        <v>55</v>
      </c>
      <c r="C113" s="163"/>
      <c r="D113" s="163">
        <f>(Workings!$C$52*'Potential Usage &amp; Market Share '!$J$7)/12</f>
        <v>2752.865297</v>
      </c>
      <c r="E113" s="163">
        <f>(Workings!$C$52*'Potential Usage &amp; Market Share '!$J$7)/12</f>
        <v>2752.865297</v>
      </c>
      <c r="F113" s="163">
        <f>(Workings!$C$52*'Potential Usage &amp; Market Share '!$J$7)/12</f>
        <v>2752.865297</v>
      </c>
      <c r="G113" s="163">
        <f>(Workings!$C$52*'Potential Usage &amp; Market Share '!$J$7)/12</f>
        <v>2752.865297</v>
      </c>
      <c r="H113" s="163">
        <f>(Workings!$C$52*'Potential Usage &amp; Market Share '!$J$7)/12</f>
        <v>2752.865297</v>
      </c>
      <c r="I113" s="163">
        <f>(Workings!$C$52*'Potential Usage &amp; Market Share '!$J$7)/12</f>
        <v>2752.865297</v>
      </c>
      <c r="J113" s="163">
        <f>(Workings!$C$52*'Potential Usage &amp; Market Share '!$J$7)/12</f>
        <v>2752.865297</v>
      </c>
      <c r="K113" s="163">
        <f>(Workings!$C$52*'Potential Usage &amp; Market Share '!$J$7)/12</f>
        <v>2752.865297</v>
      </c>
      <c r="L113" s="163">
        <f>(Workings!$C$52*'Potential Usage &amp; Market Share '!$J$7)/12</f>
        <v>2752.865297</v>
      </c>
      <c r="M113" s="163">
        <f>(Workings!$C$52*'Potential Usage &amp; Market Share '!$J$7)/12</f>
        <v>2752.865297</v>
      </c>
      <c r="N113" s="163">
        <f>(Workings!$C$52*'Potential Usage &amp; Market Share '!$J$7)/12</f>
        <v>2752.865297</v>
      </c>
      <c r="O113" s="163">
        <f>(Workings!$C$52*'Potential Usage &amp; Market Share '!$J$7)/12</f>
        <v>2752.865297</v>
      </c>
      <c r="P113" s="4"/>
    </row>
    <row r="114">
      <c r="A114" s="4"/>
      <c r="B114" s="160" t="s">
        <v>73</v>
      </c>
      <c r="C114" s="163"/>
      <c r="D114" s="163">
        <f>D102*Workings!$C$41</f>
        <v>1757.429206</v>
      </c>
      <c r="E114" s="163">
        <f>E102*Workings!$C$41</f>
        <v>1757.429206</v>
      </c>
      <c r="F114" s="163">
        <f>F102*Workings!$C$41</f>
        <v>1757.429206</v>
      </c>
      <c r="G114" s="163">
        <f>G102*Workings!$C$41</f>
        <v>1757.429206</v>
      </c>
      <c r="H114" s="163">
        <f>H102*Workings!$C$41</f>
        <v>1757.429206</v>
      </c>
      <c r="I114" s="163">
        <f>I102*Workings!$C$41</f>
        <v>537.9885324</v>
      </c>
      <c r="J114" s="163">
        <f>J102*Workings!$C$41</f>
        <v>537.9885324</v>
      </c>
      <c r="K114" s="163">
        <f>K102*Workings!$C$41</f>
        <v>537.9885324</v>
      </c>
      <c r="L114" s="163">
        <f>L102*Workings!$C$41</f>
        <v>537.9885324</v>
      </c>
      <c r="M114" s="163">
        <f>M102*Workings!$C$41</f>
        <v>537.9885324</v>
      </c>
      <c r="N114" s="163">
        <f>N102*Workings!$C$41</f>
        <v>537.9885324</v>
      </c>
      <c r="O114" s="163">
        <f>O102*Workings!$C$41</f>
        <v>537.9885324</v>
      </c>
      <c r="P114" s="4"/>
    </row>
    <row r="115">
      <c r="A115" s="4"/>
      <c r="B115" s="160" t="s">
        <v>81</v>
      </c>
      <c r="C115" s="163"/>
      <c r="D115" s="163">
        <f>Workings!$C$12/12</f>
        <v>90</v>
      </c>
      <c r="E115" s="163">
        <f>Workings!$C$12/12</f>
        <v>90</v>
      </c>
      <c r="F115" s="163">
        <f>Workings!$C$12/12</f>
        <v>90</v>
      </c>
      <c r="G115" s="163">
        <f>Workings!$C$12/12</f>
        <v>90</v>
      </c>
      <c r="H115" s="163">
        <f>Workings!$C$12/12</f>
        <v>90</v>
      </c>
      <c r="I115" s="163">
        <f>Workings!$C$12/12</f>
        <v>90</v>
      </c>
      <c r="J115" s="163">
        <f>Workings!$C$12/12</f>
        <v>90</v>
      </c>
      <c r="K115" s="163">
        <f>Workings!$C$12/12</f>
        <v>90</v>
      </c>
      <c r="L115" s="163">
        <f>Workings!$C$12/12</f>
        <v>90</v>
      </c>
      <c r="M115" s="163">
        <f>Workings!$C$12/12</f>
        <v>90</v>
      </c>
      <c r="N115" s="163">
        <f>Workings!$C$12/12</f>
        <v>90</v>
      </c>
      <c r="O115" s="163">
        <f>Workings!$C$12/12</f>
        <v>90</v>
      </c>
      <c r="P115" s="4"/>
    </row>
    <row r="116">
      <c r="A116" s="4"/>
      <c r="B116" s="159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4"/>
    </row>
    <row r="117">
      <c r="A117" s="4"/>
      <c r="B117" s="158" t="s">
        <v>89</v>
      </c>
      <c r="C117" s="161"/>
      <c r="D117" s="164">
        <f t="shared" ref="D117:O117" si="28">SUM(D107:D115)</f>
        <v>24969.33819</v>
      </c>
      <c r="E117" s="164">
        <f t="shared" si="28"/>
        <v>24962.54582</v>
      </c>
      <c r="F117" s="164">
        <f t="shared" si="28"/>
        <v>24955.8489</v>
      </c>
      <c r="G117" s="164">
        <f t="shared" si="28"/>
        <v>24949.24606</v>
      </c>
      <c r="H117" s="164">
        <f t="shared" si="28"/>
        <v>24942.73599</v>
      </c>
      <c r="I117" s="164">
        <f t="shared" si="28"/>
        <v>23716.87672</v>
      </c>
      <c r="J117" s="164">
        <f t="shared" si="28"/>
        <v>23710.5483</v>
      </c>
      <c r="K117" s="164">
        <f t="shared" si="28"/>
        <v>23704.30879</v>
      </c>
      <c r="L117" s="164">
        <f t="shared" si="28"/>
        <v>23698.15695</v>
      </c>
      <c r="M117" s="164">
        <f t="shared" si="28"/>
        <v>23692.09155</v>
      </c>
      <c r="N117" s="164">
        <f t="shared" si="28"/>
        <v>23686.11136</v>
      </c>
      <c r="O117" s="164">
        <f t="shared" si="28"/>
        <v>23680.21519</v>
      </c>
      <c r="P117" s="4"/>
    </row>
    <row r="118">
      <c r="A118" s="4"/>
      <c r="B118" s="159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4"/>
    </row>
    <row r="119">
      <c r="A119" s="4"/>
      <c r="B119" s="159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4"/>
    </row>
    <row r="120">
      <c r="A120" s="4"/>
      <c r="B120" s="158" t="s">
        <v>91</v>
      </c>
      <c r="C120" s="161"/>
      <c r="D120" s="164">
        <f t="shared" ref="D120:O120" si="29">D104-D117</f>
        <v>67526.9358</v>
      </c>
      <c r="E120" s="164">
        <f t="shared" si="29"/>
        <v>67533.72817</v>
      </c>
      <c r="F120" s="164">
        <f t="shared" si="29"/>
        <v>67540.42509</v>
      </c>
      <c r="G120" s="164">
        <f t="shared" si="29"/>
        <v>67547.02793</v>
      </c>
      <c r="H120" s="164">
        <f t="shared" si="29"/>
        <v>67553.538</v>
      </c>
      <c r="I120" s="164">
        <f t="shared" si="29"/>
        <v>4598.309197</v>
      </c>
      <c r="J120" s="164">
        <f t="shared" si="29"/>
        <v>4604.637616</v>
      </c>
      <c r="K120" s="164">
        <f t="shared" si="29"/>
        <v>4610.877121</v>
      </c>
      <c r="L120" s="164">
        <f t="shared" si="29"/>
        <v>4617.028961</v>
      </c>
      <c r="M120" s="164">
        <f t="shared" si="29"/>
        <v>4623.094367</v>
      </c>
      <c r="N120" s="164">
        <f t="shared" si="29"/>
        <v>4629.074555</v>
      </c>
      <c r="O120" s="164">
        <f t="shared" si="29"/>
        <v>4634.970721</v>
      </c>
      <c r="P120" s="4"/>
    </row>
    <row r="121">
      <c r="A121" s="4"/>
      <c r="B121" s="159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4"/>
    </row>
    <row r="122">
      <c r="A122" s="4"/>
      <c r="B122" s="160" t="s">
        <v>94</v>
      </c>
      <c r="C122" s="161"/>
      <c r="D122" s="163">
        <f>O93</f>
        <v>146965.3125</v>
      </c>
      <c r="E122" s="163">
        <f t="shared" ref="E122:O122" si="30">D124</f>
        <v>214492.2483</v>
      </c>
      <c r="F122" s="163">
        <f t="shared" si="30"/>
        <v>282025.9765</v>
      </c>
      <c r="G122" s="163">
        <f t="shared" si="30"/>
        <v>349566.4016</v>
      </c>
      <c r="H122" s="163">
        <f t="shared" si="30"/>
        <v>417113.4295</v>
      </c>
      <c r="I122" s="163">
        <f t="shared" si="30"/>
        <v>484666.9675</v>
      </c>
      <c r="J122" s="163">
        <f t="shared" si="30"/>
        <v>489265.2767</v>
      </c>
      <c r="K122" s="163">
        <f t="shared" si="30"/>
        <v>493869.9143</v>
      </c>
      <c r="L122" s="163">
        <f t="shared" si="30"/>
        <v>498480.7915</v>
      </c>
      <c r="M122" s="163">
        <f t="shared" si="30"/>
        <v>503097.8204</v>
      </c>
      <c r="N122" s="163">
        <f t="shared" si="30"/>
        <v>507720.9148</v>
      </c>
      <c r="O122" s="163">
        <f t="shared" si="30"/>
        <v>512349.9893</v>
      </c>
      <c r="P122" s="4"/>
    </row>
    <row r="123">
      <c r="A123" s="4"/>
      <c r="B123" s="160" t="s">
        <v>91</v>
      </c>
      <c r="C123" s="161"/>
      <c r="D123" s="163">
        <f t="shared" ref="D123:O123" si="31">D120</f>
        <v>67526.9358</v>
      </c>
      <c r="E123" s="163">
        <f t="shared" si="31"/>
        <v>67533.72817</v>
      </c>
      <c r="F123" s="163">
        <f t="shared" si="31"/>
        <v>67540.42509</v>
      </c>
      <c r="G123" s="163">
        <f t="shared" si="31"/>
        <v>67547.02793</v>
      </c>
      <c r="H123" s="163">
        <f t="shared" si="31"/>
        <v>67553.538</v>
      </c>
      <c r="I123" s="163">
        <f t="shared" si="31"/>
        <v>4598.309197</v>
      </c>
      <c r="J123" s="163">
        <f t="shared" si="31"/>
        <v>4604.637616</v>
      </c>
      <c r="K123" s="163">
        <f t="shared" si="31"/>
        <v>4610.877121</v>
      </c>
      <c r="L123" s="163">
        <f t="shared" si="31"/>
        <v>4617.028961</v>
      </c>
      <c r="M123" s="163">
        <f t="shared" si="31"/>
        <v>4623.094367</v>
      </c>
      <c r="N123" s="163">
        <f t="shared" si="31"/>
        <v>4629.074555</v>
      </c>
      <c r="O123" s="163">
        <f t="shared" si="31"/>
        <v>4634.970721</v>
      </c>
      <c r="P123" s="4"/>
    </row>
    <row r="124">
      <c r="A124" s="4"/>
      <c r="B124" s="158" t="s">
        <v>97</v>
      </c>
      <c r="C124" s="161"/>
      <c r="D124" s="164">
        <f t="shared" ref="D124:O124" si="32">D123+D122</f>
        <v>214492.2483</v>
      </c>
      <c r="E124" s="164">
        <f t="shared" si="32"/>
        <v>282025.9765</v>
      </c>
      <c r="F124" s="164">
        <f t="shared" si="32"/>
        <v>349566.4016</v>
      </c>
      <c r="G124" s="164">
        <f t="shared" si="32"/>
        <v>417113.4295</v>
      </c>
      <c r="H124" s="164">
        <f t="shared" si="32"/>
        <v>484666.9675</v>
      </c>
      <c r="I124" s="164">
        <f t="shared" si="32"/>
        <v>489265.2767</v>
      </c>
      <c r="J124" s="164">
        <f t="shared" si="32"/>
        <v>493869.9143</v>
      </c>
      <c r="K124" s="164">
        <f t="shared" si="32"/>
        <v>498480.7915</v>
      </c>
      <c r="L124" s="164">
        <f t="shared" si="32"/>
        <v>503097.8204</v>
      </c>
      <c r="M124" s="164">
        <f t="shared" si="32"/>
        <v>507720.9148</v>
      </c>
      <c r="N124" s="164">
        <f t="shared" si="32"/>
        <v>512349.9893</v>
      </c>
      <c r="O124" s="164">
        <f t="shared" si="32"/>
        <v>516984.9601</v>
      </c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166" t="s">
        <v>140</v>
      </c>
      <c r="C127" s="167"/>
      <c r="D127" s="168" t="s">
        <v>74</v>
      </c>
      <c r="E127" s="168" t="s">
        <v>75</v>
      </c>
      <c r="F127" s="168" t="s">
        <v>76</v>
      </c>
      <c r="G127" s="168" t="s">
        <v>77</v>
      </c>
      <c r="H127" s="168" t="s">
        <v>78</v>
      </c>
      <c r="I127" s="168" t="s">
        <v>5</v>
      </c>
      <c r="J127" s="168" t="s">
        <v>15</v>
      </c>
      <c r="K127" s="168" t="s">
        <v>16</v>
      </c>
      <c r="L127" s="168" t="s">
        <v>17</v>
      </c>
      <c r="M127" s="168" t="s">
        <v>19</v>
      </c>
      <c r="N127" s="168" t="s">
        <v>20</v>
      </c>
      <c r="O127" s="168" t="s">
        <v>21</v>
      </c>
      <c r="P127" s="4"/>
    </row>
    <row r="128">
      <c r="A128" s="4"/>
      <c r="B128" s="167"/>
      <c r="C128" s="167"/>
      <c r="D128" s="169" t="s">
        <v>22</v>
      </c>
      <c r="E128" s="169" t="s">
        <v>22</v>
      </c>
      <c r="F128" s="169" t="s">
        <v>22</v>
      </c>
      <c r="G128" s="169" t="s">
        <v>22</v>
      </c>
      <c r="H128" s="169" t="s">
        <v>22</v>
      </c>
      <c r="I128" s="169" t="s">
        <v>22</v>
      </c>
      <c r="J128" s="169" t="s">
        <v>22</v>
      </c>
      <c r="K128" s="169" t="s">
        <v>22</v>
      </c>
      <c r="L128" s="169" t="s">
        <v>22</v>
      </c>
      <c r="M128" s="169" t="s">
        <v>22</v>
      </c>
      <c r="N128" s="169" t="s">
        <v>22</v>
      </c>
      <c r="O128" s="169" t="s">
        <v>22</v>
      </c>
      <c r="P128" s="4"/>
    </row>
    <row r="129">
      <c r="A129" s="4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4"/>
    </row>
    <row r="130">
      <c r="A130" s="4"/>
      <c r="B130" s="170" t="s">
        <v>27</v>
      </c>
      <c r="C130" s="171"/>
      <c r="D130" s="171"/>
      <c r="E130" s="171"/>
      <c r="F130" s="171"/>
      <c r="G130" s="171"/>
      <c r="H130" s="171"/>
      <c r="I130" s="171"/>
      <c r="J130" s="171"/>
      <c r="K130" s="171"/>
      <c r="L130" s="171"/>
      <c r="M130" s="171"/>
      <c r="N130" s="167"/>
      <c r="O130" s="167"/>
      <c r="P130" s="4"/>
    </row>
    <row r="131">
      <c r="A131" s="4"/>
      <c r="B131" s="172" t="s">
        <v>28</v>
      </c>
      <c r="C131" s="173"/>
      <c r="D131" s="174">
        <v>0.0</v>
      </c>
      <c r="E131" s="175">
        <f t="shared" ref="E131:O131" si="33">0</f>
        <v>0</v>
      </c>
      <c r="F131" s="175">
        <f t="shared" si="33"/>
        <v>0</v>
      </c>
      <c r="G131" s="175">
        <f t="shared" si="33"/>
        <v>0</v>
      </c>
      <c r="H131" s="175">
        <f t="shared" si="33"/>
        <v>0</v>
      </c>
      <c r="I131" s="175">
        <f t="shared" si="33"/>
        <v>0</v>
      </c>
      <c r="J131" s="175">
        <f t="shared" si="33"/>
        <v>0</v>
      </c>
      <c r="K131" s="175">
        <f t="shared" si="33"/>
        <v>0</v>
      </c>
      <c r="L131" s="175">
        <f t="shared" si="33"/>
        <v>0</v>
      </c>
      <c r="M131" s="175">
        <f t="shared" si="33"/>
        <v>0</v>
      </c>
      <c r="N131" s="175">
        <f t="shared" si="33"/>
        <v>0</v>
      </c>
      <c r="O131" s="175">
        <f t="shared" si="33"/>
        <v>0</v>
      </c>
      <c r="P131" s="4"/>
    </row>
    <row r="132">
      <c r="A132" s="4"/>
      <c r="B132" s="172" t="s">
        <v>29</v>
      </c>
      <c r="C132" s="173"/>
      <c r="D132" s="175">
        <f t="shared" ref="D132:O132" si="34">0</f>
        <v>0</v>
      </c>
      <c r="E132" s="175">
        <f t="shared" si="34"/>
        <v>0</v>
      </c>
      <c r="F132" s="175">
        <f t="shared" si="34"/>
        <v>0</v>
      </c>
      <c r="G132" s="175">
        <f t="shared" si="34"/>
        <v>0</v>
      </c>
      <c r="H132" s="175">
        <f t="shared" si="34"/>
        <v>0</v>
      </c>
      <c r="I132" s="175">
        <f t="shared" si="34"/>
        <v>0</v>
      </c>
      <c r="J132" s="175">
        <f t="shared" si="34"/>
        <v>0</v>
      </c>
      <c r="K132" s="175">
        <f t="shared" si="34"/>
        <v>0</v>
      </c>
      <c r="L132" s="175">
        <f t="shared" si="34"/>
        <v>0</v>
      </c>
      <c r="M132" s="175">
        <f t="shared" si="34"/>
        <v>0</v>
      </c>
      <c r="N132" s="175">
        <f t="shared" si="34"/>
        <v>0</v>
      </c>
      <c r="O132" s="175">
        <f t="shared" si="34"/>
        <v>0</v>
      </c>
      <c r="P132" s="4"/>
    </row>
    <row r="133">
      <c r="A133" s="4"/>
      <c r="B133" s="172" t="s">
        <v>26</v>
      </c>
      <c r="C133" s="173"/>
      <c r="D133" s="174">
        <f>'Potential Usage &amp; Market Share '!Q54</f>
        <v>231240.685</v>
      </c>
      <c r="E133" s="174">
        <f>'Potential Usage &amp; Market Share '!R54</f>
        <v>231240.685</v>
      </c>
      <c r="F133" s="174">
        <f>'Potential Usage &amp; Market Share '!S54</f>
        <v>231240.685</v>
      </c>
      <c r="G133" s="174">
        <f>'Potential Usage &amp; Market Share '!T54</f>
        <v>231240.685</v>
      </c>
      <c r="H133" s="174">
        <f>'Potential Usage &amp; Market Share '!U54</f>
        <v>231240.685</v>
      </c>
      <c r="I133" s="174">
        <f>'Potential Usage &amp; Market Share '!V54</f>
        <v>70787.96479</v>
      </c>
      <c r="J133" s="174">
        <f>'Potential Usage &amp; Market Share '!W54</f>
        <v>70787.96479</v>
      </c>
      <c r="K133" s="174">
        <f>'Potential Usage &amp; Market Share '!X54</f>
        <v>70787.96479</v>
      </c>
      <c r="L133" s="174">
        <f>'Potential Usage &amp; Market Share '!Y54</f>
        <v>70787.96479</v>
      </c>
      <c r="M133" s="174">
        <f>'Potential Usage &amp; Market Share '!Z54</f>
        <v>70787.96479</v>
      </c>
      <c r="N133" s="174">
        <f>'Potential Usage &amp; Market Share '!AA54</f>
        <v>70787.96479</v>
      </c>
      <c r="O133" s="174">
        <f>'Potential Usage &amp; Market Share '!AB54</f>
        <v>70787.96479</v>
      </c>
      <c r="P133" s="4"/>
    </row>
    <row r="134">
      <c r="A134" s="4"/>
      <c r="B134" s="171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3"/>
      <c r="N134" s="173"/>
      <c r="O134" s="173"/>
      <c r="P134" s="4"/>
    </row>
    <row r="135">
      <c r="A135" s="4"/>
      <c r="B135" s="170" t="s">
        <v>38</v>
      </c>
      <c r="C135" s="173"/>
      <c r="D135" s="176">
        <f t="shared" ref="D135:O135" si="35">SUm(D131:D133)</f>
        <v>231240.685</v>
      </c>
      <c r="E135" s="176">
        <f t="shared" si="35"/>
        <v>231240.685</v>
      </c>
      <c r="F135" s="176">
        <f t="shared" si="35"/>
        <v>231240.685</v>
      </c>
      <c r="G135" s="176">
        <f t="shared" si="35"/>
        <v>231240.685</v>
      </c>
      <c r="H135" s="176">
        <f t="shared" si="35"/>
        <v>231240.685</v>
      </c>
      <c r="I135" s="176">
        <f t="shared" si="35"/>
        <v>70787.96479</v>
      </c>
      <c r="J135" s="176">
        <f t="shared" si="35"/>
        <v>70787.96479</v>
      </c>
      <c r="K135" s="176">
        <f t="shared" si="35"/>
        <v>70787.96479</v>
      </c>
      <c r="L135" s="176">
        <f t="shared" si="35"/>
        <v>70787.96479</v>
      </c>
      <c r="M135" s="176">
        <f t="shared" si="35"/>
        <v>70787.96479</v>
      </c>
      <c r="N135" s="176">
        <f t="shared" si="35"/>
        <v>70787.96479</v>
      </c>
      <c r="O135" s="176">
        <f t="shared" si="35"/>
        <v>70787.96479</v>
      </c>
      <c r="P135" s="4"/>
    </row>
    <row r="136">
      <c r="A136" s="4"/>
      <c r="B136" s="171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173"/>
      <c r="N136" s="167"/>
      <c r="O136" s="167"/>
      <c r="P136" s="4"/>
    </row>
    <row r="137">
      <c r="A137" s="4"/>
      <c r="B137" s="170" t="s">
        <v>42</v>
      </c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67"/>
      <c r="O137" s="167"/>
      <c r="P137" s="4"/>
    </row>
    <row r="138">
      <c r="A138" s="4"/>
      <c r="B138" s="172" t="s">
        <v>28</v>
      </c>
      <c r="C138" s="173"/>
      <c r="D138" s="175">
        <v>0.0</v>
      </c>
      <c r="E138" s="175">
        <v>0.0</v>
      </c>
      <c r="F138" s="175">
        <v>0.0</v>
      </c>
      <c r="G138" s="175">
        <v>0.0</v>
      </c>
      <c r="H138" s="175">
        <v>0.0</v>
      </c>
      <c r="I138" s="175">
        <v>0.0</v>
      </c>
      <c r="J138" s="175">
        <v>0.0</v>
      </c>
      <c r="K138" s="175">
        <v>0.0</v>
      </c>
      <c r="L138" s="175">
        <v>0.0</v>
      </c>
      <c r="M138" s="175">
        <v>0.0</v>
      </c>
      <c r="N138" s="175">
        <v>0.0</v>
      </c>
      <c r="O138" s="175">
        <v>0.0</v>
      </c>
      <c r="P138" s="4"/>
    </row>
    <row r="139">
      <c r="A139" s="4"/>
      <c r="B139" s="172" t="s">
        <v>43</v>
      </c>
      <c r="C139" s="173"/>
      <c r="D139" s="175">
        <f>Workings!$C$9/12</f>
        <v>2741.666667</v>
      </c>
      <c r="E139" s="175">
        <f>Workings!$C$9/12</f>
        <v>2741.666667</v>
      </c>
      <c r="F139" s="175">
        <f>Workings!$C$9/12</f>
        <v>2741.666667</v>
      </c>
      <c r="G139" s="175">
        <f>Workings!$C$9/12</f>
        <v>2741.666667</v>
      </c>
      <c r="H139" s="175">
        <f>Workings!$C$9/12</f>
        <v>2741.666667</v>
      </c>
      <c r="I139" s="175">
        <f>Workings!$C$9/12</f>
        <v>2741.666667</v>
      </c>
      <c r="J139" s="175">
        <f>Workings!$C$9/12</f>
        <v>2741.666667</v>
      </c>
      <c r="K139" s="175">
        <f>Workings!$C$9/12</f>
        <v>2741.666667</v>
      </c>
      <c r="L139" s="175">
        <f>Workings!$C$9/12</f>
        <v>2741.666667</v>
      </c>
      <c r="M139" s="175">
        <f>Workings!$C$9/12</f>
        <v>2741.666667</v>
      </c>
      <c r="N139" s="175">
        <f>Workings!$C$9/12</f>
        <v>2741.666667</v>
      </c>
      <c r="O139" s="175">
        <f>Workings!$C$9/12</f>
        <v>2741.666667</v>
      </c>
      <c r="P139" s="4"/>
    </row>
    <row r="140">
      <c r="A140" s="4"/>
      <c r="B140" s="172" t="s">
        <v>50</v>
      </c>
      <c r="C140" s="173"/>
      <c r="D140" s="175">
        <f>Workings!$C$10/12</f>
        <v>216.6666667</v>
      </c>
      <c r="E140" s="175">
        <f>Workings!$C$10/12</f>
        <v>216.6666667</v>
      </c>
      <c r="F140" s="175">
        <f>Workings!$C$10/12</f>
        <v>216.6666667</v>
      </c>
      <c r="G140" s="175">
        <f>Workings!$C$10/12</f>
        <v>216.6666667</v>
      </c>
      <c r="H140" s="175">
        <f>Workings!$C$10/12</f>
        <v>216.6666667</v>
      </c>
      <c r="I140" s="175">
        <f>Workings!$C$10/12</f>
        <v>216.6666667</v>
      </c>
      <c r="J140" s="175">
        <f>Workings!$C$10/12</f>
        <v>216.6666667</v>
      </c>
      <c r="K140" s="175">
        <f>Workings!$C$10/12</f>
        <v>216.6666667</v>
      </c>
      <c r="L140" s="175">
        <f>Workings!$C$10/12</f>
        <v>216.6666667</v>
      </c>
      <c r="M140" s="175">
        <f>Workings!$C$10/12</f>
        <v>216.6666667</v>
      </c>
      <c r="N140" s="175">
        <f>Workings!$C$10/12</f>
        <v>216.6666667</v>
      </c>
      <c r="O140" s="175">
        <f>Workings!$C$10/12</f>
        <v>216.6666667</v>
      </c>
      <c r="P140" s="4"/>
    </row>
    <row r="141">
      <c r="A141" s="4"/>
      <c r="B141" s="172" t="s">
        <v>60</v>
      </c>
      <c r="C141" s="173"/>
      <c r="D141" s="175">
        <f>Workings!$C$9/12</f>
        <v>2741.666667</v>
      </c>
      <c r="E141" s="175">
        <f>Workings!$C$9/12</f>
        <v>2741.666667</v>
      </c>
      <c r="F141" s="175">
        <f>Workings!$C$9/12</f>
        <v>2741.666667</v>
      </c>
      <c r="G141" s="175">
        <f>Workings!$C$9/12</f>
        <v>2741.666667</v>
      </c>
      <c r="H141" s="175">
        <f>Workings!$C$9/12</f>
        <v>2741.666667</v>
      </c>
      <c r="I141" s="175">
        <f>Workings!$C$9/12</f>
        <v>2741.666667</v>
      </c>
      <c r="J141" s="175">
        <f>Workings!$C$9/12</f>
        <v>2741.666667</v>
      </c>
      <c r="K141" s="175">
        <f>Workings!$C$9/12</f>
        <v>2741.666667</v>
      </c>
      <c r="L141" s="175">
        <f>Workings!$C$9/12</f>
        <v>2741.666667</v>
      </c>
      <c r="M141" s="175">
        <f>Workings!$C$9/12</f>
        <v>2741.666667</v>
      </c>
      <c r="N141" s="175">
        <f>Workings!$C$9/12</f>
        <v>2741.666667</v>
      </c>
      <c r="O141" s="175">
        <f>Workings!$C$9/12</f>
        <v>2741.666667</v>
      </c>
      <c r="P141" s="4"/>
    </row>
    <row r="142">
      <c r="A142" s="4"/>
      <c r="B142" s="172" t="s">
        <v>69</v>
      </c>
      <c r="C142" s="173"/>
      <c r="D142" s="175">
        <f>Workings!$AI$82/12</f>
        <v>29464.004</v>
      </c>
      <c r="E142" s="175">
        <f>Workings!$AI$82/12</f>
        <v>29464.004</v>
      </c>
      <c r="F142" s="175">
        <f>Workings!$AI$82/12</f>
        <v>29464.004</v>
      </c>
      <c r="G142" s="175">
        <f>Workings!$AI$82/12</f>
        <v>29464.004</v>
      </c>
      <c r="H142" s="175">
        <f>Workings!$AI$82/12</f>
        <v>29464.004</v>
      </c>
      <c r="I142" s="175">
        <f>Workings!$AI$82/12</f>
        <v>29464.004</v>
      </c>
      <c r="J142" s="175">
        <f>Workings!$AI$82/12</f>
        <v>29464.004</v>
      </c>
      <c r="K142" s="175">
        <f>Workings!$AI$82/12</f>
        <v>29464.004</v>
      </c>
      <c r="L142" s="175">
        <f>Workings!$AI$82/12</f>
        <v>29464.004</v>
      </c>
      <c r="M142" s="175">
        <f>Workings!$AI$82/12</f>
        <v>29464.004</v>
      </c>
      <c r="N142" s="175">
        <f>Workings!$AI$82/12</f>
        <v>29464.004</v>
      </c>
      <c r="O142" s="175">
        <f>Workings!$AI$82/12</f>
        <v>29464.004</v>
      </c>
      <c r="P142" s="4"/>
    </row>
    <row r="143">
      <c r="A143" s="4"/>
      <c r="B143" s="172" t="s">
        <v>70</v>
      </c>
      <c r="C143" s="173"/>
      <c r="D143" s="175">
        <f>Workings!O34</f>
        <v>407.9464402</v>
      </c>
      <c r="E143" s="175">
        <f>Workings!P34</f>
        <v>402.2147927</v>
      </c>
      <c r="F143" s="175">
        <f>Workings!Q34</f>
        <v>396.5636749</v>
      </c>
      <c r="G143" s="175">
        <f>Workings!R34</f>
        <v>390.9919552</v>
      </c>
      <c r="H143" s="175">
        <f>Workings!S34</f>
        <v>385.4985183</v>
      </c>
      <c r="I143" s="175">
        <f>Workings!T34</f>
        <v>380.0822641</v>
      </c>
      <c r="J143" s="175">
        <f>Workings!U34</f>
        <v>374.7421083</v>
      </c>
      <c r="K143" s="175">
        <f>Workings!V34</f>
        <v>369.4769816</v>
      </c>
      <c r="L143" s="175">
        <f>Workings!W34</f>
        <v>364.2858301</v>
      </c>
      <c r="M143" s="175">
        <f>Workings!X34</f>
        <v>359.1676141</v>
      </c>
      <c r="N143" s="175">
        <f>Workings!Y34</f>
        <v>354.1213092</v>
      </c>
      <c r="O143" s="175">
        <f>Workings!Z34</f>
        <v>349.1459048</v>
      </c>
      <c r="P143" s="4"/>
    </row>
    <row r="144">
      <c r="A144" s="4"/>
      <c r="B144" s="172" t="s">
        <v>55</v>
      </c>
      <c r="C144" s="175"/>
      <c r="D144" s="175">
        <f>(Workings!$C$52*'Potential Usage &amp; Market Share '!$J$8)/12</f>
        <v>6882.163243</v>
      </c>
      <c r="E144" s="175">
        <f>(Workings!$C$52*'Potential Usage &amp; Market Share '!$J$8)/12</f>
        <v>6882.163243</v>
      </c>
      <c r="F144" s="175">
        <f>(Workings!$C$52*'Potential Usage &amp; Market Share '!$J$8)/12</f>
        <v>6882.163243</v>
      </c>
      <c r="G144" s="175">
        <f>(Workings!$C$52*'Potential Usage &amp; Market Share '!$J$8)/12</f>
        <v>6882.163243</v>
      </c>
      <c r="H144" s="175">
        <f>(Workings!$C$52*'Potential Usage &amp; Market Share '!$J$8)/12</f>
        <v>6882.163243</v>
      </c>
      <c r="I144" s="175">
        <f>(Workings!$C$52*'Potential Usage &amp; Market Share '!$J$8)/12</f>
        <v>6882.163243</v>
      </c>
      <c r="J144" s="175">
        <f>(Workings!$C$52*'Potential Usage &amp; Market Share '!$J$8)/12</f>
        <v>6882.163243</v>
      </c>
      <c r="K144" s="175">
        <f>(Workings!$C$52*'Potential Usage &amp; Market Share '!$J$8)/12</f>
        <v>6882.163243</v>
      </c>
      <c r="L144" s="175">
        <f>(Workings!$C$52*'Potential Usage &amp; Market Share '!$J$8)/12</f>
        <v>6882.163243</v>
      </c>
      <c r="M144" s="175">
        <f>(Workings!$C$52*'Potential Usage &amp; Market Share '!$J$8)/12</f>
        <v>6882.163243</v>
      </c>
      <c r="N144" s="175">
        <f>(Workings!$C$52*'Potential Usage &amp; Market Share '!$J$8)/12</f>
        <v>6882.163243</v>
      </c>
      <c r="O144" s="175">
        <f>(Workings!$C$52*'Potential Usage &amp; Market Share '!$J$8)/12</f>
        <v>6882.163243</v>
      </c>
      <c r="P144" s="4"/>
    </row>
    <row r="145">
      <c r="A145" s="4"/>
      <c r="B145" s="172" t="s">
        <v>73</v>
      </c>
      <c r="C145" s="175"/>
      <c r="D145" s="175">
        <f>D133*Workings!$C$41</f>
        <v>4393.573015</v>
      </c>
      <c r="E145" s="175">
        <f>E133*Workings!$C$41</f>
        <v>4393.573015</v>
      </c>
      <c r="F145" s="175">
        <f>F133*Workings!$C$41</f>
        <v>4393.573015</v>
      </c>
      <c r="G145" s="175">
        <f>G133*Workings!$C$41</f>
        <v>4393.573015</v>
      </c>
      <c r="H145" s="175">
        <f>H133*Workings!$C$41</f>
        <v>4393.573015</v>
      </c>
      <c r="I145" s="175">
        <f>I133*Workings!$C$41</f>
        <v>1344.971331</v>
      </c>
      <c r="J145" s="175">
        <f>J133*Workings!$C$41</f>
        <v>1344.971331</v>
      </c>
      <c r="K145" s="175">
        <f>K133*Workings!$C$41</f>
        <v>1344.971331</v>
      </c>
      <c r="L145" s="175">
        <f>L133*Workings!$C$41</f>
        <v>1344.971331</v>
      </c>
      <c r="M145" s="175">
        <f>M133*Workings!$C$41</f>
        <v>1344.971331</v>
      </c>
      <c r="N145" s="175">
        <f>N133*Workings!$C$41</f>
        <v>1344.971331</v>
      </c>
      <c r="O145" s="175">
        <f>O133*Workings!$C$41</f>
        <v>1344.971331</v>
      </c>
      <c r="P145" s="4"/>
    </row>
    <row r="146">
      <c r="A146" s="4"/>
      <c r="B146" s="172" t="s">
        <v>81</v>
      </c>
      <c r="C146" s="175"/>
      <c r="D146" s="175">
        <f>Workings!$C$12/12</f>
        <v>90</v>
      </c>
      <c r="E146" s="175">
        <f>Workings!$C$12/12</f>
        <v>90</v>
      </c>
      <c r="F146" s="175">
        <f>Workings!$C$12/12</f>
        <v>90</v>
      </c>
      <c r="G146" s="175">
        <f>Workings!$C$12/12</f>
        <v>90</v>
      </c>
      <c r="H146" s="175">
        <f>Workings!$C$12/12</f>
        <v>90</v>
      </c>
      <c r="I146" s="175">
        <f>Workings!$C$12/12</f>
        <v>90</v>
      </c>
      <c r="J146" s="175">
        <f>Workings!$C$12/12</f>
        <v>90</v>
      </c>
      <c r="K146" s="175">
        <f>Workings!$C$12/12</f>
        <v>90</v>
      </c>
      <c r="L146" s="175">
        <f>Workings!$C$12/12</f>
        <v>90</v>
      </c>
      <c r="M146" s="175">
        <f>Workings!$C$12/12</f>
        <v>90</v>
      </c>
      <c r="N146" s="175">
        <f>Workings!$C$12/12</f>
        <v>90</v>
      </c>
      <c r="O146" s="175">
        <f>Workings!$C$12/12</f>
        <v>90</v>
      </c>
      <c r="P146" s="4"/>
    </row>
    <row r="147">
      <c r="A147" s="4"/>
      <c r="B147" s="171"/>
      <c r="C147" s="173"/>
      <c r="D147" s="173"/>
      <c r="E147" s="173"/>
      <c r="F147" s="173"/>
      <c r="G147" s="173"/>
      <c r="H147" s="173"/>
      <c r="I147" s="173"/>
      <c r="J147" s="173"/>
      <c r="K147" s="173"/>
      <c r="L147" s="173"/>
      <c r="M147" s="173"/>
      <c r="N147" s="173"/>
      <c r="O147" s="173"/>
      <c r="P147" s="4"/>
    </row>
    <row r="148">
      <c r="A148" s="4"/>
      <c r="B148" s="170" t="s">
        <v>89</v>
      </c>
      <c r="C148" s="173"/>
      <c r="D148" s="176">
        <f t="shared" ref="D148:O148" si="36">SUM(D138:D146)</f>
        <v>46937.6867</v>
      </c>
      <c r="E148" s="176">
        <f t="shared" si="36"/>
        <v>46931.95505</v>
      </c>
      <c r="F148" s="176">
        <f t="shared" si="36"/>
        <v>46926.30393</v>
      </c>
      <c r="G148" s="176">
        <f t="shared" si="36"/>
        <v>46920.73221</v>
      </c>
      <c r="H148" s="176">
        <f t="shared" si="36"/>
        <v>46915.23878</v>
      </c>
      <c r="I148" s="176">
        <f t="shared" si="36"/>
        <v>43861.22084</v>
      </c>
      <c r="J148" s="176">
        <f t="shared" si="36"/>
        <v>43855.88068</v>
      </c>
      <c r="K148" s="176">
        <f t="shared" si="36"/>
        <v>43850.61556</v>
      </c>
      <c r="L148" s="176">
        <f t="shared" si="36"/>
        <v>43845.4244</v>
      </c>
      <c r="M148" s="176">
        <f t="shared" si="36"/>
        <v>43840.30619</v>
      </c>
      <c r="N148" s="176">
        <f t="shared" si="36"/>
        <v>43835.25988</v>
      </c>
      <c r="O148" s="176">
        <f t="shared" si="36"/>
        <v>43830.28448</v>
      </c>
      <c r="P148" s="4"/>
    </row>
    <row r="149">
      <c r="A149" s="4"/>
      <c r="B149" s="171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4"/>
    </row>
    <row r="150">
      <c r="A150" s="4"/>
      <c r="B150" s="171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4"/>
    </row>
    <row r="151">
      <c r="A151" s="4"/>
      <c r="B151" s="170" t="s">
        <v>91</v>
      </c>
      <c r="C151" s="173"/>
      <c r="D151" s="176">
        <f t="shared" ref="D151:O151" si="37">D135-D148</f>
        <v>184302.9983</v>
      </c>
      <c r="E151" s="176">
        <f t="shared" si="37"/>
        <v>184308.7299</v>
      </c>
      <c r="F151" s="176">
        <f t="shared" si="37"/>
        <v>184314.381</v>
      </c>
      <c r="G151" s="176">
        <f t="shared" si="37"/>
        <v>184319.9528</v>
      </c>
      <c r="H151" s="176">
        <f t="shared" si="37"/>
        <v>184325.4462</v>
      </c>
      <c r="I151" s="176">
        <f t="shared" si="37"/>
        <v>26926.74395</v>
      </c>
      <c r="J151" s="176">
        <f t="shared" si="37"/>
        <v>26932.08411</v>
      </c>
      <c r="K151" s="176">
        <f t="shared" si="37"/>
        <v>26937.34923</v>
      </c>
      <c r="L151" s="176">
        <f t="shared" si="37"/>
        <v>26942.54038</v>
      </c>
      <c r="M151" s="176">
        <f t="shared" si="37"/>
        <v>26947.6586</v>
      </c>
      <c r="N151" s="176">
        <f t="shared" si="37"/>
        <v>26952.7049</v>
      </c>
      <c r="O151" s="176">
        <f t="shared" si="37"/>
        <v>26957.68031</v>
      </c>
      <c r="P151" s="4"/>
    </row>
    <row r="152">
      <c r="A152" s="4"/>
      <c r="B152" s="171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4"/>
    </row>
    <row r="153">
      <c r="A153" s="4"/>
      <c r="B153" s="172" t="s">
        <v>94</v>
      </c>
      <c r="C153" s="173"/>
      <c r="D153" s="175">
        <f>O124</f>
        <v>516984.9601</v>
      </c>
      <c r="E153" s="175">
        <f t="shared" ref="E153:O153" si="38">D155</f>
        <v>701287.9583</v>
      </c>
      <c r="F153" s="175">
        <f t="shared" si="38"/>
        <v>885596.6883</v>
      </c>
      <c r="G153" s="175">
        <f t="shared" si="38"/>
        <v>1069911.069</v>
      </c>
      <c r="H153" s="175">
        <f t="shared" si="38"/>
        <v>1254231.022</v>
      </c>
      <c r="I153" s="175">
        <f t="shared" si="38"/>
        <v>1438556.468</v>
      </c>
      <c r="J153" s="175">
        <f t="shared" si="38"/>
        <v>1465483.212</v>
      </c>
      <c r="K153" s="175">
        <f t="shared" si="38"/>
        <v>1492415.296</v>
      </c>
      <c r="L153" s="175">
        <f t="shared" si="38"/>
        <v>1519352.646</v>
      </c>
      <c r="M153" s="175">
        <f t="shared" si="38"/>
        <v>1546295.186</v>
      </c>
      <c r="N153" s="175">
        <f t="shared" si="38"/>
        <v>1573242.845</v>
      </c>
      <c r="O153" s="175">
        <f t="shared" si="38"/>
        <v>1600195.549</v>
      </c>
      <c r="P153" s="4"/>
    </row>
    <row r="154">
      <c r="A154" s="4"/>
      <c r="B154" s="172" t="s">
        <v>91</v>
      </c>
      <c r="C154" s="173"/>
      <c r="D154" s="175">
        <f t="shared" ref="D154:O154" si="39">D151</f>
        <v>184302.9983</v>
      </c>
      <c r="E154" s="175">
        <f t="shared" si="39"/>
        <v>184308.7299</v>
      </c>
      <c r="F154" s="175">
        <f t="shared" si="39"/>
        <v>184314.381</v>
      </c>
      <c r="G154" s="175">
        <f t="shared" si="39"/>
        <v>184319.9528</v>
      </c>
      <c r="H154" s="175">
        <f t="shared" si="39"/>
        <v>184325.4462</v>
      </c>
      <c r="I154" s="175">
        <f t="shared" si="39"/>
        <v>26926.74395</v>
      </c>
      <c r="J154" s="175">
        <f t="shared" si="39"/>
        <v>26932.08411</v>
      </c>
      <c r="K154" s="175">
        <f t="shared" si="39"/>
        <v>26937.34923</v>
      </c>
      <c r="L154" s="175">
        <f t="shared" si="39"/>
        <v>26942.54038</v>
      </c>
      <c r="M154" s="175">
        <f t="shared" si="39"/>
        <v>26947.6586</v>
      </c>
      <c r="N154" s="175">
        <f t="shared" si="39"/>
        <v>26952.7049</v>
      </c>
      <c r="O154" s="175">
        <f t="shared" si="39"/>
        <v>26957.68031</v>
      </c>
      <c r="P154" s="4"/>
    </row>
    <row r="155">
      <c r="A155" s="4"/>
      <c r="B155" s="170" t="s">
        <v>97</v>
      </c>
      <c r="C155" s="173"/>
      <c r="D155" s="176">
        <f t="shared" ref="D155:O155" si="40">D154+D153</f>
        <v>701287.9583</v>
      </c>
      <c r="E155" s="176">
        <f t="shared" si="40"/>
        <v>885596.6883</v>
      </c>
      <c r="F155" s="176">
        <f t="shared" si="40"/>
        <v>1069911.069</v>
      </c>
      <c r="G155" s="176">
        <f t="shared" si="40"/>
        <v>1254231.022</v>
      </c>
      <c r="H155" s="176">
        <f t="shared" si="40"/>
        <v>1438556.468</v>
      </c>
      <c r="I155" s="176">
        <f t="shared" si="40"/>
        <v>1465483.212</v>
      </c>
      <c r="J155" s="176">
        <f t="shared" si="40"/>
        <v>1492415.296</v>
      </c>
      <c r="K155" s="176">
        <f t="shared" si="40"/>
        <v>1519352.646</v>
      </c>
      <c r="L155" s="176">
        <f t="shared" si="40"/>
        <v>1546295.186</v>
      </c>
      <c r="M155" s="176">
        <f t="shared" si="40"/>
        <v>1573242.845</v>
      </c>
      <c r="N155" s="176">
        <f t="shared" si="40"/>
        <v>1600195.549</v>
      </c>
      <c r="O155" s="176">
        <f t="shared" si="40"/>
        <v>1627153.23</v>
      </c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4.86"/>
    <col customWidth="1" min="2" max="2" width="43.71"/>
    <col customWidth="1" min="3" max="3" width="13.0"/>
    <col customWidth="1" min="4" max="4" width="15.86"/>
    <col customWidth="1" min="5" max="5" width="31.86"/>
    <col customWidth="1" min="6" max="6" width="20.57"/>
    <col customWidth="1" min="7" max="7" width="20.71"/>
    <col customWidth="1" min="8" max="8" width="27.86"/>
    <col customWidth="1" min="9" max="9" width="21.29"/>
    <col customWidth="1" min="10" max="10" width="25.43"/>
  </cols>
  <sheetData>
    <row r="1" ht="52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>
      <c r="A2" s="1"/>
      <c r="B2" s="5"/>
      <c r="C2" s="1"/>
      <c r="D2" s="1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>
      <c r="A3" s="1"/>
      <c r="B3" s="7" t="s">
        <v>1</v>
      </c>
      <c r="C3" s="1"/>
      <c r="D3" s="1"/>
      <c r="E3" s="7" t="s">
        <v>3</v>
      </c>
      <c r="F3" s="12" t="s">
        <v>4</v>
      </c>
      <c r="G3" s="1"/>
      <c r="H3" s="14" t="s">
        <v>10</v>
      </c>
      <c r="I3" s="14" t="s">
        <v>12</v>
      </c>
      <c r="J3" s="14" t="s">
        <v>13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>
      <c r="A4" s="1"/>
      <c r="B4" s="19" t="s">
        <v>14</v>
      </c>
      <c r="C4" s="21">
        <v>0.1</v>
      </c>
      <c r="E4" s="23" t="s">
        <v>23</v>
      </c>
      <c r="F4" s="23" t="s">
        <v>24</v>
      </c>
      <c r="G4" s="1"/>
      <c r="H4" s="24">
        <v>2020.0</v>
      </c>
      <c r="I4" s="35">
        <v>0.001</v>
      </c>
      <c r="J4" s="37">
        <f>H25/2</f>
        <v>16517.19178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>
      <c r="A5" s="1"/>
      <c r="B5" s="39"/>
      <c r="C5" s="12" t="s">
        <v>30</v>
      </c>
      <c r="D5" s="1"/>
      <c r="E5" s="40">
        <v>11.0</v>
      </c>
      <c r="F5" s="40">
        <v>790130.0</v>
      </c>
      <c r="G5" s="1"/>
      <c r="H5" s="24">
        <v>2021.0</v>
      </c>
      <c r="I5" s="35">
        <v>0.005</v>
      </c>
      <c r="J5" s="37">
        <f t="shared" ref="J5:J7" si="1">H26</f>
        <v>165171.9178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>
      <c r="A6" s="1"/>
      <c r="E6" s="40">
        <v>12.0</v>
      </c>
      <c r="F6" s="40">
        <v>774368.0</v>
      </c>
      <c r="G6" s="1"/>
      <c r="H6" s="24">
        <v>2022.0</v>
      </c>
      <c r="I6" s="42">
        <v>0.01</v>
      </c>
      <c r="J6" s="37">
        <f t="shared" si="1"/>
        <v>330343.8357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/>
      <c r="B7" s="7" t="s">
        <v>32</v>
      </c>
      <c r="C7" s="1"/>
      <c r="D7" s="1"/>
      <c r="E7" s="40">
        <v>13.0</v>
      </c>
      <c r="F7" s="40">
        <v>744924.0</v>
      </c>
      <c r="G7" s="1"/>
      <c r="H7" s="24">
        <v>2023.0</v>
      </c>
      <c r="I7" s="42">
        <v>0.02</v>
      </c>
      <c r="J7" s="37">
        <f t="shared" si="1"/>
        <v>660687.6714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/>
      <c r="B8" s="44" t="s">
        <v>33</v>
      </c>
      <c r="C8" s="47">
        <v>1.0</v>
      </c>
      <c r="D8" s="1"/>
      <c r="E8" s="40">
        <v>14.0</v>
      </c>
      <c r="F8" s="40">
        <v>732484.0</v>
      </c>
      <c r="G8" s="1"/>
      <c r="H8" s="24">
        <v>2024.0</v>
      </c>
      <c r="I8" s="42">
        <v>0.05</v>
      </c>
      <c r="J8" s="37">
        <f>H30</f>
        <v>1651719.178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44" t="s">
        <v>36</v>
      </c>
      <c r="C9" s="48">
        <v>0.3</v>
      </c>
      <c r="D9" s="1"/>
      <c r="E9" s="40">
        <v>15.0</v>
      </c>
      <c r="F9" s="40">
        <v>712733.0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/>
      <c r="B10" s="44" t="s">
        <v>37</v>
      </c>
      <c r="C10" s="47">
        <v>6.0</v>
      </c>
      <c r="D10" s="1"/>
      <c r="E10" s="40">
        <v>16.0</v>
      </c>
      <c r="F10" s="40">
        <v>702583.0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1"/>
      <c r="B11" s="1"/>
      <c r="C11" s="1"/>
      <c r="D11" s="1"/>
      <c r="E11" s="40">
        <v>17.0</v>
      </c>
      <c r="F11" s="40">
        <v>724823.0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>
      <c r="A12" s="1"/>
      <c r="B12" s="7" t="s">
        <v>40</v>
      </c>
      <c r="C12" s="1"/>
      <c r="D12" s="1"/>
      <c r="E12" s="40">
        <v>18.0</v>
      </c>
      <c r="F12" s="40">
        <v>746996.0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>
      <c r="A13" s="1"/>
      <c r="B13" s="51" t="s">
        <v>41</v>
      </c>
      <c r="C13" s="52">
        <v>27.0</v>
      </c>
      <c r="D13" s="1"/>
      <c r="E13" s="40">
        <v>19.0</v>
      </c>
      <c r="F13" s="40">
        <v>782115.0</v>
      </c>
      <c r="G13" s="5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>
      <c r="A14" s="1"/>
      <c r="B14" s="51" t="s">
        <v>44</v>
      </c>
      <c r="C14" s="54">
        <v>0.33</v>
      </c>
      <c r="D14" s="1"/>
      <c r="E14" s="23" t="s">
        <v>45</v>
      </c>
      <c r="F14" s="55">
        <f>SUM(F5:F13)</f>
        <v>6711156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>
      <c r="A15" s="1"/>
      <c r="B15" s="1"/>
      <c r="C15" s="1"/>
      <c r="D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>
      <c r="A16" s="1"/>
      <c r="B16" s="7" t="s">
        <v>47</v>
      </c>
      <c r="C16" s="1"/>
      <c r="D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>
      <c r="A17" s="1"/>
      <c r="B17" s="57" t="s">
        <v>49</v>
      </c>
      <c r="C17" s="58">
        <v>39.0</v>
      </c>
      <c r="D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>
      <c r="A19" s="1"/>
      <c r="B19" s="7" t="s">
        <v>51</v>
      </c>
      <c r="C19" s="1"/>
      <c r="D19" s="1"/>
      <c r="E19" s="7" t="s">
        <v>52</v>
      </c>
      <c r="F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>
      <c r="A20" s="1"/>
      <c r="B20" s="61" t="s">
        <v>54</v>
      </c>
      <c r="C20" s="62">
        <f>C17*C9*C8</f>
        <v>11.7</v>
      </c>
      <c r="D20" s="1"/>
      <c r="E20" s="14" t="s">
        <v>56</v>
      </c>
      <c r="F20" s="63">
        <v>3168857.0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>
      <c r="A21" s="1"/>
      <c r="B21" s="61" t="s">
        <v>57</v>
      </c>
      <c r="C21" s="64">
        <f>C4*F20</f>
        <v>316885.7</v>
      </c>
      <c r="D21" s="1"/>
      <c r="E21" s="1"/>
      <c r="F21" s="12" t="s">
        <v>58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>
      <c r="A22" s="1"/>
      <c r="B22" s="1"/>
      <c r="C22" s="1"/>
      <c r="D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>
      <c r="A23" s="1"/>
      <c r="B23" s="7" t="s">
        <v>61</v>
      </c>
      <c r="C23" s="1"/>
      <c r="D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>
      <c r="A24" s="1"/>
      <c r="B24" s="65" t="s">
        <v>62</v>
      </c>
      <c r="C24" s="66">
        <v>0.7</v>
      </c>
      <c r="D24" s="1"/>
      <c r="E24" s="67" t="s">
        <v>63</v>
      </c>
      <c r="F24" s="67" t="s">
        <v>64</v>
      </c>
      <c r="G24" s="67" t="s">
        <v>65</v>
      </c>
      <c r="H24" s="67" t="s">
        <v>66</v>
      </c>
      <c r="I24" s="67" t="s">
        <v>67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>
      <c r="A25" s="1"/>
      <c r="B25" s="65" t="s">
        <v>68</v>
      </c>
      <c r="C25" s="66">
        <v>0.3</v>
      </c>
      <c r="D25" s="1"/>
      <c r="E25" s="68">
        <v>0.001</v>
      </c>
      <c r="F25" s="69">
        <f t="shared" ref="F25:F34" si="2">$C$21*E25</f>
        <v>316.8857</v>
      </c>
      <c r="G25" s="70">
        <f t="shared" ref="G25:G34" si="3">$C$20*$C$13*F25</f>
        <v>100104.1926</v>
      </c>
      <c r="H25" s="70">
        <f>(G25*$C$14)</f>
        <v>33034.38357</v>
      </c>
      <c r="I25" s="69">
        <f t="shared" ref="I25:I34" si="4">F25/$C$10</f>
        <v>52.81428333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>
      <c r="A26" s="1"/>
      <c r="D26" s="1"/>
      <c r="E26" s="68">
        <v>0.005</v>
      </c>
      <c r="F26" s="69">
        <f t="shared" si="2"/>
        <v>1584.4285</v>
      </c>
      <c r="G26" s="70">
        <f t="shared" si="3"/>
        <v>500520.9632</v>
      </c>
      <c r="H26" s="70">
        <f t="shared" ref="H26:H34" si="5">G26*$C$14</f>
        <v>165171.9178</v>
      </c>
      <c r="I26" s="69">
        <f t="shared" si="4"/>
        <v>264.0714167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>
      <c r="A27" s="1"/>
      <c r="D27" s="1"/>
      <c r="E27" s="71">
        <v>0.01</v>
      </c>
      <c r="F27" s="69">
        <f t="shared" si="2"/>
        <v>3168.857</v>
      </c>
      <c r="G27" s="70">
        <f t="shared" si="3"/>
        <v>1001041.926</v>
      </c>
      <c r="H27" s="70">
        <f t="shared" si="5"/>
        <v>330343.8357</v>
      </c>
      <c r="I27" s="69">
        <f t="shared" si="4"/>
        <v>528.1428333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>
      <c r="A28" s="1"/>
      <c r="D28" s="1"/>
      <c r="E28" s="71">
        <v>0.02</v>
      </c>
      <c r="F28" s="69">
        <f t="shared" si="2"/>
        <v>6337.714</v>
      </c>
      <c r="G28" s="70">
        <f t="shared" si="3"/>
        <v>2002083.853</v>
      </c>
      <c r="H28" s="70">
        <f t="shared" si="5"/>
        <v>660687.6714</v>
      </c>
      <c r="I28" s="69">
        <f t="shared" si="4"/>
        <v>1056.285667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>
      <c r="A29" s="1"/>
      <c r="D29" s="1"/>
      <c r="E29" s="71">
        <v>0.03</v>
      </c>
      <c r="F29" s="69">
        <f t="shared" si="2"/>
        <v>9506.571</v>
      </c>
      <c r="G29" s="70">
        <f t="shared" si="3"/>
        <v>3003125.779</v>
      </c>
      <c r="H29" s="70">
        <f t="shared" si="5"/>
        <v>991031.507</v>
      </c>
      <c r="I29" s="69">
        <f t="shared" si="4"/>
        <v>1584.4285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>
      <c r="A30" s="1"/>
      <c r="D30" s="1"/>
      <c r="E30" s="71">
        <v>0.05</v>
      </c>
      <c r="F30" s="69">
        <f t="shared" si="2"/>
        <v>15844.285</v>
      </c>
      <c r="G30" s="70">
        <f t="shared" si="3"/>
        <v>5005209.632</v>
      </c>
      <c r="H30" s="70">
        <f t="shared" si="5"/>
        <v>1651719.178</v>
      </c>
      <c r="I30" s="69">
        <f t="shared" si="4"/>
        <v>2640.714167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>
      <c r="A31" s="1"/>
      <c r="B31" s="1"/>
      <c r="C31" s="1"/>
      <c r="D31" s="1"/>
      <c r="E31" s="71">
        <v>0.1</v>
      </c>
      <c r="F31" s="69">
        <f t="shared" si="2"/>
        <v>31688.57</v>
      </c>
      <c r="G31" s="70">
        <f t="shared" si="3"/>
        <v>10010419.26</v>
      </c>
      <c r="H31" s="70">
        <f t="shared" si="5"/>
        <v>3303438.357</v>
      </c>
      <c r="I31" s="69">
        <f t="shared" si="4"/>
        <v>5281.428333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>
      <c r="A32" s="1"/>
      <c r="B32" s="1"/>
      <c r="C32" s="1"/>
      <c r="D32" s="1"/>
      <c r="E32" s="71">
        <v>0.15</v>
      </c>
      <c r="F32" s="69">
        <f t="shared" si="2"/>
        <v>47532.855</v>
      </c>
      <c r="G32" s="70">
        <f t="shared" si="3"/>
        <v>15015628.89</v>
      </c>
      <c r="H32" s="70">
        <f t="shared" si="5"/>
        <v>4955157.535</v>
      </c>
      <c r="I32" s="69">
        <f t="shared" si="4"/>
        <v>7922.1425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>
      <c r="A33" s="1"/>
      <c r="E33" s="71">
        <v>0.2</v>
      </c>
      <c r="F33" s="69">
        <f t="shared" si="2"/>
        <v>63377.14</v>
      </c>
      <c r="G33" s="70">
        <f t="shared" si="3"/>
        <v>20020838.53</v>
      </c>
      <c r="H33" s="70">
        <f t="shared" si="5"/>
        <v>6606876.714</v>
      </c>
      <c r="I33" s="69">
        <f t="shared" si="4"/>
        <v>10562.85667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>
      <c r="A34" s="1"/>
      <c r="E34" s="71">
        <v>0.25</v>
      </c>
      <c r="F34" s="69">
        <f t="shared" si="2"/>
        <v>79221.425</v>
      </c>
      <c r="G34" s="70">
        <f t="shared" si="3"/>
        <v>25026048.16</v>
      </c>
      <c r="H34" s="70">
        <f t="shared" si="5"/>
        <v>8258595.892</v>
      </c>
      <c r="I34" s="69">
        <f t="shared" si="4"/>
        <v>13203.57083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>
      <c r="A35" s="1"/>
      <c r="J35" s="76"/>
      <c r="K35" s="7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>
      <c r="A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>
      <c r="A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>
      <c r="A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>
      <c r="A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>
      <c r="A40" s="1"/>
      <c r="B40" s="1"/>
      <c r="C40" s="1"/>
      <c r="D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>
      <c r="A41" s="1"/>
    </row>
    <row r="42">
      <c r="A42" s="1"/>
    </row>
    <row r="43">
      <c r="A43" s="1"/>
    </row>
    <row r="44">
      <c r="A44" s="1"/>
      <c r="E44" s="77">
        <v>2020.0</v>
      </c>
      <c r="L44" s="78">
        <v>2021.0</v>
      </c>
      <c r="X44" s="79">
        <v>2022.0</v>
      </c>
    </row>
    <row r="45">
      <c r="A45" s="1"/>
      <c r="B45" s="1"/>
      <c r="C45" s="1"/>
      <c r="D45" s="1"/>
      <c r="E45" s="38" t="s">
        <v>5</v>
      </c>
      <c r="F45" s="38" t="s">
        <v>15</v>
      </c>
      <c r="G45" s="38" t="s">
        <v>16</v>
      </c>
      <c r="H45" s="38" t="s">
        <v>17</v>
      </c>
      <c r="I45" s="38" t="s">
        <v>19</v>
      </c>
      <c r="J45" s="38" t="s">
        <v>20</v>
      </c>
      <c r="K45" s="38" t="s">
        <v>21</v>
      </c>
      <c r="L45" s="80" t="s">
        <v>74</v>
      </c>
      <c r="M45" s="80" t="s">
        <v>75</v>
      </c>
      <c r="N45" s="80" t="s">
        <v>76</v>
      </c>
      <c r="O45" s="80" t="s">
        <v>77</v>
      </c>
      <c r="P45" s="80" t="s">
        <v>78</v>
      </c>
      <c r="Q45" s="38" t="s">
        <v>5</v>
      </c>
      <c r="R45" s="38" t="s">
        <v>15</v>
      </c>
      <c r="S45" s="38" t="s">
        <v>16</v>
      </c>
      <c r="T45" s="38" t="s">
        <v>17</v>
      </c>
      <c r="U45" s="38" t="s">
        <v>19</v>
      </c>
      <c r="V45" s="38" t="s">
        <v>20</v>
      </c>
      <c r="W45" s="38" t="s">
        <v>21</v>
      </c>
      <c r="X45" s="80" t="s">
        <v>74</v>
      </c>
      <c r="Y45" s="80" t="s">
        <v>75</v>
      </c>
      <c r="Z45" s="80" t="s">
        <v>76</v>
      </c>
      <c r="AA45" s="80" t="s">
        <v>77</v>
      </c>
      <c r="AB45" s="80" t="s">
        <v>78</v>
      </c>
      <c r="AC45" s="38" t="s">
        <v>5</v>
      </c>
      <c r="AD45" s="38" t="s">
        <v>15</v>
      </c>
      <c r="AE45" s="38" t="s">
        <v>16</v>
      </c>
      <c r="AF45" s="38" t="s">
        <v>17</v>
      </c>
      <c r="AG45" s="38" t="s">
        <v>19</v>
      </c>
      <c r="AH45" s="38" t="s">
        <v>20</v>
      </c>
      <c r="AI45" s="38" t="s">
        <v>21</v>
      </c>
    </row>
    <row r="46">
      <c r="A46" s="1"/>
      <c r="B46" s="1"/>
      <c r="C46" s="1"/>
      <c r="D46" s="1"/>
      <c r="E46" s="22" t="s">
        <v>22</v>
      </c>
      <c r="F46" s="22" t="s">
        <v>22</v>
      </c>
      <c r="G46" s="22" t="s">
        <v>22</v>
      </c>
      <c r="H46" s="22" t="s">
        <v>22</v>
      </c>
      <c r="I46" s="22" t="s">
        <v>22</v>
      </c>
      <c r="J46" s="22" t="s">
        <v>22</v>
      </c>
      <c r="K46" s="22" t="s">
        <v>22</v>
      </c>
      <c r="L46" s="22" t="s">
        <v>22</v>
      </c>
      <c r="M46" s="22" t="s">
        <v>22</v>
      </c>
      <c r="N46" s="22" t="s">
        <v>22</v>
      </c>
      <c r="O46" s="22" t="s">
        <v>22</v>
      </c>
      <c r="P46" s="22" t="s">
        <v>22</v>
      </c>
      <c r="Q46" s="22" t="s">
        <v>22</v>
      </c>
      <c r="R46" s="22" t="s">
        <v>22</v>
      </c>
      <c r="S46" s="22" t="s">
        <v>22</v>
      </c>
      <c r="T46" s="22" t="s">
        <v>22</v>
      </c>
      <c r="U46" s="22" t="s">
        <v>22</v>
      </c>
      <c r="V46" s="22" t="s">
        <v>22</v>
      </c>
      <c r="W46" s="22" t="s">
        <v>22</v>
      </c>
      <c r="X46" s="22" t="s">
        <v>22</v>
      </c>
      <c r="Y46" s="22" t="s">
        <v>22</v>
      </c>
      <c r="Z46" s="22" t="s">
        <v>22</v>
      </c>
      <c r="AA46" s="22" t="s">
        <v>22</v>
      </c>
      <c r="AB46" s="22" t="s">
        <v>22</v>
      </c>
      <c r="AC46" s="22" t="s">
        <v>22</v>
      </c>
      <c r="AD46" s="22" t="s">
        <v>22</v>
      </c>
      <c r="AE46" s="22" t="s">
        <v>22</v>
      </c>
      <c r="AF46" s="22" t="s">
        <v>22</v>
      </c>
      <c r="AG46" s="22" t="s">
        <v>22</v>
      </c>
      <c r="AH46" s="22" t="s">
        <v>22</v>
      </c>
      <c r="AI46" s="22" t="s">
        <v>22</v>
      </c>
    </row>
    <row r="47">
      <c r="A47" s="1"/>
      <c r="B47" s="1"/>
      <c r="C47" s="1"/>
      <c r="D47" s="1"/>
      <c r="E47" s="1"/>
      <c r="F47" s="84"/>
      <c r="G47" s="85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>
      <c r="A48" s="1"/>
      <c r="B48" s="1"/>
      <c r="C48" s="1"/>
      <c r="D48" s="87" t="s">
        <v>83</v>
      </c>
      <c r="E48" s="89">
        <f t="shared" ref="E48:K48" si="6">$J$4/12</f>
        <v>1376.432649</v>
      </c>
      <c r="F48" s="89">
        <f t="shared" si="6"/>
        <v>1376.432649</v>
      </c>
      <c r="G48" s="89">
        <f t="shared" si="6"/>
        <v>1376.432649</v>
      </c>
      <c r="H48" s="89">
        <f t="shared" si="6"/>
        <v>1376.432649</v>
      </c>
      <c r="I48" s="89">
        <f t="shared" si="6"/>
        <v>1376.432649</v>
      </c>
      <c r="J48" s="89">
        <f t="shared" si="6"/>
        <v>1376.432649</v>
      </c>
      <c r="K48" s="89">
        <f t="shared" si="6"/>
        <v>1376.432649</v>
      </c>
      <c r="L48" s="89">
        <f t="shared" ref="L48:P48" si="7">(($J$5*($C$24)))/5</f>
        <v>23124.0685</v>
      </c>
      <c r="M48" s="89">
        <f t="shared" si="7"/>
        <v>23124.0685</v>
      </c>
      <c r="N48" s="89">
        <f t="shared" si="7"/>
        <v>23124.0685</v>
      </c>
      <c r="O48" s="89">
        <f t="shared" si="7"/>
        <v>23124.0685</v>
      </c>
      <c r="P48" s="89">
        <f t="shared" si="7"/>
        <v>23124.0685</v>
      </c>
      <c r="Q48" s="89">
        <f t="shared" ref="Q48:W48" si="8">(($J$5*($C$25))/7)</f>
        <v>7078.796479</v>
      </c>
      <c r="R48" s="89">
        <f t="shared" si="8"/>
        <v>7078.796479</v>
      </c>
      <c r="S48" s="89">
        <f t="shared" si="8"/>
        <v>7078.796479</v>
      </c>
      <c r="T48" s="89">
        <f t="shared" si="8"/>
        <v>7078.796479</v>
      </c>
      <c r="U48" s="89">
        <f t="shared" si="8"/>
        <v>7078.796479</v>
      </c>
      <c r="V48" s="89">
        <f t="shared" si="8"/>
        <v>7078.796479</v>
      </c>
      <c r="W48" s="89">
        <f t="shared" si="8"/>
        <v>7078.796479</v>
      </c>
      <c r="X48" s="89">
        <f t="shared" ref="X48:AB48" si="9">(($J$6*($C$24)))/5</f>
        <v>46248.137</v>
      </c>
      <c r="Y48" s="89">
        <f t="shared" si="9"/>
        <v>46248.137</v>
      </c>
      <c r="Z48" s="89">
        <f t="shared" si="9"/>
        <v>46248.137</v>
      </c>
      <c r="AA48" s="89">
        <f t="shared" si="9"/>
        <v>46248.137</v>
      </c>
      <c r="AB48" s="89">
        <f t="shared" si="9"/>
        <v>46248.137</v>
      </c>
      <c r="AC48" s="89">
        <f t="shared" ref="AC48:AI48" si="10">(($J$6*($C$25))/7)</f>
        <v>14157.59296</v>
      </c>
      <c r="AD48" s="89">
        <f t="shared" si="10"/>
        <v>14157.59296</v>
      </c>
      <c r="AE48" s="89">
        <f t="shared" si="10"/>
        <v>14157.59296</v>
      </c>
      <c r="AF48" s="89">
        <f t="shared" si="10"/>
        <v>14157.59296</v>
      </c>
      <c r="AG48" s="89">
        <f t="shared" si="10"/>
        <v>14157.59296</v>
      </c>
      <c r="AH48" s="89">
        <f t="shared" si="10"/>
        <v>14157.59296</v>
      </c>
      <c r="AI48" s="89">
        <f t="shared" si="10"/>
        <v>14157.59296</v>
      </c>
    </row>
    <row r="49">
      <c r="A49" s="1"/>
      <c r="B49" s="1"/>
      <c r="C49" s="1"/>
      <c r="D49" s="1"/>
      <c r="E49" s="1"/>
      <c r="F49" s="84"/>
      <c r="G49" s="85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>
      <c r="A50" s="1"/>
      <c r="B50" s="1"/>
      <c r="C50" s="1"/>
      <c r="E50" s="92">
        <v>2023.0</v>
      </c>
      <c r="Q50" s="94">
        <v>2024.0</v>
      </c>
      <c r="AC50" s="89"/>
      <c r="AD50" s="89"/>
      <c r="AE50" s="89"/>
      <c r="AF50" s="89"/>
      <c r="AG50" s="89"/>
      <c r="AH50" s="89"/>
      <c r="AI50" s="89"/>
    </row>
    <row r="51">
      <c r="A51" s="1"/>
      <c r="B51" s="1"/>
      <c r="C51" s="1"/>
      <c r="E51" s="80" t="s">
        <v>74</v>
      </c>
      <c r="F51" s="80" t="s">
        <v>75</v>
      </c>
      <c r="G51" s="80" t="s">
        <v>76</v>
      </c>
      <c r="H51" s="80" t="s">
        <v>77</v>
      </c>
      <c r="I51" s="80" t="s">
        <v>78</v>
      </c>
      <c r="J51" s="38" t="s">
        <v>5</v>
      </c>
      <c r="K51" s="38" t="s">
        <v>15</v>
      </c>
      <c r="L51" s="38" t="s">
        <v>16</v>
      </c>
      <c r="M51" s="38" t="s">
        <v>17</v>
      </c>
      <c r="N51" s="38" t="s">
        <v>19</v>
      </c>
      <c r="O51" s="38" t="s">
        <v>20</v>
      </c>
      <c r="P51" s="38" t="s">
        <v>21</v>
      </c>
      <c r="Q51" s="80" t="s">
        <v>74</v>
      </c>
      <c r="R51" s="80" t="s">
        <v>75</v>
      </c>
      <c r="S51" s="80" t="s">
        <v>76</v>
      </c>
      <c r="T51" s="80" t="s">
        <v>77</v>
      </c>
      <c r="U51" s="80" t="s">
        <v>78</v>
      </c>
      <c r="V51" s="38" t="s">
        <v>5</v>
      </c>
      <c r="W51" s="38" t="s">
        <v>15</v>
      </c>
      <c r="X51" s="38" t="s">
        <v>16</v>
      </c>
      <c r="Y51" s="38" t="s">
        <v>17</v>
      </c>
      <c r="Z51" s="38" t="s">
        <v>19</v>
      </c>
      <c r="AA51" s="38" t="s">
        <v>20</v>
      </c>
      <c r="AB51" s="38" t="s">
        <v>21</v>
      </c>
      <c r="AC51" s="1"/>
      <c r="AD51" s="1"/>
      <c r="AE51" s="1"/>
      <c r="AF51" s="1"/>
      <c r="AG51" s="1"/>
      <c r="AH51" s="1"/>
      <c r="AI51" s="1"/>
    </row>
    <row r="52">
      <c r="A52" s="1"/>
      <c r="B52" s="1"/>
      <c r="C52" s="1"/>
      <c r="E52" s="22" t="s">
        <v>22</v>
      </c>
      <c r="F52" s="22" t="s">
        <v>22</v>
      </c>
      <c r="G52" s="22" t="s">
        <v>22</v>
      </c>
      <c r="H52" s="22" t="s">
        <v>22</v>
      </c>
      <c r="I52" s="22" t="s">
        <v>22</v>
      </c>
      <c r="J52" s="22" t="s">
        <v>22</v>
      </c>
      <c r="K52" s="22" t="s">
        <v>22</v>
      </c>
      <c r="L52" s="22" t="s">
        <v>22</v>
      </c>
      <c r="M52" s="22" t="s">
        <v>22</v>
      </c>
      <c r="N52" s="22" t="s">
        <v>22</v>
      </c>
      <c r="O52" s="22" t="s">
        <v>22</v>
      </c>
      <c r="P52" s="22" t="s">
        <v>22</v>
      </c>
      <c r="Q52" s="22" t="s">
        <v>22</v>
      </c>
      <c r="R52" s="22" t="s">
        <v>22</v>
      </c>
      <c r="S52" s="22" t="s">
        <v>22</v>
      </c>
      <c r="T52" s="22" t="s">
        <v>22</v>
      </c>
      <c r="U52" s="22" t="s">
        <v>22</v>
      </c>
      <c r="V52" s="22" t="s">
        <v>22</v>
      </c>
      <c r="W52" s="22" t="s">
        <v>22</v>
      </c>
      <c r="X52" s="22" t="s">
        <v>22</v>
      </c>
      <c r="Y52" s="22" t="s">
        <v>22</v>
      </c>
      <c r="Z52" s="22" t="s">
        <v>22</v>
      </c>
      <c r="AA52" s="22" t="s">
        <v>22</v>
      </c>
      <c r="AB52" s="22" t="s">
        <v>22</v>
      </c>
      <c r="AC52" s="1"/>
      <c r="AD52" s="1"/>
      <c r="AE52" s="1"/>
      <c r="AF52" s="1"/>
      <c r="AG52" s="1"/>
      <c r="AH52" s="1"/>
      <c r="AI52" s="1"/>
    </row>
    <row r="53">
      <c r="A53" s="1"/>
      <c r="B53" s="1"/>
      <c r="C53" s="1"/>
      <c r="E53" s="50"/>
      <c r="F53" s="50"/>
      <c r="G53" s="50"/>
      <c r="H53" s="50"/>
      <c r="I53" s="50"/>
      <c r="J53" s="50"/>
      <c r="K53" s="50"/>
      <c r="L53" s="50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>
      <c r="A54" s="1"/>
      <c r="B54" s="1"/>
      <c r="C54" s="1"/>
      <c r="D54" s="87" t="s">
        <v>83</v>
      </c>
      <c r="E54" s="89">
        <f t="shared" ref="E54:I54" si="11">(($J$7*($C$24)))/5</f>
        <v>92496.27399</v>
      </c>
      <c r="F54" s="89">
        <f t="shared" si="11"/>
        <v>92496.27399</v>
      </c>
      <c r="G54" s="89">
        <f t="shared" si="11"/>
        <v>92496.27399</v>
      </c>
      <c r="H54" s="89">
        <f t="shared" si="11"/>
        <v>92496.27399</v>
      </c>
      <c r="I54" s="89">
        <f t="shared" si="11"/>
        <v>92496.27399</v>
      </c>
      <c r="J54" s="89">
        <f t="shared" ref="J54:P54" si="12">(($J$7*($C$25))/7)</f>
        <v>28315.18592</v>
      </c>
      <c r="K54" s="89">
        <f t="shared" si="12"/>
        <v>28315.18592</v>
      </c>
      <c r="L54" s="89">
        <f t="shared" si="12"/>
        <v>28315.18592</v>
      </c>
      <c r="M54" s="89">
        <f t="shared" si="12"/>
        <v>28315.18592</v>
      </c>
      <c r="N54" s="89">
        <f t="shared" si="12"/>
        <v>28315.18592</v>
      </c>
      <c r="O54" s="89">
        <f t="shared" si="12"/>
        <v>28315.18592</v>
      </c>
      <c r="P54" s="89">
        <f t="shared" si="12"/>
        <v>28315.18592</v>
      </c>
      <c r="Q54" s="89">
        <f t="shared" ref="Q54:U54" si="13">(($J$8*($C$24)))/5</f>
        <v>231240.685</v>
      </c>
      <c r="R54" s="89">
        <f t="shared" si="13"/>
        <v>231240.685</v>
      </c>
      <c r="S54" s="89">
        <f t="shared" si="13"/>
        <v>231240.685</v>
      </c>
      <c r="T54" s="89">
        <f t="shared" si="13"/>
        <v>231240.685</v>
      </c>
      <c r="U54" s="89">
        <f t="shared" si="13"/>
        <v>231240.685</v>
      </c>
      <c r="V54" s="89">
        <f t="shared" ref="V54:AB54" si="14">(($J$8*($C$25))/7)</f>
        <v>70787.96479</v>
      </c>
      <c r="W54" s="89">
        <f t="shared" si="14"/>
        <v>70787.96479</v>
      </c>
      <c r="X54" s="89">
        <f t="shared" si="14"/>
        <v>70787.96479</v>
      </c>
      <c r="Y54" s="89">
        <f t="shared" si="14"/>
        <v>70787.96479</v>
      </c>
      <c r="Z54" s="89">
        <f t="shared" si="14"/>
        <v>70787.96479</v>
      </c>
      <c r="AA54" s="89">
        <f t="shared" si="14"/>
        <v>70787.96479</v>
      </c>
      <c r="AB54" s="89">
        <f t="shared" si="14"/>
        <v>70787.96479</v>
      </c>
      <c r="AC54" s="1"/>
      <c r="AD54" s="1"/>
      <c r="AE54" s="1"/>
      <c r="AF54" s="1"/>
      <c r="AG54" s="1"/>
      <c r="AH54" s="1"/>
      <c r="AI54" s="1"/>
    </row>
    <row r="55">
      <c r="A55" s="1"/>
      <c r="B55" s="1"/>
      <c r="C55" s="1"/>
      <c r="D55" s="104"/>
      <c r="AC55" s="1"/>
      <c r="AD55" s="1"/>
      <c r="AE55" s="1"/>
      <c r="AF55" s="1"/>
      <c r="AG55" s="1"/>
      <c r="AH55" s="1"/>
      <c r="AI55" s="1"/>
    </row>
    <row r="56">
      <c r="A56" s="1"/>
      <c r="B56" s="1"/>
      <c r="C56" s="1"/>
      <c r="D56" s="87"/>
      <c r="E56" s="89"/>
      <c r="AC56" s="1"/>
      <c r="AD56" s="1"/>
      <c r="AE56" s="1"/>
      <c r="AF56" s="1"/>
      <c r="AG56" s="1"/>
      <c r="AH56" s="1"/>
      <c r="AI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</sheetData>
  <mergeCells count="5">
    <mergeCell ref="E44:K44"/>
    <mergeCell ref="L44:W44"/>
    <mergeCell ref="X44:AI44"/>
    <mergeCell ref="E50:P50"/>
    <mergeCell ref="Q50:AB50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9.57"/>
    <col customWidth="1" min="3" max="3" width="11.86"/>
    <col customWidth="1" min="5" max="5" width="19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>
      <c r="A3" s="1"/>
      <c r="B3" s="7" t="s">
        <v>79</v>
      </c>
      <c r="C3" s="1"/>
      <c r="D3" s="1"/>
      <c r="F3" s="81"/>
      <c r="G3" s="82" t="s">
        <v>80</v>
      </c>
      <c r="H3" s="83"/>
      <c r="I3" s="83"/>
      <c r="J3" s="83"/>
      <c r="K3" s="83"/>
      <c r="L3" s="8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>
      <c r="A4" s="1"/>
      <c r="B4" s="44"/>
      <c r="C4" s="48"/>
      <c r="D4" s="1"/>
      <c r="F4" s="81"/>
      <c r="G4" s="86" t="s">
        <v>82</v>
      </c>
      <c r="L4" s="8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>
      <c r="A5" s="1"/>
      <c r="B5" s="44" t="s">
        <v>84</v>
      </c>
      <c r="C5" s="88">
        <v>1000.0</v>
      </c>
      <c r="D5" s="1"/>
      <c r="F5" s="81"/>
      <c r="G5" s="83" t="s">
        <v>85</v>
      </c>
      <c r="L5" s="8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>
      <c r="A6" s="1"/>
      <c r="B6" s="1"/>
      <c r="C6" s="1"/>
      <c r="D6" s="1"/>
      <c r="F6" s="81"/>
      <c r="G6" s="83" t="s">
        <v>86</v>
      </c>
      <c r="L6" s="8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/>
      <c r="B7" s="7" t="s">
        <v>87</v>
      </c>
      <c r="C7" s="1"/>
      <c r="D7" s="1"/>
      <c r="F7" s="81"/>
      <c r="G7" s="83" t="s">
        <v>88</v>
      </c>
      <c r="L7" s="8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/>
      <c r="B8" s="44" t="s">
        <v>28</v>
      </c>
      <c r="C8" s="88">
        <v>4000.0</v>
      </c>
      <c r="D8" s="1"/>
      <c r="F8" s="81"/>
      <c r="G8" s="83"/>
      <c r="H8" s="83"/>
      <c r="I8" s="83"/>
      <c r="J8" s="83"/>
      <c r="K8" s="83"/>
      <c r="L8" s="8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44" t="s">
        <v>43</v>
      </c>
      <c r="C9" s="88">
        <v>32900.0</v>
      </c>
      <c r="D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/>
      <c r="B10" s="44" t="s">
        <v>50</v>
      </c>
      <c r="C10" s="88">
        <v>2600.0</v>
      </c>
      <c r="D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1"/>
      <c r="B11" s="44" t="s">
        <v>60</v>
      </c>
      <c r="C11" s="88">
        <v>5200.0</v>
      </c>
      <c r="D11" s="1"/>
      <c r="G11" s="1"/>
      <c r="H11" s="53" t="s">
        <v>90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>
      <c r="A12" s="1"/>
      <c r="B12" s="44" t="s">
        <v>81</v>
      </c>
      <c r="C12" s="88">
        <v>1080.0</v>
      </c>
      <c r="D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4">
      <c r="B14" s="7" t="s">
        <v>92</v>
      </c>
      <c r="C14" s="1"/>
      <c r="D14" s="1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>
      <c r="A15" s="1"/>
      <c r="B15" s="90" t="s">
        <v>93</v>
      </c>
      <c r="C15" s="91">
        <v>1646.06</v>
      </c>
      <c r="D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>
      <c r="A16" s="1"/>
      <c r="B16" s="90" t="s">
        <v>95</v>
      </c>
      <c r="C16" s="91">
        <v>55000.0</v>
      </c>
      <c r="D16" s="9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>
      <c r="A17" s="1"/>
      <c r="B17" s="90" t="s">
        <v>96</v>
      </c>
      <c r="C17" s="91">
        <f>(($C$16-AG28)*0.1686)</f>
        <v>5801.304986</v>
      </c>
      <c r="D17" s="84"/>
      <c r="E17" s="85"/>
      <c r="F17" s="36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>
      <c r="A18" s="1"/>
      <c r="B18" s="90" t="s">
        <v>98</v>
      </c>
      <c r="C18" s="91">
        <f>(($C$16-C17-AG28)*0.1686)</f>
        <v>4823.204965</v>
      </c>
      <c r="D18" s="84"/>
      <c r="E18" s="85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>
      <c r="A19" s="1"/>
      <c r="D19" s="1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>
      <c r="A20" s="1"/>
      <c r="B20" s="1"/>
      <c r="C20" s="1"/>
      <c r="D20" s="93"/>
      <c r="E20" s="85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>
      <c r="A21" s="1"/>
      <c r="B21" s="1"/>
      <c r="C21" s="1"/>
      <c r="D21" s="1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>
      <c r="A22" s="1"/>
      <c r="B22" s="1"/>
      <c r="C22" s="77">
        <v>2020.0</v>
      </c>
      <c r="J22" s="78">
        <v>2021.0</v>
      </c>
      <c r="V22" s="79">
        <v>2022.0</v>
      </c>
      <c r="AH22" s="79"/>
      <c r="AI22" s="79"/>
    </row>
    <row r="23">
      <c r="A23" s="1"/>
      <c r="B23" s="107"/>
      <c r="C23" s="38" t="s">
        <v>5</v>
      </c>
      <c r="D23" s="38" t="s">
        <v>15</v>
      </c>
      <c r="E23" s="38" t="s">
        <v>16</v>
      </c>
      <c r="F23" s="38" t="s">
        <v>17</v>
      </c>
      <c r="G23" s="38" t="s">
        <v>19</v>
      </c>
      <c r="H23" s="38" t="s">
        <v>20</v>
      </c>
      <c r="I23" s="38" t="s">
        <v>21</v>
      </c>
      <c r="J23" s="38" t="s">
        <v>74</v>
      </c>
      <c r="K23" s="38" t="s">
        <v>75</v>
      </c>
      <c r="L23" s="38" t="s">
        <v>76</v>
      </c>
      <c r="M23" s="38" t="s">
        <v>77</v>
      </c>
      <c r="N23" s="38" t="s">
        <v>78</v>
      </c>
      <c r="O23" s="38" t="s">
        <v>5</v>
      </c>
      <c r="P23" s="38" t="s">
        <v>15</v>
      </c>
      <c r="Q23" s="38" t="s">
        <v>16</v>
      </c>
      <c r="R23" s="38" t="s">
        <v>17</v>
      </c>
      <c r="S23" s="38" t="s">
        <v>19</v>
      </c>
      <c r="T23" s="38" t="s">
        <v>20</v>
      </c>
      <c r="U23" s="38" t="s">
        <v>21</v>
      </c>
      <c r="V23" s="38" t="s">
        <v>74</v>
      </c>
      <c r="W23" s="38" t="s">
        <v>75</v>
      </c>
      <c r="X23" s="38" t="s">
        <v>76</v>
      </c>
      <c r="Y23" s="38" t="s">
        <v>77</v>
      </c>
      <c r="Z23" s="38" t="s">
        <v>78</v>
      </c>
      <c r="AA23" s="38" t="s">
        <v>5</v>
      </c>
      <c r="AB23" s="38" t="s">
        <v>15</v>
      </c>
      <c r="AC23" s="38" t="s">
        <v>16</v>
      </c>
      <c r="AD23" s="38" t="s">
        <v>17</v>
      </c>
      <c r="AE23" s="38" t="s">
        <v>19</v>
      </c>
      <c r="AF23" s="38" t="s">
        <v>20</v>
      </c>
      <c r="AG23" s="38" t="s">
        <v>21</v>
      </c>
      <c r="AH23" s="38"/>
      <c r="AI23" s="38"/>
    </row>
    <row r="24">
      <c r="A24" s="1"/>
      <c r="B24" s="107"/>
      <c r="C24" s="22" t="s">
        <v>22</v>
      </c>
      <c r="D24" s="22" t="s">
        <v>22</v>
      </c>
      <c r="E24" s="22" t="s">
        <v>22</v>
      </c>
      <c r="F24" s="22" t="s">
        <v>22</v>
      </c>
      <c r="G24" s="22" t="s">
        <v>22</v>
      </c>
      <c r="H24" s="22" t="s">
        <v>22</v>
      </c>
      <c r="I24" s="22" t="s">
        <v>22</v>
      </c>
      <c r="J24" s="22" t="s">
        <v>22</v>
      </c>
      <c r="K24" s="22" t="s">
        <v>22</v>
      </c>
      <c r="L24" s="22" t="s">
        <v>22</v>
      </c>
      <c r="M24" s="22" t="s">
        <v>22</v>
      </c>
      <c r="N24" s="22" t="s">
        <v>22</v>
      </c>
      <c r="O24" s="22" t="s">
        <v>22</v>
      </c>
      <c r="P24" s="22" t="s">
        <v>22</v>
      </c>
      <c r="Q24" s="22" t="s">
        <v>22</v>
      </c>
      <c r="R24" s="22" t="s">
        <v>22</v>
      </c>
      <c r="S24" s="22" t="s">
        <v>22</v>
      </c>
      <c r="T24" s="22" t="s">
        <v>22</v>
      </c>
      <c r="U24" s="22" t="s">
        <v>22</v>
      </c>
      <c r="V24" s="22" t="s">
        <v>22</v>
      </c>
      <c r="W24" s="22" t="s">
        <v>22</v>
      </c>
      <c r="X24" s="22" t="s">
        <v>22</v>
      </c>
      <c r="Y24" s="22" t="s">
        <v>22</v>
      </c>
      <c r="Z24" s="22" t="s">
        <v>22</v>
      </c>
      <c r="AA24" s="22" t="s">
        <v>22</v>
      </c>
      <c r="AB24" s="22" t="s">
        <v>22</v>
      </c>
      <c r="AC24" s="22" t="s">
        <v>22</v>
      </c>
      <c r="AD24" s="22" t="s">
        <v>22</v>
      </c>
      <c r="AE24" s="22" t="s">
        <v>22</v>
      </c>
      <c r="AF24" s="22" t="s">
        <v>22</v>
      </c>
      <c r="AG24" s="22" t="s">
        <v>22</v>
      </c>
      <c r="AH24" s="22"/>
      <c r="AI24" s="22"/>
    </row>
    <row r="25">
      <c r="A25" s="1"/>
      <c r="B25" s="1"/>
      <c r="C25" s="1"/>
      <c r="D25" s="84"/>
      <c r="E25" s="85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>
      <c r="A26" s="1"/>
      <c r="B26" s="87" t="s">
        <v>100</v>
      </c>
      <c r="C26" s="89">
        <f>((C16-C15)*0.1686)/12</f>
        <v>749.622857</v>
      </c>
      <c r="D26" s="89">
        <f t="shared" ref="D26:AG26" si="1">(($C$16-C28)*0.1686)/12</f>
        <v>739.0906559</v>
      </c>
      <c r="E26" s="89">
        <f t="shared" si="1"/>
        <v>728.7064321</v>
      </c>
      <c r="F26" s="89">
        <f t="shared" si="1"/>
        <v>718.4681068</v>
      </c>
      <c r="G26" s="89">
        <f t="shared" si="1"/>
        <v>708.3736299</v>
      </c>
      <c r="H26" s="89">
        <f t="shared" si="1"/>
        <v>698.4209804</v>
      </c>
      <c r="I26" s="89">
        <f t="shared" si="1"/>
        <v>688.6081656</v>
      </c>
      <c r="J26" s="89">
        <f t="shared" si="1"/>
        <v>678.9332209</v>
      </c>
      <c r="K26" s="89">
        <f t="shared" si="1"/>
        <v>669.3942091</v>
      </c>
      <c r="L26" s="89">
        <f t="shared" si="1"/>
        <v>659.9892205</v>
      </c>
      <c r="M26" s="89">
        <f t="shared" si="1"/>
        <v>650.7163719</v>
      </c>
      <c r="N26" s="89">
        <f t="shared" si="1"/>
        <v>641.5738069</v>
      </c>
      <c r="O26" s="89">
        <f t="shared" si="1"/>
        <v>632.5596949</v>
      </c>
      <c r="P26" s="89">
        <f t="shared" si="1"/>
        <v>623.6722312</v>
      </c>
      <c r="Q26" s="89">
        <f t="shared" si="1"/>
        <v>614.9096364</v>
      </c>
      <c r="R26" s="89">
        <f t="shared" si="1"/>
        <v>606.270156</v>
      </c>
      <c r="S26" s="89">
        <f t="shared" si="1"/>
        <v>597.7520603</v>
      </c>
      <c r="T26" s="89">
        <f t="shared" si="1"/>
        <v>589.3536438</v>
      </c>
      <c r="U26" s="89">
        <f t="shared" si="1"/>
        <v>581.0732251</v>
      </c>
      <c r="V26" s="89">
        <f t="shared" si="1"/>
        <v>572.9091463</v>
      </c>
      <c r="W26" s="89">
        <f t="shared" si="1"/>
        <v>564.8597728</v>
      </c>
      <c r="X26" s="89">
        <f t="shared" si="1"/>
        <v>556.923493</v>
      </c>
      <c r="Y26" s="89">
        <f t="shared" si="1"/>
        <v>549.0987179</v>
      </c>
      <c r="Z26" s="89">
        <f t="shared" si="1"/>
        <v>541.3838809</v>
      </c>
      <c r="AA26" s="89">
        <f t="shared" si="1"/>
        <v>533.7774374</v>
      </c>
      <c r="AB26" s="89">
        <f t="shared" si="1"/>
        <v>526.2778644</v>
      </c>
      <c r="AC26" s="89">
        <f t="shared" si="1"/>
        <v>518.8836604</v>
      </c>
      <c r="AD26" s="89">
        <f t="shared" si="1"/>
        <v>511.593345</v>
      </c>
      <c r="AE26" s="89">
        <f t="shared" si="1"/>
        <v>504.4054585</v>
      </c>
      <c r="AF26" s="89">
        <f t="shared" si="1"/>
        <v>497.3185618</v>
      </c>
      <c r="AG26" s="89">
        <f t="shared" si="1"/>
        <v>490.331236</v>
      </c>
      <c r="AH26" s="89"/>
      <c r="AI26" s="89"/>
    </row>
    <row r="27">
      <c r="A27" s="1"/>
      <c r="B27" s="104"/>
      <c r="C27" s="1"/>
      <c r="D27" s="84"/>
      <c r="E27" s="85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>
      <c r="A28" s="1"/>
      <c r="B28" s="87" t="s">
        <v>103</v>
      </c>
      <c r="C28" s="89">
        <f>C15+C26</f>
        <v>2395.682857</v>
      </c>
      <c r="D28" s="89">
        <f t="shared" ref="D28:AG28" si="2">C28+D26</f>
        <v>3134.773513</v>
      </c>
      <c r="E28" s="89">
        <f t="shared" si="2"/>
        <v>3863.479945</v>
      </c>
      <c r="F28" s="89">
        <f t="shared" si="2"/>
        <v>4581.948052</v>
      </c>
      <c r="G28" s="89">
        <f t="shared" si="2"/>
        <v>5290.321682</v>
      </c>
      <c r="H28" s="89">
        <f t="shared" si="2"/>
        <v>5988.742662</v>
      </c>
      <c r="I28" s="89">
        <f t="shared" si="2"/>
        <v>6677.350828</v>
      </c>
      <c r="J28" s="89">
        <f t="shared" si="2"/>
        <v>7356.284048</v>
      </c>
      <c r="K28" s="89">
        <f t="shared" si="2"/>
        <v>8025.678258</v>
      </c>
      <c r="L28" s="89">
        <f t="shared" si="2"/>
        <v>8685.667478</v>
      </c>
      <c r="M28" s="89">
        <f t="shared" si="2"/>
        <v>9336.38385</v>
      </c>
      <c r="N28" s="89">
        <f t="shared" si="2"/>
        <v>9977.957657</v>
      </c>
      <c r="O28" s="89">
        <f t="shared" si="2"/>
        <v>10610.51735</v>
      </c>
      <c r="P28" s="89">
        <f t="shared" si="2"/>
        <v>11234.18958</v>
      </c>
      <c r="Q28" s="89">
        <f t="shared" si="2"/>
        <v>11849.09922</v>
      </c>
      <c r="R28" s="89">
        <f t="shared" si="2"/>
        <v>12455.36938</v>
      </c>
      <c r="S28" s="89">
        <f t="shared" si="2"/>
        <v>13053.12144</v>
      </c>
      <c r="T28" s="89">
        <f t="shared" si="2"/>
        <v>13642.47508</v>
      </c>
      <c r="U28" s="89">
        <f t="shared" si="2"/>
        <v>14223.5483</v>
      </c>
      <c r="V28" s="89">
        <f t="shared" si="2"/>
        <v>14796.45745</v>
      </c>
      <c r="W28" s="89">
        <f t="shared" si="2"/>
        <v>15361.31722</v>
      </c>
      <c r="X28" s="89">
        <f t="shared" si="2"/>
        <v>15918.24072</v>
      </c>
      <c r="Y28" s="89">
        <f t="shared" si="2"/>
        <v>16467.33943</v>
      </c>
      <c r="Z28" s="89">
        <f t="shared" si="2"/>
        <v>17008.72332</v>
      </c>
      <c r="AA28" s="89">
        <f t="shared" si="2"/>
        <v>17542.50075</v>
      </c>
      <c r="AB28" s="89">
        <f t="shared" si="2"/>
        <v>18068.77862</v>
      </c>
      <c r="AC28" s="89">
        <f t="shared" si="2"/>
        <v>18587.66228</v>
      </c>
      <c r="AD28" s="89">
        <f t="shared" si="2"/>
        <v>19099.25562</v>
      </c>
      <c r="AE28" s="89">
        <f t="shared" si="2"/>
        <v>19603.66108</v>
      </c>
      <c r="AF28" s="89">
        <f t="shared" si="2"/>
        <v>20100.97964</v>
      </c>
      <c r="AG28" s="89">
        <f t="shared" si="2"/>
        <v>20591.31088</v>
      </c>
      <c r="AH28" s="89"/>
      <c r="AI28" s="89"/>
    </row>
    <row r="29"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</row>
    <row r="30">
      <c r="C30" s="111">
        <v>2023.0</v>
      </c>
      <c r="O30" s="94">
        <v>2024.0</v>
      </c>
      <c r="AA30" s="89"/>
      <c r="AB30" s="89"/>
      <c r="AC30" s="89"/>
      <c r="AD30" s="89"/>
      <c r="AE30" s="89"/>
      <c r="AF30" s="89"/>
      <c r="AG30" s="89"/>
      <c r="AH30" s="89"/>
      <c r="AI30" s="89"/>
    </row>
    <row r="31">
      <c r="C31" s="38" t="s">
        <v>74</v>
      </c>
      <c r="D31" s="38" t="s">
        <v>75</v>
      </c>
      <c r="E31" s="38" t="s">
        <v>76</v>
      </c>
      <c r="F31" s="38" t="s">
        <v>77</v>
      </c>
      <c r="G31" s="38" t="s">
        <v>78</v>
      </c>
      <c r="H31" s="38" t="s">
        <v>5</v>
      </c>
      <c r="I31" s="38" t="s">
        <v>15</v>
      </c>
      <c r="J31" s="38" t="s">
        <v>16</v>
      </c>
      <c r="K31" s="38" t="s">
        <v>17</v>
      </c>
      <c r="L31" s="38" t="s">
        <v>19</v>
      </c>
      <c r="M31" s="38" t="s">
        <v>20</v>
      </c>
      <c r="N31" s="38" t="s">
        <v>21</v>
      </c>
      <c r="O31" s="38" t="s">
        <v>74</v>
      </c>
      <c r="P31" s="38" t="s">
        <v>75</v>
      </c>
      <c r="Q31" s="38" t="s">
        <v>76</v>
      </c>
      <c r="R31" s="38" t="s">
        <v>77</v>
      </c>
      <c r="S31" s="38" t="s">
        <v>78</v>
      </c>
      <c r="T31" s="38" t="s">
        <v>5</v>
      </c>
      <c r="U31" s="38" t="s">
        <v>15</v>
      </c>
      <c r="V31" s="38" t="s">
        <v>16</v>
      </c>
      <c r="W31" s="38" t="s">
        <v>17</v>
      </c>
      <c r="X31" s="38" t="s">
        <v>19</v>
      </c>
      <c r="Y31" s="38" t="s">
        <v>20</v>
      </c>
      <c r="Z31" s="38" t="s">
        <v>21</v>
      </c>
    </row>
    <row r="32">
      <c r="C32" s="22" t="s">
        <v>22</v>
      </c>
      <c r="D32" s="22" t="s">
        <v>22</v>
      </c>
      <c r="E32" s="22" t="s">
        <v>22</v>
      </c>
      <c r="F32" s="22" t="s">
        <v>22</v>
      </c>
      <c r="G32" s="22" t="s">
        <v>22</v>
      </c>
      <c r="H32" s="22" t="s">
        <v>22</v>
      </c>
      <c r="I32" s="22" t="s">
        <v>22</v>
      </c>
      <c r="J32" s="22" t="s">
        <v>22</v>
      </c>
      <c r="K32" s="22" t="s">
        <v>22</v>
      </c>
      <c r="L32" s="22" t="s">
        <v>22</v>
      </c>
      <c r="M32" s="22" t="s">
        <v>22</v>
      </c>
      <c r="N32" s="22" t="s">
        <v>22</v>
      </c>
      <c r="O32" s="22" t="s">
        <v>22</v>
      </c>
      <c r="P32" s="22" t="s">
        <v>22</v>
      </c>
      <c r="Q32" s="22" t="s">
        <v>22</v>
      </c>
      <c r="R32" s="22" t="s">
        <v>22</v>
      </c>
      <c r="S32" s="22" t="s">
        <v>22</v>
      </c>
      <c r="T32" s="22" t="s">
        <v>22</v>
      </c>
      <c r="U32" s="22" t="s">
        <v>22</v>
      </c>
      <c r="V32" s="22" t="s">
        <v>22</v>
      </c>
      <c r="W32" s="22" t="s">
        <v>22</v>
      </c>
      <c r="X32" s="22" t="s">
        <v>22</v>
      </c>
      <c r="Y32" s="22" t="s">
        <v>22</v>
      </c>
      <c r="Z32" s="22" t="s">
        <v>22</v>
      </c>
    </row>
    <row r="33">
      <c r="C33" s="50"/>
      <c r="D33" s="50"/>
      <c r="E33" s="50"/>
      <c r="F33" s="50"/>
      <c r="G33" s="50"/>
      <c r="H33" s="50"/>
      <c r="I33" s="50"/>
      <c r="J33" s="5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B34" s="87" t="s">
        <v>100</v>
      </c>
      <c r="C34" s="89">
        <f>(($C$16-AG28)*0.1686)/12</f>
        <v>483.4420821</v>
      </c>
      <c r="D34" s="89">
        <f t="shared" ref="D34:Z34" si="3">(($C$16-C36)*0.1686)/12</f>
        <v>476.6497209</v>
      </c>
      <c r="E34" s="89">
        <f t="shared" si="3"/>
        <v>469.9527923</v>
      </c>
      <c r="F34" s="89">
        <f t="shared" si="3"/>
        <v>463.3499556</v>
      </c>
      <c r="G34" s="89">
        <f t="shared" si="3"/>
        <v>456.8398887</v>
      </c>
      <c r="H34" s="89">
        <f t="shared" si="3"/>
        <v>450.4212883</v>
      </c>
      <c r="I34" s="89">
        <f t="shared" si="3"/>
        <v>444.0928692</v>
      </c>
      <c r="J34" s="89">
        <f t="shared" si="3"/>
        <v>437.8533644</v>
      </c>
      <c r="K34" s="89">
        <f t="shared" si="3"/>
        <v>431.7015246</v>
      </c>
      <c r="L34" s="89">
        <f t="shared" si="3"/>
        <v>425.6361182</v>
      </c>
      <c r="M34" s="89">
        <f t="shared" si="3"/>
        <v>419.6559307</v>
      </c>
      <c r="N34" s="89">
        <f t="shared" si="3"/>
        <v>413.7597649</v>
      </c>
      <c r="O34" s="89">
        <f t="shared" si="3"/>
        <v>407.9464402</v>
      </c>
      <c r="P34" s="89">
        <f t="shared" si="3"/>
        <v>402.2147927</v>
      </c>
      <c r="Q34" s="89">
        <f t="shared" si="3"/>
        <v>396.5636749</v>
      </c>
      <c r="R34" s="89">
        <f t="shared" si="3"/>
        <v>390.9919552</v>
      </c>
      <c r="S34" s="89">
        <f t="shared" si="3"/>
        <v>385.4985183</v>
      </c>
      <c r="T34" s="89">
        <f t="shared" si="3"/>
        <v>380.0822641</v>
      </c>
      <c r="U34" s="89">
        <f t="shared" si="3"/>
        <v>374.7421083</v>
      </c>
      <c r="V34" s="89">
        <f t="shared" si="3"/>
        <v>369.4769816</v>
      </c>
      <c r="W34" s="89">
        <f t="shared" si="3"/>
        <v>364.2858301</v>
      </c>
      <c r="X34" s="89">
        <f t="shared" si="3"/>
        <v>359.1676141</v>
      </c>
      <c r="Y34" s="89">
        <f t="shared" si="3"/>
        <v>354.1213092</v>
      </c>
      <c r="Z34" s="89">
        <f t="shared" si="3"/>
        <v>349.1459048</v>
      </c>
    </row>
    <row r="35">
      <c r="B35" s="104"/>
    </row>
    <row r="36">
      <c r="A36" s="1"/>
      <c r="B36" s="87" t="s">
        <v>103</v>
      </c>
      <c r="C36" s="89">
        <f>AG28+C34</f>
        <v>21074.75296</v>
      </c>
      <c r="D36" s="122">
        <f t="shared" ref="D36:Z36" si="4">C36+D34</f>
        <v>21551.40268</v>
      </c>
      <c r="E36" s="122">
        <f t="shared" si="4"/>
        <v>22021.35547</v>
      </c>
      <c r="F36" s="122">
        <f t="shared" si="4"/>
        <v>22484.70543</v>
      </c>
      <c r="G36" s="122">
        <f t="shared" si="4"/>
        <v>22941.54532</v>
      </c>
      <c r="H36" s="122">
        <f t="shared" si="4"/>
        <v>23391.96661</v>
      </c>
      <c r="I36" s="122">
        <f t="shared" si="4"/>
        <v>23836.05948</v>
      </c>
      <c r="J36" s="122">
        <f t="shared" si="4"/>
        <v>24273.91284</v>
      </c>
      <c r="K36" s="122">
        <f t="shared" si="4"/>
        <v>24705.61437</v>
      </c>
      <c r="L36" s="122">
        <f t="shared" si="4"/>
        <v>25131.25048</v>
      </c>
      <c r="M36" s="122">
        <f t="shared" si="4"/>
        <v>25550.90641</v>
      </c>
      <c r="N36" s="122">
        <f t="shared" si="4"/>
        <v>25964.66618</v>
      </c>
      <c r="O36" s="122">
        <f t="shared" si="4"/>
        <v>26372.61262</v>
      </c>
      <c r="P36" s="122">
        <f t="shared" si="4"/>
        <v>26774.82741</v>
      </c>
      <c r="Q36" s="122">
        <f t="shared" si="4"/>
        <v>27171.39109</v>
      </c>
      <c r="R36" s="122">
        <f t="shared" si="4"/>
        <v>27562.38304</v>
      </c>
      <c r="S36" s="122">
        <f t="shared" si="4"/>
        <v>27947.88156</v>
      </c>
      <c r="T36" s="122">
        <f t="shared" si="4"/>
        <v>28327.96382</v>
      </c>
      <c r="U36" s="122">
        <f t="shared" si="4"/>
        <v>28702.70593</v>
      </c>
      <c r="V36" s="122">
        <f t="shared" si="4"/>
        <v>29072.18291</v>
      </c>
      <c r="W36" s="122">
        <f t="shared" si="4"/>
        <v>29436.46874</v>
      </c>
      <c r="X36" s="122">
        <f t="shared" si="4"/>
        <v>29795.63636</v>
      </c>
      <c r="Y36" s="122">
        <f t="shared" si="4"/>
        <v>30149.75767</v>
      </c>
      <c r="Z36" s="122">
        <f t="shared" si="4"/>
        <v>30498.90357</v>
      </c>
    </row>
    <row r="37">
      <c r="A37" s="1"/>
    </row>
    <row r="38">
      <c r="A38" s="1"/>
    </row>
    <row r="39">
      <c r="A39" s="1"/>
    </row>
    <row r="40">
      <c r="A40" s="1"/>
      <c r="B40" s="7" t="s">
        <v>116</v>
      </c>
      <c r="C40" s="1"/>
    </row>
    <row r="41">
      <c r="A41" s="1"/>
      <c r="B41" s="44" t="s">
        <v>117</v>
      </c>
      <c r="C41" s="125">
        <v>0.019</v>
      </c>
    </row>
    <row r="42">
      <c r="A42" s="1"/>
      <c r="B42" s="44"/>
      <c r="C42" s="48"/>
    </row>
    <row r="43">
      <c r="A43" s="1"/>
      <c r="B43" s="1"/>
      <c r="C43" s="1"/>
    </row>
    <row r="44">
      <c r="A44" s="1"/>
      <c r="B44" s="7" t="s">
        <v>118</v>
      </c>
      <c r="C44" s="1"/>
    </row>
    <row r="45">
      <c r="A45" s="1"/>
      <c r="B45" s="44" t="s">
        <v>119</v>
      </c>
      <c r="C45" s="128">
        <v>613.5</v>
      </c>
      <c r="D45" s="1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>
      <c r="A46" s="1"/>
      <c r="B46" s="44" t="s">
        <v>120</v>
      </c>
      <c r="C46" s="128">
        <v>55.25</v>
      </c>
    </row>
    <row r="47">
      <c r="A47" s="1"/>
      <c r="B47" s="44" t="s">
        <v>121</v>
      </c>
      <c r="C47" s="128">
        <v>60.0</v>
      </c>
    </row>
    <row r="48">
      <c r="A48" s="1"/>
      <c r="B48" s="130" t="s">
        <v>45</v>
      </c>
      <c r="C48" s="132">
        <f>SUM(C45:C47)</f>
        <v>728.75</v>
      </c>
    </row>
    <row r="49">
      <c r="A49" s="1"/>
      <c r="B49" s="61" t="s">
        <v>122</v>
      </c>
      <c r="C49" s="134">
        <f>C48*12.5</f>
        <v>9109.375</v>
      </c>
    </row>
    <row r="50">
      <c r="A50" s="1"/>
      <c r="D50" s="93"/>
      <c r="E50" s="85"/>
      <c r="F50" s="101"/>
      <c r="G50" s="10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>
      <c r="A51" s="1"/>
      <c r="B51" s="7" t="s">
        <v>123</v>
      </c>
      <c r="D51" s="53"/>
      <c r="E51" s="85"/>
      <c r="F51" s="85"/>
      <c r="G51" s="85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>
      <c r="A52" s="1"/>
      <c r="B52" s="57" t="s">
        <v>124</v>
      </c>
      <c r="C52" s="136">
        <v>0.05</v>
      </c>
      <c r="D52" s="1"/>
      <c r="E52" s="85"/>
      <c r="F52" s="85"/>
      <c r="G52" s="85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>
      <c r="A53" s="1"/>
      <c r="B53" s="57"/>
      <c r="C53" s="136"/>
      <c r="D53" s="139"/>
      <c r="E53" s="85"/>
      <c r="F53" s="101"/>
      <c r="G53" s="10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>
      <c r="A54" s="1"/>
      <c r="B54" s="1"/>
      <c r="C54" s="1"/>
      <c r="D54" s="1"/>
      <c r="E54" s="1"/>
      <c r="F54" s="1"/>
      <c r="G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>
      <c r="A55" s="1"/>
      <c r="B55" s="7" t="s">
        <v>125</v>
      </c>
      <c r="C55" s="1"/>
      <c r="D55" s="1"/>
      <c r="E55" s="1"/>
      <c r="F55" s="1"/>
      <c r="G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>
      <c r="A56" s="1"/>
      <c r="B56" s="44" t="s">
        <v>126</v>
      </c>
      <c r="C56" s="141">
        <v>0.035</v>
      </c>
      <c r="D56" s="1"/>
      <c r="E56" s="1"/>
      <c r="F56" s="1"/>
      <c r="G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>
      <c r="A57" s="1"/>
      <c r="B57" s="44" t="s">
        <v>127</v>
      </c>
      <c r="C57" s="141">
        <v>0.03</v>
      </c>
      <c r="D57" s="1"/>
      <c r="E57" s="5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>
      <c r="A58" s="1"/>
      <c r="B58" s="44" t="s">
        <v>128</v>
      </c>
      <c r="C58" s="141">
        <v>0.03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>
      <c r="A59" s="1"/>
      <c r="B59" s="44" t="s">
        <v>129</v>
      </c>
      <c r="C59" s="141">
        <v>0.03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>
      <c r="A60" s="1"/>
      <c r="B60" s="44" t="s">
        <v>130</v>
      </c>
      <c r="C60" s="141">
        <v>0.03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>
      <c r="A61" s="1"/>
      <c r="B61" s="44" t="s">
        <v>131</v>
      </c>
      <c r="C61" s="141">
        <v>0.03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>
      <c r="A63" s="1"/>
      <c r="B63" s="7" t="s">
        <v>132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>
      <c r="A64" s="1"/>
      <c r="B64" s="44" t="s">
        <v>133</v>
      </c>
      <c r="C64" s="88">
        <v>12000.0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>
      <c r="A65" s="1"/>
      <c r="B65" s="44" t="s">
        <v>134</v>
      </c>
      <c r="C65" s="142">
        <v>2.0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>
      <c r="A66" s="1"/>
      <c r="B66" s="44" t="s">
        <v>135</v>
      </c>
      <c r="C66" s="142">
        <v>4.0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>
      <c r="A69" s="1"/>
      <c r="B69" s="1"/>
      <c r="C69" s="1"/>
      <c r="D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>
      <c r="A70" s="1"/>
      <c r="B70" s="1"/>
      <c r="C70" s="77">
        <v>2020.0</v>
      </c>
      <c r="J70" s="78">
        <v>2021.0</v>
      </c>
      <c r="V70" s="79">
        <v>2022.0</v>
      </c>
      <c r="AH70" s="79">
        <v>2023.0</v>
      </c>
      <c r="AI70" s="79">
        <v>2024.0</v>
      </c>
    </row>
    <row r="71">
      <c r="A71" s="1"/>
      <c r="B71" s="107"/>
      <c r="C71" s="38" t="s">
        <v>5</v>
      </c>
      <c r="D71" s="38" t="s">
        <v>15</v>
      </c>
      <c r="E71" s="38" t="s">
        <v>16</v>
      </c>
      <c r="F71" s="38" t="s">
        <v>17</v>
      </c>
      <c r="G71" s="38" t="s">
        <v>19</v>
      </c>
      <c r="H71" s="38" t="s">
        <v>20</v>
      </c>
      <c r="I71" s="38" t="s">
        <v>21</v>
      </c>
      <c r="J71" s="38" t="s">
        <v>74</v>
      </c>
      <c r="K71" s="38" t="s">
        <v>75</v>
      </c>
      <c r="L71" s="38" t="s">
        <v>76</v>
      </c>
      <c r="M71" s="38" t="s">
        <v>77</v>
      </c>
      <c r="N71" s="38" t="s">
        <v>78</v>
      </c>
      <c r="O71" s="38" t="s">
        <v>5</v>
      </c>
      <c r="P71" s="38" t="s">
        <v>15</v>
      </c>
      <c r="Q71" s="38" t="s">
        <v>16</v>
      </c>
      <c r="R71" s="38" t="s">
        <v>17</v>
      </c>
      <c r="S71" s="38" t="s">
        <v>19</v>
      </c>
      <c r="T71" s="38" t="s">
        <v>20</v>
      </c>
      <c r="U71" s="38" t="s">
        <v>21</v>
      </c>
      <c r="V71" s="38" t="s">
        <v>74</v>
      </c>
      <c r="W71" s="38" t="s">
        <v>75</v>
      </c>
      <c r="X71" s="38" t="s">
        <v>76</v>
      </c>
      <c r="Y71" s="38" t="s">
        <v>77</v>
      </c>
      <c r="Z71" s="38" t="s">
        <v>78</v>
      </c>
      <c r="AA71" s="38" t="s">
        <v>5</v>
      </c>
      <c r="AB71" s="38" t="s">
        <v>15</v>
      </c>
      <c r="AC71" s="38" t="s">
        <v>16</v>
      </c>
      <c r="AD71" s="38" t="s">
        <v>17</v>
      </c>
      <c r="AE71" s="38" t="s">
        <v>19</v>
      </c>
      <c r="AF71" s="38" t="s">
        <v>20</v>
      </c>
      <c r="AG71" s="38" t="s">
        <v>21</v>
      </c>
      <c r="AH71" s="38"/>
      <c r="AI71" s="38"/>
    </row>
    <row r="72">
      <c r="A72" s="1"/>
      <c r="B72" s="107"/>
      <c r="C72" s="22" t="s">
        <v>22</v>
      </c>
      <c r="D72" s="22" t="s">
        <v>22</v>
      </c>
      <c r="E72" s="22" t="s">
        <v>22</v>
      </c>
      <c r="F72" s="22" t="s">
        <v>22</v>
      </c>
      <c r="G72" s="22" t="s">
        <v>22</v>
      </c>
      <c r="H72" s="22" t="s">
        <v>22</v>
      </c>
      <c r="I72" s="22" t="s">
        <v>22</v>
      </c>
      <c r="J72" s="22" t="s">
        <v>22</v>
      </c>
      <c r="K72" s="22" t="s">
        <v>22</v>
      </c>
      <c r="L72" s="22" t="s">
        <v>22</v>
      </c>
      <c r="M72" s="22" t="s">
        <v>22</v>
      </c>
      <c r="N72" s="22" t="s">
        <v>22</v>
      </c>
      <c r="O72" s="22" t="s">
        <v>22</v>
      </c>
      <c r="P72" s="22" t="s">
        <v>22</v>
      </c>
      <c r="Q72" s="22" t="s">
        <v>22</v>
      </c>
      <c r="R72" s="22" t="s">
        <v>22</v>
      </c>
      <c r="S72" s="22" t="s">
        <v>22</v>
      </c>
      <c r="T72" s="22" t="s">
        <v>22</v>
      </c>
      <c r="U72" s="22" t="s">
        <v>22</v>
      </c>
      <c r="V72" s="22" t="s">
        <v>22</v>
      </c>
      <c r="W72" s="22" t="s">
        <v>22</v>
      </c>
      <c r="X72" s="22" t="s">
        <v>22</v>
      </c>
      <c r="Y72" s="22" t="s">
        <v>22</v>
      </c>
      <c r="Z72" s="22" t="s">
        <v>22</v>
      </c>
      <c r="AA72" s="22" t="s">
        <v>22</v>
      </c>
      <c r="AB72" s="22" t="s">
        <v>22</v>
      </c>
      <c r="AC72" s="22" t="s">
        <v>22</v>
      </c>
      <c r="AD72" s="22" t="s">
        <v>22</v>
      </c>
      <c r="AE72" s="22" t="s">
        <v>22</v>
      </c>
      <c r="AF72" s="22" t="s">
        <v>22</v>
      </c>
      <c r="AG72" s="22" t="s">
        <v>22</v>
      </c>
      <c r="AH72" s="22" t="s">
        <v>22</v>
      </c>
      <c r="AI72" s="22" t="s">
        <v>22</v>
      </c>
    </row>
    <row r="73">
      <c r="A73" s="1"/>
      <c r="B73" s="1"/>
      <c r="C73" s="1"/>
      <c r="D73" s="84"/>
      <c r="E73" s="85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>
      <c r="A74" s="1"/>
      <c r="B74" s="87" t="s">
        <v>126</v>
      </c>
      <c r="C74" s="89">
        <f>($C$56*'Potential Usage &amp; Market Share '!$J$4)/12</f>
        <v>48.1751427</v>
      </c>
      <c r="D74" s="89">
        <f>($C$56*'Potential Usage &amp; Market Share '!$J$4)/12</f>
        <v>48.1751427</v>
      </c>
      <c r="E74" s="89">
        <f>($C$56*'Potential Usage &amp; Market Share '!$J$4)/12</f>
        <v>48.1751427</v>
      </c>
      <c r="F74" s="89">
        <f>($C$56*'Potential Usage &amp; Market Share '!$J$4)/12</f>
        <v>48.1751427</v>
      </c>
      <c r="G74" s="89">
        <f>($C$56*'Potential Usage &amp; Market Share '!$J$4)/12</f>
        <v>48.1751427</v>
      </c>
      <c r="H74" s="89">
        <f>($C$56*'Potential Usage &amp; Market Share '!$J$4)/12</f>
        <v>48.1751427</v>
      </c>
      <c r="I74" s="89">
        <f>($C$56*'Potential Usage &amp; Market Share '!$J$4)/12</f>
        <v>48.1751427</v>
      </c>
      <c r="J74" s="89">
        <f>($C$56*'Potential Usage &amp; Market Share '!$J$5)/12</f>
        <v>481.751427</v>
      </c>
      <c r="K74" s="89">
        <f>($C$56*'Potential Usage &amp; Market Share '!$J$5)/12</f>
        <v>481.751427</v>
      </c>
      <c r="L74" s="89">
        <f>($C$56*'Potential Usage &amp; Market Share '!$J$5)/12</f>
        <v>481.751427</v>
      </c>
      <c r="M74" s="89">
        <f>($C$56*'Potential Usage &amp; Market Share '!$J$5)/12</f>
        <v>481.751427</v>
      </c>
      <c r="N74" s="89">
        <f>($C$56*'Potential Usage &amp; Market Share '!$J$5)/12</f>
        <v>481.751427</v>
      </c>
      <c r="O74" s="89">
        <f>($C$56*'Potential Usage &amp; Market Share '!$J$5)/12</f>
        <v>481.751427</v>
      </c>
      <c r="P74" s="89">
        <f>($C$56*'Potential Usage &amp; Market Share '!$J$5)/12</f>
        <v>481.751427</v>
      </c>
      <c r="Q74" s="89">
        <f>($C$56*'Potential Usage &amp; Market Share '!$J$5)/12</f>
        <v>481.751427</v>
      </c>
      <c r="R74" s="89">
        <f>($C$56*'Potential Usage &amp; Market Share '!$J$5)/12</f>
        <v>481.751427</v>
      </c>
      <c r="S74" s="89">
        <f>($C$56*'Potential Usage &amp; Market Share '!$J$5)/12</f>
        <v>481.751427</v>
      </c>
      <c r="T74" s="89">
        <f>($C$56*'Potential Usage &amp; Market Share '!$J$5)/12</f>
        <v>481.751427</v>
      </c>
      <c r="U74" s="89">
        <f>($C$56*'Potential Usage &amp; Market Share '!$J$5)/12</f>
        <v>481.751427</v>
      </c>
      <c r="V74" s="89">
        <f>($C$56*'Potential Usage &amp; Market Share '!$J$6)/12</f>
        <v>963.5028541</v>
      </c>
      <c r="W74" s="89">
        <f>($C$56*'Potential Usage &amp; Market Share '!$J$6)/12</f>
        <v>963.5028541</v>
      </c>
      <c r="X74" s="89">
        <f>($C$56*'Potential Usage &amp; Market Share '!$J$6)/12</f>
        <v>963.5028541</v>
      </c>
      <c r="Y74" s="89">
        <f>($C$56*'Potential Usage &amp; Market Share '!$J$6)/12</f>
        <v>963.5028541</v>
      </c>
      <c r="Z74" s="89">
        <f>($C$56*'Potential Usage &amp; Market Share '!$J$6)/12</f>
        <v>963.5028541</v>
      </c>
      <c r="AA74" s="89">
        <f>($C$56*'Potential Usage &amp; Market Share '!$J$6)/12</f>
        <v>963.5028541</v>
      </c>
      <c r="AB74" s="89">
        <f>($C$56*'Potential Usage &amp; Market Share '!$J$6)/12</f>
        <v>963.5028541</v>
      </c>
      <c r="AC74" s="89">
        <f>($C$56*'Potential Usage &amp; Market Share '!$J$6)/12</f>
        <v>963.5028541</v>
      </c>
      <c r="AD74" s="89">
        <f>($C$56*'Potential Usage &amp; Market Share '!$J$6)/12</f>
        <v>963.5028541</v>
      </c>
      <c r="AE74" s="89">
        <f>($C$56*'Potential Usage &amp; Market Share '!$J$6)/12</f>
        <v>963.5028541</v>
      </c>
      <c r="AF74" s="89">
        <f>($C$56*'Potential Usage &amp; Market Share '!$J$6)/12</f>
        <v>963.5028541</v>
      </c>
      <c r="AG74" s="89">
        <f>($C$56*'Potential Usage &amp; Market Share '!$J$6)/12</f>
        <v>963.5028541</v>
      </c>
      <c r="AH74" s="89">
        <f>($C$56*'Potential Usage &amp; Market Share '!$J$7)</f>
        <v>23124.0685</v>
      </c>
      <c r="AI74" s="89">
        <f>($C$56*'Potential Usage &amp; Market Share '!$J$8)</f>
        <v>57810.17124</v>
      </c>
    </row>
    <row r="75">
      <c r="A75" s="1"/>
      <c r="B75" s="87" t="s">
        <v>127</v>
      </c>
      <c r="C75" s="89">
        <f>($C$57*'Potential Usage &amp; Market Share '!$J$4)/12</f>
        <v>41.29297946</v>
      </c>
      <c r="D75" s="89">
        <f>($C$57*'Potential Usage &amp; Market Share '!$J$4)/12</f>
        <v>41.29297946</v>
      </c>
      <c r="E75" s="89">
        <f>($C$57*'Potential Usage &amp; Market Share '!$J$4)/12</f>
        <v>41.29297946</v>
      </c>
      <c r="F75" s="89">
        <f>($C$57*'Potential Usage &amp; Market Share '!$J$4)/12</f>
        <v>41.29297946</v>
      </c>
      <c r="G75" s="89">
        <f>($C$57*'Potential Usage &amp; Market Share '!$J$4)/12</f>
        <v>41.29297946</v>
      </c>
      <c r="H75" s="89">
        <f>($C$57*'Potential Usage &amp; Market Share '!$J$4)/12</f>
        <v>41.29297946</v>
      </c>
      <c r="I75" s="89">
        <f>($C$57*'Potential Usage &amp; Market Share '!$J$4)/12</f>
        <v>41.29297946</v>
      </c>
      <c r="J75" s="89">
        <f>($C$57*'Potential Usage &amp; Market Share '!$J$5)/12</f>
        <v>412.9297946</v>
      </c>
      <c r="K75" s="89">
        <f>($C$57*'Potential Usage &amp; Market Share '!$J$5)/12</f>
        <v>412.9297946</v>
      </c>
      <c r="L75" s="89">
        <f>($C$57*'Potential Usage &amp; Market Share '!$J$5)/12</f>
        <v>412.9297946</v>
      </c>
      <c r="M75" s="89">
        <f>($C$57*'Potential Usage &amp; Market Share '!$J$5)/12</f>
        <v>412.9297946</v>
      </c>
      <c r="N75" s="89">
        <f>($C$57*'Potential Usage &amp; Market Share '!$J$5)/12</f>
        <v>412.9297946</v>
      </c>
      <c r="O75" s="89">
        <f>($C$57*'Potential Usage &amp; Market Share '!$J$5)/12</f>
        <v>412.9297946</v>
      </c>
      <c r="P75" s="89">
        <f>($C$57*'Potential Usage &amp; Market Share '!$J$5)/12</f>
        <v>412.9297946</v>
      </c>
      <c r="Q75" s="89">
        <f>($C$57*'Potential Usage &amp; Market Share '!$J$5)/12</f>
        <v>412.9297946</v>
      </c>
      <c r="R75" s="89">
        <f>($C$57*'Potential Usage &amp; Market Share '!$J$5)/12</f>
        <v>412.9297946</v>
      </c>
      <c r="S75" s="89">
        <f>($C$57*'Potential Usage &amp; Market Share '!$J$5)/12</f>
        <v>412.9297946</v>
      </c>
      <c r="T75" s="89">
        <f>($C$57*'Potential Usage &amp; Market Share '!$J$5)/12</f>
        <v>412.9297946</v>
      </c>
      <c r="U75" s="89">
        <f>($C$57*'Potential Usage &amp; Market Share '!$J$5)/12</f>
        <v>412.9297946</v>
      </c>
      <c r="V75" s="89">
        <f>($C$57*'Potential Usage &amp; Market Share '!$J$6)/12</f>
        <v>825.8595892</v>
      </c>
      <c r="W75" s="89">
        <f>($C$57*'Potential Usage &amp; Market Share '!$J$6)/12</f>
        <v>825.8595892</v>
      </c>
      <c r="X75" s="89">
        <f>($C$57*'Potential Usage &amp; Market Share '!$J$6)/12</f>
        <v>825.8595892</v>
      </c>
      <c r="Y75" s="89">
        <f>($C$57*'Potential Usage &amp; Market Share '!$J$6)/12</f>
        <v>825.8595892</v>
      </c>
      <c r="Z75" s="89">
        <f>($C$57*'Potential Usage &amp; Market Share '!$J$6)/12</f>
        <v>825.8595892</v>
      </c>
      <c r="AA75" s="89">
        <f>($C$57*'Potential Usage &amp; Market Share '!$J$6)/12</f>
        <v>825.8595892</v>
      </c>
      <c r="AB75" s="89">
        <f>($C$57*'Potential Usage &amp; Market Share '!$J$6)/12</f>
        <v>825.8595892</v>
      </c>
      <c r="AC75" s="89">
        <f>($C$57*'Potential Usage &amp; Market Share '!$J$6)/12</f>
        <v>825.8595892</v>
      </c>
      <c r="AD75" s="89">
        <f>($C$57*'Potential Usage &amp; Market Share '!$J$6)/12</f>
        <v>825.8595892</v>
      </c>
      <c r="AE75" s="89">
        <f>($C$57*'Potential Usage &amp; Market Share '!$J$6)/12</f>
        <v>825.8595892</v>
      </c>
      <c r="AF75" s="89">
        <f>($C$57*'Potential Usage &amp; Market Share '!$J$6)/12</f>
        <v>825.8595892</v>
      </c>
      <c r="AG75" s="89">
        <f>($C$57*'Potential Usage &amp; Market Share '!$J$6)/12</f>
        <v>825.8595892</v>
      </c>
      <c r="AH75" s="89">
        <f>($C$57*'Potential Usage &amp; Market Share '!$J$7)</f>
        <v>19820.63014</v>
      </c>
      <c r="AI75" s="89">
        <f>($C$57*'Potential Usage &amp; Market Share '!$J$8)</f>
        <v>49551.57535</v>
      </c>
    </row>
    <row r="76">
      <c r="A76" s="1"/>
      <c r="B76" s="87" t="s">
        <v>128</v>
      </c>
      <c r="C76" s="89">
        <f>($C$58*'Potential Usage &amp; Market Share '!$J$4)/12</f>
        <v>41.29297946</v>
      </c>
      <c r="D76" s="89">
        <f>($C$58*'Potential Usage &amp; Market Share '!$J$4)/12</f>
        <v>41.29297946</v>
      </c>
      <c r="E76" s="89">
        <f>($C$58*'Potential Usage &amp; Market Share '!$J$4)/12</f>
        <v>41.29297946</v>
      </c>
      <c r="F76" s="89">
        <f>($C$58*'Potential Usage &amp; Market Share '!$J$4)/12</f>
        <v>41.29297946</v>
      </c>
      <c r="G76" s="89">
        <f>($C$58*'Potential Usage &amp; Market Share '!$J$4)/12</f>
        <v>41.29297946</v>
      </c>
      <c r="H76" s="89">
        <f>($C$58*'Potential Usage &amp; Market Share '!$J$4)/12</f>
        <v>41.29297946</v>
      </c>
      <c r="I76" s="89">
        <f>($C$58*'Potential Usage &amp; Market Share '!$J$4)/12</f>
        <v>41.29297946</v>
      </c>
      <c r="J76" s="89">
        <f>($C$58*'Potential Usage &amp; Market Share '!$J$5)/12</f>
        <v>412.9297946</v>
      </c>
      <c r="K76" s="89">
        <f>($C$58*'Potential Usage &amp; Market Share '!$J$5)/12</f>
        <v>412.9297946</v>
      </c>
      <c r="L76" s="89">
        <f>($C$58*'Potential Usage &amp; Market Share '!$J$5)/12</f>
        <v>412.9297946</v>
      </c>
      <c r="M76" s="89">
        <f>($C$58*'Potential Usage &amp; Market Share '!$J$5)/12</f>
        <v>412.9297946</v>
      </c>
      <c r="N76" s="89">
        <f>($C$58*'Potential Usage &amp; Market Share '!$J$5)/12</f>
        <v>412.9297946</v>
      </c>
      <c r="O76" s="89">
        <f>($C$58*'Potential Usage &amp; Market Share '!$J$5)/12</f>
        <v>412.9297946</v>
      </c>
      <c r="P76" s="89">
        <f>($C$58*'Potential Usage &amp; Market Share '!$J$5)/12</f>
        <v>412.9297946</v>
      </c>
      <c r="Q76" s="89">
        <f>($C$58*'Potential Usage &amp; Market Share '!$J$5)/12</f>
        <v>412.9297946</v>
      </c>
      <c r="R76" s="89">
        <f>($C$58*'Potential Usage &amp; Market Share '!$J$5)/12</f>
        <v>412.9297946</v>
      </c>
      <c r="S76" s="89">
        <f>($C$58*'Potential Usage &amp; Market Share '!$J$5)/12</f>
        <v>412.9297946</v>
      </c>
      <c r="T76" s="89">
        <f>($C$58*'Potential Usage &amp; Market Share '!$J$5)/12</f>
        <v>412.9297946</v>
      </c>
      <c r="U76" s="89">
        <f>($C$58*'Potential Usage &amp; Market Share '!$J$5)/12</f>
        <v>412.9297946</v>
      </c>
      <c r="V76" s="89">
        <f>($C$58*'Potential Usage &amp; Market Share '!$J$6)/12</f>
        <v>825.8595892</v>
      </c>
      <c r="W76" s="89">
        <f>($C$58*'Potential Usage &amp; Market Share '!$J$6)/12</f>
        <v>825.8595892</v>
      </c>
      <c r="X76" s="89">
        <f>($C$58*'Potential Usage &amp; Market Share '!$J$6)/12</f>
        <v>825.8595892</v>
      </c>
      <c r="Y76" s="89">
        <f>($C$58*'Potential Usage &amp; Market Share '!$J$6)/12</f>
        <v>825.8595892</v>
      </c>
      <c r="Z76" s="89">
        <f>($C$58*'Potential Usage &amp; Market Share '!$J$6)/12</f>
        <v>825.8595892</v>
      </c>
      <c r="AA76" s="89">
        <f>($C$58*'Potential Usage &amp; Market Share '!$J$6)/12</f>
        <v>825.8595892</v>
      </c>
      <c r="AB76" s="89">
        <f>($C$58*'Potential Usage &amp; Market Share '!$J$6)/12</f>
        <v>825.8595892</v>
      </c>
      <c r="AC76" s="89">
        <f>($C$58*'Potential Usage &amp; Market Share '!$J$6)/12</f>
        <v>825.8595892</v>
      </c>
      <c r="AD76" s="89">
        <f>($C$58*'Potential Usage &amp; Market Share '!$J$6)/12</f>
        <v>825.8595892</v>
      </c>
      <c r="AE76" s="89">
        <f>($C$58*'Potential Usage &amp; Market Share '!$J$6)/12</f>
        <v>825.8595892</v>
      </c>
      <c r="AF76" s="89">
        <f>($C$58*'Potential Usage &amp; Market Share '!$J$6)/12</f>
        <v>825.8595892</v>
      </c>
      <c r="AG76" s="89">
        <f>($C$58*'Potential Usage &amp; Market Share '!$J$6)/12</f>
        <v>825.8595892</v>
      </c>
      <c r="AH76" s="89">
        <f>($C$58*'Potential Usage &amp; Market Share '!$J$7)</f>
        <v>19820.63014</v>
      </c>
      <c r="AI76" s="89">
        <f>($C$58*'Potential Usage &amp; Market Share '!$J$8)</f>
        <v>49551.57535</v>
      </c>
    </row>
    <row r="77">
      <c r="A77" s="1"/>
      <c r="B77" s="87" t="s">
        <v>129</v>
      </c>
      <c r="C77" s="89">
        <f>($C$59*'Potential Usage &amp; Market Share '!$J$4)/12</f>
        <v>41.29297946</v>
      </c>
      <c r="D77" s="89">
        <f>($C$59*'Potential Usage &amp; Market Share '!$J$4)/12</f>
        <v>41.29297946</v>
      </c>
      <c r="E77" s="89">
        <f>($C$59*'Potential Usage &amp; Market Share '!$J$4)/12</f>
        <v>41.29297946</v>
      </c>
      <c r="F77" s="89">
        <f>($C$59*'Potential Usage &amp; Market Share '!$J$4)/12</f>
        <v>41.29297946</v>
      </c>
      <c r="G77" s="89">
        <f>($C$59*'Potential Usage &amp; Market Share '!$J$4)/12</f>
        <v>41.29297946</v>
      </c>
      <c r="H77" s="89">
        <f>($C$59*'Potential Usage &amp; Market Share '!$J$4)/12</f>
        <v>41.29297946</v>
      </c>
      <c r="I77" s="89">
        <f>($C$59*'Potential Usage &amp; Market Share '!$J$4)/12</f>
        <v>41.29297946</v>
      </c>
      <c r="J77" s="89">
        <f>($C$59*'Potential Usage &amp; Market Share '!$J$5)/12</f>
        <v>412.9297946</v>
      </c>
      <c r="K77" s="89">
        <f>($C$59*'Potential Usage &amp; Market Share '!$J$5)/12</f>
        <v>412.9297946</v>
      </c>
      <c r="L77" s="89">
        <f>($C$59*'Potential Usage &amp; Market Share '!$J$5)/12</f>
        <v>412.9297946</v>
      </c>
      <c r="M77" s="89">
        <f>($C$59*'Potential Usage &amp; Market Share '!$J$5)/12</f>
        <v>412.9297946</v>
      </c>
      <c r="N77" s="89">
        <f>($C$59*'Potential Usage &amp; Market Share '!$J$5)/12</f>
        <v>412.9297946</v>
      </c>
      <c r="O77" s="89">
        <f>($C$59*'Potential Usage &amp; Market Share '!$J$5)/12</f>
        <v>412.9297946</v>
      </c>
      <c r="P77" s="89">
        <f>($C$59*'Potential Usage &amp; Market Share '!$J$5)/12</f>
        <v>412.9297946</v>
      </c>
      <c r="Q77" s="89">
        <f>($C$59*'Potential Usage &amp; Market Share '!$J$5)/12</f>
        <v>412.9297946</v>
      </c>
      <c r="R77" s="89">
        <f>($C$59*'Potential Usage &amp; Market Share '!$J$5)/12</f>
        <v>412.9297946</v>
      </c>
      <c r="S77" s="89">
        <f>($C$59*'Potential Usage &amp; Market Share '!$J$5)/12</f>
        <v>412.9297946</v>
      </c>
      <c r="T77" s="89">
        <f>($C$59*'Potential Usage &amp; Market Share '!$J$5)/12</f>
        <v>412.9297946</v>
      </c>
      <c r="U77" s="89">
        <f>($C$59*'Potential Usage &amp; Market Share '!$J$5)/12</f>
        <v>412.9297946</v>
      </c>
      <c r="V77" s="89">
        <f>($C$59*'Potential Usage &amp; Market Share '!$J$6)/12</f>
        <v>825.8595892</v>
      </c>
      <c r="W77" s="89">
        <f>($C$59*'Potential Usage &amp; Market Share '!$J$6)/12</f>
        <v>825.8595892</v>
      </c>
      <c r="X77" s="89">
        <f>($C$59*'Potential Usage &amp; Market Share '!$J$6)/12</f>
        <v>825.8595892</v>
      </c>
      <c r="Y77" s="89">
        <f>($C$59*'Potential Usage &amp; Market Share '!$J$6)/12</f>
        <v>825.8595892</v>
      </c>
      <c r="Z77" s="89">
        <f>($C$59*'Potential Usage &amp; Market Share '!$J$6)/12</f>
        <v>825.8595892</v>
      </c>
      <c r="AA77" s="89">
        <f>($C$59*'Potential Usage &amp; Market Share '!$J$6)/12</f>
        <v>825.8595892</v>
      </c>
      <c r="AB77" s="89">
        <f>($C$59*'Potential Usage &amp; Market Share '!$J$6)/12</f>
        <v>825.8595892</v>
      </c>
      <c r="AC77" s="89">
        <f>($C$59*'Potential Usage &amp; Market Share '!$J$6)/12</f>
        <v>825.8595892</v>
      </c>
      <c r="AD77" s="89">
        <f>($C$59*'Potential Usage &amp; Market Share '!$J$6)/12</f>
        <v>825.8595892</v>
      </c>
      <c r="AE77" s="89">
        <f>($C$59*'Potential Usage &amp; Market Share '!$J$6)/12</f>
        <v>825.8595892</v>
      </c>
      <c r="AF77" s="89">
        <f>($C$59*'Potential Usage &amp; Market Share '!$J$6)/12</f>
        <v>825.8595892</v>
      </c>
      <c r="AG77" s="89">
        <f>($C$59*'Potential Usage &amp; Market Share '!$J$6)/12</f>
        <v>825.8595892</v>
      </c>
      <c r="AH77" s="89">
        <f>($C$59*'Potential Usage &amp; Market Share '!$J$7)</f>
        <v>19820.63014</v>
      </c>
      <c r="AI77" s="89">
        <f>($C$59*'Potential Usage &amp; Market Share '!$J$8)</f>
        <v>49551.57535</v>
      </c>
    </row>
    <row r="78">
      <c r="A78" s="1"/>
      <c r="B78" s="87" t="s">
        <v>130</v>
      </c>
      <c r="C78" s="89">
        <f>($C$60*'Potential Usage &amp; Market Share '!$J$4)/12</f>
        <v>41.29297946</v>
      </c>
      <c r="D78" s="89">
        <f>($C$60*'Potential Usage &amp; Market Share '!$J$4)/12</f>
        <v>41.29297946</v>
      </c>
      <c r="E78" s="89">
        <f>($C$60*'Potential Usage &amp; Market Share '!$J$4)/12</f>
        <v>41.29297946</v>
      </c>
      <c r="F78" s="89">
        <f>($C$60*'Potential Usage &amp; Market Share '!$J$4)/12</f>
        <v>41.29297946</v>
      </c>
      <c r="G78" s="89">
        <f>($C$60*'Potential Usage &amp; Market Share '!$J$4)/12</f>
        <v>41.29297946</v>
      </c>
      <c r="H78" s="89">
        <f>($C$60*'Potential Usage &amp; Market Share '!$J$4)/12</f>
        <v>41.29297946</v>
      </c>
      <c r="I78" s="89">
        <f>($C$60*'Potential Usage &amp; Market Share '!$J$4)/12</f>
        <v>41.29297946</v>
      </c>
      <c r="J78" s="89">
        <f>($C$60*'Potential Usage &amp; Market Share '!$J$5)/12</f>
        <v>412.9297946</v>
      </c>
      <c r="K78" s="89">
        <f>($C$60*'Potential Usage &amp; Market Share '!$J$5)/12</f>
        <v>412.9297946</v>
      </c>
      <c r="L78" s="89">
        <f>($C$60*'Potential Usage &amp; Market Share '!$J$5)/12</f>
        <v>412.9297946</v>
      </c>
      <c r="M78" s="89">
        <f>($C$60*'Potential Usage &amp; Market Share '!$J$5)/12</f>
        <v>412.9297946</v>
      </c>
      <c r="N78" s="89">
        <f>($C$60*'Potential Usage &amp; Market Share '!$J$5)/12</f>
        <v>412.9297946</v>
      </c>
      <c r="O78" s="89">
        <f>($C$60*'Potential Usage &amp; Market Share '!$J$5)/12</f>
        <v>412.9297946</v>
      </c>
      <c r="P78" s="89">
        <f>($C$60*'Potential Usage &amp; Market Share '!$J$5)/12</f>
        <v>412.9297946</v>
      </c>
      <c r="Q78" s="89">
        <f>($C$60*'Potential Usage &amp; Market Share '!$J$5)/12</f>
        <v>412.9297946</v>
      </c>
      <c r="R78" s="89">
        <f>($C$60*'Potential Usage &amp; Market Share '!$J$5)/12</f>
        <v>412.9297946</v>
      </c>
      <c r="S78" s="89">
        <f>($C$60*'Potential Usage &amp; Market Share '!$J$5)/12</f>
        <v>412.9297946</v>
      </c>
      <c r="T78" s="89">
        <f>($C$60*'Potential Usage &amp; Market Share '!$J$5)/12</f>
        <v>412.9297946</v>
      </c>
      <c r="U78" s="89">
        <f>($C$60*'Potential Usage &amp; Market Share '!$J$5)/12</f>
        <v>412.9297946</v>
      </c>
      <c r="V78" s="89">
        <f>($C$60*'Potential Usage &amp; Market Share '!$J$6)/12</f>
        <v>825.8595892</v>
      </c>
      <c r="W78" s="89">
        <f>($C$60*'Potential Usage &amp; Market Share '!$J$6)/12</f>
        <v>825.8595892</v>
      </c>
      <c r="X78" s="89">
        <f>($C$60*'Potential Usage &amp; Market Share '!$J$6)/12</f>
        <v>825.8595892</v>
      </c>
      <c r="Y78" s="89">
        <f>($C$60*'Potential Usage &amp; Market Share '!$J$6)/12</f>
        <v>825.8595892</v>
      </c>
      <c r="Z78" s="89">
        <f>($C$60*'Potential Usage &amp; Market Share '!$J$6)/12</f>
        <v>825.8595892</v>
      </c>
      <c r="AA78" s="89">
        <f>($C$60*'Potential Usage &amp; Market Share '!$J$6)/12</f>
        <v>825.8595892</v>
      </c>
      <c r="AB78" s="89">
        <f>($C$60*'Potential Usage &amp; Market Share '!$J$6)/12</f>
        <v>825.8595892</v>
      </c>
      <c r="AC78" s="89">
        <f>($C$60*'Potential Usage &amp; Market Share '!$J$6)/12</f>
        <v>825.8595892</v>
      </c>
      <c r="AD78" s="89">
        <f>($C$60*'Potential Usage &amp; Market Share '!$J$6)/12</f>
        <v>825.8595892</v>
      </c>
      <c r="AE78" s="89">
        <f>($C$60*'Potential Usage &amp; Market Share '!$J$6)/12</f>
        <v>825.8595892</v>
      </c>
      <c r="AF78" s="89">
        <f>($C$60*'Potential Usage &amp; Market Share '!$J$6)/12</f>
        <v>825.8595892</v>
      </c>
      <c r="AG78" s="89">
        <f>($C$60*'Potential Usage &amp; Market Share '!$J$6)/12</f>
        <v>825.8595892</v>
      </c>
      <c r="AH78" s="89">
        <f>($C$60*'Potential Usage &amp; Market Share '!$J$7)</f>
        <v>19820.63014</v>
      </c>
      <c r="AI78" s="89">
        <f>($C$60*'Potential Usage &amp; Market Share '!$J$8)</f>
        <v>49551.57535</v>
      </c>
    </row>
    <row r="79">
      <c r="A79" s="1"/>
      <c r="B79" s="87" t="s">
        <v>131</v>
      </c>
      <c r="C79" s="89">
        <f>($C$61*'Potential Usage &amp; Market Share '!$J$4)/12</f>
        <v>41.29297946</v>
      </c>
      <c r="D79" s="89">
        <f>($C$61*'Potential Usage &amp; Market Share '!$J$4)/12</f>
        <v>41.29297946</v>
      </c>
      <c r="E79" s="89">
        <f>($C$61*'Potential Usage &amp; Market Share '!$J$4)/12</f>
        <v>41.29297946</v>
      </c>
      <c r="F79" s="89">
        <f>($C$61*'Potential Usage &amp; Market Share '!$J$4)/12</f>
        <v>41.29297946</v>
      </c>
      <c r="G79" s="89">
        <f>($C$61*'Potential Usage &amp; Market Share '!$J$4)/12</f>
        <v>41.29297946</v>
      </c>
      <c r="H79" s="89">
        <f>($C$61*'Potential Usage &amp; Market Share '!$J$4)/12</f>
        <v>41.29297946</v>
      </c>
      <c r="I79" s="89">
        <f>($C$61*'Potential Usage &amp; Market Share '!$J$4)/12</f>
        <v>41.29297946</v>
      </c>
      <c r="J79" s="89">
        <f>($C$61*'Potential Usage &amp; Market Share '!$J$5)/12</f>
        <v>412.9297946</v>
      </c>
      <c r="K79" s="89">
        <f>($C$61*'Potential Usage &amp; Market Share '!$J$5)/12</f>
        <v>412.9297946</v>
      </c>
      <c r="L79" s="89">
        <f>($C$61*'Potential Usage &amp; Market Share '!$J$5)/12</f>
        <v>412.9297946</v>
      </c>
      <c r="M79" s="89">
        <f>($C$61*'Potential Usage &amp; Market Share '!$J$5)/12</f>
        <v>412.9297946</v>
      </c>
      <c r="N79" s="89">
        <f>($C$61*'Potential Usage &amp; Market Share '!$J$5)/12</f>
        <v>412.9297946</v>
      </c>
      <c r="O79" s="89">
        <f>($C$61*'Potential Usage &amp; Market Share '!$J$5)/12</f>
        <v>412.9297946</v>
      </c>
      <c r="P79" s="89">
        <f>($C$61*'Potential Usage &amp; Market Share '!$J$5)/12</f>
        <v>412.9297946</v>
      </c>
      <c r="Q79" s="89">
        <f>($C$61*'Potential Usage &amp; Market Share '!$J$5)/12</f>
        <v>412.9297946</v>
      </c>
      <c r="R79" s="89">
        <f>($C$61*'Potential Usage &amp; Market Share '!$J$5)/12</f>
        <v>412.9297946</v>
      </c>
      <c r="S79" s="89">
        <f>($C$61*'Potential Usage &amp; Market Share '!$J$5)/12</f>
        <v>412.9297946</v>
      </c>
      <c r="T79" s="89">
        <f>($C$61*'Potential Usage &amp; Market Share '!$J$5)/12</f>
        <v>412.9297946</v>
      </c>
      <c r="U79" s="89">
        <f>($C$61*'Potential Usage &amp; Market Share '!$J$5)/12</f>
        <v>412.9297946</v>
      </c>
      <c r="V79" s="89">
        <f>($C$61*'Potential Usage &amp; Market Share '!$J$6)/12</f>
        <v>825.8595892</v>
      </c>
      <c r="W79" s="89">
        <f>($C$61*'Potential Usage &amp; Market Share '!$J$6)/12</f>
        <v>825.8595892</v>
      </c>
      <c r="X79" s="89">
        <f>($C$61*'Potential Usage &amp; Market Share '!$J$6)/12</f>
        <v>825.8595892</v>
      </c>
      <c r="Y79" s="89">
        <f>($C$61*'Potential Usage &amp; Market Share '!$J$6)/12</f>
        <v>825.8595892</v>
      </c>
      <c r="Z79" s="89">
        <f>($C$61*'Potential Usage &amp; Market Share '!$J$6)/12</f>
        <v>825.8595892</v>
      </c>
      <c r="AA79" s="89">
        <f>($C$61*'Potential Usage &amp; Market Share '!$J$6)/12</f>
        <v>825.8595892</v>
      </c>
      <c r="AB79" s="89">
        <f>($C$61*'Potential Usage &amp; Market Share '!$J$6)/12</f>
        <v>825.8595892</v>
      </c>
      <c r="AC79" s="89">
        <f>($C$61*'Potential Usage &amp; Market Share '!$J$6)/12</f>
        <v>825.8595892</v>
      </c>
      <c r="AD79" s="89">
        <f>($C$61*'Potential Usage &amp; Market Share '!$J$6)/12</f>
        <v>825.8595892</v>
      </c>
      <c r="AE79" s="89">
        <f>($C$61*'Potential Usage &amp; Market Share '!$J$6)/12</f>
        <v>825.8595892</v>
      </c>
      <c r="AF79" s="89">
        <f>($C$61*'Potential Usage &amp; Market Share '!$J$6)/12</f>
        <v>825.8595892</v>
      </c>
      <c r="AG79" s="89">
        <f>($C$61*'Potential Usage &amp; Market Share '!$J$6)/12</f>
        <v>825.8595892</v>
      </c>
      <c r="AH79" s="89">
        <f>($C$61*'Potential Usage &amp; Market Share '!$J$7)</f>
        <v>19820.63014</v>
      </c>
      <c r="AI79" s="89">
        <f>($C$61*'Potential Usage &amp; Market Share '!$J$8)</f>
        <v>49551.57535</v>
      </c>
    </row>
    <row r="80">
      <c r="A80" s="1"/>
      <c r="B80" s="87" t="s">
        <v>138</v>
      </c>
      <c r="C80" s="89">
        <f t="shared" ref="C80:U80" si="5">($C$65*$C$64)/12</f>
        <v>2000</v>
      </c>
      <c r="D80" s="89">
        <f t="shared" si="5"/>
        <v>2000</v>
      </c>
      <c r="E80" s="89">
        <f t="shared" si="5"/>
        <v>2000</v>
      </c>
      <c r="F80" s="89">
        <f t="shared" si="5"/>
        <v>2000</v>
      </c>
      <c r="G80" s="89">
        <f t="shared" si="5"/>
        <v>2000</v>
      </c>
      <c r="H80" s="89">
        <f t="shared" si="5"/>
        <v>2000</v>
      </c>
      <c r="I80" s="89">
        <f t="shared" si="5"/>
        <v>2000</v>
      </c>
      <c r="J80" s="89">
        <f t="shared" si="5"/>
        <v>2000</v>
      </c>
      <c r="K80" s="89">
        <f t="shared" si="5"/>
        <v>2000</v>
      </c>
      <c r="L80" s="89">
        <f t="shared" si="5"/>
        <v>2000</v>
      </c>
      <c r="M80" s="89">
        <f t="shared" si="5"/>
        <v>2000</v>
      </c>
      <c r="N80" s="89">
        <f t="shared" si="5"/>
        <v>2000</v>
      </c>
      <c r="O80" s="89">
        <f t="shared" si="5"/>
        <v>2000</v>
      </c>
      <c r="P80" s="89">
        <f t="shared" si="5"/>
        <v>2000</v>
      </c>
      <c r="Q80" s="89">
        <f t="shared" si="5"/>
        <v>2000</v>
      </c>
      <c r="R80" s="89">
        <f t="shared" si="5"/>
        <v>2000</v>
      </c>
      <c r="S80" s="89">
        <f t="shared" si="5"/>
        <v>2000</v>
      </c>
      <c r="T80" s="89">
        <f t="shared" si="5"/>
        <v>2000</v>
      </c>
      <c r="U80" s="89">
        <f t="shared" si="5"/>
        <v>2000</v>
      </c>
      <c r="V80" s="89">
        <f t="shared" ref="V80:AG80" si="6">($C$66*$C$64)/12</f>
        <v>4000</v>
      </c>
      <c r="W80" s="89">
        <f t="shared" si="6"/>
        <v>4000</v>
      </c>
      <c r="X80" s="89">
        <f t="shared" si="6"/>
        <v>4000</v>
      </c>
      <c r="Y80" s="89">
        <f t="shared" si="6"/>
        <v>4000</v>
      </c>
      <c r="Z80" s="89">
        <f t="shared" si="6"/>
        <v>4000</v>
      </c>
      <c r="AA80" s="89">
        <f t="shared" si="6"/>
        <v>4000</v>
      </c>
      <c r="AB80" s="89">
        <f t="shared" si="6"/>
        <v>4000</v>
      </c>
      <c r="AC80" s="89">
        <f t="shared" si="6"/>
        <v>4000</v>
      </c>
      <c r="AD80" s="89">
        <f t="shared" si="6"/>
        <v>4000</v>
      </c>
      <c r="AE80" s="89">
        <f t="shared" si="6"/>
        <v>4000</v>
      </c>
      <c r="AF80" s="89">
        <f t="shared" si="6"/>
        <v>4000</v>
      </c>
      <c r="AG80" s="89">
        <f t="shared" si="6"/>
        <v>4000</v>
      </c>
      <c r="AH80" s="89">
        <f t="shared" ref="AH80:AI80" si="7">($C$66*$C$64)</f>
        <v>48000</v>
      </c>
      <c r="AI80" s="89">
        <f t="shared" si="7"/>
        <v>48000</v>
      </c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>
      <c r="A82" s="1"/>
      <c r="B82" s="87" t="s">
        <v>139</v>
      </c>
      <c r="C82" s="165">
        <f t="shared" ref="C82:AI82" si="8">SUM(C74:C80)</f>
        <v>2254.64004</v>
      </c>
      <c r="D82" s="165">
        <f t="shared" si="8"/>
        <v>2254.64004</v>
      </c>
      <c r="E82" s="165">
        <f t="shared" si="8"/>
        <v>2254.64004</v>
      </c>
      <c r="F82" s="165">
        <f t="shared" si="8"/>
        <v>2254.64004</v>
      </c>
      <c r="G82" s="165">
        <f t="shared" si="8"/>
        <v>2254.64004</v>
      </c>
      <c r="H82" s="165">
        <f t="shared" si="8"/>
        <v>2254.64004</v>
      </c>
      <c r="I82" s="165">
        <f t="shared" si="8"/>
        <v>2254.64004</v>
      </c>
      <c r="J82" s="165">
        <f t="shared" si="8"/>
        <v>4546.4004</v>
      </c>
      <c r="K82" s="165">
        <f t="shared" si="8"/>
        <v>4546.4004</v>
      </c>
      <c r="L82" s="165">
        <f t="shared" si="8"/>
        <v>4546.4004</v>
      </c>
      <c r="M82" s="165">
        <f t="shared" si="8"/>
        <v>4546.4004</v>
      </c>
      <c r="N82" s="165">
        <f t="shared" si="8"/>
        <v>4546.4004</v>
      </c>
      <c r="O82" s="165">
        <f t="shared" si="8"/>
        <v>4546.4004</v>
      </c>
      <c r="P82" s="165">
        <f t="shared" si="8"/>
        <v>4546.4004</v>
      </c>
      <c r="Q82" s="165">
        <f t="shared" si="8"/>
        <v>4546.4004</v>
      </c>
      <c r="R82" s="165">
        <f t="shared" si="8"/>
        <v>4546.4004</v>
      </c>
      <c r="S82" s="165">
        <f t="shared" si="8"/>
        <v>4546.4004</v>
      </c>
      <c r="T82" s="165">
        <f t="shared" si="8"/>
        <v>4546.4004</v>
      </c>
      <c r="U82" s="165">
        <f t="shared" si="8"/>
        <v>4546.4004</v>
      </c>
      <c r="V82" s="165">
        <f t="shared" si="8"/>
        <v>9092.8008</v>
      </c>
      <c r="W82" s="165">
        <f t="shared" si="8"/>
        <v>9092.8008</v>
      </c>
      <c r="X82" s="165">
        <f t="shared" si="8"/>
        <v>9092.8008</v>
      </c>
      <c r="Y82" s="165">
        <f t="shared" si="8"/>
        <v>9092.8008</v>
      </c>
      <c r="Z82" s="165">
        <f t="shared" si="8"/>
        <v>9092.8008</v>
      </c>
      <c r="AA82" s="165">
        <f t="shared" si="8"/>
        <v>9092.8008</v>
      </c>
      <c r="AB82" s="165">
        <f t="shared" si="8"/>
        <v>9092.8008</v>
      </c>
      <c r="AC82" s="165">
        <f t="shared" si="8"/>
        <v>9092.8008</v>
      </c>
      <c r="AD82" s="165">
        <f t="shared" si="8"/>
        <v>9092.8008</v>
      </c>
      <c r="AE82" s="165">
        <f t="shared" si="8"/>
        <v>9092.8008</v>
      </c>
      <c r="AF82" s="165">
        <f t="shared" si="8"/>
        <v>9092.8008</v>
      </c>
      <c r="AG82" s="165">
        <f t="shared" si="8"/>
        <v>9092.8008</v>
      </c>
      <c r="AH82" s="165">
        <f t="shared" si="8"/>
        <v>170227.2192</v>
      </c>
      <c r="AI82" s="165">
        <f t="shared" si="8"/>
        <v>353568.048</v>
      </c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</sheetData>
  <mergeCells count="12">
    <mergeCell ref="C30:N30"/>
    <mergeCell ref="O30:Z30"/>
    <mergeCell ref="C70:I70"/>
    <mergeCell ref="J70:U70"/>
    <mergeCell ref="V70:AG70"/>
    <mergeCell ref="G4:K4"/>
    <mergeCell ref="G5:K5"/>
    <mergeCell ref="G6:K6"/>
    <mergeCell ref="G7:K7"/>
    <mergeCell ref="C22:I22"/>
    <mergeCell ref="J22:U22"/>
    <mergeCell ref="V22:AG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08" t="s">
        <v>101</v>
      </c>
      <c r="C3" s="81"/>
      <c r="D3" s="81"/>
      <c r="E3" s="81"/>
      <c r="F3" s="81"/>
      <c r="G3" s="81"/>
      <c r="H3" s="81"/>
      <c r="I3" s="81"/>
      <c r="J3" s="81"/>
      <c r="K3" s="81"/>
      <c r="L3" s="81"/>
    </row>
    <row r="4">
      <c r="B4" s="109" t="s">
        <v>102</v>
      </c>
    </row>
    <row r="5">
      <c r="B5" s="109" t="s">
        <v>104</v>
      </c>
    </row>
    <row r="6">
      <c r="B6" s="109" t="s">
        <v>105</v>
      </c>
    </row>
    <row r="7">
      <c r="B7" s="81"/>
    </row>
    <row r="8">
      <c r="B8" s="81"/>
    </row>
    <row r="9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</row>
    <row r="12"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</row>
  </sheetData>
  <mergeCells count="5">
    <mergeCell ref="B4:L4"/>
    <mergeCell ref="B5:L5"/>
    <mergeCell ref="B6:L6"/>
    <mergeCell ref="B7:L7"/>
    <mergeCell ref="B8:L8"/>
  </mergeCells>
  <hyperlinks>
    <hyperlink r:id="rId1" ref="B4"/>
    <hyperlink r:id="rId2" ref="B5"/>
    <hyperlink r:id="rId3" ref="B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1.0"/>
    <col customWidth="1" min="8" max="8" width="15.0"/>
  </cols>
  <sheetData>
    <row r="1" ht="48.75" customHeight="1">
      <c r="A1" s="1"/>
      <c r="B1" s="7" t="s">
        <v>11</v>
      </c>
      <c r="C1" s="1"/>
      <c r="D1" s="1"/>
      <c r="E1" s="1"/>
      <c r="F1" s="1"/>
      <c r="G1" s="1"/>
      <c r="H1" s="1"/>
    </row>
    <row r="2">
      <c r="A2" s="1"/>
      <c r="B2" s="1"/>
      <c r="C2" s="112"/>
      <c r="D2" s="112"/>
      <c r="E2" s="112"/>
      <c r="F2" s="112"/>
      <c r="G2" s="112"/>
      <c r="H2" s="6"/>
    </row>
    <row r="3">
      <c r="A3" s="1"/>
      <c r="B3" s="113"/>
      <c r="C3" s="114" t="s">
        <v>106</v>
      </c>
      <c r="D3" s="114" t="s">
        <v>107</v>
      </c>
      <c r="E3" s="114" t="s">
        <v>108</v>
      </c>
      <c r="F3" s="114" t="s">
        <v>109</v>
      </c>
      <c r="G3" s="114" t="s">
        <v>110</v>
      </c>
      <c r="H3" s="13"/>
    </row>
    <row r="4">
      <c r="A4" s="1"/>
      <c r="B4" s="115"/>
      <c r="C4" s="116" t="s">
        <v>111</v>
      </c>
      <c r="D4" s="116" t="s">
        <v>112</v>
      </c>
      <c r="E4" s="116" t="s">
        <v>113</v>
      </c>
      <c r="F4" s="116" t="s">
        <v>114</v>
      </c>
      <c r="G4" s="116" t="s">
        <v>115</v>
      </c>
      <c r="H4" s="13"/>
    </row>
    <row r="5">
      <c r="A5" s="1"/>
      <c r="B5" s="117"/>
      <c r="C5" s="118" t="s">
        <v>22</v>
      </c>
      <c r="D5" s="118" t="s">
        <v>22</v>
      </c>
      <c r="E5" s="118" t="s">
        <v>22</v>
      </c>
      <c r="F5" s="118" t="s">
        <v>22</v>
      </c>
      <c r="G5" s="118" t="s">
        <v>22</v>
      </c>
      <c r="H5" s="13"/>
    </row>
    <row r="6">
      <c r="A6" s="1"/>
      <c r="B6" s="117"/>
      <c r="C6" s="119"/>
      <c r="D6" s="119"/>
      <c r="E6" s="119"/>
      <c r="F6" s="119"/>
      <c r="G6" s="119"/>
      <c r="H6" s="13"/>
    </row>
    <row r="7">
      <c r="A7" s="1"/>
      <c r="B7" s="120" t="s">
        <v>31</v>
      </c>
      <c r="C7" s="121">
        <f t="shared" ref="C7:G7" si="1">SUM(C20:C21)</f>
        <v>9922.388541</v>
      </c>
      <c r="D7" s="121">
        <f t="shared" si="1"/>
        <v>165171.9178</v>
      </c>
      <c r="E7" s="121">
        <f t="shared" si="1"/>
        <v>330343.8357</v>
      </c>
      <c r="F7" s="121">
        <f t="shared" si="1"/>
        <v>660687.6714</v>
      </c>
      <c r="G7" s="121">
        <f t="shared" si="1"/>
        <v>1651719.178</v>
      </c>
      <c r="H7" s="13"/>
    </row>
    <row r="8">
      <c r="A8" s="1"/>
      <c r="B8" s="123"/>
      <c r="C8" s="124"/>
      <c r="D8" s="124"/>
      <c r="E8" s="124"/>
      <c r="F8" s="124"/>
      <c r="G8" s="124"/>
      <c r="H8" s="13"/>
    </row>
    <row r="9">
      <c r="A9" s="1"/>
      <c r="B9" s="120" t="s">
        <v>46</v>
      </c>
      <c r="C9" s="121">
        <f t="shared" ref="C9:G9" si="2">SUM(C24:C25)</f>
        <v>1263.065542</v>
      </c>
      <c r="D9" s="121">
        <f t="shared" si="2"/>
        <v>4218.266439</v>
      </c>
      <c r="E9" s="121">
        <f t="shared" si="2"/>
        <v>7356.532878</v>
      </c>
      <c r="F9" s="121">
        <f t="shared" si="2"/>
        <v>13633.06576</v>
      </c>
      <c r="G9" s="121">
        <f t="shared" si="2"/>
        <v>32462.66439</v>
      </c>
      <c r="H9" s="13"/>
    </row>
    <row r="10">
      <c r="A10" s="1"/>
      <c r="B10" s="126"/>
      <c r="C10" s="127"/>
      <c r="D10" s="127"/>
      <c r="E10" s="127"/>
      <c r="F10" s="127"/>
      <c r="G10" s="127"/>
      <c r="H10" s="13"/>
    </row>
    <row r="11">
      <c r="A11" s="1"/>
      <c r="B11" s="129" t="s">
        <v>48</v>
      </c>
      <c r="C11" s="131">
        <f t="shared" ref="C11:G11" si="3">C7-C9</f>
        <v>8659.322998</v>
      </c>
      <c r="D11" s="131">
        <f t="shared" si="3"/>
        <v>160953.6514</v>
      </c>
      <c r="E11" s="131">
        <f t="shared" si="3"/>
        <v>322987.3028</v>
      </c>
      <c r="F11" s="131">
        <f t="shared" si="3"/>
        <v>647054.6056</v>
      </c>
      <c r="G11" s="131">
        <f t="shared" si="3"/>
        <v>1619256.514</v>
      </c>
      <c r="H11" s="13"/>
    </row>
    <row r="12">
      <c r="A12" s="1"/>
      <c r="B12" s="133"/>
      <c r="C12" s="119"/>
      <c r="D12" s="119"/>
      <c r="E12" s="119"/>
      <c r="F12" s="119"/>
      <c r="G12" s="119"/>
      <c r="H12" s="13"/>
    </row>
    <row r="13">
      <c r="A13" s="1"/>
      <c r="B13" s="120" t="s">
        <v>71</v>
      </c>
      <c r="C13" s="135">
        <f t="shared" ref="C13:G13" si="4">SUM(C28:C33)</f>
        <v>61995.52253</v>
      </c>
      <c r="D13" s="135">
        <f t="shared" si="4"/>
        <v>111061.5982</v>
      </c>
      <c r="E13" s="135">
        <f t="shared" si="4"/>
        <v>172698.564</v>
      </c>
      <c r="F13" s="135">
        <f t="shared" si="4"/>
        <v>249334.9581</v>
      </c>
      <c r="G13" s="135">
        <f t="shared" si="4"/>
        <v>481388.2443</v>
      </c>
      <c r="H13" s="13"/>
    </row>
    <row r="14">
      <c r="A14" s="1"/>
      <c r="B14" s="137"/>
      <c r="C14" s="138"/>
      <c r="D14" s="138"/>
      <c r="E14" s="138"/>
      <c r="F14" s="138"/>
      <c r="G14" s="138"/>
      <c r="H14" s="13"/>
    </row>
    <row r="15">
      <c r="A15" s="1"/>
      <c r="B15" s="129" t="s">
        <v>72</v>
      </c>
      <c r="C15" s="140">
        <f t="shared" ref="C15:G15" si="5">C11-C13</f>
        <v>-53336.19954</v>
      </c>
      <c r="D15" s="140">
        <f t="shared" si="5"/>
        <v>49892.05323</v>
      </c>
      <c r="E15" s="140">
        <f t="shared" si="5"/>
        <v>150288.7388</v>
      </c>
      <c r="F15" s="140">
        <f t="shared" si="5"/>
        <v>397719.6475</v>
      </c>
      <c r="G15" s="140">
        <f t="shared" si="5"/>
        <v>1137868.27</v>
      </c>
      <c r="H15" s="13"/>
    </row>
    <row r="16">
      <c r="A16" s="1"/>
      <c r="C16" s="3"/>
      <c r="D16" s="3"/>
      <c r="E16" s="3"/>
      <c r="F16" s="3"/>
      <c r="G16" s="3"/>
      <c r="H16" s="13"/>
    </row>
    <row r="17">
      <c r="A17" s="1"/>
      <c r="C17" s="3"/>
      <c r="D17" s="3"/>
      <c r="E17" s="3"/>
      <c r="F17" s="3"/>
      <c r="G17" s="3"/>
      <c r="H17" s="13"/>
    </row>
    <row r="18">
      <c r="A18" s="1"/>
      <c r="H18" s="13"/>
    </row>
    <row r="19">
      <c r="A19" s="1"/>
      <c r="B19" s="25" t="s">
        <v>25</v>
      </c>
      <c r="C19" s="20"/>
      <c r="D19" s="20"/>
      <c r="E19" s="20"/>
      <c r="F19" s="20"/>
      <c r="G19" s="20"/>
      <c r="H19" s="13"/>
    </row>
    <row r="20">
      <c r="A20" s="1"/>
      <c r="B20" s="27" t="s">
        <v>26</v>
      </c>
      <c r="C20" s="36">
        <f>SUM(Cashflow!D9:J9)</f>
        <v>9635.028541</v>
      </c>
      <c r="D20" s="36">
        <f>SUM(Cashflow!D40:O40)</f>
        <v>165171.9178</v>
      </c>
      <c r="E20" s="36">
        <f>'Potential Usage &amp; Market Share '!J6</f>
        <v>330343.8357</v>
      </c>
      <c r="F20" s="36">
        <f>'Potential Usage &amp; Market Share '!J7</f>
        <v>660687.6714</v>
      </c>
      <c r="G20" s="36">
        <f>'Potential Usage &amp; Market Share '!J8</f>
        <v>1651719.178</v>
      </c>
      <c r="H20" s="13"/>
    </row>
    <row r="21">
      <c r="A21" s="1"/>
      <c r="B21" s="27" t="s">
        <v>28</v>
      </c>
      <c r="C21" s="36">
        <v>287.36</v>
      </c>
      <c r="D21" s="36">
        <v>0.0</v>
      </c>
      <c r="E21" s="36">
        <v>0.0</v>
      </c>
      <c r="F21" s="36">
        <v>0.0</v>
      </c>
      <c r="G21" s="36">
        <v>0.0</v>
      </c>
      <c r="H21" s="13"/>
    </row>
    <row r="22">
      <c r="A22" s="1"/>
      <c r="B22" s="27"/>
      <c r="H22" s="13"/>
    </row>
    <row r="23">
      <c r="A23" s="1"/>
      <c r="B23" s="45" t="s">
        <v>34</v>
      </c>
      <c r="C23" s="20"/>
      <c r="D23" s="20"/>
      <c r="E23" s="20"/>
      <c r="F23" s="20"/>
      <c r="G23" s="20"/>
      <c r="H23" s="13"/>
    </row>
    <row r="24">
      <c r="A24" s="1"/>
      <c r="B24" s="46" t="s">
        <v>35</v>
      </c>
      <c r="C24" s="36">
        <f>SUM(Cashflow!D21:J21)</f>
        <v>183.0655423</v>
      </c>
      <c r="D24" s="36">
        <f>SUM(Cashflow!D52:O52)</f>
        <v>3138.266439</v>
      </c>
      <c r="E24" s="36">
        <f>E20*Workings!$C$41</f>
        <v>6276.532878</v>
      </c>
      <c r="F24" s="36">
        <f>F20*Workings!$C$41</f>
        <v>12553.06576</v>
      </c>
      <c r="G24" s="36">
        <f>G20*Workings!$C$41</f>
        <v>31382.66439</v>
      </c>
      <c r="H24" s="13"/>
    </row>
    <row r="25">
      <c r="A25" s="1"/>
      <c r="B25" s="46" t="s">
        <v>39</v>
      </c>
      <c r="C25" s="50">
        <f>Workings!$C$12</f>
        <v>1080</v>
      </c>
      <c r="D25" s="50">
        <f>Workings!$C$12</f>
        <v>1080</v>
      </c>
      <c r="E25" s="50">
        <f>Workings!$C$12</f>
        <v>1080</v>
      </c>
      <c r="F25" s="50">
        <f>Workings!$C$12</f>
        <v>1080</v>
      </c>
      <c r="G25" s="50">
        <f>Workings!$C$12</f>
        <v>1080</v>
      </c>
      <c r="H25" s="13"/>
    </row>
    <row r="26">
      <c r="A26" s="1"/>
      <c r="H26" s="13"/>
    </row>
    <row r="27">
      <c r="A27" s="1"/>
      <c r="B27" s="25" t="s">
        <v>53</v>
      </c>
      <c r="C27" s="60"/>
      <c r="D27" s="20"/>
      <c r="E27" s="20"/>
      <c r="F27" s="20"/>
      <c r="G27" s="20"/>
      <c r="H27" s="13"/>
    </row>
    <row r="28">
      <c r="A28" s="1"/>
      <c r="B28" s="27" t="s">
        <v>55</v>
      </c>
      <c r="C28" s="36">
        <f>Workings!$C$52*C20</f>
        <v>481.751427</v>
      </c>
      <c r="D28" s="36">
        <f>Workings!$C$52*D20</f>
        <v>8258.595892</v>
      </c>
      <c r="E28" s="36">
        <f>Workings!$C$52*E20</f>
        <v>16517.19178</v>
      </c>
      <c r="F28" s="36">
        <f>Workings!$C$52*F20</f>
        <v>33034.38357</v>
      </c>
      <c r="G28" s="36">
        <f>Workings!$C$52*G20</f>
        <v>82585.95892</v>
      </c>
      <c r="H28" s="13"/>
    </row>
    <row r="29">
      <c r="A29" s="1"/>
      <c r="B29" s="27" t="s">
        <v>59</v>
      </c>
      <c r="C29" s="36">
        <f>SUM(Cashflow!D18:J18)</f>
        <v>15782.48028</v>
      </c>
      <c r="D29" s="36">
        <f>SUM(Cashflow!D49:O49)</f>
        <v>54556.8048</v>
      </c>
      <c r="E29" s="36">
        <f>SUM(Cashflow!D80:O80)</f>
        <v>109113.6096</v>
      </c>
      <c r="F29" s="36">
        <f>Workings!AH82</f>
        <v>170227.2192</v>
      </c>
      <c r="G29" s="36">
        <f>Workings!AI82</f>
        <v>353568.048</v>
      </c>
      <c r="H29" s="13"/>
    </row>
    <row r="30">
      <c r="A30" s="1"/>
      <c r="B30" s="27" t="s">
        <v>50</v>
      </c>
      <c r="C30" s="36">
        <f>Workings!$C$10</f>
        <v>2600</v>
      </c>
      <c r="D30" s="36">
        <f>Workings!$C$10</f>
        <v>2600</v>
      </c>
      <c r="E30" s="36">
        <f>Workings!$C$10</f>
        <v>2600</v>
      </c>
      <c r="F30" s="36">
        <f>Workings!$C$10</f>
        <v>2600</v>
      </c>
      <c r="G30" s="36">
        <f>Workings!$C$10</f>
        <v>2600</v>
      </c>
      <c r="H30" s="13"/>
    </row>
    <row r="31">
      <c r="A31" s="1"/>
      <c r="B31" s="27" t="s">
        <v>60</v>
      </c>
      <c r="C31" s="36">
        <f>Workings!$C$11</f>
        <v>5200</v>
      </c>
      <c r="D31" s="36">
        <f>Workings!$C$11</f>
        <v>5200</v>
      </c>
      <c r="E31" s="36">
        <f>Workings!$C$11</f>
        <v>5200</v>
      </c>
      <c r="F31" s="36">
        <f>Workings!$C$11</f>
        <v>5200</v>
      </c>
      <c r="G31" s="36">
        <f>Workings!$C$11</f>
        <v>5200</v>
      </c>
      <c r="H31" s="13"/>
    </row>
    <row r="32">
      <c r="A32" s="1"/>
      <c r="B32" s="27" t="s">
        <v>43</v>
      </c>
      <c r="C32" s="36">
        <f>Workings!$C$9</f>
        <v>32900</v>
      </c>
      <c r="D32" s="36">
        <f>Workings!$C$9</f>
        <v>32900</v>
      </c>
      <c r="E32" s="36">
        <f>Workings!$C$9</f>
        <v>32900</v>
      </c>
      <c r="F32" s="36">
        <f>Workings!$C$9</f>
        <v>32900</v>
      </c>
      <c r="G32" s="36">
        <f>Workings!$C$9</f>
        <v>32900</v>
      </c>
      <c r="H32" s="13"/>
    </row>
    <row r="33">
      <c r="A33" s="1"/>
      <c r="B33" s="27" t="s">
        <v>70</v>
      </c>
      <c r="C33" s="36">
        <f>SUM(Cashflow!D19:J19)</f>
        <v>5031.290828</v>
      </c>
      <c r="D33" s="36">
        <f>SUM(Cashflow!D50:O50)</f>
        <v>7546.197477</v>
      </c>
      <c r="E33" s="36">
        <f>SUM(Cashflow!D81:O81)</f>
        <v>6367.762575</v>
      </c>
      <c r="F33" s="36">
        <f>SUM(Workings!C34:N34)</f>
        <v>5373.3553</v>
      </c>
      <c r="G33" s="36">
        <f>SUM(Workings!O34:Z34)</f>
        <v>4534.237393</v>
      </c>
      <c r="H33" s="13"/>
    </row>
    <row r="34">
      <c r="A34" s="1"/>
      <c r="H34" s="13"/>
    </row>
    <row r="35">
      <c r="A35" s="1"/>
      <c r="H35" s="13"/>
    </row>
    <row r="36">
      <c r="A36" s="1"/>
      <c r="H36" s="13"/>
    </row>
    <row r="37">
      <c r="A37" s="1"/>
      <c r="H37" s="13"/>
    </row>
    <row r="38">
      <c r="A38" s="1"/>
      <c r="H38" s="13"/>
    </row>
    <row r="39">
      <c r="A39" s="1"/>
      <c r="H39" s="13"/>
    </row>
    <row r="40">
      <c r="A40" s="1"/>
      <c r="H40" s="13"/>
    </row>
    <row r="41">
      <c r="A41" s="1"/>
      <c r="H41" s="13"/>
    </row>
    <row r="42">
      <c r="A42" s="1"/>
      <c r="H42" s="13"/>
    </row>
    <row r="43">
      <c r="A43" s="1"/>
      <c r="H43" s="13"/>
    </row>
    <row r="44">
      <c r="A44" s="1"/>
      <c r="H44" s="13"/>
    </row>
    <row r="45">
      <c r="A45" s="1"/>
      <c r="H45" s="13"/>
    </row>
    <row r="46">
      <c r="A46" s="1"/>
      <c r="H46" s="13"/>
    </row>
    <row r="47">
      <c r="A47" s="1"/>
      <c r="H47" s="13"/>
    </row>
    <row r="48">
      <c r="A48" s="1"/>
      <c r="H48" s="13"/>
    </row>
    <row r="49">
      <c r="A49" s="1"/>
      <c r="H49" s="13"/>
    </row>
    <row r="50">
      <c r="A50" s="1"/>
      <c r="H50" s="13"/>
    </row>
    <row r="51">
      <c r="A51" s="1"/>
      <c r="H51" s="13"/>
    </row>
    <row r="52">
      <c r="A52" s="1"/>
      <c r="B52" s="1"/>
      <c r="C52" s="1"/>
      <c r="D52" s="1"/>
      <c r="E52" s="1"/>
      <c r="F52" s="1"/>
      <c r="G52" s="1"/>
      <c r="H52" s="1"/>
    </row>
  </sheetData>
  <drawing r:id="rId1"/>
</worksheet>
</file>